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laude\แผนงานก่อสร้าง\"/>
    </mc:Choice>
  </mc:AlternateContent>
  <xr:revisionPtr revIDLastSave="0" documentId="13_ncr:1_{FDCBED45-441F-4E03-99EF-BA82429DD361}" xr6:coauthVersionLast="47" xr6:coauthVersionMax="47" xr10:uidLastSave="{00000000-0000-0000-0000-000000000000}"/>
  <bookViews>
    <workbookView xWindow="-108" yWindow="-108" windowWidth="23256" windowHeight="12456" tabRatio="607" activeTab="2" xr2:uid="{00000000-000D-0000-FFFF-FFFF00000000}"/>
  </bookViews>
  <sheets>
    <sheet name="แผน - ผล ประจำสัปดาห์" sheetId="11" r:id="rId1"/>
    <sheet name="ผลweekly" sheetId="20" r:id="rId2"/>
    <sheet name="แผนการก่อสร้าง" sheetId="6" r:id="rId3"/>
    <sheet name="ผลงานรายสัปดาห์(%)" sheetId="19" r:id="rId4"/>
    <sheet name="คิดผลงานประจำเดือน" sheetId="17" r:id="rId5"/>
    <sheet name="ผลงานรายสัปดาห์(เงิน)" sheetId="18" r:id="rId6"/>
    <sheet name="BOQ แก้ไขสัญญา" sheetId="14" r:id="rId7"/>
    <sheet name="ความก้าวหน้ารายสัปดาห์" sheetId="8" r:id="rId8"/>
    <sheet name="การเบิกจ่ายงบประมาณ" sheetId="12" r:id="rId9"/>
    <sheet name="การเบิกจ่ายควบคุมงาน" sheetId="13" r:id="rId10"/>
  </sheets>
  <externalReferences>
    <externalReference r:id="rId11"/>
  </externalReferences>
  <definedNames>
    <definedName name="_Hlk109808432" localSheetId="7">ความก้าวหน้ารายสัปดาห์!$I$14</definedName>
    <definedName name="acX" localSheetId="2">OFFSET(แผนการก่อสร้าง!#REF!,0,0,1,แผนการก่อสร้าง!#REF!+1)</definedName>
    <definedName name="acX">OFFSET(#REF!,0,0,1,#REF!+1)</definedName>
    <definedName name="acY" localSheetId="2">OFFSET(แผนการก่อสร้าง!#REF!,0,0,1,แผนการก่อสร้าง!#REF!+1)</definedName>
    <definedName name="acY">OFFSET(#REF!,0,0,1,#REF!+1)</definedName>
    <definedName name="conc">#REF!</definedName>
    <definedName name="frmwk">#REF!</definedName>
    <definedName name="GTotal" localSheetId="2">แผนการก่อสร้าง!$J$113</definedName>
    <definedName name="GTotal">#REF!</definedName>
    <definedName name="knd">#REF!</definedName>
    <definedName name="_xlnm.Print_Area" localSheetId="9">การเบิกจ่ายควบคุมงาน!$A$1:$I$42</definedName>
    <definedName name="_xlnm.Print_Area" localSheetId="8">การเบิกจ่ายงบประมาณ!$A$1:$I$48</definedName>
    <definedName name="_xlnm.Print_Area" localSheetId="7">ความก้าวหน้ารายสัปดาห์!$A$1:$I$21</definedName>
    <definedName name="_xlnm.Print_Area" localSheetId="2">แผนการก่อสร้าง!$A$1:$BA$143</definedName>
    <definedName name="steel">#REF!</definedName>
    <definedName name="wm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8" l="1"/>
  <c r="M8" i="18"/>
  <c r="L9" i="18"/>
  <c r="M9" i="18"/>
  <c r="L10" i="18"/>
  <c r="M10" i="18"/>
  <c r="L11" i="18"/>
  <c r="M11" i="18"/>
  <c r="L12" i="18"/>
  <c r="M12" i="18"/>
  <c r="L13" i="18"/>
  <c r="M13" i="18"/>
  <c r="L14" i="18"/>
  <c r="M14" i="18"/>
  <c r="L15" i="18"/>
  <c r="M15" i="18"/>
  <c r="L16" i="18"/>
  <c r="M16" i="18"/>
  <c r="L17" i="18"/>
  <c r="M17" i="18"/>
  <c r="L18" i="18"/>
  <c r="M18" i="18"/>
  <c r="L19" i="18"/>
  <c r="M19" i="18"/>
  <c r="L20" i="18"/>
  <c r="M20" i="18"/>
  <c r="L21" i="18"/>
  <c r="M21" i="18"/>
  <c r="L22" i="18"/>
  <c r="M22" i="18"/>
  <c r="L23" i="18"/>
  <c r="M23" i="18"/>
  <c r="L24" i="18"/>
  <c r="M24" i="18"/>
  <c r="L25" i="18"/>
  <c r="M25" i="18"/>
  <c r="L26" i="18"/>
  <c r="M26" i="18"/>
  <c r="L27" i="18"/>
  <c r="M27" i="18"/>
  <c r="L28" i="18"/>
  <c r="M28" i="18"/>
  <c r="L29" i="18"/>
  <c r="M29" i="18"/>
  <c r="L30" i="18"/>
  <c r="M30" i="18"/>
  <c r="L31" i="18"/>
  <c r="M31" i="18"/>
  <c r="L32" i="18"/>
  <c r="M32" i="18"/>
  <c r="L33" i="18"/>
  <c r="M33" i="18"/>
  <c r="L34" i="18"/>
  <c r="M34" i="18"/>
  <c r="L35" i="18"/>
  <c r="M35" i="18"/>
  <c r="L36" i="18"/>
  <c r="M36" i="18"/>
  <c r="L37" i="18"/>
  <c r="M37" i="18"/>
  <c r="L38" i="18"/>
  <c r="M38" i="18"/>
  <c r="L39" i="18"/>
  <c r="M39" i="18"/>
  <c r="L40" i="18"/>
  <c r="M40" i="18"/>
  <c r="L41" i="18"/>
  <c r="M41" i="18"/>
  <c r="L42" i="18"/>
  <c r="M42" i="18"/>
  <c r="L43" i="18"/>
  <c r="M43" i="18"/>
  <c r="L44" i="18"/>
  <c r="M44" i="18"/>
  <c r="L45" i="18"/>
  <c r="M45" i="18"/>
  <c r="L46" i="18"/>
  <c r="M46" i="18"/>
  <c r="L47" i="18"/>
  <c r="M47" i="18"/>
  <c r="L48" i="18"/>
  <c r="M48" i="18"/>
  <c r="L49" i="18"/>
  <c r="M49" i="18"/>
  <c r="L50" i="18"/>
  <c r="M50" i="18"/>
  <c r="L51" i="18"/>
  <c r="M51" i="18"/>
  <c r="L52" i="18"/>
  <c r="M52" i="18"/>
  <c r="L53" i="18"/>
  <c r="M53" i="18"/>
  <c r="L54" i="18"/>
  <c r="M54" i="18"/>
  <c r="L55" i="18"/>
  <c r="M55" i="18"/>
  <c r="L56" i="18"/>
  <c r="M56" i="18"/>
  <c r="L57" i="18"/>
  <c r="M57" i="18"/>
  <c r="L58" i="18"/>
  <c r="M58" i="18"/>
  <c r="L59" i="18"/>
  <c r="M59" i="18"/>
  <c r="L60" i="18"/>
  <c r="M60" i="18"/>
  <c r="L61" i="18"/>
  <c r="M61" i="18"/>
  <c r="L62" i="18"/>
  <c r="M62" i="18"/>
  <c r="L63" i="18"/>
  <c r="M63" i="18"/>
  <c r="L64" i="18"/>
  <c r="M64" i="18"/>
  <c r="L65" i="18"/>
  <c r="M65" i="18"/>
  <c r="L66" i="18"/>
  <c r="M66" i="18"/>
  <c r="L67" i="18"/>
  <c r="M67" i="18"/>
  <c r="L68" i="18"/>
  <c r="M68" i="18"/>
  <c r="L69" i="18"/>
  <c r="M69" i="18"/>
  <c r="L70" i="18"/>
  <c r="M70" i="18"/>
  <c r="L71" i="18"/>
  <c r="M71" i="18"/>
  <c r="L72" i="18"/>
  <c r="M72" i="18"/>
  <c r="L73" i="18"/>
  <c r="M73" i="18"/>
  <c r="L74" i="18"/>
  <c r="M74" i="18"/>
  <c r="L75" i="18"/>
  <c r="M75" i="18"/>
  <c r="L76" i="18"/>
  <c r="M76" i="18"/>
  <c r="L77" i="18"/>
  <c r="M77" i="18"/>
  <c r="L78" i="18"/>
  <c r="M78" i="18"/>
  <c r="L79" i="18"/>
  <c r="M79" i="18"/>
  <c r="L80" i="18"/>
  <c r="M80" i="18"/>
  <c r="L81" i="18"/>
  <c r="M81" i="18"/>
  <c r="L82" i="18"/>
  <c r="M82" i="18"/>
  <c r="L83" i="18"/>
  <c r="M83" i="18"/>
  <c r="L84" i="18"/>
  <c r="M84" i="18"/>
  <c r="L85" i="18"/>
  <c r="M85" i="18"/>
  <c r="L86" i="18"/>
  <c r="M86" i="18"/>
  <c r="L87" i="18"/>
  <c r="M87" i="18"/>
  <c r="L88" i="18"/>
  <c r="M88" i="18"/>
  <c r="L89" i="18"/>
  <c r="M89" i="18"/>
  <c r="L90" i="18"/>
  <c r="M90" i="18"/>
  <c r="L91" i="18"/>
  <c r="M91" i="18"/>
  <c r="L92" i="18"/>
  <c r="M92" i="18"/>
  <c r="L93" i="18"/>
  <c r="M93" i="18"/>
  <c r="L94" i="18"/>
  <c r="M94" i="18"/>
  <c r="L95" i="18"/>
  <c r="M95" i="18"/>
  <c r="L96" i="18"/>
  <c r="M96" i="18"/>
  <c r="L97" i="18"/>
  <c r="M97" i="18"/>
  <c r="L98" i="18"/>
  <c r="M98" i="18"/>
  <c r="L99" i="18"/>
  <c r="M99" i="18"/>
  <c r="L100" i="18"/>
  <c r="M100" i="18"/>
  <c r="L101" i="18"/>
  <c r="M101" i="18"/>
  <c r="L102" i="18"/>
  <c r="M102" i="18"/>
  <c r="L103" i="18"/>
  <c r="M103" i="18"/>
  <c r="L104" i="18"/>
  <c r="M104" i="18"/>
  <c r="L105" i="18"/>
  <c r="M105" i="18"/>
  <c r="L106" i="18"/>
  <c r="M106" i="18"/>
  <c r="L107" i="18"/>
  <c r="M107" i="18"/>
  <c r="M7" i="18"/>
  <c r="L7" i="18"/>
  <c r="BH107" i="18"/>
  <c r="BH103" i="18"/>
  <c r="BH99" i="18"/>
  <c r="BH97" i="18"/>
  <c r="BH95" i="18"/>
  <c r="BH93" i="18"/>
  <c r="BH91" i="18"/>
  <c r="BH89" i="18"/>
  <c r="BH87" i="18"/>
  <c r="BH85" i="18"/>
  <c r="BH83" i="18"/>
  <c r="BH81" i="18"/>
  <c r="BH77" i="18"/>
  <c r="BH75" i="18"/>
  <c r="BH71" i="18"/>
  <c r="BH69" i="18"/>
  <c r="BH67" i="18"/>
  <c r="BH65" i="18"/>
  <c r="BH63" i="18"/>
  <c r="BH61" i="18"/>
  <c r="BH59" i="18"/>
  <c r="BH57" i="18"/>
  <c r="BH55" i="18"/>
  <c r="BH53" i="18"/>
  <c r="BH51" i="18"/>
  <c r="BH49" i="18"/>
  <c r="BH47" i="18"/>
  <c r="BH45" i="18"/>
  <c r="BH43" i="18"/>
  <c r="BH41" i="18"/>
  <c r="BH39" i="18"/>
  <c r="BH37" i="18"/>
  <c r="BH35" i="18"/>
  <c r="BH33" i="18"/>
  <c r="BH31" i="18"/>
  <c r="BH29" i="18"/>
  <c r="BH27" i="18"/>
  <c r="BH25" i="18"/>
  <c r="BH23" i="18"/>
  <c r="BH21" i="18"/>
  <c r="BH19" i="18"/>
  <c r="BH17" i="18"/>
  <c r="BH15" i="18"/>
  <c r="BH13" i="18"/>
  <c r="BH11" i="18"/>
  <c r="BH9" i="18"/>
  <c r="BH7" i="18"/>
  <c r="BH108" i="18" s="1"/>
  <c r="E111" i="6"/>
  <c r="E107" i="6"/>
  <c r="E103" i="6"/>
  <c r="E101" i="6"/>
  <c r="E99" i="6"/>
  <c r="E97" i="6"/>
  <c r="E93" i="6"/>
  <c r="E95" i="6"/>
  <c r="E91" i="6"/>
  <c r="E89" i="6"/>
  <c r="E87" i="6"/>
  <c r="E85" i="6"/>
  <c r="E81" i="6"/>
  <c r="E79" i="6"/>
  <c r="E75" i="6"/>
  <c r="E73" i="6"/>
  <c r="E71" i="6"/>
  <c r="E69" i="6"/>
  <c r="E67" i="6"/>
  <c r="E65" i="6"/>
  <c r="E63" i="6"/>
  <c r="E61" i="6"/>
  <c r="E59" i="6"/>
  <c r="E57" i="6"/>
  <c r="E55" i="6"/>
  <c r="E53" i="6"/>
  <c r="E51" i="6"/>
  <c r="E49" i="6"/>
  <c r="E47" i="6"/>
  <c r="E45" i="6"/>
  <c r="E43" i="6"/>
  <c r="E41" i="6"/>
  <c r="E39" i="6"/>
  <c r="E37" i="6"/>
  <c r="E35" i="6"/>
  <c r="E33" i="6"/>
  <c r="E31" i="6"/>
  <c r="E29" i="6"/>
  <c r="E27" i="6"/>
  <c r="E25" i="6"/>
  <c r="E23" i="6"/>
  <c r="E21" i="6"/>
  <c r="E19" i="6"/>
  <c r="E17" i="6"/>
  <c r="E15" i="6"/>
  <c r="E13" i="6"/>
  <c r="E11" i="6"/>
  <c r="F111" i="6"/>
  <c r="F107" i="6"/>
  <c r="F103" i="6"/>
  <c r="F101" i="6"/>
  <c r="F99" i="6"/>
  <c r="F97" i="6"/>
  <c r="F95" i="6"/>
  <c r="F93" i="6"/>
  <c r="F91" i="6"/>
  <c r="F89" i="6"/>
  <c r="F87" i="6"/>
  <c r="F85" i="6"/>
  <c r="F81" i="6"/>
  <c r="F79" i="6"/>
  <c r="F75" i="6"/>
  <c r="F73" i="6"/>
  <c r="F71" i="6"/>
  <c r="F69" i="6"/>
  <c r="F67" i="6"/>
  <c r="F65" i="6"/>
  <c r="F63" i="6"/>
  <c r="F61" i="6"/>
  <c r="F59" i="6"/>
  <c r="F57" i="6"/>
  <c r="F55" i="6"/>
  <c r="F53" i="6"/>
  <c r="F51" i="6"/>
  <c r="F49" i="6"/>
  <c r="F47" i="6"/>
  <c r="F45" i="6"/>
  <c r="F43" i="6"/>
  <c r="F41" i="6"/>
  <c r="F39" i="6"/>
  <c r="F37" i="6"/>
  <c r="F35" i="6"/>
  <c r="F33" i="6"/>
  <c r="F31" i="6"/>
  <c r="F29" i="6"/>
  <c r="F27" i="6"/>
  <c r="F25" i="6"/>
  <c r="F23" i="6"/>
  <c r="F21" i="6"/>
  <c r="F19" i="6"/>
  <c r="F17" i="6"/>
  <c r="F15" i="6"/>
  <c r="F13" i="6"/>
  <c r="F11" i="6"/>
  <c r="E10" i="12"/>
  <c r="E90" i="11" l="1"/>
  <c r="BA25" i="18"/>
  <c r="BC108" i="18" l="1"/>
  <c r="BC107" i="18"/>
  <c r="AX108" i="18"/>
  <c r="AX107" i="18"/>
  <c r="AS108" i="18"/>
  <c r="AS107" i="18"/>
  <c r="AN108" i="18"/>
  <c r="AN107" i="18"/>
  <c r="T116" i="14"/>
  <c r="BA91" i="18"/>
  <c r="AG96" i="6" l="1"/>
  <c r="AG30" i="6"/>
  <c r="T530" i="14"/>
  <c r="X116" i="14"/>
  <c r="E89" i="11" l="1"/>
  <c r="BC103" i="18"/>
  <c r="BC99" i="18"/>
  <c r="BC97" i="18"/>
  <c r="BC95" i="18"/>
  <c r="BC93" i="18"/>
  <c r="BC91" i="18"/>
  <c r="BC89" i="18"/>
  <c r="BC87" i="18"/>
  <c r="BC85" i="18"/>
  <c r="BC83" i="18"/>
  <c r="BC81" i="18"/>
  <c r="BC77" i="18"/>
  <c r="BC75" i="18"/>
  <c r="BC71" i="18"/>
  <c r="BC69" i="18"/>
  <c r="BC67" i="18"/>
  <c r="BC65" i="18"/>
  <c r="BC63" i="18"/>
  <c r="BC61" i="18"/>
  <c r="BC59" i="18"/>
  <c r="BC57" i="18"/>
  <c r="BC55" i="18"/>
  <c r="BC53" i="18"/>
  <c r="BC51" i="18"/>
  <c r="BC49" i="18"/>
  <c r="BC47" i="18"/>
  <c r="BC45" i="18"/>
  <c r="BC43" i="18"/>
  <c r="BC41" i="18"/>
  <c r="BC39" i="18"/>
  <c r="BC37" i="18"/>
  <c r="BC35" i="18"/>
  <c r="BC33" i="18"/>
  <c r="BC31" i="18"/>
  <c r="BC29" i="18"/>
  <c r="BC27" i="18"/>
  <c r="BC25" i="18"/>
  <c r="BC23" i="18"/>
  <c r="BC21" i="18"/>
  <c r="BC19" i="18"/>
  <c r="BC17" i="18"/>
  <c r="BC15" i="18"/>
  <c r="BC13" i="18"/>
  <c r="BC11" i="18"/>
  <c r="BC9" i="18"/>
  <c r="BC7" i="18"/>
  <c r="AX103" i="18"/>
  <c r="AX99" i="18"/>
  <c r="AX97" i="18"/>
  <c r="AX95" i="18"/>
  <c r="AX93" i="18"/>
  <c r="AX91" i="18"/>
  <c r="AX89" i="18"/>
  <c r="AX87" i="18"/>
  <c r="AX85" i="18"/>
  <c r="AX83" i="18"/>
  <c r="AX81" i="18"/>
  <c r="AX77" i="18"/>
  <c r="AX75" i="18"/>
  <c r="AX71" i="18"/>
  <c r="AX69" i="18"/>
  <c r="AX67" i="18"/>
  <c r="AX65" i="18"/>
  <c r="AX63" i="18"/>
  <c r="AX61" i="18"/>
  <c r="AX59" i="18"/>
  <c r="AX57" i="18"/>
  <c r="AX55" i="18"/>
  <c r="AX53" i="18"/>
  <c r="AX51" i="18"/>
  <c r="AX49" i="18"/>
  <c r="AX47" i="18"/>
  <c r="AX45" i="18"/>
  <c r="AX43" i="18"/>
  <c r="AX41" i="18"/>
  <c r="AX39" i="18"/>
  <c r="AX37" i="18"/>
  <c r="AX35" i="18"/>
  <c r="AX33" i="18"/>
  <c r="AX31" i="18"/>
  <c r="AX29" i="18"/>
  <c r="AX27" i="18"/>
  <c r="AX25" i="18"/>
  <c r="AX23" i="18"/>
  <c r="AX21" i="18"/>
  <c r="AX19" i="18"/>
  <c r="AX17" i="18"/>
  <c r="AX15" i="18"/>
  <c r="AX13" i="18"/>
  <c r="AX11" i="18"/>
  <c r="AX9" i="18"/>
  <c r="AX7" i="18"/>
  <c r="AS103" i="18"/>
  <c r="AS99" i="18"/>
  <c r="AS97" i="18"/>
  <c r="AS95" i="18"/>
  <c r="AS93" i="18"/>
  <c r="AS91" i="18"/>
  <c r="AS89" i="18"/>
  <c r="AS87" i="18"/>
  <c r="AS85" i="18"/>
  <c r="AS83" i="18"/>
  <c r="AS81" i="18"/>
  <c r="AS77" i="18"/>
  <c r="AS75" i="18"/>
  <c r="AS71" i="18"/>
  <c r="AS69" i="18"/>
  <c r="AS67" i="18"/>
  <c r="AS65" i="18"/>
  <c r="AS63" i="18"/>
  <c r="AS61" i="18"/>
  <c r="AS59" i="18"/>
  <c r="AS57" i="18"/>
  <c r="AS55" i="18"/>
  <c r="AS53" i="18"/>
  <c r="AS51" i="18"/>
  <c r="AS49" i="18"/>
  <c r="AS47" i="18"/>
  <c r="AS45" i="18"/>
  <c r="AS43" i="18"/>
  <c r="AS41" i="18"/>
  <c r="AS39" i="18"/>
  <c r="AS37" i="18"/>
  <c r="AS35" i="18"/>
  <c r="AS33" i="18"/>
  <c r="AS31" i="18"/>
  <c r="AS29" i="18"/>
  <c r="AS27" i="18"/>
  <c r="AS25" i="18"/>
  <c r="AS23" i="18"/>
  <c r="AS21" i="18"/>
  <c r="AS19" i="18"/>
  <c r="AS17" i="18"/>
  <c r="AS15" i="18"/>
  <c r="AS13" i="18"/>
  <c r="AS11" i="18"/>
  <c r="AS9" i="18"/>
  <c r="AS7" i="18"/>
  <c r="AN103" i="18"/>
  <c r="AN99" i="18"/>
  <c r="AN97" i="18"/>
  <c r="AN95" i="18"/>
  <c r="AN93" i="18"/>
  <c r="AN91" i="18"/>
  <c r="AN89" i="18"/>
  <c r="AN87" i="18"/>
  <c r="AN85" i="18"/>
  <c r="AN83" i="18"/>
  <c r="AN81" i="18"/>
  <c r="AN77" i="18"/>
  <c r="AN75" i="18"/>
  <c r="AN71" i="18"/>
  <c r="AN69" i="18"/>
  <c r="AN67" i="18"/>
  <c r="AN65" i="18"/>
  <c r="AN63" i="18"/>
  <c r="AN61" i="18"/>
  <c r="AN59" i="18"/>
  <c r="AN57" i="18"/>
  <c r="AN55" i="18"/>
  <c r="AN53" i="18"/>
  <c r="AN51" i="18"/>
  <c r="AN49" i="18"/>
  <c r="AN47" i="18"/>
  <c r="AN45" i="18"/>
  <c r="AN43" i="18"/>
  <c r="AN41" i="18"/>
  <c r="AN39" i="18"/>
  <c r="AN37" i="18"/>
  <c r="AN35" i="18"/>
  <c r="AN33" i="18"/>
  <c r="AN31" i="18"/>
  <c r="AN29" i="18"/>
  <c r="AN27" i="18"/>
  <c r="AN25" i="18"/>
  <c r="AN23" i="18"/>
  <c r="AN21" i="18"/>
  <c r="AN19" i="18"/>
  <c r="AN17" i="18"/>
  <c r="AN15" i="18"/>
  <c r="AN13" i="18"/>
  <c r="AN11" i="18"/>
  <c r="AN9" i="18"/>
  <c r="AN7" i="18"/>
  <c r="X530" i="14"/>
  <c r="W116" i="14"/>
  <c r="X639" i="14"/>
  <c r="X638" i="14"/>
  <c r="X640" i="14" s="1"/>
  <c r="X631" i="14"/>
  <c r="X635" i="14" s="1"/>
  <c r="X624" i="14"/>
  <c r="X628" i="14" s="1"/>
  <c r="X619" i="14"/>
  <c r="X618" i="14"/>
  <c r="X617" i="14"/>
  <c r="X622" i="14" s="1"/>
  <c r="X616" i="14"/>
  <c r="X610" i="14"/>
  <c r="X609" i="14"/>
  <c r="X608" i="14"/>
  <c r="X607" i="14"/>
  <c r="X606" i="14"/>
  <c r="X605" i="14"/>
  <c r="X604" i="14"/>
  <c r="X603" i="14"/>
  <c r="X602" i="14"/>
  <c r="X601" i="14"/>
  <c r="X599" i="14"/>
  <c r="X597" i="14"/>
  <c r="X595" i="14"/>
  <c r="W594" i="14"/>
  <c r="X593" i="14"/>
  <c r="X591" i="14"/>
  <c r="X590" i="14"/>
  <c r="X589" i="14"/>
  <c r="X587" i="14"/>
  <c r="W586" i="14"/>
  <c r="X585" i="14"/>
  <c r="X584" i="14"/>
  <c r="X578" i="14"/>
  <c r="X577" i="14"/>
  <c r="X575" i="14"/>
  <c r="X574" i="14"/>
  <c r="X573" i="14"/>
  <c r="X572" i="14"/>
  <c r="X571" i="14"/>
  <c r="X570" i="14"/>
  <c r="X569" i="14"/>
  <c r="X568" i="14"/>
  <c r="X566" i="14"/>
  <c r="X565" i="14"/>
  <c r="X564" i="14"/>
  <c r="X562" i="14"/>
  <c r="X561" i="14"/>
  <c r="X560" i="14"/>
  <c r="X559" i="14"/>
  <c r="X557" i="14"/>
  <c r="X556" i="14"/>
  <c r="W556" i="14"/>
  <c r="X555" i="14"/>
  <c r="X580" i="14" s="1"/>
  <c r="X554" i="14"/>
  <c r="X553" i="14"/>
  <c r="X547" i="14"/>
  <c r="X545" i="14"/>
  <c r="X544" i="14"/>
  <c r="X543" i="14"/>
  <c r="X542" i="14"/>
  <c r="X541" i="14"/>
  <c r="X540" i="14"/>
  <c r="X539" i="14"/>
  <c r="X538" i="14"/>
  <c r="X535" i="14"/>
  <c r="X534" i="14"/>
  <c r="X533" i="14"/>
  <c r="X531" i="14"/>
  <c r="X529" i="14"/>
  <c r="X528" i="14"/>
  <c r="X522" i="14"/>
  <c r="X521" i="14"/>
  <c r="X520" i="14"/>
  <c r="X519" i="14"/>
  <c r="X518" i="14"/>
  <c r="X517" i="14"/>
  <c r="X515" i="14"/>
  <c r="X514" i="14"/>
  <c r="X513" i="14"/>
  <c r="X512" i="14"/>
  <c r="X511" i="14"/>
  <c r="X504" i="14"/>
  <c r="X503" i="14"/>
  <c r="X502" i="14"/>
  <c r="X501" i="14"/>
  <c r="X500" i="14"/>
  <c r="X499" i="14"/>
  <c r="X498" i="14"/>
  <c r="X497" i="14"/>
  <c r="X490" i="14"/>
  <c r="X489" i="14"/>
  <c r="X488" i="14"/>
  <c r="X487" i="14"/>
  <c r="X486" i="14"/>
  <c r="X485" i="14"/>
  <c r="X484" i="14"/>
  <c r="X483" i="14"/>
  <c r="X482" i="14"/>
  <c r="X481" i="14"/>
  <c r="X480" i="14"/>
  <c r="X477" i="14"/>
  <c r="X476" i="14"/>
  <c r="X474" i="14"/>
  <c r="X473" i="14"/>
  <c r="X472" i="14"/>
  <c r="X471" i="14"/>
  <c r="X470" i="14"/>
  <c r="X469" i="14"/>
  <c r="X467" i="14"/>
  <c r="X466" i="14"/>
  <c r="X459" i="14"/>
  <c r="X458" i="14"/>
  <c r="X457" i="14"/>
  <c r="X456" i="14"/>
  <c r="X455" i="14"/>
  <c r="X454" i="14"/>
  <c r="X453" i="14"/>
  <c r="X452" i="14"/>
  <c r="X451" i="14"/>
  <c r="X450" i="14"/>
  <c r="X447" i="14"/>
  <c r="X446" i="14"/>
  <c r="X444" i="14"/>
  <c r="X443" i="14"/>
  <c r="X442" i="14"/>
  <c r="X441" i="14"/>
  <c r="X440" i="14"/>
  <c r="X439" i="14"/>
  <c r="X438" i="14"/>
  <c r="X437" i="14"/>
  <c r="X436" i="14"/>
  <c r="X435" i="14"/>
  <c r="X429" i="14"/>
  <c r="X427" i="14"/>
  <c r="X426" i="14"/>
  <c r="X425" i="14"/>
  <c r="X424" i="14"/>
  <c r="X423" i="14"/>
  <c r="X422" i="14"/>
  <c r="X421" i="14"/>
  <c r="X420" i="14"/>
  <c r="X419" i="14"/>
  <c r="X418" i="14"/>
  <c r="X417" i="14"/>
  <c r="X416" i="14"/>
  <c r="X415" i="14"/>
  <c r="X412" i="14"/>
  <c r="X410" i="14"/>
  <c r="X409" i="14"/>
  <c r="X408" i="14"/>
  <c r="X407" i="14"/>
  <c r="X406" i="14"/>
  <c r="X405" i="14"/>
  <c r="X404" i="14"/>
  <c r="X403" i="14"/>
  <c r="X402" i="14"/>
  <c r="X399" i="14"/>
  <c r="X398" i="14"/>
  <c r="X397" i="14"/>
  <c r="X396" i="14"/>
  <c r="X395" i="14"/>
  <c r="X394" i="14"/>
  <c r="X384" i="14"/>
  <c r="X383" i="14"/>
  <c r="X382" i="14"/>
  <c r="X381" i="14"/>
  <c r="X380" i="14"/>
  <c r="X379" i="14"/>
  <c r="X378" i="14"/>
  <c r="X377" i="14"/>
  <c r="X376" i="14"/>
  <c r="X375" i="14"/>
  <c r="X373" i="14"/>
  <c r="X372" i="14"/>
  <c r="X371" i="14"/>
  <c r="X370" i="14"/>
  <c r="X369" i="14"/>
  <c r="X367" i="14"/>
  <c r="X366" i="14"/>
  <c r="X365" i="14"/>
  <c r="X364" i="14"/>
  <c r="X363" i="14"/>
  <c r="X362" i="14"/>
  <c r="X361" i="14"/>
  <c r="X360" i="14"/>
  <c r="X359" i="14"/>
  <c r="X358" i="14"/>
  <c r="X352" i="14"/>
  <c r="X350" i="14"/>
  <c r="X349" i="14"/>
  <c r="X348" i="14"/>
  <c r="X345" i="14"/>
  <c r="X344" i="14"/>
  <c r="X343" i="14"/>
  <c r="X342" i="14"/>
  <c r="X341" i="14"/>
  <c r="X340" i="14"/>
  <c r="X339" i="14"/>
  <c r="X331" i="14"/>
  <c r="X329" i="14"/>
  <c r="X327" i="14"/>
  <c r="X326" i="14"/>
  <c r="X324" i="14"/>
  <c r="X323" i="14"/>
  <c r="X322" i="14"/>
  <c r="X321" i="14"/>
  <c r="X320" i="14"/>
  <c r="X319" i="14"/>
  <c r="X318" i="14"/>
  <c r="X311" i="14"/>
  <c r="X309" i="14"/>
  <c r="X307" i="14"/>
  <c r="X306" i="14"/>
  <c r="X304" i="14"/>
  <c r="X303" i="14"/>
  <c r="X301" i="14"/>
  <c r="X300" i="14"/>
  <c r="X299" i="14"/>
  <c r="X298" i="14"/>
  <c r="X297" i="14"/>
  <c r="X296" i="14"/>
  <c r="X295" i="14"/>
  <c r="X294" i="14"/>
  <c r="X287" i="14"/>
  <c r="X285" i="14"/>
  <c r="X283" i="14"/>
  <c r="X282" i="14"/>
  <c r="X280" i="14"/>
  <c r="X279" i="14"/>
  <c r="X275" i="14"/>
  <c r="X274" i="14"/>
  <c r="X273" i="14"/>
  <c r="X272" i="14"/>
  <c r="X271" i="14"/>
  <c r="X270" i="14"/>
  <c r="X269" i="14"/>
  <c r="X268" i="14"/>
  <c r="X261" i="14"/>
  <c r="X259" i="14"/>
  <c r="X257" i="14"/>
  <c r="X256" i="14"/>
  <c r="X254" i="14"/>
  <c r="X253" i="14"/>
  <c r="X251" i="14"/>
  <c r="X250" i="14"/>
  <c r="X249" i="14"/>
  <c r="X248" i="14"/>
  <c r="X247" i="14"/>
  <c r="X246" i="14"/>
  <c r="X245" i="14"/>
  <c r="X244" i="14"/>
  <c r="X235" i="14"/>
  <c r="X233" i="14"/>
  <c r="X232" i="14"/>
  <c r="X231" i="14"/>
  <c r="X229" i="14"/>
  <c r="X228" i="14"/>
  <c r="X227" i="14"/>
  <c r="X226" i="14"/>
  <c r="X225" i="14"/>
  <c r="X224" i="14"/>
  <c r="X223" i="14"/>
  <c r="X222" i="14"/>
  <c r="X221" i="14"/>
  <c r="X220" i="14"/>
  <c r="X219" i="14"/>
  <c r="W212" i="14"/>
  <c r="X210" i="14"/>
  <c r="W210" i="14"/>
  <c r="X208" i="14"/>
  <c r="X207" i="14"/>
  <c r="X205" i="14"/>
  <c r="X204" i="14"/>
  <c r="X203" i="14"/>
  <c r="X202" i="14"/>
  <c r="X201" i="14"/>
  <c r="X200" i="14"/>
  <c r="X199" i="14"/>
  <c r="X198" i="14"/>
  <c r="X197" i="14"/>
  <c r="X196" i="14"/>
  <c r="X195" i="14"/>
  <c r="X188" i="14"/>
  <c r="X184" i="14"/>
  <c r="X183" i="14"/>
  <c r="X181" i="14"/>
  <c r="X180" i="14"/>
  <c r="X179" i="14"/>
  <c r="X178" i="14"/>
  <c r="X177" i="14"/>
  <c r="X176" i="14"/>
  <c r="X175" i="14"/>
  <c r="X174" i="14"/>
  <c r="X173" i="14"/>
  <c r="X172" i="14"/>
  <c r="X165" i="14"/>
  <c r="X163" i="14"/>
  <c r="X161" i="14"/>
  <c r="X160" i="14"/>
  <c r="X158" i="14"/>
  <c r="X157" i="14"/>
  <c r="X156" i="14"/>
  <c r="X155" i="14"/>
  <c r="X154" i="14"/>
  <c r="X153" i="14"/>
  <c r="X151" i="14"/>
  <c r="X150" i="14"/>
  <c r="X149" i="14"/>
  <c r="X148" i="14"/>
  <c r="X141" i="14"/>
  <c r="X139" i="14"/>
  <c r="X137" i="14"/>
  <c r="X136" i="14"/>
  <c r="X134" i="14"/>
  <c r="X133" i="14"/>
  <c r="X132" i="14"/>
  <c r="X131" i="14"/>
  <c r="X130" i="14"/>
  <c r="X129" i="14"/>
  <c r="X128" i="14"/>
  <c r="X127" i="14"/>
  <c r="X126" i="14"/>
  <c r="X125" i="14"/>
  <c r="X118" i="14"/>
  <c r="X114" i="14"/>
  <c r="X113" i="14"/>
  <c r="X111" i="14"/>
  <c r="X110" i="14"/>
  <c r="X109" i="14"/>
  <c r="X107" i="14"/>
  <c r="X106" i="14"/>
  <c r="X103" i="14"/>
  <c r="X102" i="14"/>
  <c r="X101" i="14"/>
  <c r="X100" i="14"/>
  <c r="X98" i="14"/>
  <c r="X97" i="14"/>
  <c r="X96" i="14"/>
  <c r="X95" i="14"/>
  <c r="X94" i="14"/>
  <c r="X93" i="14"/>
  <c r="X92" i="14"/>
  <c r="X91" i="14"/>
  <c r="X90" i="14"/>
  <c r="X89" i="14"/>
  <c r="X88" i="14"/>
  <c r="X87" i="14"/>
  <c r="X86" i="14"/>
  <c r="X85" i="14"/>
  <c r="X84" i="14"/>
  <c r="X83" i="14"/>
  <c r="X82" i="14"/>
  <c r="X81" i="14"/>
  <c r="X52" i="14"/>
  <c r="W13" i="14"/>
  <c r="X431" i="14" l="1"/>
  <c r="X334" i="14"/>
  <c r="X524" i="14"/>
  <c r="X314" i="14"/>
  <c r="X144" i="14"/>
  <c r="X168" i="14"/>
  <c r="X191" i="14"/>
  <c r="X264" i="14"/>
  <c r="X290" i="14"/>
  <c r="X507" i="14"/>
  <c r="X462" i="14"/>
  <c r="X355" i="14"/>
  <c r="X387" i="14"/>
  <c r="X549" i="14"/>
  <c r="X121" i="14"/>
  <c r="D76" i="12"/>
  <c r="G73" i="12"/>
  <c r="D75" i="12"/>
  <c r="G75" i="12" s="1"/>
  <c r="C13" i="12" l="1"/>
  <c r="T639" i="14"/>
  <c r="T638" i="14"/>
  <c r="T640" i="14" s="1"/>
  <c r="T635" i="14"/>
  <c r="T628" i="14"/>
  <c r="T622" i="14"/>
  <c r="T612" i="14"/>
  <c r="T580" i="14"/>
  <c r="T549" i="14"/>
  <c r="T524" i="14"/>
  <c r="T507" i="14"/>
  <c r="T493" i="14"/>
  <c r="T462" i="14"/>
  <c r="T431" i="14"/>
  <c r="T384" i="14"/>
  <c r="T383" i="14"/>
  <c r="T382" i="14"/>
  <c r="T381" i="14"/>
  <c r="T380" i="14"/>
  <c r="T379" i="14"/>
  <c r="T378" i="14"/>
  <c r="T377" i="14"/>
  <c r="T376" i="14"/>
  <c r="T375" i="14"/>
  <c r="T373" i="14"/>
  <c r="T372" i="14"/>
  <c r="T371" i="14"/>
  <c r="T370" i="14"/>
  <c r="T369" i="14"/>
  <c r="T367" i="14"/>
  <c r="T366" i="14"/>
  <c r="T365" i="14"/>
  <c r="T364" i="14"/>
  <c r="T363" i="14"/>
  <c r="T362" i="14"/>
  <c r="T361" i="14"/>
  <c r="T360" i="14"/>
  <c r="T359" i="14"/>
  <c r="T358" i="14"/>
  <c r="T352" i="14"/>
  <c r="T350" i="14"/>
  <c r="T349" i="14"/>
  <c r="T348" i="14"/>
  <c r="T345" i="14"/>
  <c r="T344" i="14"/>
  <c r="T343" i="14"/>
  <c r="T342" i="14"/>
  <c r="T355" i="14" s="1"/>
  <c r="T341" i="14"/>
  <c r="T340" i="14"/>
  <c r="T339" i="14"/>
  <c r="T331" i="14"/>
  <c r="T329" i="14"/>
  <c r="T327" i="14"/>
  <c r="T326" i="14"/>
  <c r="T324" i="14"/>
  <c r="T323" i="14"/>
  <c r="T322" i="14"/>
  <c r="T321" i="14"/>
  <c r="T320" i="14"/>
  <c r="T319" i="14"/>
  <c r="T318" i="14"/>
  <c r="T311" i="14"/>
  <c r="T309" i="14"/>
  <c r="T307" i="14"/>
  <c r="T306" i="14"/>
  <c r="T304" i="14"/>
  <c r="T303" i="14"/>
  <c r="T301" i="14"/>
  <c r="T300" i="14"/>
  <c r="T299" i="14"/>
  <c r="T298" i="14"/>
  <c r="T297" i="14"/>
  <c r="T296" i="14"/>
  <c r="T295" i="14"/>
  <c r="T294" i="14"/>
  <c r="T287" i="14"/>
  <c r="T285" i="14"/>
  <c r="T283" i="14"/>
  <c r="T282" i="14"/>
  <c r="T280" i="14"/>
  <c r="T279" i="14"/>
  <c r="T275" i="14"/>
  <c r="T274" i="14"/>
  <c r="T273" i="14"/>
  <c r="T272" i="14"/>
  <c r="T271" i="14"/>
  <c r="T270" i="14"/>
  <c r="T269" i="14"/>
  <c r="T268" i="14"/>
  <c r="T261" i="14"/>
  <c r="T259" i="14"/>
  <c r="T257" i="14"/>
  <c r="T256" i="14"/>
  <c r="T254" i="14"/>
  <c r="T253" i="14"/>
  <c r="T251" i="14"/>
  <c r="T250" i="14"/>
  <c r="T249" i="14"/>
  <c r="T248" i="14"/>
  <c r="T247" i="14"/>
  <c r="T246" i="14"/>
  <c r="T245" i="14"/>
  <c r="T244" i="14"/>
  <c r="T237" i="14"/>
  <c r="T240" i="14" s="1"/>
  <c r="S237" i="14"/>
  <c r="T215" i="14"/>
  <c r="T191" i="14"/>
  <c r="T168" i="14"/>
  <c r="T144" i="14"/>
  <c r="T121" i="14"/>
  <c r="T77" i="14"/>
  <c r="T56" i="14"/>
  <c r="E88" i="11"/>
  <c r="T290" i="14" l="1"/>
  <c r="T387" i="14"/>
  <c r="T334" i="14"/>
  <c r="T264" i="14"/>
  <c r="T314" i="14"/>
  <c r="E75" i="11"/>
  <c r="E76" i="11" s="1"/>
  <c r="C12" i="13"/>
  <c r="C11" i="13"/>
  <c r="E9" i="13" l="1"/>
  <c r="F10" i="12" l="1"/>
  <c r="AI107" i="18" l="1"/>
  <c r="AI103" i="18"/>
  <c r="AI99" i="18"/>
  <c r="AI97" i="18"/>
  <c r="AI95" i="18"/>
  <c r="AI93" i="18"/>
  <c r="AI91" i="18"/>
  <c r="AI89" i="18"/>
  <c r="AI87" i="18"/>
  <c r="AI85" i="18"/>
  <c r="AI83" i="18"/>
  <c r="AI81" i="18"/>
  <c r="AI77" i="18"/>
  <c r="AI75" i="18"/>
  <c r="AI71" i="18"/>
  <c r="AI69" i="18"/>
  <c r="AI67" i="18"/>
  <c r="AI65" i="18"/>
  <c r="AI63" i="18"/>
  <c r="AI61" i="18"/>
  <c r="AI59" i="18"/>
  <c r="AI57" i="18"/>
  <c r="AI55" i="18"/>
  <c r="AI53" i="18"/>
  <c r="AI51" i="18"/>
  <c r="AI49" i="18"/>
  <c r="AI47" i="18"/>
  <c r="AI45" i="18"/>
  <c r="AI43" i="18"/>
  <c r="AI41" i="18"/>
  <c r="AI39" i="18"/>
  <c r="AI37" i="18"/>
  <c r="AI35" i="18"/>
  <c r="AI33" i="18"/>
  <c r="AI31" i="18"/>
  <c r="AI29" i="18"/>
  <c r="AI27" i="18"/>
  <c r="AI25" i="18"/>
  <c r="AI23" i="18"/>
  <c r="AI21" i="18"/>
  <c r="AI19" i="18"/>
  <c r="AI17" i="18"/>
  <c r="AI15" i="18"/>
  <c r="AI13" i="18"/>
  <c r="AI11" i="18"/>
  <c r="AI108" i="18" s="1"/>
  <c r="AI9" i="18"/>
  <c r="AI7" i="18"/>
  <c r="E73" i="11"/>
  <c r="E72" i="11"/>
  <c r="AM107" i="19"/>
  <c r="AL107" i="19"/>
  <c r="AK107" i="19"/>
  <c r="AJ107" i="19"/>
  <c r="AM103" i="19"/>
  <c r="AL103" i="19"/>
  <c r="AK103" i="19"/>
  <c r="AJ103" i="19"/>
  <c r="AM99" i="19"/>
  <c r="AL99" i="19"/>
  <c r="AK99" i="19"/>
  <c r="AJ99" i="19"/>
  <c r="AM97" i="19"/>
  <c r="AL97" i="19"/>
  <c r="AK97" i="19"/>
  <c r="AJ97" i="19"/>
  <c r="AM95" i="19"/>
  <c r="AL95" i="19"/>
  <c r="AK95" i="19"/>
  <c r="AJ95" i="19"/>
  <c r="AM93" i="19"/>
  <c r="AL93" i="19"/>
  <c r="AK93" i="19"/>
  <c r="AJ93" i="19"/>
  <c r="AM91" i="19"/>
  <c r="AL91" i="19"/>
  <c r="AK91" i="19"/>
  <c r="AJ91" i="19"/>
  <c r="AM89" i="19"/>
  <c r="AL89" i="19"/>
  <c r="AK89" i="19"/>
  <c r="AJ89" i="19"/>
  <c r="AM87" i="19"/>
  <c r="AL87" i="19"/>
  <c r="AK87" i="19"/>
  <c r="AJ87" i="19"/>
  <c r="AM85" i="19"/>
  <c r="AL85" i="19"/>
  <c r="AK85" i="19"/>
  <c r="AJ85" i="19"/>
  <c r="AM83" i="19"/>
  <c r="AL83" i="19"/>
  <c r="AK83" i="19"/>
  <c r="AJ83" i="19"/>
  <c r="AM81" i="19"/>
  <c r="AL81" i="19"/>
  <c r="AK81" i="19"/>
  <c r="AJ81" i="19"/>
  <c r="AM77" i="19"/>
  <c r="AL77" i="19"/>
  <c r="AK77" i="19"/>
  <c r="AJ77" i="19"/>
  <c r="AM75" i="19"/>
  <c r="AL75" i="19"/>
  <c r="AK75" i="19"/>
  <c r="AJ75" i="19"/>
  <c r="AM71" i="19"/>
  <c r="AL71" i="19"/>
  <c r="AK71" i="19"/>
  <c r="AJ71" i="19"/>
  <c r="AM69" i="19"/>
  <c r="AL69" i="19"/>
  <c r="AK69" i="19"/>
  <c r="AJ69" i="19"/>
  <c r="AM67" i="19"/>
  <c r="AL67" i="19"/>
  <c r="AK67" i="19"/>
  <c r="AJ67" i="19"/>
  <c r="AM65" i="19"/>
  <c r="AL65" i="19"/>
  <c r="AK65" i="19"/>
  <c r="AJ65" i="19"/>
  <c r="AM63" i="19"/>
  <c r="AL63" i="19"/>
  <c r="AK63" i="19"/>
  <c r="AJ63" i="19"/>
  <c r="AM61" i="19"/>
  <c r="AL61" i="19"/>
  <c r="AK61" i="19"/>
  <c r="AJ61" i="19"/>
  <c r="AM59" i="19"/>
  <c r="AL59" i="19"/>
  <c r="AK59" i="19"/>
  <c r="AJ59" i="19"/>
  <c r="AM57" i="19"/>
  <c r="AL57" i="19"/>
  <c r="AK57" i="19"/>
  <c r="AJ57" i="19"/>
  <c r="AM55" i="19"/>
  <c r="AL55" i="19"/>
  <c r="AK55" i="19"/>
  <c r="AJ55" i="19"/>
  <c r="AM53" i="19"/>
  <c r="AL53" i="19"/>
  <c r="AK53" i="19"/>
  <c r="AJ53" i="19"/>
  <c r="AM51" i="19"/>
  <c r="AL51" i="19"/>
  <c r="AK51" i="19"/>
  <c r="AJ51" i="19"/>
  <c r="AM49" i="19"/>
  <c r="AL49" i="19"/>
  <c r="AK49" i="19"/>
  <c r="AJ49" i="19"/>
  <c r="AM47" i="19"/>
  <c r="AL47" i="19"/>
  <c r="AK47" i="19"/>
  <c r="AJ47" i="19"/>
  <c r="AM45" i="19"/>
  <c r="AL45" i="19"/>
  <c r="AK45" i="19"/>
  <c r="AJ45" i="19"/>
  <c r="AM43" i="19"/>
  <c r="AL43" i="19"/>
  <c r="AK43" i="19"/>
  <c r="AJ43" i="19"/>
  <c r="AM41" i="19"/>
  <c r="AL41" i="19"/>
  <c r="AK41" i="19"/>
  <c r="AJ41" i="19"/>
  <c r="AM39" i="19"/>
  <c r="AL39" i="19"/>
  <c r="AK39" i="19"/>
  <c r="AJ39" i="19"/>
  <c r="AM37" i="19"/>
  <c r="AL37" i="19"/>
  <c r="AK37" i="19"/>
  <c r="AJ37" i="19"/>
  <c r="AM35" i="19"/>
  <c r="AL35" i="19"/>
  <c r="AK35" i="19"/>
  <c r="AJ35" i="19"/>
  <c r="AM33" i="19"/>
  <c r="AL33" i="19"/>
  <c r="AK33" i="19"/>
  <c r="AJ33" i="19"/>
  <c r="AM31" i="19"/>
  <c r="AL31" i="19"/>
  <c r="AK31" i="19"/>
  <c r="AJ31" i="19"/>
  <c r="AM29" i="19"/>
  <c r="AL29" i="19"/>
  <c r="AK29" i="19"/>
  <c r="AJ29" i="19"/>
  <c r="AM27" i="19"/>
  <c r="AL27" i="19"/>
  <c r="AK27" i="19"/>
  <c r="AJ27" i="19"/>
  <c r="AM25" i="19"/>
  <c r="AL25" i="19"/>
  <c r="AK25" i="19"/>
  <c r="AJ25" i="19"/>
  <c r="AM23" i="19"/>
  <c r="AL23" i="19"/>
  <c r="AK23" i="19"/>
  <c r="AJ23" i="19"/>
  <c r="AM21" i="19"/>
  <c r="AL21" i="19"/>
  <c r="AK21" i="19"/>
  <c r="AJ21" i="19"/>
  <c r="AM19" i="19"/>
  <c r="AL19" i="19"/>
  <c r="AK19" i="19"/>
  <c r="AJ19" i="19"/>
  <c r="AM17" i="19"/>
  <c r="AL17" i="19"/>
  <c r="AK17" i="19"/>
  <c r="AJ17" i="19"/>
  <c r="AM15" i="19"/>
  <c r="AL15" i="19"/>
  <c r="AK15" i="19"/>
  <c r="AJ15" i="19"/>
  <c r="AM13" i="19"/>
  <c r="AL13" i="19"/>
  <c r="AK13" i="19"/>
  <c r="AJ13" i="19"/>
  <c r="AM11" i="19"/>
  <c r="AL11" i="19"/>
  <c r="AK11" i="19"/>
  <c r="AJ11" i="19"/>
  <c r="AM9" i="19"/>
  <c r="AL9" i="19"/>
  <c r="AK9" i="19"/>
  <c r="AJ9" i="19"/>
  <c r="AM7" i="19"/>
  <c r="AL7" i="19"/>
  <c r="AK7" i="19"/>
  <c r="AJ7" i="19"/>
  <c r="F11" i="13"/>
  <c r="H75" i="6"/>
  <c r="H73" i="6"/>
  <c r="H71" i="6"/>
  <c r="H69" i="6"/>
  <c r="H67" i="6"/>
  <c r="H65" i="6"/>
  <c r="H79" i="6"/>
  <c r="H63" i="6"/>
  <c r="H61" i="6"/>
  <c r="H59" i="6"/>
  <c r="H57" i="6"/>
  <c r="H55" i="6"/>
  <c r="H53" i="6"/>
  <c r="H51" i="6"/>
  <c r="H49" i="6"/>
  <c r="H47" i="6"/>
  <c r="H45" i="6"/>
  <c r="H43" i="6"/>
  <c r="H41" i="6"/>
  <c r="H39" i="6"/>
  <c r="H37" i="6"/>
  <c r="H35" i="6"/>
  <c r="H33" i="6"/>
  <c r="H31" i="6"/>
  <c r="H29" i="6"/>
  <c r="H27" i="6"/>
  <c r="H25" i="6"/>
  <c r="H23" i="6"/>
  <c r="H19" i="6"/>
  <c r="G19" i="6" s="1"/>
  <c r="H17" i="6"/>
  <c r="H15" i="6"/>
  <c r="H13" i="6"/>
  <c r="G17" i="6"/>
  <c r="G15" i="6"/>
  <c r="G13" i="6"/>
  <c r="Z192" i="14" l="1"/>
  <c r="Z193" i="14"/>
  <c r="Z194" i="14"/>
  <c r="Z206" i="14"/>
  <c r="Z209" i="14"/>
  <c r="Z211" i="14"/>
  <c r="Z213" i="14"/>
  <c r="Z214" i="14"/>
  <c r="Z216" i="14"/>
  <c r="Z217" i="14"/>
  <c r="Z218" i="14"/>
  <c r="Z230" i="14"/>
  <c r="Z234" i="14"/>
  <c r="Z236" i="14"/>
  <c r="Z238" i="14"/>
  <c r="Z239" i="14"/>
  <c r="Z241" i="14"/>
  <c r="Z242" i="14"/>
  <c r="Z243" i="14"/>
  <c r="Z252" i="14"/>
  <c r="Z255" i="14"/>
  <c r="Z258" i="14"/>
  <c r="Z260" i="14"/>
  <c r="Z262" i="14"/>
  <c r="Z263" i="14"/>
  <c r="Z265" i="14"/>
  <c r="Z266" i="14"/>
  <c r="Z267" i="14"/>
  <c r="Z276" i="14"/>
  <c r="Z277" i="14"/>
  <c r="Z278" i="14"/>
  <c r="Z281" i="14"/>
  <c r="Z284" i="14"/>
  <c r="Z286" i="14"/>
  <c r="Z288" i="14"/>
  <c r="Z289" i="14"/>
  <c r="Z291" i="14"/>
  <c r="Z292" i="14"/>
  <c r="Z293" i="14"/>
  <c r="Z302" i="14"/>
  <c r="Z305" i="14"/>
  <c r="Z308" i="14"/>
  <c r="Z310" i="14"/>
  <c r="Z312" i="14"/>
  <c r="Z313" i="14"/>
  <c r="Z315" i="14"/>
  <c r="Z316" i="14"/>
  <c r="Z317" i="14"/>
  <c r="Z325" i="14"/>
  <c r="Z328" i="14"/>
  <c r="Z330" i="14"/>
  <c r="Z332" i="14"/>
  <c r="Z333" i="14"/>
  <c r="Z335" i="14"/>
  <c r="Z336" i="14"/>
  <c r="Z337" i="14"/>
  <c r="Z338" i="14"/>
  <c r="Z346" i="14"/>
  <c r="Z347" i="14"/>
  <c r="Z351" i="14"/>
  <c r="Z353" i="14"/>
  <c r="Z354" i="14"/>
  <c r="Z356" i="14"/>
  <c r="Z357" i="14"/>
  <c r="Z368" i="14"/>
  <c r="Z374" i="14"/>
  <c r="Z385" i="14"/>
  <c r="Z386" i="14"/>
  <c r="Z388" i="14"/>
  <c r="Z389" i="14"/>
  <c r="Z390" i="14"/>
  <c r="Z391" i="14"/>
  <c r="Z392" i="14"/>
  <c r="Z393" i="14"/>
  <c r="Z400" i="14"/>
  <c r="Z401" i="14"/>
  <c r="Z411" i="14"/>
  <c r="Z413" i="14"/>
  <c r="Z414" i="14"/>
  <c r="Z428" i="14"/>
  <c r="Z430" i="14"/>
  <c r="Z432" i="14"/>
  <c r="Z433" i="14"/>
  <c r="Z434" i="14"/>
  <c r="Z445" i="14"/>
  <c r="Z448" i="14"/>
  <c r="Z449" i="14"/>
  <c r="Z460" i="14"/>
  <c r="Z461" i="14"/>
  <c r="Z463" i="14"/>
  <c r="Z464" i="14"/>
  <c r="Z465" i="14"/>
  <c r="Z475" i="14"/>
  <c r="Z478" i="14"/>
  <c r="Z479" i="14"/>
  <c r="Z491" i="14"/>
  <c r="Z492" i="14"/>
  <c r="Z494" i="14"/>
  <c r="Z495" i="14"/>
  <c r="Z496" i="14"/>
  <c r="Z505" i="14"/>
  <c r="Z506" i="14"/>
  <c r="Z508" i="14"/>
  <c r="Z509" i="14"/>
  <c r="Z510" i="14"/>
  <c r="Z516" i="14"/>
  <c r="Z523" i="14"/>
  <c r="Z525" i="14"/>
  <c r="Z526" i="14"/>
  <c r="Z527" i="14"/>
  <c r="Z532" i="14"/>
  <c r="Z536" i="14"/>
  <c r="Z537" i="14"/>
  <c r="Z546" i="14"/>
  <c r="Z548" i="14"/>
  <c r="Z550" i="14"/>
  <c r="Z551" i="14"/>
  <c r="Z552" i="14"/>
  <c r="Z558" i="14"/>
  <c r="Z563" i="14"/>
  <c r="Z567" i="14"/>
  <c r="Z576" i="14"/>
  <c r="Z579" i="14"/>
  <c r="Z581" i="14"/>
  <c r="Z582" i="14"/>
  <c r="Z583" i="14"/>
  <c r="Z588" i="14"/>
  <c r="Z592" i="14"/>
  <c r="Z596" i="14"/>
  <c r="Z598" i="14"/>
  <c r="Z600" i="14"/>
  <c r="Z611" i="14"/>
  <c r="Z613" i="14"/>
  <c r="Z614" i="14"/>
  <c r="Z615" i="14"/>
  <c r="Z620" i="14"/>
  <c r="Z621" i="14"/>
  <c r="Z623" i="14"/>
  <c r="Z625" i="14"/>
  <c r="Z626" i="14"/>
  <c r="Z627" i="14"/>
  <c r="R237" i="14"/>
  <c r="X237" i="14" s="1"/>
  <c r="X240" i="14" s="1"/>
  <c r="Q237" i="14"/>
  <c r="W237" i="14" s="1"/>
  <c r="U594" i="14"/>
  <c r="U586" i="14"/>
  <c r="P586" i="14"/>
  <c r="X586" i="14" s="1"/>
  <c r="U556" i="14"/>
  <c r="Y530" i="14"/>
  <c r="P468" i="14"/>
  <c r="X468" i="14" s="1"/>
  <c r="X493" i="14" s="1"/>
  <c r="O468" i="14"/>
  <c r="Y398" i="14"/>
  <c r="Y399" i="14"/>
  <c r="Y397" i="14"/>
  <c r="P212" i="14"/>
  <c r="X212" i="14" s="1"/>
  <c r="X215" i="14" s="1"/>
  <c r="O210" i="14"/>
  <c r="U210" i="14" s="1"/>
  <c r="AI108" i="19" l="1"/>
  <c r="AH107" i="19"/>
  <c r="AH103" i="19"/>
  <c r="AH99" i="19"/>
  <c r="AH97" i="19"/>
  <c r="AH95" i="19"/>
  <c r="AH93" i="19"/>
  <c r="AH91" i="19"/>
  <c r="AH89" i="19"/>
  <c r="AH87" i="19"/>
  <c r="AH85" i="19"/>
  <c r="AH83" i="19"/>
  <c r="AH81" i="19"/>
  <c r="AH77" i="19"/>
  <c r="AH75" i="19"/>
  <c r="AH71" i="19"/>
  <c r="AH69" i="19"/>
  <c r="AH67" i="19"/>
  <c r="AH65" i="19"/>
  <c r="AH63" i="19"/>
  <c r="AH61" i="19"/>
  <c r="AH59" i="19"/>
  <c r="AH57" i="19"/>
  <c r="AH55" i="19"/>
  <c r="AH53" i="19"/>
  <c r="AH51" i="19"/>
  <c r="AH49" i="19"/>
  <c r="AH47" i="19"/>
  <c r="AH45" i="19"/>
  <c r="AH43" i="19"/>
  <c r="AH41" i="19"/>
  <c r="AH39" i="19"/>
  <c r="AH37" i="19"/>
  <c r="AH35" i="19"/>
  <c r="AH33" i="19"/>
  <c r="AH31" i="19"/>
  <c r="AH29" i="19"/>
  <c r="AH27" i="19"/>
  <c r="AH25" i="19"/>
  <c r="AH23" i="19"/>
  <c r="AH21" i="19"/>
  <c r="AH19" i="19"/>
  <c r="AH17" i="19"/>
  <c r="AH15" i="19"/>
  <c r="AH13" i="19"/>
  <c r="AH11" i="19"/>
  <c r="AI11" i="19" s="1"/>
  <c r="AH9" i="19"/>
  <c r="AH7" i="19"/>
  <c r="AG107" i="19"/>
  <c r="AG103" i="19"/>
  <c r="AG99" i="19"/>
  <c r="AG97" i="19"/>
  <c r="AG95" i="19"/>
  <c r="AG93" i="19"/>
  <c r="AI93" i="19" s="1"/>
  <c r="AG91" i="19"/>
  <c r="AI91" i="19" s="1"/>
  <c r="AG89" i="19"/>
  <c r="AG87" i="19"/>
  <c r="AG85" i="19"/>
  <c r="AG83" i="19"/>
  <c r="AG81" i="19"/>
  <c r="AG77" i="19"/>
  <c r="AG75" i="19"/>
  <c r="AI75" i="19" s="1"/>
  <c r="AG71" i="19"/>
  <c r="AI71" i="19" s="1"/>
  <c r="AG69" i="19"/>
  <c r="AG67" i="19"/>
  <c r="AG65" i="19"/>
  <c r="AG63" i="19"/>
  <c r="AG61" i="19"/>
  <c r="AG59" i="19"/>
  <c r="AG57" i="19"/>
  <c r="AI57" i="19" s="1"/>
  <c r="AG55" i="19"/>
  <c r="AI55" i="19" s="1"/>
  <c r="AG53" i="19"/>
  <c r="AG51" i="19"/>
  <c r="AG49" i="19"/>
  <c r="AG47" i="19"/>
  <c r="AG45" i="19"/>
  <c r="AG43" i="19"/>
  <c r="AG41" i="19"/>
  <c r="AI41" i="19" s="1"/>
  <c r="AG39" i="19"/>
  <c r="AI39" i="19" s="1"/>
  <c r="AG37" i="19"/>
  <c r="AG35" i="19"/>
  <c r="AG33" i="19"/>
  <c r="AG31" i="19"/>
  <c r="AG29" i="19"/>
  <c r="AG27" i="19"/>
  <c r="AG25" i="19"/>
  <c r="AI25" i="19" s="1"/>
  <c r="AG23" i="19"/>
  <c r="AI23" i="19" s="1"/>
  <c r="AG21" i="19"/>
  <c r="AG19" i="19"/>
  <c r="AG17" i="19"/>
  <c r="AG15" i="19"/>
  <c r="AG13" i="19"/>
  <c r="AG11" i="19"/>
  <c r="AG9" i="19"/>
  <c r="AG7" i="19"/>
  <c r="AI7" i="19" s="1"/>
  <c r="AF107" i="19"/>
  <c r="AI107" i="19" s="1"/>
  <c r="AF103" i="19"/>
  <c r="AI103" i="19" s="1"/>
  <c r="AF99" i="19"/>
  <c r="AI99" i="19" s="1"/>
  <c r="AF97" i="19"/>
  <c r="AI97" i="19" s="1"/>
  <c r="AF95" i="19"/>
  <c r="AF93" i="19"/>
  <c r="AF91" i="19"/>
  <c r="AF89" i="19"/>
  <c r="AF87" i="19"/>
  <c r="AI87" i="19" s="1"/>
  <c r="AF85" i="19"/>
  <c r="AI85" i="19" s="1"/>
  <c r="AF83" i="19"/>
  <c r="AI83" i="19" s="1"/>
  <c r="AF81" i="19"/>
  <c r="AI81" i="19" s="1"/>
  <c r="AF77" i="19"/>
  <c r="AF75" i="19"/>
  <c r="AF71" i="19"/>
  <c r="AF69" i="19"/>
  <c r="AF67" i="19"/>
  <c r="AI67" i="19" s="1"/>
  <c r="AF65" i="19"/>
  <c r="AI65" i="19" s="1"/>
  <c r="AF63" i="19"/>
  <c r="AI63" i="19" s="1"/>
  <c r="AF61" i="19"/>
  <c r="AI61" i="19" s="1"/>
  <c r="AF59" i="19"/>
  <c r="AF57" i="19"/>
  <c r="AF55" i="19"/>
  <c r="AF53" i="19"/>
  <c r="AF51" i="19"/>
  <c r="AI51" i="19" s="1"/>
  <c r="AF49" i="19"/>
  <c r="AI49" i="19" s="1"/>
  <c r="AF47" i="19"/>
  <c r="AI47" i="19" s="1"/>
  <c r="AF45" i="19"/>
  <c r="AI45" i="19" s="1"/>
  <c r="AF43" i="19"/>
  <c r="AF41" i="19"/>
  <c r="AF39" i="19"/>
  <c r="AF37" i="19"/>
  <c r="AF35" i="19"/>
  <c r="AI35" i="19" s="1"/>
  <c r="AF33" i="19"/>
  <c r="AI33" i="19" s="1"/>
  <c r="AF31" i="19"/>
  <c r="AI31" i="19" s="1"/>
  <c r="AF29" i="19"/>
  <c r="AI29" i="19" s="1"/>
  <c r="AF27" i="19"/>
  <c r="AF25" i="19"/>
  <c r="AF23" i="19"/>
  <c r="AF21" i="19"/>
  <c r="AF19" i="19"/>
  <c r="AI19" i="19" s="1"/>
  <c r="AF17" i="19"/>
  <c r="AI17" i="19" s="1"/>
  <c r="AF15" i="19"/>
  <c r="AI15" i="19" s="1"/>
  <c r="AF13" i="19"/>
  <c r="AI13" i="19" s="1"/>
  <c r="AF11" i="19"/>
  <c r="AF9" i="19"/>
  <c r="AF7" i="19"/>
  <c r="AE107" i="19"/>
  <c r="AE103" i="19"/>
  <c r="AE99" i="19"/>
  <c r="AE97" i="19"/>
  <c r="AE95" i="19"/>
  <c r="AE93" i="19"/>
  <c r="AE91" i="19"/>
  <c r="AE89" i="19"/>
  <c r="AE87" i="19"/>
  <c r="AE85" i="19"/>
  <c r="AE83" i="19"/>
  <c r="AE81" i="19"/>
  <c r="AE77" i="19"/>
  <c r="AE75" i="19"/>
  <c r="AE71" i="19"/>
  <c r="AE69" i="19"/>
  <c r="AE67" i="19"/>
  <c r="AE65" i="19"/>
  <c r="AE63" i="19"/>
  <c r="AE61" i="19"/>
  <c r="AE59" i="19"/>
  <c r="AE57" i="19"/>
  <c r="AE55" i="19"/>
  <c r="AE53" i="19"/>
  <c r="AE51" i="19"/>
  <c r="AE49" i="19"/>
  <c r="AE47" i="19"/>
  <c r="AE45" i="19"/>
  <c r="AE43" i="19"/>
  <c r="AE41" i="19"/>
  <c r="AE39" i="19"/>
  <c r="AE37" i="19"/>
  <c r="AE35" i="19"/>
  <c r="AE33" i="19"/>
  <c r="AE31" i="19"/>
  <c r="AE29" i="19"/>
  <c r="AE27" i="19"/>
  <c r="AE25" i="19"/>
  <c r="AE23" i="19"/>
  <c r="AE21" i="19"/>
  <c r="AE19" i="19"/>
  <c r="AE17" i="19"/>
  <c r="AE15" i="19"/>
  <c r="AE13" i="19"/>
  <c r="AE11" i="19"/>
  <c r="AE9" i="19"/>
  <c r="AE7" i="19"/>
  <c r="AI27" i="19" l="1"/>
  <c r="AI43" i="19"/>
  <c r="AI59" i="19"/>
  <c r="AI77" i="19"/>
  <c r="AI95" i="19"/>
  <c r="AI21" i="19"/>
  <c r="AI37" i="19"/>
  <c r="AI53" i="19"/>
  <c r="AI69" i="19"/>
  <c r="AI89" i="19"/>
  <c r="AC107" i="19"/>
  <c r="AB107" i="19"/>
  <c r="AA107" i="19"/>
  <c r="Z107" i="19"/>
  <c r="AD107" i="19" s="1"/>
  <c r="AC103" i="19"/>
  <c r="AB103" i="19"/>
  <c r="AA103" i="19"/>
  <c r="Z103" i="19"/>
  <c r="AD103" i="19" s="1"/>
  <c r="AC99" i="19"/>
  <c r="AB99" i="19"/>
  <c r="AA99" i="19"/>
  <c r="Z99" i="19"/>
  <c r="AD99" i="19" s="1"/>
  <c r="AC97" i="19"/>
  <c r="AB97" i="19"/>
  <c r="AA97" i="19"/>
  <c r="Z97" i="19"/>
  <c r="AD97" i="19" s="1"/>
  <c r="AC95" i="19"/>
  <c r="AB95" i="19"/>
  <c r="AA95" i="19"/>
  <c r="Z95" i="19"/>
  <c r="AD95" i="19" s="1"/>
  <c r="AC93" i="19"/>
  <c r="AB93" i="19"/>
  <c r="AA93" i="19"/>
  <c r="Z93" i="19"/>
  <c r="AD93" i="19" s="1"/>
  <c r="AC91" i="19"/>
  <c r="AB91" i="19"/>
  <c r="AA91" i="19"/>
  <c r="Z91" i="19"/>
  <c r="AD91" i="19" s="1"/>
  <c r="AC89" i="19"/>
  <c r="AB89" i="19"/>
  <c r="AA89" i="19"/>
  <c r="Z89" i="19"/>
  <c r="AD89" i="19" s="1"/>
  <c r="AC87" i="19"/>
  <c r="AB87" i="19"/>
  <c r="AA87" i="19"/>
  <c r="Z87" i="19"/>
  <c r="AD87" i="19" s="1"/>
  <c r="AC85" i="19"/>
  <c r="AB85" i="19"/>
  <c r="AA85" i="19"/>
  <c r="Z85" i="19"/>
  <c r="AD85" i="19" s="1"/>
  <c r="AC83" i="19"/>
  <c r="AB83" i="19"/>
  <c r="AA83" i="19"/>
  <c r="Z83" i="19"/>
  <c r="AC81" i="19"/>
  <c r="AB81" i="19"/>
  <c r="AA81" i="19"/>
  <c r="Z81" i="19"/>
  <c r="AD81" i="19" s="1"/>
  <c r="AC77" i="19"/>
  <c r="AB77" i="19"/>
  <c r="AA77" i="19"/>
  <c r="Z77" i="19"/>
  <c r="AD77" i="19" s="1"/>
  <c r="AC75" i="19"/>
  <c r="AB75" i="19"/>
  <c r="AA75" i="19"/>
  <c r="Z75" i="19"/>
  <c r="AD75" i="19" s="1"/>
  <c r="AC71" i="19"/>
  <c r="AB71" i="19"/>
  <c r="AA71" i="19"/>
  <c r="Z71" i="19"/>
  <c r="AD71" i="19" s="1"/>
  <c r="AC69" i="19"/>
  <c r="AB69" i="19"/>
  <c r="AA69" i="19"/>
  <c r="Z69" i="19"/>
  <c r="AD69" i="19" s="1"/>
  <c r="AC67" i="19"/>
  <c r="AB67" i="19"/>
  <c r="AA67" i="19"/>
  <c r="Z67" i="19"/>
  <c r="AD67" i="19" s="1"/>
  <c r="AC65" i="19"/>
  <c r="AB65" i="19"/>
  <c r="AA65" i="19"/>
  <c r="Z65" i="19"/>
  <c r="AD65" i="19" s="1"/>
  <c r="AC63" i="19"/>
  <c r="AB63" i="19"/>
  <c r="AA63" i="19"/>
  <c r="Z63" i="19"/>
  <c r="AD63" i="19" s="1"/>
  <c r="AC61" i="19"/>
  <c r="AB61" i="19"/>
  <c r="AA61" i="19"/>
  <c r="Z61" i="19"/>
  <c r="AD61" i="19" s="1"/>
  <c r="AC59" i="19"/>
  <c r="AB59" i="19"/>
  <c r="AA59" i="19"/>
  <c r="Z59" i="19"/>
  <c r="AD59" i="19" s="1"/>
  <c r="AC57" i="19"/>
  <c r="AB57" i="19"/>
  <c r="AA57" i="19"/>
  <c r="Z57" i="19"/>
  <c r="AD57" i="19" s="1"/>
  <c r="AC55" i="19"/>
  <c r="AB55" i="19"/>
  <c r="AA55" i="19"/>
  <c r="Z55" i="19"/>
  <c r="AD55" i="19" s="1"/>
  <c r="AC53" i="19"/>
  <c r="AB53" i="19"/>
  <c r="AA53" i="19"/>
  <c r="Z53" i="19"/>
  <c r="AD53" i="19" s="1"/>
  <c r="AC51" i="19"/>
  <c r="AB51" i="19"/>
  <c r="AA51" i="19"/>
  <c r="Z51" i="19"/>
  <c r="AD51" i="19" s="1"/>
  <c r="AC49" i="19"/>
  <c r="AB49" i="19"/>
  <c r="AA49" i="19"/>
  <c r="Z49" i="19"/>
  <c r="AD49" i="19" s="1"/>
  <c r="AC47" i="19"/>
  <c r="AB47" i="19"/>
  <c r="AA47" i="19"/>
  <c r="Z47" i="19"/>
  <c r="AC45" i="19"/>
  <c r="AB45" i="19"/>
  <c r="AA45" i="19"/>
  <c r="Z45" i="19"/>
  <c r="AD45" i="19" s="1"/>
  <c r="AC43" i="19"/>
  <c r="AB43" i="19"/>
  <c r="AA43" i="19"/>
  <c r="Z43" i="19"/>
  <c r="AD43" i="19" s="1"/>
  <c r="AC41" i="19"/>
  <c r="AB41" i="19"/>
  <c r="AA41" i="19"/>
  <c r="Z41" i="19"/>
  <c r="AD41" i="19" s="1"/>
  <c r="AC39" i="19"/>
  <c r="AB39" i="19"/>
  <c r="AA39" i="19"/>
  <c r="Z39" i="19"/>
  <c r="AD39" i="19" s="1"/>
  <c r="AC37" i="19"/>
  <c r="AB37" i="19"/>
  <c r="AA37" i="19"/>
  <c r="Z37" i="19"/>
  <c r="AD37" i="19" s="1"/>
  <c r="AC35" i="19"/>
  <c r="AB35" i="19"/>
  <c r="AA35" i="19"/>
  <c r="Z35" i="19"/>
  <c r="AD35" i="19" s="1"/>
  <c r="AC33" i="19"/>
  <c r="AB33" i="19"/>
  <c r="AA33" i="19"/>
  <c r="Z33" i="19"/>
  <c r="AD33" i="19" s="1"/>
  <c r="AC31" i="19"/>
  <c r="AB31" i="19"/>
  <c r="AA31" i="19"/>
  <c r="Z31" i="19"/>
  <c r="AD31" i="19" s="1"/>
  <c r="AC29" i="19"/>
  <c r="AB29" i="19"/>
  <c r="AA29" i="19"/>
  <c r="Z29" i="19"/>
  <c r="AD29" i="19" s="1"/>
  <c r="AC27" i="19"/>
  <c r="AB27" i="19"/>
  <c r="AA27" i="19"/>
  <c r="Z27" i="19"/>
  <c r="AD27" i="19" s="1"/>
  <c r="AC25" i="19"/>
  <c r="AB25" i="19"/>
  <c r="AA25" i="19"/>
  <c r="Z25" i="19"/>
  <c r="AC23" i="19"/>
  <c r="AB23" i="19"/>
  <c r="AA23" i="19"/>
  <c r="Z23" i="19"/>
  <c r="AD23" i="19" s="1"/>
  <c r="AC21" i="19"/>
  <c r="AB21" i="19"/>
  <c r="AA21" i="19"/>
  <c r="Z21" i="19"/>
  <c r="AD21" i="19" s="1"/>
  <c r="AC19" i="19"/>
  <c r="AB19" i="19"/>
  <c r="AA19" i="19"/>
  <c r="Z19" i="19"/>
  <c r="AD19" i="19" s="1"/>
  <c r="AC17" i="19"/>
  <c r="AB17" i="19"/>
  <c r="AA17" i="19"/>
  <c r="Z17" i="19"/>
  <c r="AD17" i="19" s="1"/>
  <c r="AC15" i="19"/>
  <c r="AB15" i="19"/>
  <c r="AA15" i="19"/>
  <c r="Z15" i="19"/>
  <c r="AD15" i="19" s="1"/>
  <c r="AC13" i="19"/>
  <c r="AB13" i="19"/>
  <c r="AA13" i="19"/>
  <c r="Z13" i="19"/>
  <c r="AD13" i="19" s="1"/>
  <c r="AC11" i="19"/>
  <c r="AB11" i="19"/>
  <c r="AA11" i="19"/>
  <c r="Z11" i="19"/>
  <c r="AD11" i="19" s="1"/>
  <c r="AA9" i="19"/>
  <c r="AB9" i="19"/>
  <c r="AC9" i="19"/>
  <c r="Z9" i="19"/>
  <c r="AA7" i="19"/>
  <c r="AB7" i="19"/>
  <c r="AC7" i="19"/>
  <c r="Z7" i="19"/>
  <c r="AD7" i="19" s="1"/>
  <c r="AD107" i="18"/>
  <c r="AD103" i="18"/>
  <c r="AD99" i="18"/>
  <c r="AD97" i="18"/>
  <c r="AD95" i="18"/>
  <c r="AD93" i="18"/>
  <c r="AD91" i="18"/>
  <c r="AD89" i="18"/>
  <c r="AD87" i="18"/>
  <c r="AD85" i="18"/>
  <c r="AD83" i="18"/>
  <c r="AD81" i="18"/>
  <c r="AD77" i="18"/>
  <c r="AD75" i="18"/>
  <c r="AD71" i="18"/>
  <c r="AD69" i="18"/>
  <c r="AD67" i="18"/>
  <c r="AD65" i="18"/>
  <c r="AD63" i="18"/>
  <c r="AD61" i="18"/>
  <c r="AD59" i="18"/>
  <c r="AD57" i="18"/>
  <c r="AD55" i="18"/>
  <c r="AD53" i="18"/>
  <c r="AD51" i="18"/>
  <c r="AD49" i="18"/>
  <c r="AD47" i="18"/>
  <c r="AD45" i="18"/>
  <c r="AD43" i="18"/>
  <c r="AD41" i="18"/>
  <c r="AD39" i="18"/>
  <c r="AD37" i="18"/>
  <c r="AD35" i="18"/>
  <c r="AD33" i="18"/>
  <c r="AD31" i="18"/>
  <c r="AD29" i="18"/>
  <c r="AD27" i="18"/>
  <c r="AD25" i="18"/>
  <c r="AD23" i="18"/>
  <c r="AD21" i="18"/>
  <c r="AD19" i="18"/>
  <c r="AD17" i="18"/>
  <c r="AD15" i="18"/>
  <c r="AD13" i="18"/>
  <c r="AD11" i="18"/>
  <c r="AD9" i="18"/>
  <c r="AD7" i="18"/>
  <c r="Y437" i="14"/>
  <c r="Y640" i="14"/>
  <c r="Y188" i="14"/>
  <c r="U212" i="14"/>
  <c r="Y212" i="14"/>
  <c r="Y210" i="14"/>
  <c r="Y237" i="14"/>
  <c r="U237" i="14"/>
  <c r="AD25" i="19" l="1"/>
  <c r="AD83" i="19"/>
  <c r="AD47" i="19"/>
  <c r="AD108" i="18"/>
  <c r="AD108" i="19" s="1"/>
  <c r="Y163" i="14" l="1"/>
  <c r="R639" i="14"/>
  <c r="R638" i="14"/>
  <c r="R635" i="14"/>
  <c r="R628" i="14"/>
  <c r="R622" i="14"/>
  <c r="R612" i="14"/>
  <c r="R580" i="14"/>
  <c r="R549" i="14"/>
  <c r="R524" i="14"/>
  <c r="R507" i="14"/>
  <c r="R493" i="14"/>
  <c r="R462" i="14"/>
  <c r="R431" i="14"/>
  <c r="R384" i="14"/>
  <c r="R383" i="14"/>
  <c r="R382" i="14"/>
  <c r="R381" i="14"/>
  <c r="R380" i="14"/>
  <c r="R379" i="14"/>
  <c r="R378" i="14"/>
  <c r="R377" i="14"/>
  <c r="R376" i="14"/>
  <c r="R375" i="14"/>
  <c r="R373" i="14"/>
  <c r="R372" i="14"/>
  <c r="R371" i="14"/>
  <c r="R370" i="14"/>
  <c r="R369" i="14"/>
  <c r="R367" i="14"/>
  <c r="R366" i="14"/>
  <c r="R365" i="14"/>
  <c r="R364" i="14"/>
  <c r="R363" i="14"/>
  <c r="R362" i="14"/>
  <c r="R361" i="14"/>
  <c r="R360" i="14"/>
  <c r="R359" i="14"/>
  <c r="R358" i="14"/>
  <c r="R352" i="14"/>
  <c r="R350" i="14"/>
  <c r="R349" i="14"/>
  <c r="R348" i="14"/>
  <c r="R345" i="14"/>
  <c r="R344" i="14"/>
  <c r="R343" i="14"/>
  <c r="R342" i="14"/>
  <c r="R341" i="14"/>
  <c r="R340" i="14"/>
  <c r="R339" i="14"/>
  <c r="R331" i="14"/>
  <c r="R329" i="14"/>
  <c r="R327" i="14"/>
  <c r="R326" i="14"/>
  <c r="R324" i="14"/>
  <c r="R323" i="14"/>
  <c r="R322" i="14"/>
  <c r="R321" i="14"/>
  <c r="R320" i="14"/>
  <c r="R319" i="14"/>
  <c r="R318" i="14"/>
  <c r="R311" i="14"/>
  <c r="R309" i="14"/>
  <c r="R307" i="14"/>
  <c r="R306" i="14"/>
  <c r="R304" i="14"/>
  <c r="R303" i="14"/>
  <c r="R301" i="14"/>
  <c r="R300" i="14"/>
  <c r="R299" i="14"/>
  <c r="R298" i="14"/>
  <c r="R297" i="14"/>
  <c r="R296" i="14"/>
  <c r="R295" i="14"/>
  <c r="R294" i="14"/>
  <c r="R287" i="14"/>
  <c r="R285" i="14"/>
  <c r="R283" i="14"/>
  <c r="R282" i="14"/>
  <c r="R280" i="14"/>
  <c r="R279" i="14"/>
  <c r="R275" i="14"/>
  <c r="R274" i="14"/>
  <c r="R273" i="14"/>
  <c r="R272" i="14"/>
  <c r="R271" i="14"/>
  <c r="R270" i="14"/>
  <c r="R269" i="14"/>
  <c r="R268" i="14"/>
  <c r="R261" i="14"/>
  <c r="R259" i="14"/>
  <c r="R257" i="14"/>
  <c r="R256" i="14"/>
  <c r="R254" i="14"/>
  <c r="R253" i="14"/>
  <c r="R251" i="14"/>
  <c r="R250" i="14"/>
  <c r="R249" i="14"/>
  <c r="R248" i="14"/>
  <c r="R247" i="14"/>
  <c r="R246" i="14"/>
  <c r="R245" i="14"/>
  <c r="R244" i="14"/>
  <c r="R240" i="14"/>
  <c r="R215" i="14"/>
  <c r="R191" i="14"/>
  <c r="R144" i="14"/>
  <c r="E64" i="11"/>
  <c r="E63" i="11"/>
  <c r="R640" i="14" l="1"/>
  <c r="R264" i="14"/>
  <c r="R314" i="14"/>
  <c r="R334" i="14"/>
  <c r="R290" i="14"/>
  <c r="R355" i="14"/>
  <c r="R387" i="14"/>
  <c r="R168" i="14"/>
  <c r="R121" i="14"/>
  <c r="Q63" i="11"/>
  <c r="E6" i="12"/>
  <c r="D57" i="20"/>
  <c r="L7" i="19" l="1"/>
  <c r="E6" i="20" s="1"/>
  <c r="D125" i="19"/>
  <c r="D121" i="19"/>
  <c r="D122" i="19"/>
  <c r="D123" i="19"/>
  <c r="D124" i="19"/>
  <c r="D120" i="19"/>
  <c r="G125" i="19"/>
  <c r="F124" i="19" s="1"/>
  <c r="Y59" i="18"/>
  <c r="Y81" i="18"/>
  <c r="M55" i="19"/>
  <c r="F30" i="20" s="1"/>
  <c r="M23" i="19"/>
  <c r="F14" i="20" s="1"/>
  <c r="M107" i="19"/>
  <c r="F56" i="20" s="1"/>
  <c r="L107" i="19"/>
  <c r="E56" i="20" s="1"/>
  <c r="M103" i="19"/>
  <c r="F54" i="20" s="1"/>
  <c r="M99" i="19"/>
  <c r="F52" i="20" s="1"/>
  <c r="L99" i="19"/>
  <c r="E52" i="20" s="1"/>
  <c r="M97" i="19"/>
  <c r="F51" i="20" s="1"/>
  <c r="L97" i="19"/>
  <c r="E51" i="20" s="1"/>
  <c r="M95" i="19"/>
  <c r="F50" i="20" s="1"/>
  <c r="L95" i="19"/>
  <c r="E50" i="20" s="1"/>
  <c r="M93" i="19"/>
  <c r="F49" i="20" s="1"/>
  <c r="L93" i="19"/>
  <c r="E49" i="20" s="1"/>
  <c r="M91" i="19"/>
  <c r="L91" i="19"/>
  <c r="E48" i="20" s="1"/>
  <c r="M89" i="19"/>
  <c r="F47" i="20" s="1"/>
  <c r="L89" i="19"/>
  <c r="E47" i="20" s="1"/>
  <c r="M87" i="19"/>
  <c r="F46" i="20" s="1"/>
  <c r="L87" i="19"/>
  <c r="E46" i="20" s="1"/>
  <c r="M85" i="19"/>
  <c r="F45" i="20" s="1"/>
  <c r="L85" i="19"/>
  <c r="E45" i="20" s="1"/>
  <c r="M83" i="19"/>
  <c r="F44" i="20" s="1"/>
  <c r="L83" i="19"/>
  <c r="E44" i="20" s="1"/>
  <c r="M77" i="19"/>
  <c r="F41" i="20" s="1"/>
  <c r="L77" i="19"/>
  <c r="E41" i="20" s="1"/>
  <c r="M75" i="19"/>
  <c r="F40" i="20" s="1"/>
  <c r="M71" i="19"/>
  <c r="F38" i="20" s="1"/>
  <c r="L71" i="19"/>
  <c r="E38" i="20" s="1"/>
  <c r="M69" i="19"/>
  <c r="F37" i="20" s="1"/>
  <c r="L69" i="19"/>
  <c r="E37" i="20" s="1"/>
  <c r="M67" i="19"/>
  <c r="F36" i="20" s="1"/>
  <c r="L67" i="19"/>
  <c r="E36" i="20" s="1"/>
  <c r="M65" i="19"/>
  <c r="F35" i="20" s="1"/>
  <c r="L65" i="19"/>
  <c r="E35" i="20" s="1"/>
  <c r="M63" i="19"/>
  <c r="F34" i="20" s="1"/>
  <c r="L63" i="19"/>
  <c r="E34" i="20" s="1"/>
  <c r="M61" i="19"/>
  <c r="F33" i="20" s="1"/>
  <c r="L61" i="19"/>
  <c r="E33" i="20" s="1"/>
  <c r="M59" i="19"/>
  <c r="F32" i="20" s="1"/>
  <c r="L59" i="19"/>
  <c r="E32" i="20" s="1"/>
  <c r="M57" i="19"/>
  <c r="F31" i="20" s="1"/>
  <c r="L57" i="19"/>
  <c r="E31" i="20" s="1"/>
  <c r="L55" i="19"/>
  <c r="E30" i="20" s="1"/>
  <c r="M53" i="19"/>
  <c r="F29" i="20" s="1"/>
  <c r="L53" i="19"/>
  <c r="E29" i="20" s="1"/>
  <c r="M51" i="19"/>
  <c r="F28" i="20" s="1"/>
  <c r="L51" i="19"/>
  <c r="E28" i="20" s="1"/>
  <c r="M49" i="19"/>
  <c r="F27" i="20" s="1"/>
  <c r="L49" i="19"/>
  <c r="E27" i="20" s="1"/>
  <c r="M47" i="19"/>
  <c r="F26" i="20" s="1"/>
  <c r="L47" i="19"/>
  <c r="E26" i="20" s="1"/>
  <c r="M45" i="19"/>
  <c r="F25" i="20" s="1"/>
  <c r="L45" i="19"/>
  <c r="E25" i="20" s="1"/>
  <c r="M43" i="19"/>
  <c r="F24" i="20" s="1"/>
  <c r="L43" i="19"/>
  <c r="E24" i="20" s="1"/>
  <c r="M41" i="19"/>
  <c r="F23" i="20" s="1"/>
  <c r="L41" i="19"/>
  <c r="E23" i="20" s="1"/>
  <c r="M39" i="19"/>
  <c r="F22" i="20" s="1"/>
  <c r="L39" i="19"/>
  <c r="E22" i="20" s="1"/>
  <c r="M37" i="19"/>
  <c r="F21" i="20" s="1"/>
  <c r="L37" i="19"/>
  <c r="E21" i="20" s="1"/>
  <c r="M35" i="19"/>
  <c r="F20" i="20" s="1"/>
  <c r="L35" i="19"/>
  <c r="E20" i="20" s="1"/>
  <c r="M33" i="19"/>
  <c r="F19" i="20" s="1"/>
  <c r="L33" i="19"/>
  <c r="E19" i="20" s="1"/>
  <c r="M31" i="19"/>
  <c r="F18" i="20" s="1"/>
  <c r="L31" i="19"/>
  <c r="E18" i="20" s="1"/>
  <c r="M29" i="19"/>
  <c r="F17" i="20" s="1"/>
  <c r="L29" i="19"/>
  <c r="E17" i="20" s="1"/>
  <c r="M27" i="19"/>
  <c r="F16" i="20" s="1"/>
  <c r="L27" i="19"/>
  <c r="E16" i="20" s="1"/>
  <c r="M25" i="19"/>
  <c r="L25" i="19"/>
  <c r="E15" i="20" s="1"/>
  <c r="L23" i="19"/>
  <c r="E14" i="20" s="1"/>
  <c r="M21" i="19"/>
  <c r="F13" i="20" s="1"/>
  <c r="L21" i="19"/>
  <c r="E13" i="20" s="1"/>
  <c r="M19" i="19"/>
  <c r="F12" i="20" s="1"/>
  <c r="L19" i="19"/>
  <c r="E12" i="20" s="1"/>
  <c r="M17" i="19"/>
  <c r="F11" i="20" s="1"/>
  <c r="L17" i="19"/>
  <c r="E11" i="20" s="1"/>
  <c r="M15" i="19"/>
  <c r="F10" i="20" s="1"/>
  <c r="L15" i="19"/>
  <c r="E10" i="20" s="1"/>
  <c r="M13" i="19"/>
  <c r="F9" i="20" s="1"/>
  <c r="L13" i="19"/>
  <c r="E9" i="20" s="1"/>
  <c r="M11" i="19"/>
  <c r="F8" i="20" s="1"/>
  <c r="L11" i="19"/>
  <c r="E8" i="20" s="1"/>
  <c r="M9" i="19"/>
  <c r="F7" i="20" s="1"/>
  <c r="L9" i="19"/>
  <c r="E7" i="20" s="1"/>
  <c r="M7" i="19"/>
  <c r="F6" i="20" s="1"/>
  <c r="T7" i="18"/>
  <c r="S107" i="19"/>
  <c r="R107" i="19"/>
  <c r="Q107" i="19"/>
  <c r="P107" i="19"/>
  <c r="S103" i="19"/>
  <c r="R103" i="19"/>
  <c r="Q103" i="19"/>
  <c r="P103" i="19"/>
  <c r="S99" i="19"/>
  <c r="R99" i="19"/>
  <c r="Q99" i="19"/>
  <c r="P99" i="19"/>
  <c r="S97" i="19"/>
  <c r="R97" i="19"/>
  <c r="Q97" i="19"/>
  <c r="P97" i="19"/>
  <c r="S95" i="19"/>
  <c r="R95" i="19"/>
  <c r="Q95" i="19"/>
  <c r="P95" i="19"/>
  <c r="S93" i="19"/>
  <c r="R93" i="19"/>
  <c r="Q93" i="19"/>
  <c r="P93" i="19"/>
  <c r="S91" i="19"/>
  <c r="R91" i="19"/>
  <c r="Q91" i="19"/>
  <c r="P91" i="19"/>
  <c r="S89" i="19"/>
  <c r="R89" i="19"/>
  <c r="Q89" i="19"/>
  <c r="P89" i="19"/>
  <c r="S87" i="19"/>
  <c r="R87" i="19"/>
  <c r="Q87" i="19"/>
  <c r="P87" i="19"/>
  <c r="S85" i="19"/>
  <c r="R85" i="19"/>
  <c r="Q85" i="19"/>
  <c r="P85" i="19"/>
  <c r="S83" i="19"/>
  <c r="R83" i="19"/>
  <c r="Q83" i="19"/>
  <c r="P83" i="19"/>
  <c r="S81" i="19"/>
  <c r="R81" i="19"/>
  <c r="Q81" i="19"/>
  <c r="P81" i="19"/>
  <c r="S77" i="19"/>
  <c r="R77" i="19"/>
  <c r="Q77" i="19"/>
  <c r="P77" i="19"/>
  <c r="S75" i="19"/>
  <c r="R75" i="19"/>
  <c r="Q75" i="19"/>
  <c r="P75" i="19"/>
  <c r="S71" i="19"/>
  <c r="R71" i="19"/>
  <c r="Q71" i="19"/>
  <c r="P71" i="19"/>
  <c r="S69" i="19"/>
  <c r="R69" i="19"/>
  <c r="Q69" i="19"/>
  <c r="P69" i="19"/>
  <c r="S67" i="19"/>
  <c r="R67" i="19"/>
  <c r="Q67" i="19"/>
  <c r="P67" i="19"/>
  <c r="S65" i="19"/>
  <c r="R65" i="19"/>
  <c r="Q65" i="19"/>
  <c r="P65" i="19"/>
  <c r="S63" i="19"/>
  <c r="R63" i="19"/>
  <c r="Q63" i="19"/>
  <c r="P63" i="19"/>
  <c r="S61" i="19"/>
  <c r="R61" i="19"/>
  <c r="Q61" i="19"/>
  <c r="P61" i="19"/>
  <c r="S59" i="19"/>
  <c r="R59" i="19"/>
  <c r="Q59" i="19"/>
  <c r="P59" i="19"/>
  <c r="S57" i="19"/>
  <c r="R57" i="19"/>
  <c r="Q57" i="19"/>
  <c r="P57" i="19"/>
  <c r="S55" i="19"/>
  <c r="R55" i="19"/>
  <c r="Q55" i="19"/>
  <c r="P55" i="19"/>
  <c r="S53" i="19"/>
  <c r="R53" i="19"/>
  <c r="Q53" i="19"/>
  <c r="P53" i="19"/>
  <c r="S51" i="19"/>
  <c r="R51" i="19"/>
  <c r="Q51" i="19"/>
  <c r="P51" i="19"/>
  <c r="S49" i="19"/>
  <c r="R49" i="19"/>
  <c r="Q49" i="19"/>
  <c r="P49" i="19"/>
  <c r="S47" i="19"/>
  <c r="R47" i="19"/>
  <c r="Q47" i="19"/>
  <c r="P47" i="19"/>
  <c r="S45" i="19"/>
  <c r="R45" i="19"/>
  <c r="Q45" i="19"/>
  <c r="P45" i="19"/>
  <c r="S43" i="19"/>
  <c r="R43" i="19"/>
  <c r="Q43" i="19"/>
  <c r="P43" i="19"/>
  <c r="S41" i="19"/>
  <c r="R41" i="19"/>
  <c r="Q41" i="19"/>
  <c r="P41" i="19"/>
  <c r="S39" i="19"/>
  <c r="R39" i="19"/>
  <c r="Q39" i="19"/>
  <c r="P39" i="19"/>
  <c r="S37" i="19"/>
  <c r="R37" i="19"/>
  <c r="Q37" i="19"/>
  <c r="P37" i="19"/>
  <c r="S35" i="19"/>
  <c r="R35" i="19"/>
  <c r="Q35" i="19"/>
  <c r="P35" i="19"/>
  <c r="S33" i="19"/>
  <c r="R33" i="19"/>
  <c r="Q33" i="19"/>
  <c r="P33" i="19"/>
  <c r="S31" i="19"/>
  <c r="R31" i="19"/>
  <c r="Q31" i="19"/>
  <c r="P31" i="19"/>
  <c r="S29" i="19"/>
  <c r="R29" i="19"/>
  <c r="Q29" i="19"/>
  <c r="P29" i="19"/>
  <c r="S27" i="19"/>
  <c r="R27" i="19"/>
  <c r="Q27" i="19"/>
  <c r="P27" i="19"/>
  <c r="S25" i="19"/>
  <c r="R25" i="19"/>
  <c r="Q25" i="19"/>
  <c r="P25" i="19"/>
  <c r="S23" i="19"/>
  <c r="R23" i="19"/>
  <c r="Q23" i="19"/>
  <c r="P23" i="19"/>
  <c r="S21" i="19"/>
  <c r="R21" i="19"/>
  <c r="Q21" i="19"/>
  <c r="P21" i="19"/>
  <c r="S19" i="19"/>
  <c r="R19" i="19"/>
  <c r="Q19" i="19"/>
  <c r="P19" i="19"/>
  <c r="S17" i="19"/>
  <c r="R17" i="19"/>
  <c r="Q17" i="19"/>
  <c r="P17" i="19"/>
  <c r="S15" i="19"/>
  <c r="R15" i="19"/>
  <c r="Q15" i="19"/>
  <c r="P15" i="19"/>
  <c r="S13" i="19"/>
  <c r="R13" i="19"/>
  <c r="Q13" i="19"/>
  <c r="P13" i="19"/>
  <c r="S11" i="19"/>
  <c r="R11" i="19"/>
  <c r="Q11" i="19"/>
  <c r="P11" i="19"/>
  <c r="S9" i="19"/>
  <c r="R9" i="19"/>
  <c r="Q9" i="19"/>
  <c r="P9" i="19"/>
  <c r="S7" i="19"/>
  <c r="R7" i="19"/>
  <c r="Q7" i="19"/>
  <c r="P7" i="19"/>
  <c r="X107" i="19"/>
  <c r="W107" i="19"/>
  <c r="V107" i="19"/>
  <c r="U107" i="19"/>
  <c r="X103" i="19"/>
  <c r="W103" i="19"/>
  <c r="V103" i="19"/>
  <c r="U103" i="19"/>
  <c r="X99" i="19"/>
  <c r="W99" i="19"/>
  <c r="V99" i="19"/>
  <c r="U99" i="19"/>
  <c r="X97" i="19"/>
  <c r="W97" i="19"/>
  <c r="V97" i="19"/>
  <c r="U97" i="19"/>
  <c r="X95" i="19"/>
  <c r="W95" i="19"/>
  <c r="V95" i="19"/>
  <c r="U95" i="19"/>
  <c r="X93" i="19"/>
  <c r="W93" i="19"/>
  <c r="V93" i="19"/>
  <c r="U93" i="19"/>
  <c r="X91" i="19"/>
  <c r="W91" i="19"/>
  <c r="V91" i="19"/>
  <c r="U91" i="19"/>
  <c r="X89" i="19"/>
  <c r="W89" i="19"/>
  <c r="V89" i="19"/>
  <c r="U89" i="19"/>
  <c r="X87" i="19"/>
  <c r="W87" i="19"/>
  <c r="V87" i="19"/>
  <c r="U87" i="19"/>
  <c r="X85" i="19"/>
  <c r="W85" i="19"/>
  <c r="V85" i="19"/>
  <c r="U85" i="19"/>
  <c r="X83" i="19"/>
  <c r="W83" i="19"/>
  <c r="V83" i="19"/>
  <c r="U83" i="19"/>
  <c r="X81" i="19"/>
  <c r="W81" i="19"/>
  <c r="V81" i="19"/>
  <c r="U81" i="19"/>
  <c r="X77" i="19"/>
  <c r="W77" i="19"/>
  <c r="V77" i="19"/>
  <c r="U77" i="19"/>
  <c r="X75" i="19"/>
  <c r="W75" i="19"/>
  <c r="V75" i="19"/>
  <c r="U75" i="19"/>
  <c r="X71" i="19"/>
  <c r="W71" i="19"/>
  <c r="V71" i="19"/>
  <c r="U71" i="19"/>
  <c r="X69" i="19"/>
  <c r="W69" i="19"/>
  <c r="V69" i="19"/>
  <c r="U69" i="19"/>
  <c r="X67" i="19"/>
  <c r="W67" i="19"/>
  <c r="V67" i="19"/>
  <c r="U67" i="19"/>
  <c r="X65" i="19"/>
  <c r="W65" i="19"/>
  <c r="V65" i="19"/>
  <c r="U65" i="19"/>
  <c r="X63" i="19"/>
  <c r="W63" i="19"/>
  <c r="V63" i="19"/>
  <c r="U63" i="19"/>
  <c r="X61" i="19"/>
  <c r="W61" i="19"/>
  <c r="V61" i="19"/>
  <c r="U61" i="19"/>
  <c r="X59" i="19"/>
  <c r="W59" i="19"/>
  <c r="V59" i="19"/>
  <c r="U59" i="19"/>
  <c r="X57" i="19"/>
  <c r="W57" i="19"/>
  <c r="V57" i="19"/>
  <c r="U57" i="19"/>
  <c r="X55" i="19"/>
  <c r="W55" i="19"/>
  <c r="V55" i="19"/>
  <c r="U55" i="19"/>
  <c r="X53" i="19"/>
  <c r="W53" i="19"/>
  <c r="V53" i="19"/>
  <c r="U53" i="19"/>
  <c r="X51" i="19"/>
  <c r="W51" i="19"/>
  <c r="V51" i="19"/>
  <c r="U51" i="19"/>
  <c r="X49" i="19"/>
  <c r="W49" i="19"/>
  <c r="V49" i="19"/>
  <c r="U49" i="19"/>
  <c r="X47" i="19"/>
  <c r="W47" i="19"/>
  <c r="V47" i="19"/>
  <c r="U47" i="19"/>
  <c r="X45" i="19"/>
  <c r="W45" i="19"/>
  <c r="V45" i="19"/>
  <c r="U45" i="19"/>
  <c r="X41" i="19"/>
  <c r="W41" i="19"/>
  <c r="V41" i="19"/>
  <c r="U41" i="19"/>
  <c r="X43" i="19"/>
  <c r="W43" i="19"/>
  <c r="V43" i="19"/>
  <c r="U43" i="19"/>
  <c r="X23" i="19"/>
  <c r="W23" i="19"/>
  <c r="V23" i="19"/>
  <c r="U23" i="19"/>
  <c r="X21" i="19"/>
  <c r="W21" i="19"/>
  <c r="V21" i="19"/>
  <c r="U21" i="19"/>
  <c r="X19" i="19"/>
  <c r="W19" i="19"/>
  <c r="V19" i="19"/>
  <c r="U19" i="19"/>
  <c r="X17" i="19"/>
  <c r="W17" i="19"/>
  <c r="V17" i="19"/>
  <c r="U17" i="19"/>
  <c r="X15" i="19"/>
  <c r="W15" i="19"/>
  <c r="V15" i="19"/>
  <c r="U15" i="19"/>
  <c r="X13" i="19"/>
  <c r="W13" i="19"/>
  <c r="V13" i="19"/>
  <c r="U13" i="19"/>
  <c r="X11" i="19"/>
  <c r="W11" i="19"/>
  <c r="V11" i="19"/>
  <c r="U11" i="19"/>
  <c r="X9" i="19"/>
  <c r="W9" i="19"/>
  <c r="V9" i="19"/>
  <c r="U9" i="19"/>
  <c r="X39" i="19"/>
  <c r="W39" i="19"/>
  <c r="V39" i="19"/>
  <c r="U39" i="19"/>
  <c r="X37" i="19"/>
  <c r="W37" i="19"/>
  <c r="V37" i="19"/>
  <c r="U37" i="19"/>
  <c r="X35" i="19"/>
  <c r="W35" i="19"/>
  <c r="V35" i="19"/>
  <c r="U35" i="19"/>
  <c r="X33" i="19"/>
  <c r="W33" i="19"/>
  <c r="V33" i="19"/>
  <c r="U33" i="19"/>
  <c r="X31" i="19"/>
  <c r="W31" i="19"/>
  <c r="V31" i="19"/>
  <c r="U31" i="19"/>
  <c r="X29" i="19"/>
  <c r="W29" i="19"/>
  <c r="V29" i="19"/>
  <c r="U29" i="19"/>
  <c r="X27" i="19"/>
  <c r="W27" i="19"/>
  <c r="V27" i="19"/>
  <c r="U27" i="19"/>
  <c r="X25" i="19"/>
  <c r="W25" i="19"/>
  <c r="V25" i="19"/>
  <c r="U25" i="19"/>
  <c r="X7" i="19"/>
  <c r="W7" i="19"/>
  <c r="V7" i="19"/>
  <c r="U7" i="19"/>
  <c r="Y103" i="18"/>
  <c r="Y99" i="18"/>
  <c r="Y97" i="18"/>
  <c r="Y95" i="18"/>
  <c r="Y93" i="18"/>
  <c r="Y91" i="18"/>
  <c r="Y89" i="18"/>
  <c r="Y87" i="18"/>
  <c r="Y85" i="18"/>
  <c r="Y83" i="18"/>
  <c r="Y77" i="18"/>
  <c r="Y75" i="18"/>
  <c r="Y71" i="18"/>
  <c r="Y69" i="18"/>
  <c r="Y67" i="18"/>
  <c r="Y65" i="18"/>
  <c r="Y63" i="18"/>
  <c r="Y61" i="18"/>
  <c r="Y57" i="18"/>
  <c r="Y55" i="18"/>
  <c r="Y53" i="18"/>
  <c r="Y51" i="18"/>
  <c r="Y49" i="18"/>
  <c r="Y47" i="18"/>
  <c r="Y45" i="18"/>
  <c r="Y43" i="18"/>
  <c r="Y41" i="18"/>
  <c r="Y39" i="18"/>
  <c r="Y37" i="18"/>
  <c r="Y35" i="18"/>
  <c r="Y33" i="18"/>
  <c r="Y31" i="18"/>
  <c r="Y29" i="18"/>
  <c r="Y27" i="18"/>
  <c r="Y25" i="18"/>
  <c r="Y23" i="18"/>
  <c r="Y21" i="18"/>
  <c r="Y19" i="18"/>
  <c r="Y17" i="18"/>
  <c r="Y15" i="18"/>
  <c r="Y13" i="18"/>
  <c r="Y11" i="18"/>
  <c r="Y9" i="18"/>
  <c r="Y7" i="18"/>
  <c r="J108" i="19"/>
  <c r="I108" i="19"/>
  <c r="G105" i="19"/>
  <c r="F105" i="19"/>
  <c r="G104" i="19"/>
  <c r="F104" i="19"/>
  <c r="G101" i="19"/>
  <c r="F101" i="19"/>
  <c r="G100" i="19"/>
  <c r="F100" i="19"/>
  <c r="G79" i="19"/>
  <c r="F79" i="19"/>
  <c r="G78" i="19"/>
  <c r="F78" i="19"/>
  <c r="G74" i="19"/>
  <c r="G73" i="19"/>
  <c r="F73" i="19"/>
  <c r="G72" i="19"/>
  <c r="F72" i="19"/>
  <c r="G70" i="19"/>
  <c r="F70" i="19"/>
  <c r="G68" i="19"/>
  <c r="F68" i="19"/>
  <c r="G66" i="19"/>
  <c r="F66" i="19"/>
  <c r="G64" i="19"/>
  <c r="F64" i="19"/>
  <c r="G62" i="19"/>
  <c r="F62" i="19"/>
  <c r="G60" i="19"/>
  <c r="F60" i="19"/>
  <c r="G58" i="19"/>
  <c r="F58" i="19"/>
  <c r="G56" i="19"/>
  <c r="F56" i="19"/>
  <c r="G54" i="19"/>
  <c r="F54" i="19"/>
  <c r="G52" i="19"/>
  <c r="F52" i="19"/>
  <c r="G50" i="19"/>
  <c r="F50" i="19"/>
  <c r="G48" i="19"/>
  <c r="F48" i="19"/>
  <c r="G46" i="19"/>
  <c r="F46" i="19"/>
  <c r="G44" i="19"/>
  <c r="F44" i="19"/>
  <c r="G42" i="19"/>
  <c r="F42" i="19"/>
  <c r="G40" i="19"/>
  <c r="F40" i="19"/>
  <c r="G38" i="19"/>
  <c r="F38" i="19"/>
  <c r="G36" i="19"/>
  <c r="F36" i="19"/>
  <c r="G34" i="19"/>
  <c r="F34" i="19"/>
  <c r="G32" i="19"/>
  <c r="F32" i="19"/>
  <c r="G30" i="19"/>
  <c r="F30" i="19"/>
  <c r="G28" i="19"/>
  <c r="F28" i="19"/>
  <c r="G26" i="19"/>
  <c r="F26" i="19"/>
  <c r="G24" i="19"/>
  <c r="F24" i="19"/>
  <c r="G22" i="19"/>
  <c r="F22" i="19"/>
  <c r="G20" i="19"/>
  <c r="F20" i="19"/>
  <c r="G18" i="19"/>
  <c r="F18" i="19"/>
  <c r="G14" i="19"/>
  <c r="F14" i="19"/>
  <c r="G12" i="19"/>
  <c r="F12" i="19"/>
  <c r="G10" i="19"/>
  <c r="F10" i="19"/>
  <c r="G8" i="19"/>
  <c r="F8" i="19"/>
  <c r="G4" i="19"/>
  <c r="F4" i="19"/>
  <c r="F8" i="18"/>
  <c r="G8" i="18"/>
  <c r="F10" i="18"/>
  <c r="G10" i="18"/>
  <c r="F12" i="18"/>
  <c r="G12" i="18"/>
  <c r="F14" i="18"/>
  <c r="G14" i="18"/>
  <c r="F18" i="18"/>
  <c r="G18" i="18"/>
  <c r="F20" i="18"/>
  <c r="G20" i="18"/>
  <c r="F22" i="18"/>
  <c r="G22" i="18"/>
  <c r="F24" i="18"/>
  <c r="G24" i="18"/>
  <c r="F26" i="18"/>
  <c r="G26" i="18"/>
  <c r="F28" i="18"/>
  <c r="G28" i="18"/>
  <c r="F30" i="18"/>
  <c r="G30" i="18"/>
  <c r="F32" i="18"/>
  <c r="G32" i="18"/>
  <c r="F34" i="18"/>
  <c r="G34" i="18"/>
  <c r="F36" i="18"/>
  <c r="G36" i="18"/>
  <c r="F38" i="18"/>
  <c r="G38" i="18"/>
  <c r="F40" i="18"/>
  <c r="G40" i="18"/>
  <c r="F42" i="18"/>
  <c r="G42" i="18"/>
  <c r="F44" i="18"/>
  <c r="G44" i="18"/>
  <c r="F46" i="18"/>
  <c r="G46" i="18"/>
  <c r="F48" i="18"/>
  <c r="G48" i="18"/>
  <c r="F50" i="18"/>
  <c r="G50" i="18"/>
  <c r="F52" i="18"/>
  <c r="G52" i="18"/>
  <c r="F54" i="18"/>
  <c r="G54" i="18"/>
  <c r="F56" i="18"/>
  <c r="G56" i="18"/>
  <c r="F58" i="18"/>
  <c r="G58" i="18"/>
  <c r="F60" i="18"/>
  <c r="G60" i="18"/>
  <c r="F62" i="18"/>
  <c r="G62" i="18"/>
  <c r="F64" i="18"/>
  <c r="G64" i="18"/>
  <c r="F66" i="18"/>
  <c r="G66" i="18"/>
  <c r="F68" i="18"/>
  <c r="G68" i="18"/>
  <c r="F70" i="18"/>
  <c r="G70" i="18"/>
  <c r="F72" i="18"/>
  <c r="G72" i="18"/>
  <c r="F73" i="18"/>
  <c r="G73" i="18"/>
  <c r="G74" i="18"/>
  <c r="F78" i="18"/>
  <c r="G78" i="18"/>
  <c r="F79" i="18"/>
  <c r="G79" i="18"/>
  <c r="F100" i="18"/>
  <c r="G100" i="18"/>
  <c r="F101" i="18"/>
  <c r="G101" i="18"/>
  <c r="F104" i="18"/>
  <c r="G104" i="18"/>
  <c r="F105" i="18"/>
  <c r="G105" i="18"/>
  <c r="J108" i="18"/>
  <c r="I108" i="18"/>
  <c r="Y107" i="18"/>
  <c r="T107" i="18"/>
  <c r="T103" i="18"/>
  <c r="T99" i="18"/>
  <c r="T97" i="18"/>
  <c r="T95" i="18"/>
  <c r="T93" i="18"/>
  <c r="T91" i="18"/>
  <c r="T89" i="18"/>
  <c r="T87" i="18"/>
  <c r="T85" i="18"/>
  <c r="T83" i="18"/>
  <c r="T81" i="18"/>
  <c r="T75" i="18"/>
  <c r="T71" i="18"/>
  <c r="T69" i="18"/>
  <c r="T67" i="18"/>
  <c r="T65" i="18"/>
  <c r="T63" i="18"/>
  <c r="T61" i="18"/>
  <c r="T57" i="18"/>
  <c r="T55" i="18"/>
  <c r="T51" i="18"/>
  <c r="T49" i="18"/>
  <c r="T45" i="18"/>
  <c r="T43" i="18"/>
  <c r="T39" i="18"/>
  <c r="T37" i="18"/>
  <c r="T33" i="18"/>
  <c r="T31" i="18"/>
  <c r="T29" i="18"/>
  <c r="T27" i="18"/>
  <c r="T23" i="18"/>
  <c r="T21" i="18"/>
  <c r="T19" i="18"/>
  <c r="T15" i="18"/>
  <c r="T13" i="18"/>
  <c r="T11" i="18"/>
  <c r="T9" i="18"/>
  <c r="G4" i="18"/>
  <c r="F4" i="18"/>
  <c r="F15" i="20" l="1"/>
  <c r="N25" i="19"/>
  <c r="F48" i="20"/>
  <c r="N91" i="19"/>
  <c r="F8" i="12"/>
  <c r="H6" i="12"/>
  <c r="D8" i="12"/>
  <c r="D9" i="12"/>
  <c r="D7" i="12"/>
  <c r="D10" i="12"/>
  <c r="D12" i="12"/>
  <c r="E122" i="19"/>
  <c r="E120" i="19"/>
  <c r="E123" i="19"/>
  <c r="F120" i="19"/>
  <c r="E124" i="19"/>
  <c r="F121" i="19"/>
  <c r="F122" i="19"/>
  <c r="F123" i="19"/>
  <c r="E121" i="19"/>
  <c r="L75" i="19"/>
  <c r="E40" i="20" s="1"/>
  <c r="L108" i="18"/>
  <c r="L108" i="19" s="1"/>
  <c r="L103" i="19"/>
  <c r="E54" i="20" s="1"/>
  <c r="L81" i="19"/>
  <c r="E43" i="20" s="1"/>
  <c r="M108" i="18"/>
  <c r="M108" i="19" s="1"/>
  <c r="M81" i="19"/>
  <c r="F43" i="20" s="1"/>
  <c r="F57" i="20" s="1"/>
  <c r="Y103" i="19"/>
  <c r="Y77" i="19"/>
  <c r="Y83" i="19"/>
  <c r="Y87" i="19"/>
  <c r="Y59" i="19"/>
  <c r="Y95" i="19"/>
  <c r="Y67" i="19"/>
  <c r="Y91" i="19"/>
  <c r="T108" i="18"/>
  <c r="T108" i="19" s="1"/>
  <c r="Y107" i="19"/>
  <c r="Y57" i="19"/>
  <c r="Y65" i="19"/>
  <c r="Y69" i="19"/>
  <c r="Y75" i="19"/>
  <c r="Y81" i="19"/>
  <c r="Y85" i="19"/>
  <c r="Y89" i="19"/>
  <c r="Y93" i="19"/>
  <c r="Y97" i="19"/>
  <c r="Y99" i="19"/>
  <c r="Y71" i="19"/>
  <c r="Y63" i="19"/>
  <c r="Y61" i="19"/>
  <c r="Y55" i="19"/>
  <c r="Y108" i="18"/>
  <c r="Y108" i="19" s="1"/>
  <c r="AC57" i="17"/>
  <c r="P594" i="14"/>
  <c r="X594" i="14" s="1"/>
  <c r="X612" i="14" s="1"/>
  <c r="P639" i="17"/>
  <c r="P638" i="17"/>
  <c r="P631" i="17"/>
  <c r="P635" i="17" s="1"/>
  <c r="P624" i="17"/>
  <c r="P628" i="17" s="1"/>
  <c r="P619" i="17"/>
  <c r="P618" i="17"/>
  <c r="P617" i="17"/>
  <c r="P616" i="17"/>
  <c r="P610" i="17"/>
  <c r="P609" i="17"/>
  <c r="P608" i="17"/>
  <c r="P607" i="17"/>
  <c r="P606" i="17"/>
  <c r="P605" i="17"/>
  <c r="P604" i="17"/>
  <c r="P603" i="17"/>
  <c r="P602" i="17"/>
  <c r="P601" i="17"/>
  <c r="P599" i="17"/>
  <c r="P597" i="17"/>
  <c r="P595" i="17"/>
  <c r="P594" i="17"/>
  <c r="P593" i="17"/>
  <c r="P591" i="17"/>
  <c r="P590" i="17"/>
  <c r="P589" i="17"/>
  <c r="P587" i="17"/>
  <c r="P585" i="17"/>
  <c r="P584" i="17"/>
  <c r="P578" i="17"/>
  <c r="P577" i="17"/>
  <c r="P575" i="17"/>
  <c r="P574" i="17"/>
  <c r="P573" i="17"/>
  <c r="P572" i="17"/>
  <c r="P571" i="17"/>
  <c r="P570" i="17"/>
  <c r="P569" i="17"/>
  <c r="P568" i="17"/>
  <c r="P566" i="17"/>
  <c r="P565" i="17"/>
  <c r="P564" i="17"/>
  <c r="P562" i="17"/>
  <c r="P561" i="17"/>
  <c r="P560" i="17"/>
  <c r="P559" i="17"/>
  <c r="P557" i="17"/>
  <c r="P555" i="17"/>
  <c r="P554" i="17"/>
  <c r="P553" i="17"/>
  <c r="P547" i="17"/>
  <c r="P545" i="17"/>
  <c r="P544" i="17"/>
  <c r="P543" i="17"/>
  <c r="P542" i="17"/>
  <c r="P541" i="17"/>
  <c r="P540" i="17"/>
  <c r="P539" i="17"/>
  <c r="P538" i="17"/>
  <c r="P535" i="17"/>
  <c r="P534" i="17"/>
  <c r="P533" i="17"/>
  <c r="P531" i="17"/>
  <c r="P529" i="17"/>
  <c r="P528" i="17"/>
  <c r="P522" i="17"/>
  <c r="P521" i="17"/>
  <c r="P520" i="17"/>
  <c r="P519" i="17"/>
  <c r="P518" i="17"/>
  <c r="P517" i="17"/>
  <c r="P515" i="17"/>
  <c r="P514" i="17"/>
  <c r="P513" i="17"/>
  <c r="P512" i="17"/>
  <c r="P511" i="17"/>
  <c r="P504" i="17"/>
  <c r="P503" i="17"/>
  <c r="P502" i="17"/>
  <c r="P501" i="17"/>
  <c r="P500" i="17"/>
  <c r="P499" i="17"/>
  <c r="P498" i="17"/>
  <c r="P497" i="17"/>
  <c r="P490" i="17"/>
  <c r="P489" i="17"/>
  <c r="P488" i="17"/>
  <c r="P487" i="17"/>
  <c r="P486" i="17"/>
  <c r="P485" i="17"/>
  <c r="P484" i="17"/>
  <c r="P483" i="17"/>
  <c r="P482" i="17"/>
  <c r="P481" i="17"/>
  <c r="P480" i="17"/>
  <c r="P477" i="17"/>
  <c r="P476" i="17"/>
  <c r="P474" i="17"/>
  <c r="P473" i="17"/>
  <c r="P472" i="17"/>
  <c r="P471" i="17"/>
  <c r="P470" i="17"/>
  <c r="P469" i="17"/>
  <c r="P467" i="17"/>
  <c r="P466" i="17"/>
  <c r="P459" i="17"/>
  <c r="P458" i="17"/>
  <c r="P457" i="17"/>
  <c r="P456" i="17"/>
  <c r="P455" i="17"/>
  <c r="P454" i="17"/>
  <c r="P453" i="17"/>
  <c r="P452" i="17"/>
  <c r="P451" i="17"/>
  <c r="P450" i="17"/>
  <c r="P447" i="17"/>
  <c r="P446" i="17"/>
  <c r="P444" i="17"/>
  <c r="P443" i="17"/>
  <c r="P442" i="17"/>
  <c r="P441" i="17"/>
  <c r="P440" i="17"/>
  <c r="P439" i="17"/>
  <c r="P438" i="17"/>
  <c r="P437" i="17"/>
  <c r="P436" i="17"/>
  <c r="P435" i="17"/>
  <c r="P429" i="17"/>
  <c r="P427" i="17"/>
  <c r="P426" i="17"/>
  <c r="P425" i="17"/>
  <c r="P424" i="17"/>
  <c r="P423" i="17"/>
  <c r="P422" i="17"/>
  <c r="P421" i="17"/>
  <c r="P420" i="17"/>
  <c r="P419" i="17"/>
  <c r="P418" i="17"/>
  <c r="P417" i="17"/>
  <c r="P416" i="17"/>
  <c r="P415" i="17"/>
  <c r="P412" i="17"/>
  <c r="P410" i="17"/>
  <c r="P409" i="17"/>
  <c r="P408" i="17"/>
  <c r="P407" i="17"/>
  <c r="P406" i="17"/>
  <c r="P405" i="17"/>
  <c r="P404" i="17"/>
  <c r="P403" i="17"/>
  <c r="P402" i="17"/>
  <c r="P399" i="17"/>
  <c r="P398" i="17"/>
  <c r="P397" i="17"/>
  <c r="P396" i="17"/>
  <c r="P395" i="17"/>
  <c r="P394" i="17"/>
  <c r="P384" i="17"/>
  <c r="P383" i="17"/>
  <c r="P382" i="17"/>
  <c r="P381" i="17"/>
  <c r="P380" i="17"/>
  <c r="P379" i="17"/>
  <c r="P378" i="17"/>
  <c r="P377" i="17"/>
  <c r="P376" i="17"/>
  <c r="P375" i="17"/>
  <c r="P373" i="17"/>
  <c r="P372" i="17"/>
  <c r="P371" i="17"/>
  <c r="P370" i="17"/>
  <c r="P369" i="17"/>
  <c r="P367" i="17"/>
  <c r="P366" i="17"/>
  <c r="P365" i="17"/>
  <c r="P364" i="17"/>
  <c r="P363" i="17"/>
  <c r="P362" i="17"/>
  <c r="P361" i="17"/>
  <c r="P360" i="17"/>
  <c r="P359" i="17"/>
  <c r="P358" i="17"/>
  <c r="P352" i="17"/>
  <c r="P350" i="17"/>
  <c r="P349" i="17"/>
  <c r="P348" i="17"/>
  <c r="P345" i="17"/>
  <c r="P344" i="17"/>
  <c r="P343" i="17"/>
  <c r="P342" i="17"/>
  <c r="P341" i="17"/>
  <c r="P340" i="17"/>
  <c r="P339" i="17"/>
  <c r="P331" i="17"/>
  <c r="P329" i="17"/>
  <c r="P327" i="17"/>
  <c r="P326" i="17"/>
  <c r="P324" i="17"/>
  <c r="P323" i="17"/>
  <c r="P322" i="17"/>
  <c r="P321" i="17"/>
  <c r="P320" i="17"/>
  <c r="P319" i="17"/>
  <c r="P318" i="17"/>
  <c r="P311" i="17"/>
  <c r="P309" i="17"/>
  <c r="P307" i="17"/>
  <c r="P306" i="17"/>
  <c r="P304" i="17"/>
  <c r="P303" i="17"/>
  <c r="P301" i="17"/>
  <c r="P300" i="17"/>
  <c r="P299" i="17"/>
  <c r="P298" i="17"/>
  <c r="P297" i="17"/>
  <c r="P296" i="17"/>
  <c r="P295" i="17"/>
  <c r="P294" i="17"/>
  <c r="P287" i="17"/>
  <c r="P285" i="17"/>
  <c r="P283" i="17"/>
  <c r="P282" i="17"/>
  <c r="P280" i="17"/>
  <c r="P279" i="17"/>
  <c r="P275" i="17"/>
  <c r="P274" i="17"/>
  <c r="P273" i="17"/>
  <c r="P272" i="17"/>
  <c r="P271" i="17"/>
  <c r="P270" i="17"/>
  <c r="P269" i="17"/>
  <c r="P268" i="17"/>
  <c r="P261" i="17"/>
  <c r="P259" i="17"/>
  <c r="P257" i="17"/>
  <c r="P256" i="17"/>
  <c r="P254" i="17"/>
  <c r="P253" i="17"/>
  <c r="P251" i="17"/>
  <c r="P250" i="17"/>
  <c r="P249" i="17"/>
  <c r="P248" i="17"/>
  <c r="P247" i="17"/>
  <c r="P246" i="17"/>
  <c r="P245" i="17"/>
  <c r="P244" i="17"/>
  <c r="P237" i="17"/>
  <c r="P235" i="17"/>
  <c r="P233" i="17"/>
  <c r="P232" i="17"/>
  <c r="P231" i="17"/>
  <c r="P229" i="17"/>
  <c r="P228" i="17"/>
  <c r="P227" i="17"/>
  <c r="P226" i="17"/>
  <c r="P225" i="17"/>
  <c r="P224" i="17"/>
  <c r="P223" i="17"/>
  <c r="P222" i="17"/>
  <c r="P221" i="17"/>
  <c r="P220" i="17"/>
  <c r="P219" i="17"/>
  <c r="P210" i="17"/>
  <c r="P208" i="17"/>
  <c r="P207" i="17"/>
  <c r="P205" i="17"/>
  <c r="P204" i="17"/>
  <c r="P203" i="17"/>
  <c r="P202" i="17"/>
  <c r="P201" i="17"/>
  <c r="P200" i="17"/>
  <c r="P199" i="17"/>
  <c r="P198" i="17"/>
  <c r="P197" i="17"/>
  <c r="P196" i="17"/>
  <c r="P195" i="17"/>
  <c r="P188" i="17"/>
  <c r="P184" i="17"/>
  <c r="P183" i="17"/>
  <c r="P181" i="17"/>
  <c r="P180" i="17"/>
  <c r="P179" i="17"/>
  <c r="P178" i="17"/>
  <c r="P177" i="17"/>
  <c r="P176" i="17"/>
  <c r="P175" i="17"/>
  <c r="P174" i="17"/>
  <c r="P173" i="17"/>
  <c r="P172" i="17"/>
  <c r="P163" i="17"/>
  <c r="P161" i="17"/>
  <c r="P160" i="17"/>
  <c r="P158" i="17"/>
  <c r="P157" i="17"/>
  <c r="P156" i="17"/>
  <c r="P155" i="17"/>
  <c r="P154" i="17"/>
  <c r="P153" i="17"/>
  <c r="P151" i="17"/>
  <c r="P150" i="17"/>
  <c r="P149" i="17"/>
  <c r="P148" i="17"/>
  <c r="P139" i="17"/>
  <c r="P137" i="17"/>
  <c r="P136" i="17"/>
  <c r="P134" i="17"/>
  <c r="P133" i="17"/>
  <c r="P132" i="17"/>
  <c r="P131" i="17"/>
  <c r="P130" i="17"/>
  <c r="P129" i="17"/>
  <c r="P128" i="17"/>
  <c r="P127" i="17"/>
  <c r="P126" i="17"/>
  <c r="P125" i="17"/>
  <c r="P118" i="17"/>
  <c r="P116" i="17"/>
  <c r="P114" i="17"/>
  <c r="P113" i="17"/>
  <c r="P111" i="17"/>
  <c r="P110" i="17"/>
  <c r="P109" i="17"/>
  <c r="P107" i="17"/>
  <c r="P106" i="17"/>
  <c r="P103" i="17"/>
  <c r="P102" i="17"/>
  <c r="P101" i="17"/>
  <c r="P100" i="17"/>
  <c r="P98" i="17"/>
  <c r="P97" i="17"/>
  <c r="P96" i="17"/>
  <c r="P95" i="17"/>
  <c r="P94" i="17"/>
  <c r="P93" i="17"/>
  <c r="P92" i="17"/>
  <c r="P91" i="17"/>
  <c r="P90" i="17"/>
  <c r="P89" i="17"/>
  <c r="P88" i="17"/>
  <c r="P87" i="17"/>
  <c r="P86" i="17"/>
  <c r="P85" i="17"/>
  <c r="P84" i="17"/>
  <c r="P83" i="17"/>
  <c r="P82" i="17"/>
  <c r="P81" i="17"/>
  <c r="P640" i="17" l="1"/>
  <c r="P168" i="17"/>
  <c r="P493" i="17"/>
  <c r="P612" i="17"/>
  <c r="P387" i="17"/>
  <c r="P264" i="17"/>
  <c r="P144" i="17"/>
  <c r="P240" i="17"/>
  <c r="P622" i="17"/>
  <c r="P215" i="17"/>
  <c r="P507" i="17"/>
  <c r="P524" i="17"/>
  <c r="P314" i="17"/>
  <c r="P580" i="17"/>
  <c r="P191" i="17"/>
  <c r="P334" i="17"/>
  <c r="P355" i="17"/>
  <c r="P549" i="17"/>
  <c r="P121" i="17"/>
  <c r="P290" i="17"/>
  <c r="P462" i="17"/>
  <c r="P431" i="17"/>
  <c r="E57" i="20"/>
  <c r="E125" i="19"/>
  <c r="F125" i="19"/>
  <c r="AW7" i="11" l="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5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AB6" i="11"/>
  <c r="AB5" i="11"/>
  <c r="K641" i="17"/>
  <c r="K640" i="17"/>
  <c r="N639" i="17"/>
  <c r="N638" i="17"/>
  <c r="J638" i="17"/>
  <c r="N631" i="17"/>
  <c r="N635" i="17" s="1"/>
  <c r="J631" i="17"/>
  <c r="J635" i="17" s="1"/>
  <c r="J637" i="17" s="1"/>
  <c r="N624" i="17"/>
  <c r="N628" i="17" s="1"/>
  <c r="J624" i="17"/>
  <c r="J628" i="17" s="1"/>
  <c r="N619" i="17"/>
  <c r="J619" i="17"/>
  <c r="N618" i="17"/>
  <c r="J618" i="17"/>
  <c r="N617" i="17"/>
  <c r="J617" i="17"/>
  <c r="N616" i="17"/>
  <c r="J616" i="17"/>
  <c r="N610" i="17"/>
  <c r="J610" i="17"/>
  <c r="N609" i="17"/>
  <c r="J609" i="17"/>
  <c r="N608" i="17"/>
  <c r="J608" i="17"/>
  <c r="N607" i="17"/>
  <c r="J607" i="17"/>
  <c r="N606" i="17"/>
  <c r="J606" i="17"/>
  <c r="N605" i="17"/>
  <c r="J605" i="17"/>
  <c r="N604" i="17"/>
  <c r="J604" i="17"/>
  <c r="N603" i="17"/>
  <c r="J603" i="17"/>
  <c r="N602" i="17"/>
  <c r="J602" i="17"/>
  <c r="N601" i="17"/>
  <c r="J601" i="17"/>
  <c r="N599" i="17"/>
  <c r="J599" i="17"/>
  <c r="N597" i="17"/>
  <c r="J597" i="17"/>
  <c r="N595" i="17"/>
  <c r="J595" i="17"/>
  <c r="N594" i="17"/>
  <c r="J594" i="17"/>
  <c r="N593" i="17"/>
  <c r="J593" i="17"/>
  <c r="N591" i="17"/>
  <c r="J591" i="17"/>
  <c r="N590" i="17"/>
  <c r="J590" i="17"/>
  <c r="N589" i="17"/>
  <c r="J589" i="17"/>
  <c r="N587" i="17"/>
  <c r="J587" i="17"/>
  <c r="N586" i="17"/>
  <c r="J586" i="17"/>
  <c r="N585" i="17"/>
  <c r="J585" i="17"/>
  <c r="N584" i="17"/>
  <c r="J584" i="17"/>
  <c r="N578" i="17"/>
  <c r="J578" i="17"/>
  <c r="N577" i="17"/>
  <c r="J577" i="17"/>
  <c r="N575" i="17"/>
  <c r="J575" i="17"/>
  <c r="N574" i="17"/>
  <c r="J574" i="17"/>
  <c r="N573" i="17"/>
  <c r="J573" i="17"/>
  <c r="N572" i="17"/>
  <c r="J572" i="17"/>
  <c r="N571" i="17"/>
  <c r="J571" i="17"/>
  <c r="N570" i="17"/>
  <c r="J570" i="17"/>
  <c r="N569" i="17"/>
  <c r="J569" i="17"/>
  <c r="N568" i="17"/>
  <c r="J568" i="17"/>
  <c r="N566" i="17"/>
  <c r="J566" i="17"/>
  <c r="N565" i="17"/>
  <c r="J565" i="17"/>
  <c r="N564" i="17"/>
  <c r="J564" i="17"/>
  <c r="N562" i="17"/>
  <c r="J562" i="17"/>
  <c r="N561" i="17"/>
  <c r="J561" i="17"/>
  <c r="N560" i="17"/>
  <c r="J560" i="17"/>
  <c r="N559" i="17"/>
  <c r="J559" i="17"/>
  <c r="N557" i="17"/>
  <c r="J557" i="17"/>
  <c r="N556" i="17"/>
  <c r="J556" i="17"/>
  <c r="N555" i="17"/>
  <c r="J555" i="17"/>
  <c r="N554" i="17"/>
  <c r="J554" i="17"/>
  <c r="N553" i="17"/>
  <c r="J553" i="17"/>
  <c r="N547" i="17"/>
  <c r="J547" i="17"/>
  <c r="N545" i="17"/>
  <c r="J545" i="17"/>
  <c r="N544" i="17"/>
  <c r="J544" i="17"/>
  <c r="N543" i="17"/>
  <c r="J543" i="17"/>
  <c r="N542" i="17"/>
  <c r="J542" i="17"/>
  <c r="N541" i="17"/>
  <c r="J541" i="17"/>
  <c r="N540" i="17"/>
  <c r="J540" i="17"/>
  <c r="N539" i="17"/>
  <c r="J539" i="17"/>
  <c r="N538" i="17"/>
  <c r="J538" i="17"/>
  <c r="N535" i="17"/>
  <c r="J535" i="17"/>
  <c r="N534" i="17"/>
  <c r="J534" i="17"/>
  <c r="N533" i="17"/>
  <c r="J533" i="17"/>
  <c r="N531" i="17"/>
  <c r="J531" i="17"/>
  <c r="N530" i="17"/>
  <c r="J530" i="17"/>
  <c r="N529" i="17"/>
  <c r="J529" i="17"/>
  <c r="N528" i="17"/>
  <c r="J528" i="17"/>
  <c r="N522" i="17"/>
  <c r="J522" i="17"/>
  <c r="N521" i="17"/>
  <c r="J521" i="17"/>
  <c r="N520" i="17"/>
  <c r="J520" i="17"/>
  <c r="N519" i="17"/>
  <c r="J519" i="17"/>
  <c r="N518" i="17"/>
  <c r="J518" i="17"/>
  <c r="N517" i="17"/>
  <c r="J517" i="17"/>
  <c r="N515" i="17"/>
  <c r="J515" i="17"/>
  <c r="N514" i="17"/>
  <c r="J514" i="17"/>
  <c r="N513" i="17"/>
  <c r="J513" i="17"/>
  <c r="N512" i="17"/>
  <c r="J512" i="17"/>
  <c r="N511" i="17"/>
  <c r="J511" i="17"/>
  <c r="N504" i="17"/>
  <c r="J504" i="17"/>
  <c r="N503" i="17"/>
  <c r="J503" i="17"/>
  <c r="N502" i="17"/>
  <c r="J502" i="17"/>
  <c r="N501" i="17"/>
  <c r="J501" i="17"/>
  <c r="N500" i="17"/>
  <c r="J500" i="17"/>
  <c r="N499" i="17"/>
  <c r="J499" i="17"/>
  <c r="N498" i="17"/>
  <c r="J498" i="17"/>
  <c r="N497" i="17"/>
  <c r="J497" i="17"/>
  <c r="N490" i="17"/>
  <c r="J490" i="17"/>
  <c r="N489" i="17"/>
  <c r="J489" i="17"/>
  <c r="N488" i="17"/>
  <c r="J488" i="17"/>
  <c r="N487" i="17"/>
  <c r="J487" i="17"/>
  <c r="N486" i="17"/>
  <c r="J486" i="17"/>
  <c r="N485" i="17"/>
  <c r="J485" i="17"/>
  <c r="N484" i="17"/>
  <c r="J484" i="17"/>
  <c r="N483" i="17"/>
  <c r="J483" i="17"/>
  <c r="N482" i="17"/>
  <c r="J482" i="17"/>
  <c r="N481" i="17"/>
  <c r="J481" i="17"/>
  <c r="N480" i="17"/>
  <c r="J480" i="17"/>
  <c r="N477" i="17"/>
  <c r="J477" i="17"/>
  <c r="N476" i="17"/>
  <c r="J476" i="17"/>
  <c r="N474" i="17"/>
  <c r="J474" i="17"/>
  <c r="N473" i="17"/>
  <c r="J473" i="17"/>
  <c r="N472" i="17"/>
  <c r="J472" i="17"/>
  <c r="N471" i="17"/>
  <c r="J471" i="17"/>
  <c r="N470" i="17"/>
  <c r="J470" i="17"/>
  <c r="N469" i="17"/>
  <c r="J469" i="17"/>
  <c r="N468" i="17"/>
  <c r="J468" i="17"/>
  <c r="N467" i="17"/>
  <c r="J467" i="17"/>
  <c r="N466" i="17"/>
  <c r="J466" i="17"/>
  <c r="N459" i="17"/>
  <c r="J459" i="17"/>
  <c r="N458" i="17"/>
  <c r="J458" i="17"/>
  <c r="N457" i="17"/>
  <c r="J457" i="17"/>
  <c r="N456" i="17"/>
  <c r="J456" i="17"/>
  <c r="N455" i="17"/>
  <c r="J455" i="17"/>
  <c r="N454" i="17"/>
  <c r="J454" i="17"/>
  <c r="N453" i="17"/>
  <c r="J453" i="17"/>
  <c r="N452" i="17"/>
  <c r="J452" i="17"/>
  <c r="N451" i="17"/>
  <c r="J451" i="17"/>
  <c r="N450" i="17"/>
  <c r="J450" i="17"/>
  <c r="N447" i="17"/>
  <c r="J447" i="17"/>
  <c r="N446" i="17"/>
  <c r="J446" i="17"/>
  <c r="N444" i="17"/>
  <c r="J444" i="17"/>
  <c r="N443" i="17"/>
  <c r="J443" i="17"/>
  <c r="N442" i="17"/>
  <c r="J442" i="17"/>
  <c r="N441" i="17"/>
  <c r="J441" i="17"/>
  <c r="N440" i="17"/>
  <c r="J440" i="17"/>
  <c r="N439" i="17"/>
  <c r="J439" i="17"/>
  <c r="N438" i="17"/>
  <c r="J438" i="17"/>
  <c r="N437" i="17"/>
  <c r="J437" i="17"/>
  <c r="N436" i="17"/>
  <c r="J436" i="17"/>
  <c r="N435" i="17"/>
  <c r="J435" i="17"/>
  <c r="N429" i="17"/>
  <c r="J429" i="17"/>
  <c r="N427" i="17"/>
  <c r="J427" i="17"/>
  <c r="N426" i="17"/>
  <c r="J426" i="17"/>
  <c r="N425" i="17"/>
  <c r="J425" i="17"/>
  <c r="N424" i="17"/>
  <c r="J424" i="17"/>
  <c r="N423" i="17"/>
  <c r="J423" i="17"/>
  <c r="N422" i="17"/>
  <c r="J422" i="17"/>
  <c r="N421" i="17"/>
  <c r="J421" i="17"/>
  <c r="N420" i="17"/>
  <c r="J420" i="17"/>
  <c r="N419" i="17"/>
  <c r="J419" i="17"/>
  <c r="N418" i="17"/>
  <c r="J418" i="17"/>
  <c r="N417" i="17"/>
  <c r="J417" i="17"/>
  <c r="N416" i="17"/>
  <c r="J416" i="17"/>
  <c r="N415" i="17"/>
  <c r="J415" i="17"/>
  <c r="N412" i="17"/>
  <c r="J412" i="17"/>
  <c r="N410" i="17"/>
  <c r="J410" i="17"/>
  <c r="N409" i="17"/>
  <c r="J409" i="17"/>
  <c r="N408" i="17"/>
  <c r="J408" i="17"/>
  <c r="N407" i="17"/>
  <c r="J407" i="17"/>
  <c r="N406" i="17"/>
  <c r="J406" i="17"/>
  <c r="N405" i="17"/>
  <c r="J405" i="17"/>
  <c r="N404" i="17"/>
  <c r="J404" i="17"/>
  <c r="N403" i="17"/>
  <c r="J403" i="17"/>
  <c r="N402" i="17"/>
  <c r="J402" i="17"/>
  <c r="N399" i="17"/>
  <c r="J399" i="17"/>
  <c r="N398" i="17"/>
  <c r="J398" i="17"/>
  <c r="N397" i="17"/>
  <c r="J397" i="17"/>
  <c r="N396" i="17"/>
  <c r="J396" i="17"/>
  <c r="N395" i="17"/>
  <c r="J395" i="17"/>
  <c r="N394" i="17"/>
  <c r="J394" i="17"/>
  <c r="N384" i="17"/>
  <c r="J384" i="17"/>
  <c r="N383" i="17"/>
  <c r="J383" i="17"/>
  <c r="N382" i="17"/>
  <c r="J382" i="17"/>
  <c r="N381" i="17"/>
  <c r="J381" i="17"/>
  <c r="N380" i="17"/>
  <c r="J380" i="17"/>
  <c r="N379" i="17"/>
  <c r="J379" i="17"/>
  <c r="N378" i="17"/>
  <c r="J378" i="17"/>
  <c r="N377" i="17"/>
  <c r="J377" i="17"/>
  <c r="N376" i="17"/>
  <c r="J376" i="17"/>
  <c r="N375" i="17"/>
  <c r="J375" i="17"/>
  <c r="N373" i="17"/>
  <c r="J373" i="17"/>
  <c r="N372" i="17"/>
  <c r="J372" i="17"/>
  <c r="N371" i="17"/>
  <c r="J371" i="17"/>
  <c r="N370" i="17"/>
  <c r="J370" i="17"/>
  <c r="N369" i="17"/>
  <c r="J369" i="17"/>
  <c r="N367" i="17"/>
  <c r="J367" i="17"/>
  <c r="N366" i="17"/>
  <c r="J366" i="17"/>
  <c r="N365" i="17"/>
  <c r="J365" i="17"/>
  <c r="N364" i="17"/>
  <c r="AC53" i="17" s="1"/>
  <c r="J364" i="17"/>
  <c r="N363" i="17"/>
  <c r="J363" i="17"/>
  <c r="N362" i="17"/>
  <c r="J362" i="17"/>
  <c r="N361" i="17"/>
  <c r="J361" i="17"/>
  <c r="N360" i="17"/>
  <c r="J360" i="17"/>
  <c r="N359" i="17"/>
  <c r="J359" i="17"/>
  <c r="N358" i="17"/>
  <c r="J358" i="17"/>
  <c r="N352" i="17"/>
  <c r="J352" i="17"/>
  <c r="N350" i="17"/>
  <c r="J350" i="17"/>
  <c r="N349" i="17"/>
  <c r="J349" i="17"/>
  <c r="N348" i="17"/>
  <c r="J348" i="17"/>
  <c r="N345" i="17"/>
  <c r="J345" i="17"/>
  <c r="N344" i="17"/>
  <c r="J344" i="17"/>
  <c r="AC52" i="17"/>
  <c r="N343" i="17"/>
  <c r="J343" i="17"/>
  <c r="N342" i="17"/>
  <c r="J342" i="17"/>
  <c r="N341" i="17"/>
  <c r="J341" i="17"/>
  <c r="N340" i="17"/>
  <c r="J340" i="17"/>
  <c r="N339" i="17"/>
  <c r="J339" i="17"/>
  <c r="N331" i="17"/>
  <c r="J331" i="17"/>
  <c r="N329" i="17"/>
  <c r="J329" i="17"/>
  <c r="N327" i="17"/>
  <c r="J327" i="17"/>
  <c r="N326" i="17"/>
  <c r="J326" i="17"/>
  <c r="N324" i="17"/>
  <c r="J324" i="17"/>
  <c r="N323" i="17"/>
  <c r="J323" i="17"/>
  <c r="N322" i="17"/>
  <c r="J322" i="17"/>
  <c r="N321" i="17"/>
  <c r="J321" i="17"/>
  <c r="N320" i="17"/>
  <c r="J320" i="17"/>
  <c r="N319" i="17"/>
  <c r="J319" i="17"/>
  <c r="N318" i="17"/>
  <c r="J318" i="17"/>
  <c r="N311" i="17"/>
  <c r="J311" i="17"/>
  <c r="N309" i="17"/>
  <c r="J309" i="17"/>
  <c r="N307" i="17"/>
  <c r="J307" i="17"/>
  <c r="N306" i="17"/>
  <c r="J306" i="17"/>
  <c r="N304" i="17"/>
  <c r="J304" i="17"/>
  <c r="N303" i="17"/>
  <c r="J303" i="17"/>
  <c r="N301" i="17"/>
  <c r="J301" i="17"/>
  <c r="N300" i="17"/>
  <c r="J300" i="17"/>
  <c r="N299" i="17"/>
  <c r="J299" i="17"/>
  <c r="N298" i="17"/>
  <c r="J298" i="17"/>
  <c r="N297" i="17"/>
  <c r="J297" i="17"/>
  <c r="N296" i="17"/>
  <c r="J296" i="17"/>
  <c r="N295" i="17"/>
  <c r="J295" i="17"/>
  <c r="N294" i="17"/>
  <c r="J294" i="17"/>
  <c r="N287" i="17"/>
  <c r="J287" i="17"/>
  <c r="N285" i="17"/>
  <c r="J285" i="17"/>
  <c r="N283" i="17"/>
  <c r="J283" i="17"/>
  <c r="N282" i="17"/>
  <c r="J282" i="17"/>
  <c r="N280" i="17"/>
  <c r="J280" i="17"/>
  <c r="N279" i="17"/>
  <c r="J279" i="17"/>
  <c r="N275" i="17"/>
  <c r="J275" i="17"/>
  <c r="N274" i="17"/>
  <c r="J274" i="17"/>
  <c r="N273" i="17"/>
  <c r="J273" i="17"/>
  <c r="N272" i="17"/>
  <c r="J272" i="17"/>
  <c r="N271" i="17"/>
  <c r="J271" i="17"/>
  <c r="N270" i="17"/>
  <c r="J270" i="17"/>
  <c r="N269" i="17"/>
  <c r="J269" i="17"/>
  <c r="N268" i="17"/>
  <c r="J268" i="17"/>
  <c r="N261" i="17"/>
  <c r="J261" i="17"/>
  <c r="N259" i="17"/>
  <c r="J259" i="17"/>
  <c r="N257" i="17"/>
  <c r="J257" i="17"/>
  <c r="N256" i="17"/>
  <c r="J256" i="17"/>
  <c r="N254" i="17"/>
  <c r="J254" i="17"/>
  <c r="N253" i="17"/>
  <c r="J253" i="17"/>
  <c r="N251" i="17"/>
  <c r="J251" i="17"/>
  <c r="N250" i="17"/>
  <c r="J250" i="17"/>
  <c r="N249" i="17"/>
  <c r="J249" i="17"/>
  <c r="N248" i="17"/>
  <c r="J248" i="17"/>
  <c r="AC47" i="17"/>
  <c r="N247" i="17"/>
  <c r="J247" i="17"/>
  <c r="N246" i="17"/>
  <c r="J246" i="17"/>
  <c r="N245" i="17"/>
  <c r="J245" i="17"/>
  <c r="N244" i="17"/>
  <c r="J244" i="17"/>
  <c r="N237" i="17"/>
  <c r="J237" i="17"/>
  <c r="N235" i="17"/>
  <c r="J235" i="17"/>
  <c r="AC45" i="17"/>
  <c r="N233" i="17"/>
  <c r="J233" i="17"/>
  <c r="N232" i="17"/>
  <c r="J232" i="17"/>
  <c r="N231" i="17"/>
  <c r="J231" i="17"/>
  <c r="N229" i="17"/>
  <c r="J229" i="17"/>
  <c r="N228" i="17"/>
  <c r="J228" i="17"/>
  <c r="AC44" i="17"/>
  <c r="N227" i="17"/>
  <c r="J227" i="17"/>
  <c r="N226" i="17"/>
  <c r="J226" i="17"/>
  <c r="N225" i="17"/>
  <c r="J225" i="17"/>
  <c r="N224" i="17"/>
  <c r="J224" i="17"/>
  <c r="N223" i="17"/>
  <c r="J223" i="17"/>
  <c r="N222" i="17"/>
  <c r="J222" i="17"/>
  <c r="N221" i="17"/>
  <c r="J221" i="17"/>
  <c r="N220" i="17"/>
  <c r="J220" i="17"/>
  <c r="N219" i="17"/>
  <c r="J219" i="17"/>
  <c r="N212" i="17"/>
  <c r="J212" i="17"/>
  <c r="N210" i="17"/>
  <c r="J210" i="17"/>
  <c r="N208" i="17"/>
  <c r="J208" i="17"/>
  <c r="N207" i="17"/>
  <c r="J207" i="17"/>
  <c r="N205" i="17"/>
  <c r="AC41" i="17" s="1"/>
  <c r="J205" i="17"/>
  <c r="N204" i="17"/>
  <c r="J204" i="17"/>
  <c r="AC40" i="17"/>
  <c r="N203" i="17"/>
  <c r="J203" i="17"/>
  <c r="N202" i="17"/>
  <c r="J202" i="17"/>
  <c r="N201" i="17"/>
  <c r="J201" i="17"/>
  <c r="N200" i="17"/>
  <c r="J200" i="17"/>
  <c r="N199" i="17"/>
  <c r="J199" i="17"/>
  <c r="N198" i="17"/>
  <c r="J198" i="17"/>
  <c r="N197" i="17"/>
  <c r="J197" i="17"/>
  <c r="N196" i="17"/>
  <c r="J196" i="17"/>
  <c r="N195" i="17"/>
  <c r="J195" i="17"/>
  <c r="N188" i="17"/>
  <c r="J188" i="17"/>
  <c r="N186" i="17"/>
  <c r="J186" i="17"/>
  <c r="N184" i="17"/>
  <c r="J184" i="17"/>
  <c r="N183" i="17"/>
  <c r="J183" i="17"/>
  <c r="N181" i="17"/>
  <c r="AC37" i="17" s="1"/>
  <c r="J181" i="17"/>
  <c r="N180" i="17"/>
  <c r="J180" i="17"/>
  <c r="AC36" i="17"/>
  <c r="N179" i="17"/>
  <c r="J179" i="17"/>
  <c r="N178" i="17"/>
  <c r="J178" i="17"/>
  <c r="N177" i="17"/>
  <c r="J177" i="17"/>
  <c r="N176" i="17"/>
  <c r="J176" i="17"/>
  <c r="N175" i="17"/>
  <c r="J175" i="17"/>
  <c r="N174" i="17"/>
  <c r="J174" i="17"/>
  <c r="N173" i="17"/>
  <c r="J173" i="17"/>
  <c r="N172" i="17"/>
  <c r="J172" i="17"/>
  <c r="N165" i="17"/>
  <c r="J165" i="17"/>
  <c r="N163" i="17"/>
  <c r="J163" i="17"/>
  <c r="N161" i="17"/>
  <c r="J161" i="17"/>
  <c r="N160" i="17"/>
  <c r="J160" i="17"/>
  <c r="N158" i="17"/>
  <c r="J158" i="17"/>
  <c r="N157" i="17"/>
  <c r="J157" i="17"/>
  <c r="N156" i="17"/>
  <c r="J156" i="17"/>
  <c r="N155" i="17"/>
  <c r="J155" i="17"/>
  <c r="N154" i="17"/>
  <c r="J154" i="17"/>
  <c r="N153" i="17"/>
  <c r="J153" i="17"/>
  <c r="N151" i="17"/>
  <c r="J151" i="17"/>
  <c r="N150" i="17"/>
  <c r="J150" i="17"/>
  <c r="N149" i="17"/>
  <c r="J149" i="17"/>
  <c r="N148" i="17"/>
  <c r="J148" i="17"/>
  <c r="N141" i="17"/>
  <c r="J141" i="17"/>
  <c r="N139" i="17"/>
  <c r="J139" i="17"/>
  <c r="N137" i="17"/>
  <c r="J137" i="17"/>
  <c r="N136" i="17"/>
  <c r="J136" i="17"/>
  <c r="N134" i="17"/>
  <c r="J134" i="17"/>
  <c r="N133" i="17"/>
  <c r="J133" i="17"/>
  <c r="N132" i="17"/>
  <c r="J132" i="17"/>
  <c r="N131" i="17"/>
  <c r="J131" i="17"/>
  <c r="N130" i="17"/>
  <c r="J130" i="17"/>
  <c r="AC27" i="17"/>
  <c r="N129" i="17"/>
  <c r="J129" i="17"/>
  <c r="N128" i="17"/>
  <c r="J128" i="17"/>
  <c r="N127" i="17"/>
  <c r="J127" i="17"/>
  <c r="N126" i="17"/>
  <c r="J126" i="17"/>
  <c r="N125" i="17"/>
  <c r="J125" i="17"/>
  <c r="K121" i="17"/>
  <c r="N118" i="17"/>
  <c r="J118" i="17"/>
  <c r="N116" i="17"/>
  <c r="J116" i="17"/>
  <c r="N114" i="17"/>
  <c r="J114" i="17"/>
  <c r="N113" i="17"/>
  <c r="J113" i="17"/>
  <c r="N111" i="17"/>
  <c r="J111" i="17"/>
  <c r="N110" i="17"/>
  <c r="J110" i="17"/>
  <c r="N109" i="17"/>
  <c r="J109" i="17"/>
  <c r="N107" i="17"/>
  <c r="J107" i="17"/>
  <c r="N106" i="17"/>
  <c r="J106" i="17"/>
  <c r="J105" i="17"/>
  <c r="N103" i="17"/>
  <c r="J103" i="17"/>
  <c r="AC24" i="17"/>
  <c r="N102" i="17"/>
  <c r="J102" i="17"/>
  <c r="N101" i="17"/>
  <c r="J101" i="17"/>
  <c r="N100" i="17"/>
  <c r="J100" i="17"/>
  <c r="N98" i="17"/>
  <c r="J98" i="17"/>
  <c r="N97" i="17"/>
  <c r="J97" i="17"/>
  <c r="AC23" i="17"/>
  <c r="N96" i="17"/>
  <c r="J96" i="17"/>
  <c r="N95" i="17"/>
  <c r="J95" i="17"/>
  <c r="N94" i="17"/>
  <c r="J94" i="17"/>
  <c r="N93" i="17"/>
  <c r="J93" i="17"/>
  <c r="N92" i="17"/>
  <c r="J92" i="17"/>
  <c r="N91" i="17"/>
  <c r="J91" i="17"/>
  <c r="N90" i="17"/>
  <c r="J90" i="17"/>
  <c r="N89" i="17"/>
  <c r="J89" i="17"/>
  <c r="N88" i="17"/>
  <c r="J88" i="17"/>
  <c r="N87" i="17"/>
  <c r="J87" i="17"/>
  <c r="N86" i="17"/>
  <c r="J86" i="17"/>
  <c r="N85" i="17"/>
  <c r="J85" i="17"/>
  <c r="N84" i="17"/>
  <c r="J84" i="17"/>
  <c r="N83" i="17"/>
  <c r="J83" i="17"/>
  <c r="N82" i="17"/>
  <c r="J82" i="17"/>
  <c r="N81" i="17"/>
  <c r="J81" i="17"/>
  <c r="K77" i="17"/>
  <c r="I75" i="17"/>
  <c r="P75" i="17" s="1"/>
  <c r="G75" i="17"/>
  <c r="I74" i="17"/>
  <c r="P74" i="17" s="1"/>
  <c r="G74" i="17"/>
  <c r="I73" i="17"/>
  <c r="P73" i="17" s="1"/>
  <c r="G73" i="17"/>
  <c r="J72" i="17"/>
  <c r="I71" i="17"/>
  <c r="P71" i="17" s="1"/>
  <c r="G71" i="17"/>
  <c r="I70" i="17"/>
  <c r="P70" i="17" s="1"/>
  <c r="G70" i="17"/>
  <c r="I69" i="17"/>
  <c r="P69" i="17" s="1"/>
  <c r="G69" i="17"/>
  <c r="I68" i="17"/>
  <c r="G68" i="17"/>
  <c r="I67" i="17"/>
  <c r="P67" i="17" s="1"/>
  <c r="G67" i="17"/>
  <c r="AB66" i="17"/>
  <c r="J66" i="17"/>
  <c r="I65" i="17"/>
  <c r="P65" i="17" s="1"/>
  <c r="G65" i="17"/>
  <c r="AC64" i="17"/>
  <c r="AB64" i="17"/>
  <c r="J64" i="17"/>
  <c r="AC63" i="17"/>
  <c r="AB63" i="17"/>
  <c r="I63" i="17"/>
  <c r="P63" i="17" s="1"/>
  <c r="G63" i="17"/>
  <c r="AB62" i="17"/>
  <c r="I62" i="17"/>
  <c r="P62" i="17" s="1"/>
  <c r="G62" i="17"/>
  <c r="AB61" i="17"/>
  <c r="I61" i="17"/>
  <c r="G61" i="17"/>
  <c r="AB60" i="17"/>
  <c r="I60" i="17"/>
  <c r="P60" i="17" s="1"/>
  <c r="G60" i="17"/>
  <c r="AB59" i="17"/>
  <c r="AB58" i="17"/>
  <c r="AB57" i="17"/>
  <c r="AB56" i="17"/>
  <c r="K56" i="17"/>
  <c r="AB55" i="17"/>
  <c r="J55" i="17"/>
  <c r="I54" i="17"/>
  <c r="G54" i="17"/>
  <c r="AB53" i="17"/>
  <c r="J53" i="17"/>
  <c r="AB52" i="17"/>
  <c r="I52" i="17"/>
  <c r="P52" i="17" s="1"/>
  <c r="G52" i="17"/>
  <c r="J51" i="17"/>
  <c r="AB50" i="17"/>
  <c r="I50" i="17"/>
  <c r="P50" i="17" s="1"/>
  <c r="G50" i="17"/>
  <c r="AB49" i="17"/>
  <c r="I49" i="17"/>
  <c r="P49" i="17" s="1"/>
  <c r="G49" i="17"/>
  <c r="AB48" i="17"/>
  <c r="J48" i="17"/>
  <c r="AB47" i="17"/>
  <c r="I47" i="17"/>
  <c r="P47" i="17" s="1"/>
  <c r="G47" i="17"/>
  <c r="I46" i="17"/>
  <c r="G46" i="17"/>
  <c r="AB45" i="17"/>
  <c r="I45" i="17"/>
  <c r="P45" i="17" s="1"/>
  <c r="G45" i="17"/>
  <c r="AB44" i="17"/>
  <c r="J44" i="17"/>
  <c r="AB43" i="17"/>
  <c r="I43" i="17"/>
  <c r="P43" i="17" s="1"/>
  <c r="G43" i="17"/>
  <c r="I42" i="17"/>
  <c r="P42" i="17" s="1"/>
  <c r="G42" i="17"/>
  <c r="AB41" i="17"/>
  <c r="I41" i="17"/>
  <c r="G41" i="17"/>
  <c r="J41" i="17" s="1"/>
  <c r="AB40" i="17"/>
  <c r="J40" i="17"/>
  <c r="AB39" i="17"/>
  <c r="I39" i="17"/>
  <c r="P39" i="17" s="1"/>
  <c r="G39" i="17"/>
  <c r="I38" i="17"/>
  <c r="P38" i="17" s="1"/>
  <c r="G38" i="17"/>
  <c r="AB37" i="17"/>
  <c r="I37" i="17"/>
  <c r="P37" i="17" s="1"/>
  <c r="G37" i="17"/>
  <c r="AB36" i="17"/>
  <c r="I36" i="17"/>
  <c r="P36" i="17" s="1"/>
  <c r="G36" i="17"/>
  <c r="AB35" i="17"/>
  <c r="J35" i="17"/>
  <c r="I34" i="17"/>
  <c r="P34" i="17" s="1"/>
  <c r="G34" i="17"/>
  <c r="AC33" i="17"/>
  <c r="AB33" i="17"/>
  <c r="I33" i="17"/>
  <c r="P33" i="17" s="1"/>
  <c r="G33" i="17"/>
  <c r="AC32" i="17"/>
  <c r="AB32" i="17"/>
  <c r="I32" i="17"/>
  <c r="P32" i="17" s="1"/>
  <c r="G32" i="17"/>
  <c r="AB31" i="17"/>
  <c r="I31" i="17"/>
  <c r="P31" i="17" s="1"/>
  <c r="G31" i="17"/>
  <c r="I30" i="17"/>
  <c r="P30" i="17" s="1"/>
  <c r="G30" i="17"/>
  <c r="AC29" i="17"/>
  <c r="AB29" i="17"/>
  <c r="I29" i="17"/>
  <c r="P29" i="17" s="1"/>
  <c r="G29" i="17"/>
  <c r="AC28" i="17"/>
  <c r="AB28" i="17"/>
  <c r="I28" i="17"/>
  <c r="P28" i="17" s="1"/>
  <c r="G28" i="17"/>
  <c r="AB27" i="17"/>
  <c r="I27" i="17"/>
  <c r="P27" i="17" s="1"/>
  <c r="G27" i="17"/>
  <c r="I26" i="17"/>
  <c r="P26" i="17" s="1"/>
  <c r="G26" i="17"/>
  <c r="AC25" i="17"/>
  <c r="AB25" i="17"/>
  <c r="I25" i="17"/>
  <c r="P25" i="17" s="1"/>
  <c r="G25" i="17"/>
  <c r="AB24" i="17"/>
  <c r="I24" i="17"/>
  <c r="P24" i="17" s="1"/>
  <c r="G24" i="17"/>
  <c r="AB23" i="17"/>
  <c r="I23" i="17"/>
  <c r="P23" i="17" s="1"/>
  <c r="G23" i="17"/>
  <c r="AB22" i="17"/>
  <c r="I22" i="17"/>
  <c r="G22" i="17"/>
  <c r="AB21" i="17"/>
  <c r="I21" i="17"/>
  <c r="P21" i="17" s="1"/>
  <c r="G21" i="17"/>
  <c r="I20" i="17"/>
  <c r="P20" i="17" s="1"/>
  <c r="G20" i="17"/>
  <c r="AB19" i="17"/>
  <c r="I19" i="17"/>
  <c r="P19" i="17" s="1"/>
  <c r="G19" i="17"/>
  <c r="AB18" i="17"/>
  <c r="J18" i="17"/>
  <c r="AB17" i="17"/>
  <c r="I17" i="17"/>
  <c r="G17" i="17"/>
  <c r="J17" i="17" s="1"/>
  <c r="AB16" i="17"/>
  <c r="J16" i="17"/>
  <c r="I15" i="17"/>
  <c r="G15" i="17"/>
  <c r="J15" i="17" s="1"/>
  <c r="AB14" i="17"/>
  <c r="I14" i="17"/>
  <c r="G14" i="17"/>
  <c r="AB13" i="17"/>
  <c r="I13" i="17"/>
  <c r="G13" i="17"/>
  <c r="AB12" i="17"/>
  <c r="AB11" i="17"/>
  <c r="AB10" i="17"/>
  <c r="Y14" i="14"/>
  <c r="Y15" i="14"/>
  <c r="Z15" i="14"/>
  <c r="Y16" i="14"/>
  <c r="Z16" i="14"/>
  <c r="Y17" i="14"/>
  <c r="Z17" i="14"/>
  <c r="Y18" i="14"/>
  <c r="Z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Z35" i="14"/>
  <c r="Y36" i="14"/>
  <c r="Y37" i="14"/>
  <c r="Y38" i="14"/>
  <c r="Y39" i="14"/>
  <c r="Y40" i="14"/>
  <c r="Z40" i="14"/>
  <c r="Y41" i="14"/>
  <c r="Z41" i="14"/>
  <c r="Y42" i="14"/>
  <c r="Y43" i="14"/>
  <c r="Y44" i="14"/>
  <c r="Z44" i="14"/>
  <c r="Y45" i="14"/>
  <c r="Y46" i="14"/>
  <c r="Y47" i="14"/>
  <c r="Y48" i="14"/>
  <c r="Z48" i="14"/>
  <c r="Y49" i="14"/>
  <c r="Y50" i="14"/>
  <c r="Y51" i="14"/>
  <c r="Z51" i="14"/>
  <c r="Y52" i="14"/>
  <c r="Y53" i="14"/>
  <c r="Z53" i="14"/>
  <c r="Y54" i="14"/>
  <c r="Y55" i="14"/>
  <c r="Z55" i="14"/>
  <c r="Y57" i="14"/>
  <c r="Z57" i="14"/>
  <c r="Y58" i="14"/>
  <c r="Z58" i="14"/>
  <c r="Y59" i="14"/>
  <c r="Z59" i="14"/>
  <c r="Y60" i="14"/>
  <c r="Y61" i="14"/>
  <c r="Y62" i="14"/>
  <c r="Y63" i="14"/>
  <c r="Y64" i="14"/>
  <c r="Z64" i="14"/>
  <c r="Y65" i="14"/>
  <c r="Y66" i="14"/>
  <c r="Z66" i="14"/>
  <c r="Y67" i="14"/>
  <c r="Y68" i="14"/>
  <c r="Y69" i="14"/>
  <c r="Y70" i="14"/>
  <c r="Y71" i="14"/>
  <c r="Y72" i="14"/>
  <c r="Z72" i="14"/>
  <c r="Y73" i="14"/>
  <c r="Y74" i="14"/>
  <c r="Y75" i="14"/>
  <c r="Y76" i="14"/>
  <c r="Z76" i="14"/>
  <c r="Y78" i="14"/>
  <c r="Z78" i="14"/>
  <c r="Y79" i="14"/>
  <c r="Z79" i="14"/>
  <c r="Y80" i="14"/>
  <c r="Z80" i="14"/>
  <c r="Y81" i="14"/>
  <c r="Y82" i="14"/>
  <c r="Y83" i="14"/>
  <c r="Y84" i="14"/>
  <c r="Y85" i="14"/>
  <c r="Y86" i="14"/>
  <c r="Y87" i="14"/>
  <c r="Y88" i="14"/>
  <c r="Y89" i="14"/>
  <c r="Y90" i="14"/>
  <c r="Y91" i="14"/>
  <c r="Y92" i="14"/>
  <c r="Y93" i="14"/>
  <c r="Y94" i="14"/>
  <c r="Y95" i="14"/>
  <c r="Y96" i="14"/>
  <c r="Y97" i="14"/>
  <c r="Y98" i="14"/>
  <c r="Y99" i="14"/>
  <c r="Z99" i="14"/>
  <c r="Y100" i="14"/>
  <c r="Y101" i="14"/>
  <c r="Y102" i="14"/>
  <c r="Y103" i="14"/>
  <c r="Y104" i="14"/>
  <c r="Z104" i="14"/>
  <c r="Y105" i="14"/>
  <c r="Z105" i="14"/>
  <c r="Y106" i="14"/>
  <c r="Y107" i="14"/>
  <c r="Y108" i="14"/>
  <c r="Z108" i="14"/>
  <c r="Y109" i="14"/>
  <c r="Y110" i="14"/>
  <c r="Y111" i="14"/>
  <c r="Y112" i="14"/>
  <c r="Z112" i="14"/>
  <c r="Y113" i="14"/>
  <c r="Y114" i="14"/>
  <c r="Y115" i="14"/>
  <c r="Z115" i="14"/>
  <c r="Y117" i="14"/>
  <c r="Z117" i="14"/>
  <c r="Y118" i="14"/>
  <c r="Y119" i="14"/>
  <c r="Z119" i="14"/>
  <c r="Y120" i="14"/>
  <c r="Z120" i="14"/>
  <c r="Y121" i="14"/>
  <c r="Y122" i="14"/>
  <c r="Z122" i="14"/>
  <c r="Y123" i="14"/>
  <c r="Z123" i="14"/>
  <c r="Y124" i="14"/>
  <c r="Z124" i="14"/>
  <c r="Y125" i="14"/>
  <c r="Y126" i="14"/>
  <c r="Y127" i="14"/>
  <c r="Y128" i="14"/>
  <c r="Y129" i="14"/>
  <c r="Y130" i="14"/>
  <c r="Y131" i="14"/>
  <c r="Y132" i="14"/>
  <c r="Y133" i="14"/>
  <c r="Y134" i="14"/>
  <c r="Y135" i="14"/>
  <c r="Z135" i="14"/>
  <c r="Y136" i="14"/>
  <c r="Y137" i="14"/>
  <c r="Y138" i="14"/>
  <c r="Z138" i="14"/>
  <c r="Y139" i="14"/>
  <c r="Y140" i="14"/>
  <c r="Z140" i="14"/>
  <c r="Y141" i="14"/>
  <c r="Y142" i="14"/>
  <c r="Z142" i="14"/>
  <c r="Y143" i="14"/>
  <c r="Z143" i="14"/>
  <c r="Y144" i="14"/>
  <c r="Y145" i="14"/>
  <c r="Z145" i="14"/>
  <c r="Y146" i="14"/>
  <c r="Z146" i="14"/>
  <c r="Y147" i="14"/>
  <c r="Z147" i="14"/>
  <c r="Y148" i="14"/>
  <c r="Y149" i="14"/>
  <c r="Y150" i="14"/>
  <c r="Y151" i="14"/>
  <c r="Y152" i="14"/>
  <c r="Z152" i="14"/>
  <c r="Y153" i="14"/>
  <c r="Y154" i="14"/>
  <c r="Y155" i="14"/>
  <c r="Y156" i="14"/>
  <c r="Y157" i="14"/>
  <c r="Y158" i="14"/>
  <c r="Y159" i="14"/>
  <c r="Z159" i="14"/>
  <c r="Y160" i="14"/>
  <c r="Y161" i="14"/>
  <c r="Y162" i="14"/>
  <c r="Z162" i="14"/>
  <c r="Y164" i="14"/>
  <c r="Z164" i="14"/>
  <c r="Y165" i="14"/>
  <c r="Y166" i="14"/>
  <c r="Z166" i="14"/>
  <c r="Y167" i="14"/>
  <c r="Z167" i="14"/>
  <c r="Y168" i="14"/>
  <c r="Y169" i="14"/>
  <c r="Z169" i="14"/>
  <c r="Y170" i="14"/>
  <c r="Z170" i="14"/>
  <c r="Y171" i="14"/>
  <c r="Z171" i="14"/>
  <c r="Y172" i="14"/>
  <c r="Y173" i="14"/>
  <c r="Y174" i="14"/>
  <c r="Y175" i="14"/>
  <c r="Y176" i="14"/>
  <c r="Y177" i="14"/>
  <c r="Y178" i="14"/>
  <c r="Y179" i="14"/>
  <c r="Y180" i="14"/>
  <c r="Y181" i="14"/>
  <c r="Y182" i="14"/>
  <c r="Z182" i="14"/>
  <c r="Y183" i="14"/>
  <c r="Y184" i="14"/>
  <c r="Y185" i="14"/>
  <c r="Z185" i="14"/>
  <c r="Y186" i="14"/>
  <c r="Y187" i="14"/>
  <c r="Z187" i="14"/>
  <c r="Y189" i="14"/>
  <c r="Z189" i="14"/>
  <c r="Y190" i="14"/>
  <c r="Z190" i="14"/>
  <c r="Y191" i="14"/>
  <c r="Y192" i="14"/>
  <c r="Y193" i="14"/>
  <c r="Y194" i="14"/>
  <c r="Y195" i="14"/>
  <c r="Y196" i="14"/>
  <c r="Y197" i="14"/>
  <c r="Y198" i="14"/>
  <c r="Y199" i="14"/>
  <c r="Y200" i="14"/>
  <c r="Y201" i="14"/>
  <c r="Y202" i="14"/>
  <c r="Y203" i="14"/>
  <c r="Y204" i="14"/>
  <c r="Y205" i="14"/>
  <c r="Y206" i="14"/>
  <c r="Y207" i="14"/>
  <c r="Y208" i="14"/>
  <c r="Y209" i="14"/>
  <c r="Y211" i="14"/>
  <c r="Y213" i="14"/>
  <c r="Y214" i="14"/>
  <c r="Y215" i="14"/>
  <c r="Y216" i="14"/>
  <c r="Y217" i="14"/>
  <c r="Y218" i="14"/>
  <c r="Y219" i="14"/>
  <c r="Y220" i="14"/>
  <c r="Y221" i="14"/>
  <c r="Y222" i="14"/>
  <c r="Y223" i="14"/>
  <c r="Y224" i="14"/>
  <c r="Y225" i="14"/>
  <c r="Y226" i="14"/>
  <c r="Y227" i="14"/>
  <c r="Y228" i="14"/>
  <c r="Y229" i="14"/>
  <c r="Y230" i="14"/>
  <c r="Y231" i="14"/>
  <c r="Y232" i="14"/>
  <c r="Y233" i="14"/>
  <c r="Y234" i="14"/>
  <c r="Y235" i="14"/>
  <c r="Y236" i="14"/>
  <c r="Y238" i="14"/>
  <c r="Y239" i="14"/>
  <c r="Y240" i="14"/>
  <c r="Y241" i="14"/>
  <c r="Y242" i="14"/>
  <c r="Y243" i="14"/>
  <c r="Y244" i="14"/>
  <c r="Y245" i="14"/>
  <c r="Y246" i="14"/>
  <c r="Y247" i="14"/>
  <c r="Y248" i="14"/>
  <c r="Y249" i="14"/>
  <c r="Y250" i="14"/>
  <c r="Y251" i="14"/>
  <c r="Y252" i="14"/>
  <c r="Y253" i="14"/>
  <c r="Y254" i="14"/>
  <c r="Y255" i="14"/>
  <c r="Y256" i="14"/>
  <c r="Y257" i="14"/>
  <c r="Y258" i="14"/>
  <c r="Y259" i="14"/>
  <c r="Y260" i="14"/>
  <c r="Y261" i="14"/>
  <c r="Y262" i="14"/>
  <c r="Y263" i="14"/>
  <c r="Y264" i="14"/>
  <c r="Y265" i="14"/>
  <c r="Y266" i="14"/>
  <c r="Y267" i="14"/>
  <c r="Y268" i="14"/>
  <c r="Y269" i="14"/>
  <c r="Y270" i="14"/>
  <c r="Y271" i="14"/>
  <c r="Y272" i="14"/>
  <c r="Y273" i="14"/>
  <c r="Y274" i="14"/>
  <c r="Y275" i="14"/>
  <c r="Y276" i="14"/>
  <c r="Y277" i="14"/>
  <c r="Y278" i="14"/>
  <c r="Y279" i="14"/>
  <c r="Y280" i="14"/>
  <c r="Y281" i="14"/>
  <c r="Y282" i="14"/>
  <c r="Y283" i="14"/>
  <c r="Y284" i="14"/>
  <c r="Y285" i="14"/>
  <c r="Y286" i="14"/>
  <c r="Y287" i="14"/>
  <c r="Y288" i="14"/>
  <c r="Y289" i="14"/>
  <c r="Y290" i="14"/>
  <c r="Y291" i="14"/>
  <c r="Y292" i="14"/>
  <c r="Y293" i="14"/>
  <c r="Y294" i="14"/>
  <c r="Y295" i="14"/>
  <c r="Y296" i="14"/>
  <c r="Y297" i="14"/>
  <c r="Y298" i="14"/>
  <c r="Y299" i="14"/>
  <c r="Y300" i="14"/>
  <c r="Y301" i="14"/>
  <c r="Y302" i="14"/>
  <c r="Y303" i="14"/>
  <c r="Y304" i="14"/>
  <c r="Y305" i="14"/>
  <c r="Y306" i="14"/>
  <c r="Y307" i="14"/>
  <c r="Y308" i="14"/>
  <c r="Y309" i="14"/>
  <c r="Y310" i="14"/>
  <c r="Y311" i="14"/>
  <c r="Y312" i="14"/>
  <c r="Y313" i="14"/>
  <c r="Y314" i="14"/>
  <c r="Y315" i="14"/>
  <c r="Y316" i="14"/>
  <c r="Y317" i="14"/>
  <c r="Y318" i="14"/>
  <c r="Y319" i="14"/>
  <c r="Y320" i="14"/>
  <c r="Y321" i="14"/>
  <c r="Y322" i="14"/>
  <c r="Y323" i="14"/>
  <c r="Y324" i="14"/>
  <c r="Y325" i="14"/>
  <c r="Y326" i="14"/>
  <c r="Y327" i="14"/>
  <c r="Y328" i="14"/>
  <c r="Y329" i="14"/>
  <c r="Y330" i="14"/>
  <c r="Y331" i="14"/>
  <c r="Y332" i="14"/>
  <c r="Y333" i="14"/>
  <c r="Y334" i="14"/>
  <c r="Y335" i="14"/>
  <c r="Y336" i="14"/>
  <c r="Y337" i="14"/>
  <c r="Y338" i="14"/>
  <c r="Y339" i="14"/>
  <c r="Y340" i="14"/>
  <c r="Y341" i="14"/>
  <c r="Y342" i="14"/>
  <c r="Y343" i="14"/>
  <c r="Y344" i="14"/>
  <c r="Y345" i="14"/>
  <c r="Y346" i="14"/>
  <c r="Y347" i="14"/>
  <c r="Y348" i="14"/>
  <c r="Y349" i="14"/>
  <c r="Y350" i="14"/>
  <c r="Y351" i="14"/>
  <c r="Y352" i="14"/>
  <c r="Y353" i="14"/>
  <c r="Y354" i="14"/>
  <c r="Y355" i="14"/>
  <c r="Y356" i="14"/>
  <c r="Y357" i="14"/>
  <c r="Y358" i="14"/>
  <c r="Y359" i="14"/>
  <c r="Y360" i="14"/>
  <c r="Y361" i="14"/>
  <c r="Y362" i="14"/>
  <c r="Y363" i="14"/>
  <c r="Y364" i="14"/>
  <c r="Y365" i="14"/>
  <c r="Y366" i="14"/>
  <c r="Y367" i="14"/>
  <c r="Y368" i="14"/>
  <c r="Y369" i="14"/>
  <c r="Y370" i="14"/>
  <c r="Y371" i="14"/>
  <c r="Y372" i="14"/>
  <c r="Y373" i="14"/>
  <c r="Y374" i="14"/>
  <c r="Y375" i="14"/>
  <c r="Y376" i="14"/>
  <c r="Y377" i="14"/>
  <c r="Y378" i="14"/>
  <c r="Y379" i="14"/>
  <c r="Y380" i="14"/>
  <c r="Y381" i="14"/>
  <c r="Y382" i="14"/>
  <c r="Y383" i="14"/>
  <c r="Y384" i="14"/>
  <c r="Y385" i="14"/>
  <c r="Y386" i="14"/>
  <c r="Y387" i="14"/>
  <c r="Y388" i="14"/>
  <c r="Y389" i="14"/>
  <c r="Y390" i="14"/>
  <c r="Y391" i="14"/>
  <c r="Y392" i="14"/>
  <c r="Y393" i="14"/>
  <c r="Y394" i="14"/>
  <c r="Y395" i="14"/>
  <c r="Y396" i="14"/>
  <c r="Y400" i="14"/>
  <c r="Y401" i="14"/>
  <c r="Y402" i="14"/>
  <c r="Y403" i="14"/>
  <c r="Y404" i="14"/>
  <c r="Y405" i="14"/>
  <c r="Y406" i="14"/>
  <c r="Y407" i="14"/>
  <c r="Y408" i="14"/>
  <c r="Y409" i="14"/>
  <c r="Y410" i="14"/>
  <c r="Y411" i="14"/>
  <c r="Y412" i="14"/>
  <c r="Y413" i="14"/>
  <c r="Y414" i="14"/>
  <c r="Y415" i="14"/>
  <c r="Y416" i="14"/>
  <c r="Y417" i="14"/>
  <c r="Y418" i="14"/>
  <c r="Y419" i="14"/>
  <c r="Y420" i="14"/>
  <c r="Y421" i="14"/>
  <c r="Y422" i="14"/>
  <c r="Y423" i="14"/>
  <c r="Y424" i="14"/>
  <c r="Y425" i="14"/>
  <c r="Y426" i="14"/>
  <c r="Y427" i="14"/>
  <c r="Y428" i="14"/>
  <c r="Y429" i="14"/>
  <c r="Y430" i="14"/>
  <c r="Y431" i="14"/>
  <c r="Y432" i="14"/>
  <c r="Y433" i="14"/>
  <c r="Y434" i="14"/>
  <c r="Y435" i="14"/>
  <c r="Y436" i="14"/>
  <c r="Y438" i="14"/>
  <c r="Y439" i="14"/>
  <c r="Y440" i="14"/>
  <c r="Y441" i="14"/>
  <c r="Y442" i="14"/>
  <c r="Y443" i="14"/>
  <c r="Y444" i="14"/>
  <c r="Y445" i="14"/>
  <c r="Y446" i="14"/>
  <c r="Y447" i="14"/>
  <c r="Y448" i="14"/>
  <c r="Y449" i="14"/>
  <c r="Y450" i="14"/>
  <c r="Y451" i="14"/>
  <c r="Y452" i="14"/>
  <c r="Y453" i="14"/>
  <c r="Y454" i="14"/>
  <c r="Y455" i="14"/>
  <c r="Y456" i="14"/>
  <c r="Y457" i="14"/>
  <c r="Y458" i="14"/>
  <c r="Y459" i="14"/>
  <c r="Y460" i="14"/>
  <c r="Y461" i="14"/>
  <c r="Y462" i="14"/>
  <c r="Y463" i="14"/>
  <c r="Y464" i="14"/>
  <c r="Y465" i="14"/>
  <c r="Y466" i="14"/>
  <c r="Y467" i="14"/>
  <c r="Y468" i="14"/>
  <c r="Y469" i="14"/>
  <c r="Y470" i="14"/>
  <c r="Y471" i="14"/>
  <c r="Y472" i="14"/>
  <c r="Y473" i="14"/>
  <c r="Y474" i="14"/>
  <c r="Y475" i="14"/>
  <c r="Y476" i="14"/>
  <c r="Y477" i="14"/>
  <c r="Y478" i="14"/>
  <c r="Y479" i="14"/>
  <c r="Y480" i="14"/>
  <c r="Y481" i="14"/>
  <c r="Y482" i="14"/>
  <c r="Y483" i="14"/>
  <c r="Y484" i="14"/>
  <c r="Y485" i="14"/>
  <c r="Y486" i="14"/>
  <c r="Y487" i="14"/>
  <c r="Y488" i="14"/>
  <c r="Y489" i="14"/>
  <c r="Y490" i="14"/>
  <c r="Y491" i="14"/>
  <c r="Y492" i="14"/>
  <c r="Y493" i="14"/>
  <c r="Y494" i="14"/>
  <c r="Y495" i="14"/>
  <c r="Y496" i="14"/>
  <c r="Y497" i="14"/>
  <c r="Y498" i="14"/>
  <c r="Y499" i="14"/>
  <c r="Y500" i="14"/>
  <c r="Y501" i="14"/>
  <c r="Y502" i="14"/>
  <c r="Y503" i="14"/>
  <c r="Y504" i="14"/>
  <c r="Y505" i="14"/>
  <c r="Y506" i="14"/>
  <c r="Y507" i="14"/>
  <c r="Y508" i="14"/>
  <c r="Y509" i="14"/>
  <c r="Y510" i="14"/>
  <c r="Y511" i="14"/>
  <c r="Y512" i="14"/>
  <c r="Y513" i="14"/>
  <c r="Y514" i="14"/>
  <c r="Y515" i="14"/>
  <c r="Y516" i="14"/>
  <c r="Y517" i="14"/>
  <c r="Y518" i="14"/>
  <c r="Y519" i="14"/>
  <c r="Y520" i="14"/>
  <c r="Y521" i="14"/>
  <c r="Y522" i="14"/>
  <c r="Y523" i="14"/>
  <c r="Y524" i="14"/>
  <c r="Y525" i="14"/>
  <c r="Y526" i="14"/>
  <c r="Y527" i="14"/>
  <c r="Y528" i="14"/>
  <c r="Y529" i="14"/>
  <c r="Y531" i="14"/>
  <c r="Y532" i="14"/>
  <c r="Y533" i="14"/>
  <c r="Y534" i="14"/>
  <c r="Y535" i="14"/>
  <c r="Y536" i="14"/>
  <c r="Y537" i="14"/>
  <c r="Y538" i="14"/>
  <c r="Y539" i="14"/>
  <c r="Y540" i="14"/>
  <c r="Y541" i="14"/>
  <c r="Y542" i="14"/>
  <c r="Y543" i="14"/>
  <c r="Y544" i="14"/>
  <c r="Y545" i="14"/>
  <c r="Y546" i="14"/>
  <c r="Y547" i="14"/>
  <c r="Y548" i="14"/>
  <c r="Y549" i="14"/>
  <c r="Y550" i="14"/>
  <c r="Y551" i="14"/>
  <c r="Y552" i="14"/>
  <c r="Y553" i="14"/>
  <c r="Y554" i="14"/>
  <c r="Y555" i="14"/>
  <c r="Y556" i="14"/>
  <c r="Y557" i="14"/>
  <c r="Y558" i="14"/>
  <c r="Y559" i="14"/>
  <c r="Y560" i="14"/>
  <c r="Y561" i="14"/>
  <c r="Y562" i="14"/>
  <c r="Y563" i="14"/>
  <c r="Y564" i="14"/>
  <c r="Y565" i="14"/>
  <c r="Y566" i="14"/>
  <c r="Y567" i="14"/>
  <c r="Y568" i="14"/>
  <c r="Y569" i="14"/>
  <c r="Y570" i="14"/>
  <c r="Y571" i="14"/>
  <c r="Y572" i="14"/>
  <c r="Y573" i="14"/>
  <c r="Y574" i="14"/>
  <c r="Y575" i="14"/>
  <c r="Y576" i="14"/>
  <c r="Y577" i="14"/>
  <c r="Y578" i="14"/>
  <c r="Y579" i="14"/>
  <c r="Y580" i="14"/>
  <c r="Y581" i="14"/>
  <c r="Y582" i="14"/>
  <c r="Y583" i="14"/>
  <c r="Y584" i="14"/>
  <c r="Y585" i="14"/>
  <c r="Y586" i="14"/>
  <c r="Y587" i="14"/>
  <c r="Y588" i="14"/>
  <c r="Y589" i="14"/>
  <c r="Y590" i="14"/>
  <c r="Y591" i="14"/>
  <c r="Y592" i="14"/>
  <c r="Y593" i="14"/>
  <c r="Y594" i="14"/>
  <c r="Y595" i="14"/>
  <c r="Y596" i="14"/>
  <c r="Y597" i="14"/>
  <c r="Y598" i="14"/>
  <c r="Y599" i="14"/>
  <c r="Y600" i="14"/>
  <c r="Y601" i="14"/>
  <c r="Y602" i="14"/>
  <c r="Y603" i="14"/>
  <c r="Y604" i="14"/>
  <c r="Y605" i="14"/>
  <c r="Y606" i="14"/>
  <c r="Y607" i="14"/>
  <c r="Y608" i="14"/>
  <c r="Y609" i="14"/>
  <c r="Y610" i="14"/>
  <c r="Y611" i="14"/>
  <c r="Y612" i="14"/>
  <c r="Y613" i="14"/>
  <c r="Y614" i="14"/>
  <c r="Y615" i="14"/>
  <c r="Y616" i="14"/>
  <c r="Y617" i="14"/>
  <c r="Y618" i="14"/>
  <c r="Y619" i="14"/>
  <c r="Y620" i="14"/>
  <c r="Y621" i="14"/>
  <c r="Y622" i="14"/>
  <c r="Y623" i="14"/>
  <c r="Y624" i="14"/>
  <c r="Y625" i="14"/>
  <c r="Y626" i="14"/>
  <c r="Y627" i="14"/>
  <c r="Y628" i="14"/>
  <c r="Y630" i="14"/>
  <c r="Z630" i="14"/>
  <c r="Y631" i="14"/>
  <c r="Y632" i="14"/>
  <c r="Z632" i="14"/>
  <c r="Y633" i="14"/>
  <c r="Z633" i="14"/>
  <c r="Y634" i="14"/>
  <c r="Z634" i="14"/>
  <c r="Y635" i="14"/>
  <c r="Y636" i="14"/>
  <c r="Z636" i="14"/>
  <c r="Y637" i="14"/>
  <c r="Z637" i="14"/>
  <c r="Y638" i="14"/>
  <c r="Y639" i="14"/>
  <c r="Y13" i="14"/>
  <c r="U13" i="14"/>
  <c r="P639" i="14"/>
  <c r="P638" i="14"/>
  <c r="P631" i="14"/>
  <c r="P635" i="14" s="1"/>
  <c r="P624" i="14"/>
  <c r="P628" i="14" s="1"/>
  <c r="P619" i="14"/>
  <c r="P618" i="14"/>
  <c r="P617" i="14"/>
  <c r="P616" i="14"/>
  <c r="P610" i="14"/>
  <c r="P609" i="14"/>
  <c r="P608" i="14"/>
  <c r="P607" i="14"/>
  <c r="P606" i="14"/>
  <c r="P605" i="14"/>
  <c r="P604" i="14"/>
  <c r="P603" i="14"/>
  <c r="P602" i="14"/>
  <c r="P601" i="14"/>
  <c r="P599" i="14"/>
  <c r="P597" i="14"/>
  <c r="P595" i="14"/>
  <c r="P593" i="14"/>
  <c r="P591" i="14"/>
  <c r="P590" i="14"/>
  <c r="P589" i="14"/>
  <c r="P587" i="14"/>
  <c r="P585" i="14"/>
  <c r="P584" i="14"/>
  <c r="P578" i="14"/>
  <c r="P577" i="14"/>
  <c r="P575" i="14"/>
  <c r="P574" i="14"/>
  <c r="P573" i="14"/>
  <c r="P572" i="14"/>
  <c r="P571" i="14"/>
  <c r="P570" i="14"/>
  <c r="P569" i="14"/>
  <c r="P568" i="14"/>
  <c r="P566" i="14"/>
  <c r="P565" i="14"/>
  <c r="P564" i="14"/>
  <c r="P562" i="14"/>
  <c r="P561" i="14"/>
  <c r="P560" i="14"/>
  <c r="P559" i="14"/>
  <c r="P557" i="14"/>
  <c r="P555" i="14"/>
  <c r="P554" i="14"/>
  <c r="P553" i="14"/>
  <c r="P547" i="14"/>
  <c r="P545" i="14"/>
  <c r="P544" i="14"/>
  <c r="P543" i="14"/>
  <c r="P542" i="14"/>
  <c r="P541" i="14"/>
  <c r="P540" i="14"/>
  <c r="P539" i="14"/>
  <c r="P538" i="14"/>
  <c r="P535" i="14"/>
  <c r="P534" i="14"/>
  <c r="P533" i="14"/>
  <c r="P531" i="14"/>
  <c r="P529" i="14"/>
  <c r="P528" i="14"/>
  <c r="P522" i="14"/>
  <c r="P521" i="14"/>
  <c r="P520" i="14"/>
  <c r="P519" i="14"/>
  <c r="P518" i="14"/>
  <c r="P517" i="14"/>
  <c r="P515" i="14"/>
  <c r="P514" i="14"/>
  <c r="P513" i="14"/>
  <c r="P512" i="14"/>
  <c r="P511" i="14"/>
  <c r="P504" i="14"/>
  <c r="P503" i="14"/>
  <c r="P502" i="14"/>
  <c r="P501" i="14"/>
  <c r="P500" i="14"/>
  <c r="P499" i="14"/>
  <c r="P498" i="14"/>
  <c r="P497" i="14"/>
  <c r="P490" i="14"/>
  <c r="P489" i="14"/>
  <c r="P488" i="14"/>
  <c r="P487" i="14"/>
  <c r="P486" i="14"/>
  <c r="P485" i="14"/>
  <c r="P484" i="14"/>
  <c r="P483" i="14"/>
  <c r="P482" i="14"/>
  <c r="P481" i="14"/>
  <c r="P480" i="14"/>
  <c r="P477" i="14"/>
  <c r="P476" i="14"/>
  <c r="P474" i="14"/>
  <c r="P473" i="14"/>
  <c r="P472" i="14"/>
  <c r="P471" i="14"/>
  <c r="P470" i="14"/>
  <c r="P469" i="14"/>
  <c r="P467" i="14"/>
  <c r="P466" i="14"/>
  <c r="P459" i="14"/>
  <c r="P458" i="14"/>
  <c r="P457" i="14"/>
  <c r="P456" i="14"/>
  <c r="P455" i="14"/>
  <c r="P454" i="14"/>
  <c r="P453" i="14"/>
  <c r="P452" i="14"/>
  <c r="P451" i="14"/>
  <c r="P450" i="14"/>
  <c r="P447" i="14"/>
  <c r="P446" i="14"/>
  <c r="P444" i="14"/>
  <c r="P443" i="14"/>
  <c r="P442" i="14"/>
  <c r="P441" i="14"/>
  <c r="P440" i="14"/>
  <c r="P439" i="14"/>
  <c r="P438" i="14"/>
  <c r="P437" i="14"/>
  <c r="P436" i="14"/>
  <c r="P435" i="14"/>
  <c r="P429" i="14"/>
  <c r="P427" i="14"/>
  <c r="P426" i="14"/>
  <c r="P425" i="14"/>
  <c r="P424" i="14"/>
  <c r="P423" i="14"/>
  <c r="P422" i="14"/>
  <c r="P421" i="14"/>
  <c r="P420" i="14"/>
  <c r="P419" i="14"/>
  <c r="P418" i="14"/>
  <c r="P417" i="14"/>
  <c r="P416" i="14"/>
  <c r="P415" i="14"/>
  <c r="P412" i="14"/>
  <c r="P410" i="14"/>
  <c r="P409" i="14"/>
  <c r="P408" i="14"/>
  <c r="P407" i="14"/>
  <c r="P406" i="14"/>
  <c r="P405" i="14"/>
  <c r="P404" i="14"/>
  <c r="P403" i="14"/>
  <c r="P402" i="14"/>
  <c r="P399" i="14"/>
  <c r="P398" i="14"/>
  <c r="P396" i="14"/>
  <c r="P395" i="14"/>
  <c r="P394" i="14"/>
  <c r="P384" i="14"/>
  <c r="P383" i="14"/>
  <c r="P382" i="14"/>
  <c r="P381" i="14"/>
  <c r="P380" i="14"/>
  <c r="P379" i="14"/>
  <c r="P378" i="14"/>
  <c r="P377" i="14"/>
  <c r="P376" i="14"/>
  <c r="P375" i="14"/>
  <c r="P373" i="14"/>
  <c r="P372" i="14"/>
  <c r="P371" i="14"/>
  <c r="P370" i="14"/>
  <c r="P369" i="14"/>
  <c r="P367" i="14"/>
  <c r="P366" i="14"/>
  <c r="P365" i="14"/>
  <c r="P364" i="14"/>
  <c r="P363" i="14"/>
  <c r="P362" i="14"/>
  <c r="P361" i="14"/>
  <c r="P360" i="14"/>
  <c r="P359" i="14"/>
  <c r="P358" i="14"/>
  <c r="P352" i="14"/>
  <c r="P350" i="14"/>
  <c r="P349" i="14"/>
  <c r="P348" i="14"/>
  <c r="P345" i="14"/>
  <c r="P344" i="14"/>
  <c r="P343" i="14"/>
  <c r="P342" i="14"/>
  <c r="P341" i="14"/>
  <c r="P340" i="14"/>
  <c r="P339" i="14"/>
  <c r="P331" i="14"/>
  <c r="P329" i="14"/>
  <c r="P327" i="14"/>
  <c r="P326" i="14"/>
  <c r="P324" i="14"/>
  <c r="P323" i="14"/>
  <c r="P322" i="14"/>
  <c r="P321" i="14"/>
  <c r="P320" i="14"/>
  <c r="P319" i="14"/>
  <c r="P318" i="14"/>
  <c r="P311" i="14"/>
  <c r="P309" i="14"/>
  <c r="P307" i="14"/>
  <c r="P306" i="14"/>
  <c r="P304" i="14"/>
  <c r="P303" i="14"/>
  <c r="P301" i="14"/>
  <c r="P300" i="14"/>
  <c r="P299" i="14"/>
  <c r="P298" i="14"/>
  <c r="P297" i="14"/>
  <c r="P296" i="14"/>
  <c r="P295" i="14"/>
  <c r="P294" i="14"/>
  <c r="P287" i="14"/>
  <c r="P285" i="14"/>
  <c r="P283" i="14"/>
  <c r="P282" i="14"/>
  <c r="P280" i="14"/>
  <c r="P279" i="14"/>
  <c r="P275" i="14"/>
  <c r="P274" i="14"/>
  <c r="P273" i="14"/>
  <c r="P272" i="14"/>
  <c r="P271" i="14"/>
  <c r="P270" i="14"/>
  <c r="P269" i="14"/>
  <c r="P268" i="14"/>
  <c r="P261" i="14"/>
  <c r="P259" i="14"/>
  <c r="P257" i="14"/>
  <c r="P256" i="14"/>
  <c r="P254" i="14"/>
  <c r="P253" i="14"/>
  <c r="P251" i="14"/>
  <c r="P250" i="14"/>
  <c r="P249" i="14"/>
  <c r="P248" i="14"/>
  <c r="P247" i="14"/>
  <c r="P246" i="14"/>
  <c r="P245" i="14"/>
  <c r="P244" i="14"/>
  <c r="P235" i="14"/>
  <c r="P233" i="14"/>
  <c r="P232" i="14"/>
  <c r="P231" i="14"/>
  <c r="P229" i="14"/>
  <c r="P228" i="14"/>
  <c r="P227" i="14"/>
  <c r="P226" i="14"/>
  <c r="P225" i="14"/>
  <c r="P224" i="14"/>
  <c r="P223" i="14"/>
  <c r="P222" i="14"/>
  <c r="P221" i="14"/>
  <c r="P220" i="14"/>
  <c r="P219" i="14"/>
  <c r="P208" i="14"/>
  <c r="P207" i="14"/>
  <c r="P205" i="14"/>
  <c r="P204" i="14"/>
  <c r="P203" i="14"/>
  <c r="P202" i="14"/>
  <c r="P201" i="14"/>
  <c r="P200" i="14"/>
  <c r="P199" i="14"/>
  <c r="P198" i="14"/>
  <c r="P197" i="14"/>
  <c r="P196" i="14"/>
  <c r="P195" i="14"/>
  <c r="P188" i="14"/>
  <c r="P184" i="14"/>
  <c r="P183" i="14"/>
  <c r="P181" i="14"/>
  <c r="P180" i="14"/>
  <c r="P179" i="14"/>
  <c r="P178" i="14"/>
  <c r="P177" i="14"/>
  <c r="P176" i="14"/>
  <c r="P175" i="14"/>
  <c r="P174" i="14"/>
  <c r="P173" i="14"/>
  <c r="P172" i="14"/>
  <c r="P163" i="14"/>
  <c r="P161" i="14"/>
  <c r="P160" i="14"/>
  <c r="P158" i="14"/>
  <c r="P157" i="14"/>
  <c r="P156" i="14"/>
  <c r="P155" i="14"/>
  <c r="P154" i="14"/>
  <c r="P153" i="14"/>
  <c r="P151" i="14"/>
  <c r="P150" i="14"/>
  <c r="P149" i="14"/>
  <c r="P148" i="14"/>
  <c r="P137" i="14"/>
  <c r="P136" i="14"/>
  <c r="P134" i="14"/>
  <c r="P133" i="14"/>
  <c r="P132" i="14"/>
  <c r="P131" i="14"/>
  <c r="P130" i="14"/>
  <c r="P129" i="14"/>
  <c r="P128" i="14"/>
  <c r="P127" i="14"/>
  <c r="P126" i="14"/>
  <c r="P125" i="14"/>
  <c r="P118" i="14"/>
  <c r="P116" i="14"/>
  <c r="P114" i="14"/>
  <c r="P113" i="14"/>
  <c r="P111" i="14"/>
  <c r="P110" i="14"/>
  <c r="P109" i="14"/>
  <c r="P107" i="14"/>
  <c r="P106" i="14"/>
  <c r="P103" i="14"/>
  <c r="P102" i="14"/>
  <c r="P101" i="14"/>
  <c r="P100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V639" i="14"/>
  <c r="V638" i="14"/>
  <c r="N639" i="14"/>
  <c r="N638" i="14"/>
  <c r="V631" i="14"/>
  <c r="N631" i="14"/>
  <c r="N635" i="14" s="1"/>
  <c r="Z635" i="14" s="1"/>
  <c r="V624" i="14"/>
  <c r="N624" i="14"/>
  <c r="V619" i="14"/>
  <c r="V618" i="14"/>
  <c r="V617" i="14"/>
  <c r="V616" i="14"/>
  <c r="N619" i="14"/>
  <c r="N618" i="14"/>
  <c r="N617" i="14"/>
  <c r="Z617" i="14" s="1"/>
  <c r="N616" i="14"/>
  <c r="Z616" i="14" s="1"/>
  <c r="V610" i="14"/>
  <c r="V609" i="14"/>
  <c r="V608" i="14"/>
  <c r="V607" i="14"/>
  <c r="V606" i="14"/>
  <c r="V605" i="14"/>
  <c r="V604" i="14"/>
  <c r="V603" i="14"/>
  <c r="V602" i="14"/>
  <c r="V601" i="14"/>
  <c r="V599" i="14"/>
  <c r="V597" i="14"/>
  <c r="V595" i="14"/>
  <c r="V593" i="14"/>
  <c r="V591" i="14"/>
  <c r="V590" i="14"/>
  <c r="V589" i="14"/>
  <c r="V587" i="14"/>
  <c r="V585" i="14"/>
  <c r="V584" i="14"/>
  <c r="N610" i="14"/>
  <c r="Z610" i="14" s="1"/>
  <c r="N609" i="14"/>
  <c r="N608" i="14"/>
  <c r="Z608" i="14" s="1"/>
  <c r="N607" i="14"/>
  <c r="N606" i="14"/>
  <c r="N605" i="14"/>
  <c r="N604" i="14"/>
  <c r="Z604" i="14" s="1"/>
  <c r="N603" i="14"/>
  <c r="N602" i="14"/>
  <c r="Z602" i="14" s="1"/>
  <c r="N601" i="14"/>
  <c r="N599" i="14"/>
  <c r="Z599" i="14" s="1"/>
  <c r="N597" i="14"/>
  <c r="N595" i="14"/>
  <c r="N594" i="14"/>
  <c r="N593" i="14"/>
  <c r="N591" i="14"/>
  <c r="Z591" i="14" s="1"/>
  <c r="N590" i="14"/>
  <c r="Z590" i="14" s="1"/>
  <c r="N589" i="14"/>
  <c r="Z589" i="14" s="1"/>
  <c r="N587" i="14"/>
  <c r="Z587" i="14" s="1"/>
  <c r="N586" i="14"/>
  <c r="N585" i="14"/>
  <c r="N584" i="14"/>
  <c r="V578" i="14"/>
  <c r="V577" i="14"/>
  <c r="V575" i="14"/>
  <c r="V574" i="14"/>
  <c r="V573" i="14"/>
  <c r="V572" i="14"/>
  <c r="V571" i="14"/>
  <c r="V570" i="14"/>
  <c r="V569" i="14"/>
  <c r="V568" i="14"/>
  <c r="V566" i="14"/>
  <c r="V565" i="14"/>
  <c r="V564" i="14"/>
  <c r="V562" i="14"/>
  <c r="V561" i="14"/>
  <c r="V560" i="14"/>
  <c r="V559" i="14"/>
  <c r="V557" i="14"/>
  <c r="V555" i="14"/>
  <c r="V554" i="14"/>
  <c r="V553" i="14"/>
  <c r="N578" i="14"/>
  <c r="Z578" i="14" s="1"/>
  <c r="N577" i="14"/>
  <c r="Z577" i="14" s="1"/>
  <c r="N575" i="14"/>
  <c r="Z575" i="14" s="1"/>
  <c r="N574" i="14"/>
  <c r="Z574" i="14" s="1"/>
  <c r="N573" i="14"/>
  <c r="Z573" i="14" s="1"/>
  <c r="N572" i="14"/>
  <c r="Z572" i="14" s="1"/>
  <c r="N571" i="14"/>
  <c r="Z571" i="14" s="1"/>
  <c r="N570" i="14"/>
  <c r="Z570" i="14" s="1"/>
  <c r="N569" i="14"/>
  <c r="Z569" i="14" s="1"/>
  <c r="N568" i="14"/>
  <c r="Z568" i="14" s="1"/>
  <c r="N566" i="14"/>
  <c r="Z566" i="14" s="1"/>
  <c r="N565" i="14"/>
  <c r="Z565" i="14" s="1"/>
  <c r="N564" i="14"/>
  <c r="Z564" i="14" s="1"/>
  <c r="N562" i="14"/>
  <c r="Z562" i="14" s="1"/>
  <c r="N561" i="14"/>
  <c r="Z561" i="14" s="1"/>
  <c r="N560" i="14"/>
  <c r="Z560" i="14" s="1"/>
  <c r="N559" i="14"/>
  <c r="Z559" i="14" s="1"/>
  <c r="N557" i="14"/>
  <c r="Z557" i="14" s="1"/>
  <c r="N556" i="14"/>
  <c r="N555" i="14"/>
  <c r="Z555" i="14" s="1"/>
  <c r="N554" i="14"/>
  <c r="N553" i="14"/>
  <c r="Z553" i="14" s="1"/>
  <c r="V547" i="14"/>
  <c r="V545" i="14"/>
  <c r="V544" i="14"/>
  <c r="V543" i="14"/>
  <c r="V542" i="14"/>
  <c r="V541" i="14"/>
  <c r="V540" i="14"/>
  <c r="V539" i="14"/>
  <c r="V538" i="14"/>
  <c r="V535" i="14"/>
  <c r="V534" i="14"/>
  <c r="V533" i="14"/>
  <c r="V531" i="14"/>
  <c r="V529" i="14"/>
  <c r="V528" i="14"/>
  <c r="N547" i="14"/>
  <c r="Z547" i="14" s="1"/>
  <c r="N545" i="14"/>
  <c r="Z545" i="14" s="1"/>
  <c r="N544" i="14"/>
  <c r="Z544" i="14" s="1"/>
  <c r="N543" i="14"/>
  <c r="Z543" i="14" s="1"/>
  <c r="N542" i="14"/>
  <c r="Z542" i="14" s="1"/>
  <c r="N541" i="14"/>
  <c r="Z541" i="14" s="1"/>
  <c r="N540" i="14"/>
  <c r="Z540" i="14" s="1"/>
  <c r="N539" i="14"/>
  <c r="Z539" i="14" s="1"/>
  <c r="N538" i="14"/>
  <c r="Z538" i="14" s="1"/>
  <c r="N535" i="14"/>
  <c r="Z535" i="14" s="1"/>
  <c r="N534" i="14"/>
  <c r="Z534" i="14" s="1"/>
  <c r="N533" i="14"/>
  <c r="Z533" i="14" s="1"/>
  <c r="N531" i="14"/>
  <c r="Z531" i="14" s="1"/>
  <c r="N530" i="14"/>
  <c r="Z530" i="14" s="1"/>
  <c r="N529" i="14"/>
  <c r="Z529" i="14" s="1"/>
  <c r="N528" i="14"/>
  <c r="N522" i="14"/>
  <c r="Z522" i="14" s="1"/>
  <c r="N521" i="14"/>
  <c r="N520" i="14"/>
  <c r="Z520" i="14" s="1"/>
  <c r="N519" i="14"/>
  <c r="N518" i="14"/>
  <c r="N517" i="14"/>
  <c r="N515" i="14"/>
  <c r="Z515" i="14" s="1"/>
  <c r="N514" i="14"/>
  <c r="N513" i="14"/>
  <c r="Z513" i="14" s="1"/>
  <c r="N512" i="14"/>
  <c r="N511" i="14"/>
  <c r="Z511" i="14" s="1"/>
  <c r="V522" i="14"/>
  <c r="V521" i="14"/>
  <c r="V520" i="14"/>
  <c r="V519" i="14"/>
  <c r="V518" i="14"/>
  <c r="V517" i="14"/>
  <c r="V515" i="14"/>
  <c r="V514" i="14"/>
  <c r="V513" i="14"/>
  <c r="V512" i="14"/>
  <c r="V511" i="14"/>
  <c r="V504" i="14"/>
  <c r="V503" i="14"/>
  <c r="V502" i="14"/>
  <c r="V501" i="14"/>
  <c r="V500" i="14"/>
  <c r="V499" i="14"/>
  <c r="V498" i="14"/>
  <c r="V497" i="14"/>
  <c r="N504" i="14"/>
  <c r="N503" i="14"/>
  <c r="N502" i="14"/>
  <c r="N501" i="14"/>
  <c r="Z501" i="14" s="1"/>
  <c r="N500" i="14"/>
  <c r="Z500" i="14" s="1"/>
  <c r="N499" i="14"/>
  <c r="Z499" i="14" s="1"/>
  <c r="N498" i="14"/>
  <c r="N497" i="14"/>
  <c r="V490" i="14"/>
  <c r="V489" i="14"/>
  <c r="V488" i="14"/>
  <c r="V487" i="14"/>
  <c r="V486" i="14"/>
  <c r="V485" i="14"/>
  <c r="V484" i="14"/>
  <c r="V483" i="14"/>
  <c r="V482" i="14"/>
  <c r="V481" i="14"/>
  <c r="V480" i="14"/>
  <c r="V477" i="14"/>
  <c r="V476" i="14"/>
  <c r="V474" i="14"/>
  <c r="V473" i="14"/>
  <c r="V472" i="14"/>
  <c r="V471" i="14"/>
  <c r="V470" i="14"/>
  <c r="V469" i="14"/>
  <c r="V467" i="14"/>
  <c r="V466" i="14"/>
  <c r="N490" i="14"/>
  <c r="N489" i="14"/>
  <c r="N488" i="14"/>
  <c r="N487" i="14"/>
  <c r="Z487" i="14" s="1"/>
  <c r="N486" i="14"/>
  <c r="Z486" i="14" s="1"/>
  <c r="N485" i="14"/>
  <c r="Z485" i="14" s="1"/>
  <c r="N484" i="14"/>
  <c r="N483" i="14"/>
  <c r="Z483" i="14" s="1"/>
  <c r="N482" i="14"/>
  <c r="N481" i="14"/>
  <c r="N480" i="14"/>
  <c r="N477" i="14"/>
  <c r="Z477" i="14" s="1"/>
  <c r="N476" i="14"/>
  <c r="Z476" i="14" s="1"/>
  <c r="N474" i="14"/>
  <c r="Z474" i="14" s="1"/>
  <c r="N473" i="14"/>
  <c r="N472" i="14"/>
  <c r="Z472" i="14" s="1"/>
  <c r="N471" i="14"/>
  <c r="N470" i="14"/>
  <c r="N469" i="14"/>
  <c r="N468" i="14"/>
  <c r="N467" i="14"/>
  <c r="Z467" i="14" s="1"/>
  <c r="N466" i="14"/>
  <c r="Z466" i="14" s="1"/>
  <c r="V459" i="14"/>
  <c r="V458" i="14"/>
  <c r="V457" i="14"/>
  <c r="V456" i="14"/>
  <c r="V455" i="14"/>
  <c r="V454" i="14"/>
  <c r="V453" i="14"/>
  <c r="V452" i="14"/>
  <c r="V451" i="14"/>
  <c r="V450" i="14"/>
  <c r="V447" i="14"/>
  <c r="V446" i="14"/>
  <c r="V444" i="14"/>
  <c r="V443" i="14"/>
  <c r="V442" i="14"/>
  <c r="V441" i="14"/>
  <c r="V440" i="14"/>
  <c r="V439" i="14"/>
  <c r="V438" i="14"/>
  <c r="V437" i="14"/>
  <c r="V436" i="14"/>
  <c r="V435" i="14"/>
  <c r="N459" i="14"/>
  <c r="Z459" i="14" s="1"/>
  <c r="N458" i="14"/>
  <c r="Z458" i="14" s="1"/>
  <c r="N457" i="14"/>
  <c r="Z457" i="14" s="1"/>
  <c r="N456" i="14"/>
  <c r="Z456" i="14" s="1"/>
  <c r="N455" i="14"/>
  <c r="Z455" i="14" s="1"/>
  <c r="N454" i="14"/>
  <c r="Z454" i="14" s="1"/>
  <c r="N453" i="14"/>
  <c r="Z453" i="14" s="1"/>
  <c r="N452" i="14"/>
  <c r="Z452" i="14" s="1"/>
  <c r="N451" i="14"/>
  <c r="Z451" i="14" s="1"/>
  <c r="N450" i="14"/>
  <c r="Z450" i="14" s="1"/>
  <c r="N447" i="14"/>
  <c r="Z447" i="14" s="1"/>
  <c r="N446" i="14"/>
  <c r="Z446" i="14" s="1"/>
  <c r="N444" i="14"/>
  <c r="Z444" i="14" s="1"/>
  <c r="N443" i="14"/>
  <c r="Z443" i="14" s="1"/>
  <c r="N442" i="14"/>
  <c r="Z442" i="14" s="1"/>
  <c r="N441" i="14"/>
  <c r="Z441" i="14" s="1"/>
  <c r="N440" i="14"/>
  <c r="Z440" i="14" s="1"/>
  <c r="N439" i="14"/>
  <c r="Z439" i="14" s="1"/>
  <c r="N438" i="14"/>
  <c r="Z438" i="14" s="1"/>
  <c r="N437" i="14"/>
  <c r="Z437" i="14" s="1"/>
  <c r="N436" i="14"/>
  <c r="Z436" i="14" s="1"/>
  <c r="N435" i="14"/>
  <c r="Z435" i="14" s="1"/>
  <c r="V429" i="14"/>
  <c r="V427" i="14"/>
  <c r="V426" i="14"/>
  <c r="V425" i="14"/>
  <c r="V424" i="14"/>
  <c r="V423" i="14"/>
  <c r="V422" i="14"/>
  <c r="V421" i="14"/>
  <c r="V420" i="14"/>
  <c r="V419" i="14"/>
  <c r="V418" i="14"/>
  <c r="V417" i="14"/>
  <c r="V416" i="14"/>
  <c r="V415" i="14"/>
  <c r="V412" i="14"/>
  <c r="V410" i="14"/>
  <c r="V409" i="14"/>
  <c r="V408" i="14"/>
  <c r="V407" i="14"/>
  <c r="V406" i="14"/>
  <c r="V405" i="14"/>
  <c r="V404" i="14"/>
  <c r="V403" i="14"/>
  <c r="V402" i="14"/>
  <c r="V399" i="14"/>
  <c r="V398" i="14"/>
  <c r="V396" i="14"/>
  <c r="V395" i="14"/>
  <c r="V394" i="14"/>
  <c r="N429" i="14"/>
  <c r="Z429" i="14" s="1"/>
  <c r="N427" i="14"/>
  <c r="Z427" i="14" s="1"/>
  <c r="N426" i="14"/>
  <c r="Z426" i="14" s="1"/>
  <c r="N425" i="14"/>
  <c r="N424" i="14"/>
  <c r="N423" i="14"/>
  <c r="N422" i="14"/>
  <c r="N421" i="14"/>
  <c r="N420" i="14"/>
  <c r="Z420" i="14" s="1"/>
  <c r="N419" i="14"/>
  <c r="Z419" i="14" s="1"/>
  <c r="N418" i="14"/>
  <c r="Z418" i="14" s="1"/>
  <c r="N417" i="14"/>
  <c r="N416" i="14"/>
  <c r="N415" i="14"/>
  <c r="N412" i="14"/>
  <c r="N410" i="14"/>
  <c r="N409" i="14"/>
  <c r="Z409" i="14" s="1"/>
  <c r="N408" i="14"/>
  <c r="Z408" i="14" s="1"/>
  <c r="N407" i="14"/>
  <c r="Z407" i="14" s="1"/>
  <c r="N406" i="14"/>
  <c r="N405" i="14"/>
  <c r="N404" i="14"/>
  <c r="N403" i="14"/>
  <c r="N402" i="14"/>
  <c r="N399" i="14"/>
  <c r="Z399" i="14" s="1"/>
  <c r="N398" i="14"/>
  <c r="Z398" i="14" s="1"/>
  <c r="N397" i="14"/>
  <c r="N396" i="14"/>
  <c r="Z396" i="14" s="1"/>
  <c r="N395" i="14"/>
  <c r="N394" i="14"/>
  <c r="V384" i="14"/>
  <c r="V383" i="14"/>
  <c r="V382" i="14"/>
  <c r="V381" i="14"/>
  <c r="V380" i="14"/>
  <c r="V379" i="14"/>
  <c r="V378" i="14"/>
  <c r="V377" i="14"/>
  <c r="V376" i="14"/>
  <c r="V375" i="14"/>
  <c r="V373" i="14"/>
  <c r="V372" i="14"/>
  <c r="V371" i="14"/>
  <c r="V370" i="14"/>
  <c r="V369" i="14"/>
  <c r="V367" i="14"/>
  <c r="V366" i="14"/>
  <c r="V365" i="14"/>
  <c r="V364" i="14"/>
  <c r="V363" i="14"/>
  <c r="V362" i="14"/>
  <c r="V361" i="14"/>
  <c r="V360" i="14"/>
  <c r="V359" i="14"/>
  <c r="V358" i="14"/>
  <c r="N384" i="14"/>
  <c r="N383" i="14"/>
  <c r="N382" i="14"/>
  <c r="Z382" i="14" s="1"/>
  <c r="N381" i="14"/>
  <c r="Z381" i="14" s="1"/>
  <c r="N380" i="14"/>
  <c r="Z380" i="14" s="1"/>
  <c r="N379" i="14"/>
  <c r="Z379" i="14" s="1"/>
  <c r="N378" i="14"/>
  <c r="N377" i="14"/>
  <c r="N376" i="14"/>
  <c r="N375" i="14"/>
  <c r="N373" i="14"/>
  <c r="Z373" i="14" s="1"/>
  <c r="N372" i="14"/>
  <c r="Z372" i="14" s="1"/>
  <c r="N371" i="14"/>
  <c r="Z371" i="14" s="1"/>
  <c r="N370" i="14"/>
  <c r="Z370" i="14" s="1"/>
  <c r="N369" i="14"/>
  <c r="N367" i="14"/>
  <c r="N366" i="14"/>
  <c r="N365" i="14"/>
  <c r="N364" i="14"/>
  <c r="Z364" i="14" s="1"/>
  <c r="N363" i="14"/>
  <c r="Z363" i="14" s="1"/>
  <c r="N362" i="14"/>
  <c r="Z362" i="14" s="1"/>
  <c r="N361" i="14"/>
  <c r="Z361" i="14" s="1"/>
  <c r="N360" i="14"/>
  <c r="N359" i="14"/>
  <c r="N358" i="14"/>
  <c r="V352" i="14"/>
  <c r="V350" i="14"/>
  <c r="V349" i="14"/>
  <c r="V348" i="14"/>
  <c r="V345" i="14"/>
  <c r="V344" i="14"/>
  <c r="V343" i="14"/>
  <c r="V342" i="14"/>
  <c r="V341" i="14"/>
  <c r="V340" i="14"/>
  <c r="V339" i="14"/>
  <c r="N352" i="14"/>
  <c r="N350" i="14"/>
  <c r="N349" i="14"/>
  <c r="Z349" i="14" s="1"/>
  <c r="N348" i="14"/>
  <c r="Z348" i="14" s="1"/>
  <c r="N345" i="14"/>
  <c r="Z345" i="14" s="1"/>
  <c r="N344" i="14"/>
  <c r="Z344" i="14" s="1"/>
  <c r="N343" i="14"/>
  <c r="Z343" i="14" s="1"/>
  <c r="N342" i="14"/>
  <c r="N341" i="14"/>
  <c r="N340" i="14"/>
  <c r="N339" i="14"/>
  <c r="Z339" i="14" s="1"/>
  <c r="V331" i="14"/>
  <c r="V329" i="14"/>
  <c r="V327" i="14"/>
  <c r="V326" i="14"/>
  <c r="V324" i="14"/>
  <c r="V323" i="14"/>
  <c r="V322" i="14"/>
  <c r="V321" i="14"/>
  <c r="V320" i="14"/>
  <c r="V319" i="14"/>
  <c r="V318" i="14"/>
  <c r="N331" i="14"/>
  <c r="Z331" i="14" s="1"/>
  <c r="N329" i="14"/>
  <c r="Z329" i="14" s="1"/>
  <c r="N327" i="14"/>
  <c r="N326" i="14"/>
  <c r="N324" i="14"/>
  <c r="N323" i="14"/>
  <c r="N322" i="14"/>
  <c r="N321" i="14"/>
  <c r="Z321" i="14" s="1"/>
  <c r="N320" i="14"/>
  <c r="Z320" i="14" s="1"/>
  <c r="N319" i="14"/>
  <c r="Z319" i="14" s="1"/>
  <c r="N318" i="14"/>
  <c r="V311" i="14"/>
  <c r="V309" i="14"/>
  <c r="V307" i="14"/>
  <c r="V306" i="14"/>
  <c r="V304" i="14"/>
  <c r="V303" i="14"/>
  <c r="V301" i="14"/>
  <c r="V300" i="14"/>
  <c r="V299" i="14"/>
  <c r="V298" i="14"/>
  <c r="V297" i="14"/>
  <c r="V296" i="14"/>
  <c r="V295" i="14"/>
  <c r="V294" i="14"/>
  <c r="N311" i="14"/>
  <c r="N309" i="14"/>
  <c r="N307" i="14"/>
  <c r="N306" i="14"/>
  <c r="N304" i="14"/>
  <c r="Z304" i="14" s="1"/>
  <c r="N303" i="14"/>
  <c r="Z303" i="14" s="1"/>
  <c r="N301" i="14"/>
  <c r="Z301" i="14" s="1"/>
  <c r="N300" i="14"/>
  <c r="N299" i="14"/>
  <c r="N298" i="14"/>
  <c r="N297" i="14"/>
  <c r="N296" i="14"/>
  <c r="N295" i="14"/>
  <c r="Z295" i="14" s="1"/>
  <c r="N294" i="14"/>
  <c r="Z294" i="14" s="1"/>
  <c r="V287" i="14"/>
  <c r="V285" i="14"/>
  <c r="V283" i="14"/>
  <c r="V282" i="14"/>
  <c r="V280" i="14"/>
  <c r="V279" i="14"/>
  <c r="V275" i="14"/>
  <c r="V274" i="14"/>
  <c r="V273" i="14"/>
  <c r="V272" i="14"/>
  <c r="V271" i="14"/>
  <c r="V270" i="14"/>
  <c r="V269" i="14"/>
  <c r="V268" i="14"/>
  <c r="N287" i="14"/>
  <c r="Z287" i="14" s="1"/>
  <c r="N285" i="14"/>
  <c r="N283" i="14"/>
  <c r="Z283" i="14" s="1"/>
  <c r="N282" i="14"/>
  <c r="N280" i="14"/>
  <c r="N279" i="14"/>
  <c r="N275" i="14"/>
  <c r="Z275" i="14" s="1"/>
  <c r="N274" i="14"/>
  <c r="Z274" i="14" s="1"/>
  <c r="N273" i="14"/>
  <c r="Z273" i="14" s="1"/>
  <c r="N272" i="14"/>
  <c r="N271" i="14"/>
  <c r="Z271" i="14" s="1"/>
  <c r="N270" i="14"/>
  <c r="N269" i="14"/>
  <c r="N268" i="14"/>
  <c r="V261" i="14"/>
  <c r="V259" i="14"/>
  <c r="V257" i="14"/>
  <c r="V256" i="14"/>
  <c r="V254" i="14"/>
  <c r="V253" i="14"/>
  <c r="V251" i="14"/>
  <c r="V250" i="14"/>
  <c r="V249" i="14"/>
  <c r="V248" i="14"/>
  <c r="V247" i="14"/>
  <c r="V246" i="14"/>
  <c r="V245" i="14"/>
  <c r="V244" i="14"/>
  <c r="N261" i="14"/>
  <c r="Z261" i="14" s="1"/>
  <c r="N259" i="14"/>
  <c r="Z259" i="14" s="1"/>
  <c r="N257" i="14"/>
  <c r="Z257" i="14" s="1"/>
  <c r="N256" i="14"/>
  <c r="N254" i="14"/>
  <c r="N253" i="14"/>
  <c r="N251" i="14"/>
  <c r="N250" i="14"/>
  <c r="Z250" i="14" s="1"/>
  <c r="N249" i="14"/>
  <c r="Z249" i="14" s="1"/>
  <c r="N248" i="14"/>
  <c r="Z248" i="14" s="1"/>
  <c r="N247" i="14"/>
  <c r="Z247" i="14" s="1"/>
  <c r="N246" i="14"/>
  <c r="N245" i="14"/>
  <c r="N244" i="14"/>
  <c r="V235" i="14"/>
  <c r="V233" i="14"/>
  <c r="V232" i="14"/>
  <c r="V231" i="14"/>
  <c r="V229" i="14"/>
  <c r="V228" i="14"/>
  <c r="V227" i="14"/>
  <c r="V226" i="14"/>
  <c r="V225" i="14"/>
  <c r="V224" i="14"/>
  <c r="V223" i="14"/>
  <c r="V222" i="14"/>
  <c r="V221" i="14"/>
  <c r="V220" i="14"/>
  <c r="N237" i="14"/>
  <c r="N235" i="14"/>
  <c r="N233" i="14"/>
  <c r="N232" i="14"/>
  <c r="Z232" i="14" s="1"/>
  <c r="N231" i="14"/>
  <c r="Z231" i="14" s="1"/>
  <c r="N229" i="14"/>
  <c r="Z229" i="14" s="1"/>
  <c r="N228" i="14"/>
  <c r="N227" i="14"/>
  <c r="N226" i="14"/>
  <c r="N225" i="14"/>
  <c r="N224" i="14"/>
  <c r="N223" i="14"/>
  <c r="Z223" i="14" s="1"/>
  <c r="N222" i="14"/>
  <c r="Z222" i="14" s="1"/>
  <c r="N221" i="14"/>
  <c r="Z221" i="14" s="1"/>
  <c r="N220" i="14"/>
  <c r="V219" i="14"/>
  <c r="N219" i="14"/>
  <c r="N212" i="14"/>
  <c r="N210" i="14"/>
  <c r="N208" i="14"/>
  <c r="N207" i="14"/>
  <c r="N205" i="14"/>
  <c r="N204" i="14"/>
  <c r="N203" i="14"/>
  <c r="Z203" i="14" s="1"/>
  <c r="N202" i="14"/>
  <c r="Z202" i="14" s="1"/>
  <c r="N201" i="14"/>
  <c r="N200" i="14"/>
  <c r="Z200" i="14" s="1"/>
  <c r="N199" i="14"/>
  <c r="N198" i="14"/>
  <c r="N197" i="14"/>
  <c r="N196" i="14"/>
  <c r="N195" i="14"/>
  <c r="Z195" i="14" s="1"/>
  <c r="V208" i="14"/>
  <c r="V207" i="14"/>
  <c r="V205" i="14"/>
  <c r="V204" i="14"/>
  <c r="V203" i="14"/>
  <c r="V202" i="14"/>
  <c r="V201" i="14"/>
  <c r="V200" i="14"/>
  <c r="V199" i="14"/>
  <c r="V198" i="14"/>
  <c r="V197" i="14"/>
  <c r="V196" i="14"/>
  <c r="V195" i="14"/>
  <c r="V188" i="14"/>
  <c r="V184" i="14"/>
  <c r="V183" i="14"/>
  <c r="V181" i="14"/>
  <c r="V180" i="14"/>
  <c r="V179" i="14"/>
  <c r="V178" i="14"/>
  <c r="V177" i="14"/>
  <c r="V176" i="14"/>
  <c r="V175" i="14"/>
  <c r="V174" i="14"/>
  <c r="V173" i="14"/>
  <c r="V172" i="14"/>
  <c r="N188" i="14"/>
  <c r="Z188" i="14" s="1"/>
  <c r="N186" i="14"/>
  <c r="N184" i="14"/>
  <c r="N183" i="14"/>
  <c r="N181" i="14"/>
  <c r="N180" i="14"/>
  <c r="N179" i="14"/>
  <c r="N178" i="14"/>
  <c r="N177" i="14"/>
  <c r="Z177" i="14" s="1"/>
  <c r="N176" i="14"/>
  <c r="N175" i="14"/>
  <c r="N174" i="14"/>
  <c r="N173" i="14"/>
  <c r="N172" i="14"/>
  <c r="V163" i="14"/>
  <c r="V161" i="14"/>
  <c r="V160" i="14"/>
  <c r="V158" i="14"/>
  <c r="V157" i="14"/>
  <c r="V156" i="14"/>
  <c r="V155" i="14"/>
  <c r="V154" i="14"/>
  <c r="V153" i="14"/>
  <c r="V151" i="14"/>
  <c r="V150" i="14"/>
  <c r="V149" i="14"/>
  <c r="V148" i="14"/>
  <c r="N165" i="14"/>
  <c r="N163" i="14"/>
  <c r="N161" i="14"/>
  <c r="N160" i="14"/>
  <c r="N158" i="14"/>
  <c r="Z158" i="14" s="1"/>
  <c r="N157" i="14"/>
  <c r="Z157" i="14" s="1"/>
  <c r="N156" i="14"/>
  <c r="N155" i="14"/>
  <c r="N154" i="14"/>
  <c r="N153" i="14"/>
  <c r="N151" i="14"/>
  <c r="N150" i="14"/>
  <c r="N149" i="14"/>
  <c r="Z149" i="14" s="1"/>
  <c r="N148" i="14"/>
  <c r="Z148" i="14" s="1"/>
  <c r="V137" i="14"/>
  <c r="V136" i="14"/>
  <c r="V134" i="14"/>
  <c r="V133" i="14"/>
  <c r="V132" i="14"/>
  <c r="V131" i="14"/>
  <c r="V130" i="14"/>
  <c r="V129" i="14"/>
  <c r="V128" i="14"/>
  <c r="V127" i="14"/>
  <c r="V126" i="14"/>
  <c r="V125" i="14"/>
  <c r="N141" i="14"/>
  <c r="N139" i="14"/>
  <c r="V139" i="14" s="1"/>
  <c r="N137" i="14"/>
  <c r="Z137" i="14" s="1"/>
  <c r="N136" i="14"/>
  <c r="N134" i="14"/>
  <c r="Z134" i="14" s="1"/>
  <c r="N133" i="14"/>
  <c r="N132" i="14"/>
  <c r="Z132" i="14" s="1"/>
  <c r="N131" i="14"/>
  <c r="N130" i="14"/>
  <c r="Z130" i="14" s="1"/>
  <c r="N129" i="14"/>
  <c r="Z129" i="14" s="1"/>
  <c r="N128" i="14"/>
  <c r="Z128" i="14" s="1"/>
  <c r="N127" i="14"/>
  <c r="N126" i="14"/>
  <c r="Z126" i="14" s="1"/>
  <c r="N125" i="14"/>
  <c r="N118" i="14"/>
  <c r="N116" i="14"/>
  <c r="Z116" i="14" s="1"/>
  <c r="N114" i="14"/>
  <c r="Z114" i="14" s="1"/>
  <c r="N113" i="14"/>
  <c r="Z113" i="14" s="1"/>
  <c r="N111" i="14"/>
  <c r="Z111" i="14" s="1"/>
  <c r="N110" i="14"/>
  <c r="N109" i="14"/>
  <c r="Z109" i="14" s="1"/>
  <c r="N107" i="14"/>
  <c r="N106" i="14"/>
  <c r="Z106" i="14" s="1"/>
  <c r="N103" i="14"/>
  <c r="N102" i="14"/>
  <c r="Z102" i="14" s="1"/>
  <c r="N101" i="14"/>
  <c r="Z101" i="14" s="1"/>
  <c r="N100" i="14"/>
  <c r="Z100" i="14" s="1"/>
  <c r="N98" i="14"/>
  <c r="N97" i="14"/>
  <c r="Z97" i="14" s="1"/>
  <c r="N96" i="14"/>
  <c r="N95" i="14"/>
  <c r="Z95" i="14" s="1"/>
  <c r="N94" i="14"/>
  <c r="N93" i="14"/>
  <c r="Z93" i="14" s="1"/>
  <c r="N92" i="14"/>
  <c r="N91" i="14"/>
  <c r="Z91" i="14" s="1"/>
  <c r="N90" i="14"/>
  <c r="N89" i="14"/>
  <c r="Z89" i="14" s="1"/>
  <c r="N88" i="14"/>
  <c r="N87" i="14"/>
  <c r="Z87" i="14" s="1"/>
  <c r="N86" i="14"/>
  <c r="N85" i="14"/>
  <c r="Z85" i="14" s="1"/>
  <c r="N84" i="14"/>
  <c r="N83" i="14"/>
  <c r="Z83" i="14" s="1"/>
  <c r="N82" i="14"/>
  <c r="N81" i="14"/>
  <c r="V118" i="14"/>
  <c r="V116" i="14"/>
  <c r="V114" i="14"/>
  <c r="V113" i="14"/>
  <c r="V111" i="14"/>
  <c r="V110" i="14"/>
  <c r="V109" i="14"/>
  <c r="V107" i="14"/>
  <c r="V106" i="14"/>
  <c r="V103" i="14"/>
  <c r="V102" i="14"/>
  <c r="V101" i="14"/>
  <c r="V100" i="14"/>
  <c r="V98" i="14"/>
  <c r="V97" i="14"/>
  <c r="V96" i="14"/>
  <c r="V95" i="14"/>
  <c r="V94" i="14"/>
  <c r="V93" i="14"/>
  <c r="V92" i="14"/>
  <c r="V91" i="14"/>
  <c r="V90" i="14"/>
  <c r="V89" i="14"/>
  <c r="V88" i="14"/>
  <c r="V87" i="14"/>
  <c r="V86" i="14"/>
  <c r="V85" i="14"/>
  <c r="V84" i="14"/>
  <c r="V83" i="14"/>
  <c r="V82" i="14"/>
  <c r="V81" i="14"/>
  <c r="J394" i="14"/>
  <c r="J638" i="14"/>
  <c r="J631" i="14"/>
  <c r="J635" i="14" s="1"/>
  <c r="J637" i="14" s="1"/>
  <c r="J624" i="14"/>
  <c r="J628" i="14" s="1"/>
  <c r="J619" i="14"/>
  <c r="J618" i="14"/>
  <c r="J617" i="14"/>
  <c r="J616" i="14"/>
  <c r="J610" i="14"/>
  <c r="J609" i="14"/>
  <c r="J608" i="14"/>
  <c r="J607" i="14"/>
  <c r="J606" i="14"/>
  <c r="J605" i="14"/>
  <c r="J604" i="14"/>
  <c r="J603" i="14"/>
  <c r="J602" i="14"/>
  <c r="J601" i="14"/>
  <c r="J599" i="14"/>
  <c r="J597" i="14"/>
  <c r="J595" i="14"/>
  <c r="J594" i="14"/>
  <c r="J593" i="14"/>
  <c r="J591" i="14"/>
  <c r="J590" i="14"/>
  <c r="J589" i="14"/>
  <c r="J587" i="14"/>
  <c r="J586" i="14"/>
  <c r="J585" i="14"/>
  <c r="J584" i="14"/>
  <c r="J578" i="14"/>
  <c r="J577" i="14"/>
  <c r="J575" i="14"/>
  <c r="J574" i="14"/>
  <c r="J573" i="14"/>
  <c r="J572" i="14"/>
  <c r="J571" i="14"/>
  <c r="J570" i="14"/>
  <c r="J569" i="14"/>
  <c r="J568" i="14"/>
  <c r="J566" i="14"/>
  <c r="J565" i="14"/>
  <c r="J564" i="14"/>
  <c r="J562" i="14"/>
  <c r="J561" i="14"/>
  <c r="J560" i="14"/>
  <c r="J559" i="14"/>
  <c r="J557" i="14"/>
  <c r="J556" i="14"/>
  <c r="J555" i="14"/>
  <c r="J554" i="14"/>
  <c r="J553" i="14"/>
  <c r="J547" i="14"/>
  <c r="J545" i="14"/>
  <c r="J544" i="14"/>
  <c r="J543" i="14"/>
  <c r="J542" i="14"/>
  <c r="J541" i="14"/>
  <c r="J540" i="14"/>
  <c r="J539" i="14"/>
  <c r="J538" i="14"/>
  <c r="J535" i="14"/>
  <c r="J534" i="14"/>
  <c r="J533" i="14"/>
  <c r="J531" i="14"/>
  <c r="J530" i="14"/>
  <c r="J529" i="14"/>
  <c r="J528" i="14"/>
  <c r="J522" i="14"/>
  <c r="J521" i="14"/>
  <c r="J520" i="14"/>
  <c r="J519" i="14"/>
  <c r="J518" i="14"/>
  <c r="J517" i="14"/>
  <c r="J515" i="14"/>
  <c r="J514" i="14"/>
  <c r="J513" i="14"/>
  <c r="J512" i="14"/>
  <c r="J511" i="14"/>
  <c r="J504" i="14"/>
  <c r="J503" i="14"/>
  <c r="J502" i="14"/>
  <c r="J501" i="14"/>
  <c r="J500" i="14"/>
  <c r="J499" i="14"/>
  <c r="J498" i="14"/>
  <c r="J497" i="14"/>
  <c r="J490" i="14"/>
  <c r="J489" i="14"/>
  <c r="J488" i="14"/>
  <c r="J487" i="14"/>
  <c r="J486" i="14"/>
  <c r="J485" i="14"/>
  <c r="J484" i="14"/>
  <c r="J483" i="14"/>
  <c r="J482" i="14"/>
  <c r="J481" i="14"/>
  <c r="J480" i="14"/>
  <c r="J477" i="14"/>
  <c r="J476" i="14"/>
  <c r="J474" i="14"/>
  <c r="J473" i="14"/>
  <c r="J472" i="14"/>
  <c r="J471" i="14"/>
  <c r="J470" i="14"/>
  <c r="J469" i="14"/>
  <c r="J468" i="14"/>
  <c r="J467" i="14"/>
  <c r="J466" i="14"/>
  <c r="J456" i="14"/>
  <c r="J459" i="14"/>
  <c r="J458" i="14"/>
  <c r="J457" i="14"/>
  <c r="J455" i="14"/>
  <c r="J454" i="14"/>
  <c r="J453" i="14"/>
  <c r="J452" i="14"/>
  <c r="J451" i="14"/>
  <c r="J450" i="14"/>
  <c r="J447" i="14"/>
  <c r="J446" i="14"/>
  <c r="J444" i="14"/>
  <c r="J443" i="14"/>
  <c r="J442" i="14"/>
  <c r="J441" i="14"/>
  <c r="J440" i="14"/>
  <c r="J439" i="14"/>
  <c r="J438" i="14"/>
  <c r="J437" i="14"/>
  <c r="J436" i="14"/>
  <c r="J435" i="14"/>
  <c r="J429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2" i="14"/>
  <c r="J410" i="14"/>
  <c r="J409" i="14"/>
  <c r="J408" i="14"/>
  <c r="J407" i="14"/>
  <c r="J406" i="14"/>
  <c r="J405" i="14"/>
  <c r="J404" i="14"/>
  <c r="J403" i="14"/>
  <c r="J402" i="14"/>
  <c r="J399" i="14"/>
  <c r="J398" i="14"/>
  <c r="J397" i="14"/>
  <c r="J396" i="14"/>
  <c r="J395" i="14"/>
  <c r="J384" i="14"/>
  <c r="J383" i="14"/>
  <c r="J382" i="14"/>
  <c r="J381" i="14"/>
  <c r="J380" i="14"/>
  <c r="J379" i="14"/>
  <c r="J378" i="14"/>
  <c r="J377" i="14"/>
  <c r="J376" i="14"/>
  <c r="J375" i="14"/>
  <c r="J373" i="14"/>
  <c r="J372" i="14"/>
  <c r="J371" i="14"/>
  <c r="J370" i="14"/>
  <c r="J369" i="14"/>
  <c r="J367" i="14"/>
  <c r="J366" i="14"/>
  <c r="J365" i="14"/>
  <c r="J364" i="14"/>
  <c r="J363" i="14"/>
  <c r="J362" i="14"/>
  <c r="J361" i="14"/>
  <c r="J360" i="14"/>
  <c r="J359" i="14"/>
  <c r="J358" i="14"/>
  <c r="J352" i="14"/>
  <c r="J350" i="14"/>
  <c r="J349" i="14"/>
  <c r="J348" i="14"/>
  <c r="J345" i="14"/>
  <c r="J344" i="14"/>
  <c r="J343" i="14"/>
  <c r="J342" i="14"/>
  <c r="J341" i="14"/>
  <c r="J340" i="14"/>
  <c r="J339" i="14"/>
  <c r="J331" i="14"/>
  <c r="J329" i="14"/>
  <c r="J327" i="14"/>
  <c r="J326" i="14"/>
  <c r="J324" i="14"/>
  <c r="J323" i="14"/>
  <c r="J322" i="14"/>
  <c r="J321" i="14"/>
  <c r="J320" i="14"/>
  <c r="J319" i="14"/>
  <c r="J318" i="14"/>
  <c r="J311" i="14"/>
  <c r="J309" i="14"/>
  <c r="J307" i="14"/>
  <c r="J306" i="14"/>
  <c r="J304" i="14"/>
  <c r="J303" i="14"/>
  <c r="J301" i="14"/>
  <c r="J300" i="14"/>
  <c r="J299" i="14"/>
  <c r="J298" i="14"/>
  <c r="J297" i="14"/>
  <c r="J296" i="14"/>
  <c r="J295" i="14"/>
  <c r="J294" i="14"/>
  <c r="J287" i="14"/>
  <c r="J285" i="14"/>
  <c r="J283" i="14"/>
  <c r="J282" i="14"/>
  <c r="J280" i="14"/>
  <c r="J279" i="14"/>
  <c r="J275" i="14"/>
  <c r="J274" i="14"/>
  <c r="J273" i="14"/>
  <c r="J272" i="14"/>
  <c r="J271" i="14"/>
  <c r="J270" i="14"/>
  <c r="J269" i="14"/>
  <c r="J268" i="14"/>
  <c r="J261" i="14"/>
  <c r="J259" i="14"/>
  <c r="J257" i="14"/>
  <c r="J256" i="14"/>
  <c r="J254" i="14"/>
  <c r="J253" i="14"/>
  <c r="J251" i="14"/>
  <c r="J250" i="14"/>
  <c r="J249" i="14"/>
  <c r="J248" i="14"/>
  <c r="J247" i="14"/>
  <c r="J246" i="14"/>
  <c r="J245" i="14"/>
  <c r="J244" i="14"/>
  <c r="J237" i="14"/>
  <c r="J235" i="14"/>
  <c r="J233" i="14"/>
  <c r="J232" i="14"/>
  <c r="J231" i="14"/>
  <c r="J229" i="14"/>
  <c r="J228" i="14"/>
  <c r="J227" i="14"/>
  <c r="J226" i="14"/>
  <c r="J225" i="14"/>
  <c r="J224" i="14"/>
  <c r="J223" i="14"/>
  <c r="J222" i="14"/>
  <c r="J221" i="14"/>
  <c r="J220" i="14"/>
  <c r="J219" i="14"/>
  <c r="J212" i="14"/>
  <c r="J210" i="14"/>
  <c r="J208" i="14"/>
  <c r="J207" i="14"/>
  <c r="J205" i="14"/>
  <c r="J204" i="14"/>
  <c r="J203" i="14"/>
  <c r="J202" i="14"/>
  <c r="J201" i="14"/>
  <c r="J200" i="14"/>
  <c r="J199" i="14"/>
  <c r="J198" i="14"/>
  <c r="J197" i="14"/>
  <c r="J196" i="14"/>
  <c r="J195" i="14"/>
  <c r="J188" i="14"/>
  <c r="J186" i="14"/>
  <c r="J184" i="14"/>
  <c r="J183" i="14"/>
  <c r="J181" i="14"/>
  <c r="J180" i="14"/>
  <c r="J179" i="14"/>
  <c r="J178" i="14"/>
  <c r="J177" i="14"/>
  <c r="J176" i="14"/>
  <c r="J175" i="14"/>
  <c r="J174" i="14"/>
  <c r="J173" i="14"/>
  <c r="J172" i="14"/>
  <c r="J165" i="14"/>
  <c r="J163" i="14"/>
  <c r="J161" i="14"/>
  <c r="J160" i="14"/>
  <c r="J158" i="14"/>
  <c r="J157" i="14"/>
  <c r="J156" i="14"/>
  <c r="J155" i="14"/>
  <c r="J154" i="14"/>
  <c r="J153" i="14"/>
  <c r="J151" i="14"/>
  <c r="J150" i="14"/>
  <c r="J149" i="14"/>
  <c r="J148" i="14"/>
  <c r="K121" i="14"/>
  <c r="J141" i="14"/>
  <c r="J139" i="14"/>
  <c r="J137" i="14"/>
  <c r="J136" i="14"/>
  <c r="J134" i="14"/>
  <c r="J133" i="14"/>
  <c r="J132" i="14"/>
  <c r="J131" i="14"/>
  <c r="J130" i="14"/>
  <c r="J129" i="14"/>
  <c r="J128" i="14"/>
  <c r="J127" i="14"/>
  <c r="J126" i="14"/>
  <c r="J125" i="14"/>
  <c r="J118" i="14"/>
  <c r="J116" i="14"/>
  <c r="J114" i="14"/>
  <c r="J113" i="14"/>
  <c r="J111" i="14"/>
  <c r="J110" i="14"/>
  <c r="J109" i="14"/>
  <c r="J107" i="14"/>
  <c r="J106" i="14"/>
  <c r="J105" i="14"/>
  <c r="J103" i="14"/>
  <c r="J102" i="14"/>
  <c r="J101" i="14"/>
  <c r="J100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Z224" i="14" l="1"/>
  <c r="Z233" i="14"/>
  <c r="Z322" i="14"/>
  <c r="Z402" i="14"/>
  <c r="Z410" i="14"/>
  <c r="Z421" i="14"/>
  <c r="Z618" i="14"/>
  <c r="Z179" i="14"/>
  <c r="Z151" i="14"/>
  <c r="Z161" i="14"/>
  <c r="Z296" i="14"/>
  <c r="Z306" i="14"/>
  <c r="Z153" i="14"/>
  <c r="Z163" i="14"/>
  <c r="Z196" i="14"/>
  <c r="Z204" i="14"/>
  <c r="Z340" i="14"/>
  <c r="Z350" i="14"/>
  <c r="Z593" i="14"/>
  <c r="Z197" i="14"/>
  <c r="Z205" i="14"/>
  <c r="Z268" i="14"/>
  <c r="Z279" i="14"/>
  <c r="Z502" i="14"/>
  <c r="Z469" i="14"/>
  <c r="Z480" i="14"/>
  <c r="Z488" i="14"/>
  <c r="Z517" i="14"/>
  <c r="Z605" i="14"/>
  <c r="Z219" i="14"/>
  <c r="Z245" i="14"/>
  <c r="Z254" i="14"/>
  <c r="Z359" i="14"/>
  <c r="Z367" i="14"/>
  <c r="Z377" i="14"/>
  <c r="Z227" i="14"/>
  <c r="Z394" i="14"/>
  <c r="Z326" i="14"/>
  <c r="Z405" i="14"/>
  <c r="Z416" i="14"/>
  <c r="Z424" i="14"/>
  <c r="Z174" i="14"/>
  <c r="Z183" i="14"/>
  <c r="Z497" i="14"/>
  <c r="Z299" i="14"/>
  <c r="Z311" i="14"/>
  <c r="Z585" i="14"/>
  <c r="Z251" i="14"/>
  <c r="Z365" i="14"/>
  <c r="Z375" i="14"/>
  <c r="Z383" i="14"/>
  <c r="Z225" i="14"/>
  <c r="Z235" i="14"/>
  <c r="Z323" i="14"/>
  <c r="Z403" i="14"/>
  <c r="Z412" i="14"/>
  <c r="Z422" i="14"/>
  <c r="Z619" i="14"/>
  <c r="Z297" i="14"/>
  <c r="Z307" i="14"/>
  <c r="Z154" i="14"/>
  <c r="Z198" i="14"/>
  <c r="Z207" i="14"/>
  <c r="Z269" i="14"/>
  <c r="Z280" i="14"/>
  <c r="Z210" i="14"/>
  <c r="V210" i="14"/>
  <c r="Z201" i="14"/>
  <c r="V212" i="14"/>
  <c r="Z212" i="14"/>
  <c r="Z244" i="14"/>
  <c r="Z253" i="14"/>
  <c r="Z272" i="14"/>
  <c r="Z285" i="14"/>
  <c r="Z358" i="14"/>
  <c r="Z366" i="14"/>
  <c r="Z376" i="14"/>
  <c r="Z384" i="14"/>
  <c r="Z473" i="14"/>
  <c r="Z484" i="14"/>
  <c r="Z512" i="14"/>
  <c r="Z521" i="14"/>
  <c r="Z601" i="14"/>
  <c r="Z609" i="14"/>
  <c r="Z246" i="14"/>
  <c r="Z256" i="14"/>
  <c r="Z324" i="14"/>
  <c r="Z360" i="14"/>
  <c r="Z369" i="14"/>
  <c r="Z378" i="14"/>
  <c r="Z404" i="14"/>
  <c r="Z415" i="14"/>
  <c r="Z423" i="14"/>
  <c r="Z503" i="14"/>
  <c r="Z514" i="14"/>
  <c r="Z528" i="14"/>
  <c r="Z554" i="14"/>
  <c r="Z603" i="14"/>
  <c r="Z173" i="14"/>
  <c r="Z181" i="14"/>
  <c r="Z220" i="14"/>
  <c r="Z228" i="14"/>
  <c r="Z395" i="14"/>
  <c r="V468" i="14"/>
  <c r="Z468" i="14"/>
  <c r="Z504" i="14"/>
  <c r="Z298" i="14"/>
  <c r="Z309" i="14"/>
  <c r="Z318" i="14"/>
  <c r="Z327" i="14"/>
  <c r="Z341" i="14"/>
  <c r="Z352" i="14"/>
  <c r="Z406" i="14"/>
  <c r="Z417" i="14"/>
  <c r="Z425" i="14"/>
  <c r="V530" i="14"/>
  <c r="Z556" i="14"/>
  <c r="V556" i="14"/>
  <c r="Z584" i="14"/>
  <c r="V594" i="14"/>
  <c r="Z594" i="14"/>
  <c r="Z237" i="14"/>
  <c r="V237" i="14"/>
  <c r="Z342" i="14"/>
  <c r="V397" i="14"/>
  <c r="Z397" i="14"/>
  <c r="Z470" i="14"/>
  <c r="Z481" i="14"/>
  <c r="Z489" i="14"/>
  <c r="Z498" i="14"/>
  <c r="Z518" i="14"/>
  <c r="Z595" i="14"/>
  <c r="Z606" i="14"/>
  <c r="Z226" i="14"/>
  <c r="Z199" i="14"/>
  <c r="Z208" i="14"/>
  <c r="Z270" i="14"/>
  <c r="Z282" i="14"/>
  <c r="Z300" i="14"/>
  <c r="Z471" i="14"/>
  <c r="Z482" i="14"/>
  <c r="Z490" i="14"/>
  <c r="Z519" i="14"/>
  <c r="V586" i="14"/>
  <c r="Z586" i="14"/>
  <c r="Z597" i="14"/>
  <c r="Z607" i="14"/>
  <c r="N628" i="14"/>
  <c r="Z628" i="14" s="1"/>
  <c r="Z624" i="14"/>
  <c r="J29" i="17"/>
  <c r="J52" i="17"/>
  <c r="J68" i="17"/>
  <c r="J61" i="17"/>
  <c r="J14" i="17"/>
  <c r="J39" i="17"/>
  <c r="J42" i="17"/>
  <c r="J24" i="17"/>
  <c r="J43" i="17"/>
  <c r="J49" i="17"/>
  <c r="N25" i="17"/>
  <c r="N43" i="17"/>
  <c r="J30" i="17"/>
  <c r="J21" i="17"/>
  <c r="J63" i="17"/>
  <c r="AD33" i="17"/>
  <c r="AD36" i="17"/>
  <c r="J622" i="17"/>
  <c r="J22" i="17"/>
  <c r="N63" i="17"/>
  <c r="J70" i="17"/>
  <c r="N640" i="17"/>
  <c r="AD29" i="17"/>
  <c r="AB46" i="17"/>
  <c r="J71" i="17"/>
  <c r="N28" i="17"/>
  <c r="N14" i="17"/>
  <c r="P14" i="17"/>
  <c r="J28" i="17"/>
  <c r="J37" i="17"/>
  <c r="N61" i="17"/>
  <c r="P61" i="17"/>
  <c r="N46" i="17"/>
  <c r="P46" i="17"/>
  <c r="J549" i="17"/>
  <c r="J19" i="17"/>
  <c r="AB26" i="17"/>
  <c r="AD28" i="17"/>
  <c r="N30" i="17"/>
  <c r="J314" i="17"/>
  <c r="N54" i="17"/>
  <c r="P54" i="17"/>
  <c r="AB20" i="17"/>
  <c r="N22" i="17"/>
  <c r="P22" i="17"/>
  <c r="N33" i="17"/>
  <c r="N21" i="17"/>
  <c r="N13" i="17"/>
  <c r="P13" i="17"/>
  <c r="J20" i="17"/>
  <c r="AC18" i="17"/>
  <c r="AD18" i="17" s="1"/>
  <c r="P68" i="17"/>
  <c r="J168" i="17"/>
  <c r="Z141" i="14"/>
  <c r="V141" i="14"/>
  <c r="Z165" i="14"/>
  <c r="V165" i="14"/>
  <c r="Z175" i="14"/>
  <c r="Z184" i="14"/>
  <c r="Z156" i="14"/>
  <c r="AD32" i="17"/>
  <c r="Z118" i="14"/>
  <c r="J27" i="17"/>
  <c r="AB30" i="17"/>
  <c r="J34" i="17"/>
  <c r="J46" i="17"/>
  <c r="J54" i="17"/>
  <c r="N67" i="17"/>
  <c r="J334" i="17"/>
  <c r="J387" i="17"/>
  <c r="J462" i="17"/>
  <c r="J65" i="17"/>
  <c r="AD25" i="17"/>
  <c r="AB34" i="17"/>
  <c r="N65" i="17"/>
  <c r="N68" i="17"/>
  <c r="J191" i="17"/>
  <c r="J240" i="17"/>
  <c r="AD45" i="17"/>
  <c r="J431" i="17"/>
  <c r="N507" i="17"/>
  <c r="N524" i="17"/>
  <c r="AB15" i="17"/>
  <c r="J26" i="17"/>
  <c r="J33" i="17"/>
  <c r="N37" i="17"/>
  <c r="AB42" i="17"/>
  <c r="N42" i="17"/>
  <c r="J47" i="17"/>
  <c r="N49" i="17"/>
  <c r="J69" i="17"/>
  <c r="AD41" i="17"/>
  <c r="AD44" i="17"/>
  <c r="N612" i="17"/>
  <c r="N622" i="17"/>
  <c r="G56" i="17"/>
  <c r="N20" i="17"/>
  <c r="AB38" i="17"/>
  <c r="N47" i="17"/>
  <c r="N60" i="17"/>
  <c r="AD63" i="17"/>
  <c r="AD24" i="17"/>
  <c r="J215" i="17"/>
  <c r="AD47" i="17"/>
  <c r="N290" i="17"/>
  <c r="AD53" i="17"/>
  <c r="J507" i="17"/>
  <c r="J524" i="17"/>
  <c r="J32" i="17"/>
  <c r="J36" i="17"/>
  <c r="J67" i="17"/>
  <c r="N69" i="17"/>
  <c r="AD23" i="17"/>
  <c r="J612" i="17"/>
  <c r="J25" i="17"/>
  <c r="J50" i="17"/>
  <c r="AD37" i="17"/>
  <c r="AD40" i="17"/>
  <c r="AD52" i="17"/>
  <c r="AD64" i="17"/>
  <c r="AC30" i="17"/>
  <c r="AD27" i="17"/>
  <c r="J23" i="17"/>
  <c r="J31" i="17"/>
  <c r="J38" i="17"/>
  <c r="J45" i="17"/>
  <c r="N70" i="17"/>
  <c r="N71" i="17"/>
  <c r="AC17" i="17" s="1"/>
  <c r="AD17" i="17" s="1"/>
  <c r="AC22" i="17"/>
  <c r="AD22" i="17" s="1"/>
  <c r="N168" i="17"/>
  <c r="N580" i="17"/>
  <c r="J639" i="17"/>
  <c r="J640" i="17"/>
  <c r="N314" i="17"/>
  <c r="J13" i="17"/>
  <c r="N23" i="17"/>
  <c r="N31" i="17"/>
  <c r="N38" i="17"/>
  <c r="N45" i="17"/>
  <c r="N52" i="17"/>
  <c r="AC16" i="17"/>
  <c r="AC35" i="17"/>
  <c r="N191" i="17"/>
  <c r="N215" i="17"/>
  <c r="N355" i="17"/>
  <c r="N387" i="17"/>
  <c r="J580" i="17"/>
  <c r="N26" i="17"/>
  <c r="N34" i="17"/>
  <c r="G77" i="17"/>
  <c r="J62" i="17"/>
  <c r="J73" i="17"/>
  <c r="J74" i="17"/>
  <c r="J75" i="17"/>
  <c r="N240" i="17"/>
  <c r="J264" i="17"/>
  <c r="N493" i="17"/>
  <c r="N29" i="17"/>
  <c r="N36" i="17"/>
  <c r="N50" i="17"/>
  <c r="N62" i="17"/>
  <c r="N73" i="17"/>
  <c r="N74" i="17"/>
  <c r="N75" i="17"/>
  <c r="N264" i="17"/>
  <c r="J493" i="17"/>
  <c r="N549" i="17"/>
  <c r="AC60" i="17" s="1"/>
  <c r="AD60" i="17" s="1"/>
  <c r="N24" i="17"/>
  <c r="N32" i="17"/>
  <c r="N39" i="17"/>
  <c r="J60" i="17"/>
  <c r="N121" i="17"/>
  <c r="J144" i="17"/>
  <c r="N334" i="17"/>
  <c r="AC50" i="17"/>
  <c r="AD50" i="17" s="1"/>
  <c r="N462" i="17"/>
  <c r="AC56" i="17" s="1"/>
  <c r="AD56" i="17" s="1"/>
  <c r="AC58" i="17"/>
  <c r="AD58" i="17" s="1"/>
  <c r="AC62" i="17"/>
  <c r="AD62" i="17" s="1"/>
  <c r="N19" i="17"/>
  <c r="N27" i="17"/>
  <c r="J121" i="17"/>
  <c r="N144" i="17"/>
  <c r="N431" i="17"/>
  <c r="AC55" i="17" s="1"/>
  <c r="AD55" i="17" s="1"/>
  <c r="AC59" i="17"/>
  <c r="AD59" i="17" s="1"/>
  <c r="AC39" i="17"/>
  <c r="AD39" i="17" s="1"/>
  <c r="AC43" i="17"/>
  <c r="J290" i="17"/>
  <c r="J355" i="17"/>
  <c r="AC31" i="17"/>
  <c r="AC49" i="17"/>
  <c r="AD49" i="17" s="1"/>
  <c r="AC66" i="17"/>
  <c r="Z81" i="14"/>
  <c r="Z86" i="14"/>
  <c r="Z94" i="14"/>
  <c r="Z103" i="14"/>
  <c r="Z131" i="14"/>
  <c r="Z125" i="14"/>
  <c r="Z638" i="14"/>
  <c r="Z176" i="14"/>
  <c r="Z186" i="14"/>
  <c r="Z150" i="14"/>
  <c r="Z160" i="14"/>
  <c r="Z88" i="14"/>
  <c r="Z96" i="14"/>
  <c r="Z107" i="14"/>
  <c r="Z133" i="14"/>
  <c r="Z639" i="14"/>
  <c r="Z631" i="14"/>
  <c r="Z172" i="14"/>
  <c r="Z180" i="14"/>
  <c r="Z82" i="14"/>
  <c r="Z90" i="14"/>
  <c r="Z98" i="14"/>
  <c r="Z110" i="14"/>
  <c r="Z127" i="14"/>
  <c r="Z136" i="14"/>
  <c r="Z155" i="14"/>
  <c r="Z84" i="14"/>
  <c r="Z92" i="14"/>
  <c r="Z139" i="14"/>
  <c r="Z178" i="14"/>
  <c r="N640" i="14"/>
  <c r="P640" i="14"/>
  <c r="P168" i="14"/>
  <c r="P462" i="14"/>
  <c r="P493" i="14"/>
  <c r="P622" i="14"/>
  <c r="N622" i="14"/>
  <c r="P580" i="14"/>
  <c r="P144" i="14"/>
  <c r="P191" i="14"/>
  <c r="P290" i="14"/>
  <c r="N355" i="14"/>
  <c r="Z355" i="14" s="1"/>
  <c r="P121" i="14"/>
  <c r="P240" i="14"/>
  <c r="P355" i="14"/>
  <c r="P215" i="14"/>
  <c r="P387" i="14"/>
  <c r="P431" i="14"/>
  <c r="P314" i="14"/>
  <c r="P334" i="14"/>
  <c r="P507" i="14"/>
  <c r="P524" i="14"/>
  <c r="P549" i="14"/>
  <c r="P264" i="14"/>
  <c r="P612" i="14"/>
  <c r="N524" i="14"/>
  <c r="N507" i="14"/>
  <c r="N612" i="14"/>
  <c r="N580" i="14"/>
  <c r="Z580" i="14" s="1"/>
  <c r="N549" i="14"/>
  <c r="Z549" i="14" s="1"/>
  <c r="N493" i="14"/>
  <c r="N462" i="14"/>
  <c r="N431" i="14"/>
  <c r="N387" i="14"/>
  <c r="Z387" i="14" s="1"/>
  <c r="N334" i="14"/>
  <c r="N314" i="14"/>
  <c r="N290" i="14"/>
  <c r="N264" i="14"/>
  <c r="Z264" i="14" s="1"/>
  <c r="N240" i="14"/>
  <c r="N215" i="14"/>
  <c r="Z215" i="14" s="1"/>
  <c r="N191" i="14"/>
  <c r="N168" i="14"/>
  <c r="N144" i="14"/>
  <c r="Z144" i="14" s="1"/>
  <c r="N121" i="14"/>
  <c r="J144" i="14"/>
  <c r="J191" i="14"/>
  <c r="J215" i="14"/>
  <c r="J240" i="14"/>
  <c r="J121" i="14"/>
  <c r="J639" i="14"/>
  <c r="J640" i="14"/>
  <c r="J622" i="14"/>
  <c r="J612" i="14"/>
  <c r="J580" i="14"/>
  <c r="J549" i="14"/>
  <c r="J524" i="14"/>
  <c r="J507" i="14"/>
  <c r="J493" i="14"/>
  <c r="J462" i="14"/>
  <c r="J431" i="14"/>
  <c r="J387" i="14"/>
  <c r="J355" i="14"/>
  <c r="J334" i="14"/>
  <c r="J314" i="14"/>
  <c r="J290" i="14"/>
  <c r="J264" i="14"/>
  <c r="J168" i="14"/>
  <c r="V640" i="14"/>
  <c r="K640" i="14"/>
  <c r="K641" i="14"/>
  <c r="V635" i="14"/>
  <c r="V628" i="14"/>
  <c r="V507" i="14"/>
  <c r="V290" i="14"/>
  <c r="J111" i="6"/>
  <c r="AF31" i="14"/>
  <c r="I45" i="6" s="1"/>
  <c r="AF66" i="14"/>
  <c r="AF64" i="14"/>
  <c r="I107" i="6" s="1"/>
  <c r="AF63" i="14"/>
  <c r="I101" i="6" s="1"/>
  <c r="AF62" i="14"/>
  <c r="I99" i="6" s="1"/>
  <c r="AF61" i="14"/>
  <c r="I97" i="6" s="1"/>
  <c r="AF60" i="14"/>
  <c r="I95" i="6" s="1"/>
  <c r="AF59" i="14"/>
  <c r="I93" i="6" s="1"/>
  <c r="AF58" i="14"/>
  <c r="I91" i="6" s="1"/>
  <c r="AF57" i="14"/>
  <c r="I89" i="6" s="1"/>
  <c r="AF56" i="14"/>
  <c r="I87" i="6" s="1"/>
  <c r="AF55" i="14"/>
  <c r="I85" i="6" s="1"/>
  <c r="AF53" i="14"/>
  <c r="I81" i="6" s="1"/>
  <c r="AF52" i="14"/>
  <c r="I79" i="6" s="1"/>
  <c r="AF50" i="14"/>
  <c r="I75" i="6" s="1"/>
  <c r="AF49" i="14"/>
  <c r="I73" i="6" s="1"/>
  <c r="AF48" i="14"/>
  <c r="I71" i="6" s="1"/>
  <c r="AF47" i="14"/>
  <c r="I69" i="6" s="1"/>
  <c r="AF45" i="14"/>
  <c r="I67" i="6" s="1"/>
  <c r="AF44" i="14"/>
  <c r="I65" i="6" s="1"/>
  <c r="AF43" i="14"/>
  <c r="I63" i="6" s="1"/>
  <c r="AF41" i="14"/>
  <c r="I61" i="6" s="1"/>
  <c r="AF40" i="14"/>
  <c r="I59" i="6" s="1"/>
  <c r="AF39" i="14"/>
  <c r="I57" i="6" s="1"/>
  <c r="AF37" i="14"/>
  <c r="I55" i="6" s="1"/>
  <c r="AF36" i="14"/>
  <c r="I53" i="6" s="1"/>
  <c r="AF35" i="14"/>
  <c r="I51" i="6" s="1"/>
  <c r="AF33" i="14"/>
  <c r="I49" i="6" s="1"/>
  <c r="AF32" i="14"/>
  <c r="I47" i="6" s="1"/>
  <c r="AF29" i="14"/>
  <c r="I43" i="6" s="1"/>
  <c r="AF28" i="14"/>
  <c r="I41" i="6" s="1"/>
  <c r="AF27" i="14"/>
  <c r="I39" i="6" s="1"/>
  <c r="AF25" i="14"/>
  <c r="I37" i="6" s="1"/>
  <c r="AF24" i="14"/>
  <c r="I35" i="6" s="1"/>
  <c r="AF22" i="14"/>
  <c r="I31" i="6" s="1"/>
  <c r="AF21" i="14"/>
  <c r="I29" i="6" s="1"/>
  <c r="AF23" i="14"/>
  <c r="I33" i="6" s="1"/>
  <c r="AF19" i="14"/>
  <c r="I27" i="6" s="1"/>
  <c r="AF18" i="14"/>
  <c r="I25" i="6" s="1"/>
  <c r="AF17" i="14"/>
  <c r="I23" i="6" s="1"/>
  <c r="AF16" i="14"/>
  <c r="I21" i="6" s="1"/>
  <c r="AF14" i="14"/>
  <c r="I19" i="6" s="1"/>
  <c r="AF13" i="14"/>
  <c r="I17" i="6" s="1"/>
  <c r="AF12" i="14"/>
  <c r="I15" i="6" s="1"/>
  <c r="AF11" i="14"/>
  <c r="I13" i="6" s="1"/>
  <c r="AF10" i="14"/>
  <c r="I11" i="6" s="1"/>
  <c r="Z121" i="14" l="1"/>
  <c r="Z168" i="14"/>
  <c r="Z314" i="14"/>
  <c r="Z612" i="14"/>
  <c r="Z290" i="14"/>
  <c r="Z334" i="14"/>
  <c r="Z507" i="14"/>
  <c r="Z524" i="14"/>
  <c r="Z191" i="14"/>
  <c r="Z431" i="14"/>
  <c r="Z640" i="14"/>
  <c r="Z462" i="14"/>
  <c r="Z240" i="14"/>
  <c r="Z493" i="14"/>
  <c r="Z622" i="14"/>
  <c r="AD30" i="17"/>
  <c r="P77" i="17"/>
  <c r="O77" i="17" s="1"/>
  <c r="J56" i="17"/>
  <c r="AB69" i="17"/>
  <c r="P56" i="17"/>
  <c r="O56" i="17" s="1"/>
  <c r="J107" i="6"/>
  <c r="AD26" i="17"/>
  <c r="J77" i="17"/>
  <c r="AD43" i="17"/>
  <c r="AD46" i="17" s="1"/>
  <c r="AC46" i="17"/>
  <c r="AC42" i="17"/>
  <c r="AD42" i="17"/>
  <c r="AC14" i="17"/>
  <c r="AD14" i="17" s="1"/>
  <c r="N77" i="17"/>
  <c r="N56" i="17"/>
  <c r="AD66" i="17"/>
  <c r="AC21" i="17"/>
  <c r="AC13" i="17"/>
  <c r="AD13" i="17" s="1"/>
  <c r="AC61" i="17"/>
  <c r="AD61" i="17" s="1"/>
  <c r="AC10" i="17"/>
  <c r="AD16" i="17"/>
  <c r="AC48" i="17"/>
  <c r="AD48" i="17" s="1"/>
  <c r="AC34" i="17"/>
  <c r="AD31" i="17"/>
  <c r="AD34" i="17" s="1"/>
  <c r="AC19" i="17"/>
  <c r="AD57" i="17"/>
  <c r="AC12" i="17"/>
  <c r="AD12" i="17" s="1"/>
  <c r="AC38" i="17"/>
  <c r="AD35" i="17"/>
  <c r="AD38" i="17" s="1"/>
  <c r="AC11" i="17"/>
  <c r="AD11" i="17" s="1"/>
  <c r="V524" i="14"/>
  <c r="V580" i="14"/>
  <c r="V314" i="14"/>
  <c r="V431" i="14"/>
  <c r="V612" i="14"/>
  <c r="V549" i="14"/>
  <c r="V334" i="14"/>
  <c r="V462" i="14"/>
  <c r="V622" i="14"/>
  <c r="V240" i="14"/>
  <c r="V264" i="14"/>
  <c r="V493" i="14"/>
  <c r="V215" i="14"/>
  <c r="V387" i="14"/>
  <c r="V168" i="14"/>
  <c r="V144" i="14"/>
  <c r="V191" i="14"/>
  <c r="V121" i="14"/>
  <c r="I103" i="6"/>
  <c r="AF46" i="14"/>
  <c r="AF42" i="14"/>
  <c r="AF30" i="14"/>
  <c r="AF38" i="14"/>
  <c r="AF20" i="14"/>
  <c r="AF26" i="14"/>
  <c r="AF15" i="14"/>
  <c r="K77" i="14"/>
  <c r="J16" i="14"/>
  <c r="J18" i="14"/>
  <c r="J35" i="14"/>
  <c r="J40" i="14"/>
  <c r="J44" i="14"/>
  <c r="J48" i="14"/>
  <c r="J51" i="14"/>
  <c r="J53" i="14"/>
  <c r="J64" i="14"/>
  <c r="J66" i="14"/>
  <c r="J72" i="14"/>
  <c r="J55" i="14"/>
  <c r="I75" i="14"/>
  <c r="X75" i="14" s="1"/>
  <c r="I74" i="14"/>
  <c r="X74" i="14" s="1"/>
  <c r="I73" i="14"/>
  <c r="X73" i="14" s="1"/>
  <c r="I71" i="14"/>
  <c r="X71" i="14" s="1"/>
  <c r="G75" i="14"/>
  <c r="G74" i="14"/>
  <c r="G73" i="14"/>
  <c r="G71" i="14"/>
  <c r="I70" i="14"/>
  <c r="X70" i="14" s="1"/>
  <c r="I69" i="14"/>
  <c r="X69" i="14" s="1"/>
  <c r="I68" i="14"/>
  <c r="X68" i="14" s="1"/>
  <c r="I67" i="14"/>
  <c r="X67" i="14" s="1"/>
  <c r="I65" i="14"/>
  <c r="X65" i="14" s="1"/>
  <c r="I61" i="14"/>
  <c r="X61" i="14" s="1"/>
  <c r="I62" i="14"/>
  <c r="X62" i="14" s="1"/>
  <c r="I63" i="14"/>
  <c r="X63" i="14" s="1"/>
  <c r="G70" i="14"/>
  <c r="G69" i="14"/>
  <c r="G68" i="14"/>
  <c r="G67" i="14"/>
  <c r="G65" i="14"/>
  <c r="G63" i="14"/>
  <c r="G62" i="14"/>
  <c r="G61" i="14"/>
  <c r="G60" i="14"/>
  <c r="I60" i="14"/>
  <c r="X60" i="14" s="1"/>
  <c r="I54" i="14"/>
  <c r="X54" i="14" s="1"/>
  <c r="I52" i="14"/>
  <c r="I50" i="14"/>
  <c r="X50" i="14" s="1"/>
  <c r="I49" i="14"/>
  <c r="X49" i="14" s="1"/>
  <c r="I47" i="14"/>
  <c r="X47" i="14" s="1"/>
  <c r="I46" i="14"/>
  <c r="X46" i="14" s="1"/>
  <c r="I45" i="14"/>
  <c r="X45" i="14" s="1"/>
  <c r="I43" i="14"/>
  <c r="X43" i="14" s="1"/>
  <c r="I42" i="14"/>
  <c r="X42" i="14" s="1"/>
  <c r="I41" i="14"/>
  <c r="I39" i="14"/>
  <c r="I38" i="14"/>
  <c r="X38" i="14" s="1"/>
  <c r="I37" i="14"/>
  <c r="X37" i="14" s="1"/>
  <c r="I36" i="14"/>
  <c r="X36" i="14" s="1"/>
  <c r="I34" i="14"/>
  <c r="X34" i="14" s="1"/>
  <c r="I33" i="14"/>
  <c r="X33" i="14" s="1"/>
  <c r="I32" i="14"/>
  <c r="X32" i="14" s="1"/>
  <c r="I31" i="14"/>
  <c r="X31" i="14" s="1"/>
  <c r="I30" i="14"/>
  <c r="X30" i="14" s="1"/>
  <c r="I29" i="14"/>
  <c r="X29" i="14" s="1"/>
  <c r="I28" i="14"/>
  <c r="X28" i="14" s="1"/>
  <c r="I27" i="14"/>
  <c r="X27" i="14" s="1"/>
  <c r="I26" i="14"/>
  <c r="X26" i="14" s="1"/>
  <c r="I25" i="14"/>
  <c r="X25" i="14" s="1"/>
  <c r="I24" i="14"/>
  <c r="X24" i="14" s="1"/>
  <c r="I23" i="14"/>
  <c r="X23" i="14" s="1"/>
  <c r="I22" i="14"/>
  <c r="X22" i="14" s="1"/>
  <c r="I21" i="14"/>
  <c r="X21" i="14" s="1"/>
  <c r="I20" i="14"/>
  <c r="X20" i="14" s="1"/>
  <c r="I19" i="14"/>
  <c r="X19" i="14" s="1"/>
  <c r="I17" i="14"/>
  <c r="I15" i="14"/>
  <c r="I14" i="14"/>
  <c r="X14" i="14" s="1"/>
  <c r="I13" i="14"/>
  <c r="X13" i="14" s="1"/>
  <c r="G26" i="14"/>
  <c r="G47" i="14"/>
  <c r="G54" i="14"/>
  <c r="G52" i="14"/>
  <c r="G50" i="14"/>
  <c r="G49" i="14"/>
  <c r="G46" i="14"/>
  <c r="G45" i="14"/>
  <c r="G43" i="14"/>
  <c r="G42" i="14"/>
  <c r="G39" i="14"/>
  <c r="G38" i="14"/>
  <c r="G37" i="14"/>
  <c r="G36" i="14"/>
  <c r="G34" i="14"/>
  <c r="G33" i="14"/>
  <c r="G32" i="14"/>
  <c r="G31" i="14"/>
  <c r="G14" i="14"/>
  <c r="G20" i="14"/>
  <c r="G21" i="14"/>
  <c r="G41" i="14"/>
  <c r="J41" i="14" s="1"/>
  <c r="G30" i="14"/>
  <c r="G29" i="14"/>
  <c r="G28" i="14"/>
  <c r="G27" i="14"/>
  <c r="G25" i="14"/>
  <c r="G24" i="14"/>
  <c r="G23" i="14"/>
  <c r="G22" i="14"/>
  <c r="G19" i="14"/>
  <c r="G17" i="14"/>
  <c r="J17" i="14" s="1"/>
  <c r="G15" i="14"/>
  <c r="J15" i="14" s="1"/>
  <c r="G13" i="14"/>
  <c r="G11" i="13"/>
  <c r="H11" i="13" s="1"/>
  <c r="D11" i="13"/>
  <c r="X77" i="14" l="1"/>
  <c r="X56" i="14"/>
  <c r="X39" i="14"/>
  <c r="V39" i="14"/>
  <c r="R77" i="14"/>
  <c r="Q77" i="14" s="1"/>
  <c r="R56" i="14"/>
  <c r="AD19" i="17"/>
  <c r="AD20" i="17" s="1"/>
  <c r="AC20" i="17"/>
  <c r="AD21" i="17"/>
  <c r="AC26" i="17"/>
  <c r="AC15" i="17"/>
  <c r="AD10" i="17"/>
  <c r="AD15" i="17" s="1"/>
  <c r="M56" i="17"/>
  <c r="V19" i="14"/>
  <c r="P19" i="14"/>
  <c r="N19" i="14"/>
  <c r="V27" i="14"/>
  <c r="P27" i="14"/>
  <c r="N27" i="14"/>
  <c r="V36" i="14"/>
  <c r="P36" i="14"/>
  <c r="N36" i="14"/>
  <c r="V46" i="14"/>
  <c r="P46" i="14"/>
  <c r="N46" i="14"/>
  <c r="N63" i="14"/>
  <c r="V63" i="14"/>
  <c r="P63" i="14"/>
  <c r="V20" i="14"/>
  <c r="P20" i="14"/>
  <c r="N20" i="14"/>
  <c r="V28" i="14"/>
  <c r="N28" i="14"/>
  <c r="P28" i="14"/>
  <c r="V37" i="14"/>
  <c r="N37" i="14"/>
  <c r="P37" i="14"/>
  <c r="P47" i="14"/>
  <c r="V47" i="14"/>
  <c r="N47" i="14"/>
  <c r="P62" i="14"/>
  <c r="N62" i="14"/>
  <c r="V62" i="14"/>
  <c r="N13" i="14"/>
  <c r="V13" i="14"/>
  <c r="P13" i="14"/>
  <c r="P23" i="14"/>
  <c r="N23" i="14"/>
  <c r="V23" i="14"/>
  <c r="P31" i="14"/>
  <c r="V31" i="14"/>
  <c r="N31" i="14"/>
  <c r="V52" i="14"/>
  <c r="N52" i="14"/>
  <c r="N67" i="14"/>
  <c r="P67" i="14"/>
  <c r="V67" i="14"/>
  <c r="V71" i="14"/>
  <c r="N71" i="14"/>
  <c r="P71" i="14"/>
  <c r="P21" i="14"/>
  <c r="N21" i="14"/>
  <c r="V21" i="14"/>
  <c r="P22" i="14"/>
  <c r="N22" i="14"/>
  <c r="V22" i="14"/>
  <c r="P50" i="14"/>
  <c r="N50" i="14"/>
  <c r="V50" i="14"/>
  <c r="N14" i="14"/>
  <c r="V14" i="14"/>
  <c r="P14" i="14"/>
  <c r="P24" i="14"/>
  <c r="N24" i="14"/>
  <c r="V24" i="14"/>
  <c r="P32" i="14"/>
  <c r="N32" i="14"/>
  <c r="V32" i="14"/>
  <c r="P42" i="14"/>
  <c r="V42" i="14"/>
  <c r="N42" i="14"/>
  <c r="P54" i="14"/>
  <c r="N54" i="14"/>
  <c r="V54" i="14"/>
  <c r="P68" i="14"/>
  <c r="V68" i="14"/>
  <c r="N68" i="14"/>
  <c r="N73" i="14"/>
  <c r="P73" i="14"/>
  <c r="V73" i="14"/>
  <c r="V49" i="14"/>
  <c r="N49" i="14"/>
  <c r="P49" i="14"/>
  <c r="P39" i="14"/>
  <c r="N39" i="14"/>
  <c r="N65" i="14"/>
  <c r="P65" i="14"/>
  <c r="V65" i="14"/>
  <c r="N25" i="14"/>
  <c r="V25" i="14"/>
  <c r="P25" i="14"/>
  <c r="N33" i="14"/>
  <c r="V33" i="14"/>
  <c r="P33" i="14"/>
  <c r="P43" i="14"/>
  <c r="N43" i="14"/>
  <c r="V43" i="14"/>
  <c r="V60" i="14"/>
  <c r="N60" i="14"/>
  <c r="P60" i="14"/>
  <c r="P69" i="14"/>
  <c r="V69" i="14"/>
  <c r="N69" i="14"/>
  <c r="V74" i="14"/>
  <c r="N74" i="14"/>
  <c r="P74" i="14"/>
  <c r="V29" i="14"/>
  <c r="P29" i="14"/>
  <c r="N29" i="14"/>
  <c r="V38" i="14"/>
  <c r="P38" i="14"/>
  <c r="N38" i="14"/>
  <c r="N61" i="14"/>
  <c r="P61" i="14"/>
  <c r="V61" i="14"/>
  <c r="P30" i="14"/>
  <c r="N30" i="14"/>
  <c r="V30" i="14"/>
  <c r="V26" i="14"/>
  <c r="N26" i="14"/>
  <c r="P26" i="14"/>
  <c r="V34" i="14"/>
  <c r="N34" i="14"/>
  <c r="P34" i="14"/>
  <c r="N45" i="14"/>
  <c r="V45" i="14"/>
  <c r="P45" i="14"/>
  <c r="V70" i="14"/>
  <c r="N70" i="14"/>
  <c r="P70" i="14"/>
  <c r="N75" i="14"/>
  <c r="P75" i="14"/>
  <c r="V75" i="14"/>
  <c r="J68" i="14"/>
  <c r="J70" i="14"/>
  <c r="J65" i="14"/>
  <c r="AG36" i="14"/>
  <c r="AG37" i="14"/>
  <c r="AG35" i="14"/>
  <c r="AG59" i="14"/>
  <c r="AG28" i="14"/>
  <c r="AG31" i="14"/>
  <c r="AG22" i="14"/>
  <c r="AG21" i="14"/>
  <c r="AG40" i="14"/>
  <c r="AG41" i="14"/>
  <c r="AG64" i="14"/>
  <c r="AG66" i="14"/>
  <c r="AG47" i="14"/>
  <c r="AG23" i="14"/>
  <c r="AG49" i="14"/>
  <c r="AG32" i="14"/>
  <c r="AG33" i="14"/>
  <c r="AG50" i="14"/>
  <c r="AG44" i="14"/>
  <c r="AG24" i="14"/>
  <c r="AG48" i="14"/>
  <c r="AG45" i="14"/>
  <c r="AG25" i="14"/>
  <c r="AG29" i="14"/>
  <c r="AG53" i="14"/>
  <c r="AG43" i="14"/>
  <c r="AG39" i="14"/>
  <c r="AG27" i="14"/>
  <c r="J67" i="14"/>
  <c r="J69" i="14"/>
  <c r="J62" i="14"/>
  <c r="J20" i="14"/>
  <c r="J43" i="14"/>
  <c r="J33" i="14"/>
  <c r="J21" i="14"/>
  <c r="J32" i="14"/>
  <c r="J37" i="14"/>
  <c r="J38" i="14"/>
  <c r="J54" i="14"/>
  <c r="J22" i="14"/>
  <c r="J61" i="14"/>
  <c r="J73" i="14"/>
  <c r="J47" i="14"/>
  <c r="J28" i="14"/>
  <c r="J26" i="14"/>
  <c r="J75" i="14"/>
  <c r="J29" i="14"/>
  <c r="J45" i="14"/>
  <c r="J19" i="14"/>
  <c r="J30" i="14"/>
  <c r="J34" i="14"/>
  <c r="J14" i="14"/>
  <c r="J36" i="14"/>
  <c r="J49" i="14"/>
  <c r="J50" i="14"/>
  <c r="J60" i="14"/>
  <c r="J46" i="14"/>
  <c r="J71" i="14"/>
  <c r="J24" i="14"/>
  <c r="J25" i="14"/>
  <c r="J39" i="14"/>
  <c r="J23" i="14"/>
  <c r="J52" i="14"/>
  <c r="J13" i="14"/>
  <c r="J27" i="14"/>
  <c r="J31" i="14"/>
  <c r="J42" i="14"/>
  <c r="J63" i="14"/>
  <c r="J74" i="14"/>
  <c r="K56" i="14"/>
  <c r="S56" i="14" s="1"/>
  <c r="G77" i="14"/>
  <c r="G56" i="14"/>
  <c r="Z27" i="14" l="1"/>
  <c r="W56" i="14"/>
  <c r="Z46" i="14"/>
  <c r="Q56" i="14"/>
  <c r="Z42" i="14"/>
  <c r="Z30" i="14"/>
  <c r="Z75" i="14"/>
  <c r="Z60" i="14"/>
  <c r="AC69" i="17"/>
  <c r="AD69" i="17" s="1"/>
  <c r="Z25" i="14"/>
  <c r="Z69" i="14"/>
  <c r="Z24" i="14"/>
  <c r="Z22" i="14"/>
  <c r="Z62" i="14"/>
  <c r="Z39" i="14"/>
  <c r="Z23" i="14"/>
  <c r="Z19" i="14"/>
  <c r="Z50" i="14"/>
  <c r="Z63" i="14"/>
  <c r="Z34" i="14"/>
  <c r="Z32" i="14"/>
  <c r="Z36" i="14"/>
  <c r="Z70" i="14"/>
  <c r="Z61" i="14"/>
  <c r="Z74" i="14"/>
  <c r="Z49" i="14"/>
  <c r="Z26" i="14"/>
  <c r="Z38" i="14"/>
  <c r="Z43" i="14"/>
  <c r="Z54" i="14"/>
  <c r="Z71" i="14"/>
  <c r="Z31" i="14"/>
  <c r="Z37" i="14"/>
  <c r="Z45" i="14"/>
  <c r="Z29" i="14"/>
  <c r="Z73" i="14"/>
  <c r="Z28" i="14"/>
  <c r="Z65" i="14"/>
  <c r="Z33" i="14"/>
  <c r="Z68" i="14"/>
  <c r="AG18" i="14" s="1"/>
  <c r="Z67" i="14"/>
  <c r="Z47" i="14"/>
  <c r="Z14" i="14"/>
  <c r="Z21" i="14"/>
  <c r="Z52" i="14"/>
  <c r="Z20" i="14"/>
  <c r="Z13" i="14"/>
  <c r="AG52" i="14"/>
  <c r="V77" i="14"/>
  <c r="V56" i="14"/>
  <c r="U56" i="14" s="1"/>
  <c r="P56" i="14"/>
  <c r="O56" i="14" s="1"/>
  <c r="P77" i="14"/>
  <c r="O77" i="14" s="1"/>
  <c r="N77" i="14"/>
  <c r="N56" i="14"/>
  <c r="M56" i="14" s="1"/>
  <c r="V355" i="14"/>
  <c r="AG63" i="14"/>
  <c r="AG38" i="14"/>
  <c r="AG62" i="14"/>
  <c r="AG60" i="14"/>
  <c r="AG57" i="14"/>
  <c r="AG61" i="14"/>
  <c r="AG56" i="14"/>
  <c r="AG26" i="14"/>
  <c r="AG55" i="14"/>
  <c r="AG34" i="14"/>
  <c r="AG58" i="14"/>
  <c r="AG46" i="14"/>
  <c r="AG42" i="14"/>
  <c r="AG30" i="14"/>
  <c r="J56" i="14"/>
  <c r="J77" i="14"/>
  <c r="L123" i="11"/>
  <c r="L124" i="11"/>
  <c r="L125" i="11"/>
  <c r="L126" i="11"/>
  <c r="L127" i="11"/>
  <c r="L128" i="11"/>
  <c r="Z77" i="14" l="1"/>
  <c r="Y77" i="14"/>
  <c r="S77" i="14"/>
  <c r="AG14" i="14"/>
  <c r="AG10" i="14"/>
  <c r="Y56" i="14"/>
  <c r="Z56" i="14"/>
  <c r="AG11" i="14"/>
  <c r="AG13" i="14"/>
  <c r="AG12" i="14"/>
  <c r="AG19" i="14"/>
  <c r="AG16" i="14"/>
  <c r="AG17" i="14"/>
  <c r="E13" i="12"/>
  <c r="F6" i="12"/>
  <c r="F13" i="12" s="1"/>
  <c r="G12" i="12"/>
  <c r="H12" i="12" s="1"/>
  <c r="G10" i="12"/>
  <c r="H10" i="12" s="1"/>
  <c r="H8" i="12"/>
  <c r="G13" i="12" l="1"/>
  <c r="H13" i="12" s="1"/>
  <c r="AG20" i="14"/>
  <c r="AG15" i="14"/>
  <c r="AG69" i="14" s="1"/>
  <c r="E12" i="13" l="1"/>
  <c r="F12" i="13" s="1"/>
  <c r="G9" i="13"/>
  <c r="F9" i="13"/>
  <c r="D9" i="13"/>
  <c r="G7" i="13"/>
  <c r="F7" i="13"/>
  <c r="D7" i="13"/>
  <c r="H9" i="13" l="1"/>
  <c r="C10" i="13"/>
  <c r="H7" i="13"/>
  <c r="C8" i="13"/>
  <c r="D12" i="13" l="1"/>
  <c r="D8" i="13"/>
  <c r="D10" i="13"/>
  <c r="Q5" i="11"/>
  <c r="G12" i="13" l="1"/>
  <c r="H12" i="13" s="1"/>
  <c r="E11" i="11"/>
  <c r="E15" i="11"/>
  <c r="Q15" i="11" s="1"/>
  <c r="N12" i="13"/>
  <c r="O12" i="13" s="1"/>
  <c r="M12" i="13"/>
  <c r="L5" i="11"/>
  <c r="J6" i="11"/>
  <c r="J7" i="11" s="1"/>
  <c r="H6" i="11"/>
  <c r="H7" i="11" s="1"/>
  <c r="H8" i="11" s="1"/>
  <c r="L6" i="11" l="1"/>
  <c r="Q11" i="11"/>
  <c r="E16" i="11"/>
  <c r="Q16" i="11" s="1"/>
  <c r="J8" i="11"/>
  <c r="L7" i="11"/>
  <c r="K128" i="11"/>
  <c r="K125" i="11"/>
  <c r="K126" i="11"/>
  <c r="K127" i="11"/>
  <c r="K123" i="11"/>
  <c r="K124" i="11"/>
  <c r="E6" i="11"/>
  <c r="D6" i="11"/>
  <c r="F29" i="8"/>
  <c r="E7" i="11" l="1"/>
  <c r="Q6" i="11"/>
  <c r="D7" i="11"/>
  <c r="E17" i="11"/>
  <c r="D16" i="11"/>
  <c r="J9" i="11"/>
  <c r="L8" i="11"/>
  <c r="D8" i="11" l="1"/>
  <c r="Q17" i="11"/>
  <c r="E8" i="11"/>
  <c r="Q7" i="11"/>
  <c r="D17" i="11"/>
  <c r="E18" i="11"/>
  <c r="Q18" i="11" s="1"/>
  <c r="M8" i="11" l="1"/>
  <c r="Q8" i="11"/>
  <c r="M11" i="11"/>
  <c r="M16" i="11"/>
  <c r="E9" i="11"/>
  <c r="M15" i="11"/>
  <c r="D18" i="11"/>
  <c r="M17" i="11"/>
  <c r="D9" i="11"/>
  <c r="E19" i="11"/>
  <c r="M18" i="11"/>
  <c r="Q19" i="11" l="1"/>
  <c r="D19" i="11"/>
  <c r="M9" i="11"/>
  <c r="Q9" i="11"/>
  <c r="E10" i="11"/>
  <c r="D10" i="11"/>
  <c r="M19" i="11"/>
  <c r="E20" i="11"/>
  <c r="Y18" i="11" s="1"/>
  <c r="AH18" i="11" l="1"/>
  <c r="AF18" i="11"/>
  <c r="Q20" i="11"/>
  <c r="D12" i="11"/>
  <c r="Q10" i="11"/>
  <c r="M10" i="11"/>
  <c r="D20" i="11"/>
  <c r="X18" i="11" s="1"/>
  <c r="M20" i="11"/>
  <c r="E21" i="11"/>
  <c r="AG18" i="11" l="1"/>
  <c r="AF24" i="11"/>
  <c r="AI18" i="11"/>
  <c r="AJ18" i="11"/>
  <c r="AK18" i="11" s="1"/>
  <c r="Q21" i="11"/>
  <c r="D21" i="11"/>
  <c r="E12" i="11"/>
  <c r="M21" i="11"/>
  <c r="E22" i="11"/>
  <c r="Q22" i="11" l="1"/>
  <c r="M12" i="11"/>
  <c r="Q12" i="11"/>
  <c r="D13" i="11"/>
  <c r="D22" i="11"/>
  <c r="D23" i="11" s="1"/>
  <c r="M22" i="11"/>
  <c r="E23" i="11"/>
  <c r="Q23" i="11" l="1"/>
  <c r="E24" i="11"/>
  <c r="E13" i="11"/>
  <c r="Q24" i="11"/>
  <c r="M23" i="11"/>
  <c r="E25" i="11" l="1"/>
  <c r="D24" i="11"/>
  <c r="D25" i="11" s="1"/>
  <c r="D26" i="11" s="1"/>
  <c r="D27" i="11" s="1"/>
  <c r="M13" i="11"/>
  <c r="Q13" i="11"/>
  <c r="D14" i="11"/>
  <c r="M24" i="11"/>
  <c r="Q25" i="11" l="1"/>
  <c r="D28" i="11"/>
  <c r="E14" i="11"/>
  <c r="E26" i="11"/>
  <c r="E27" i="11" s="1"/>
  <c r="E28" i="11" s="1"/>
  <c r="E29" i="11" s="1"/>
  <c r="E30" i="11" s="1"/>
  <c r="E31" i="11" s="1"/>
  <c r="E32" i="11" s="1"/>
  <c r="E33" i="11" s="1"/>
  <c r="E34" i="11" s="1"/>
  <c r="M25" i="11"/>
  <c r="D29" i="11" l="1"/>
  <c r="D30" i="11" s="1"/>
  <c r="D31" i="11" s="1"/>
  <c r="D32" i="11" s="1"/>
  <c r="Q26" i="11"/>
  <c r="M14" i="11"/>
  <c r="Q14" i="11"/>
  <c r="M26" i="11"/>
  <c r="D33" i="11" l="1"/>
  <c r="D34" i="11" s="1"/>
  <c r="D35" i="11" s="1"/>
  <c r="D36" i="11" s="1"/>
  <c r="Q27" i="11"/>
  <c r="M27" i="11"/>
  <c r="D37" i="11" l="1"/>
  <c r="D38" i="11" s="1"/>
  <c r="D39" i="11" s="1"/>
  <c r="D40" i="11" s="1"/>
  <c r="Q28" i="11"/>
  <c r="M28" i="11"/>
  <c r="D41" i="11" l="1"/>
  <c r="D42" i="11" s="1"/>
  <c r="D43" i="11" s="1"/>
  <c r="D44" i="11" s="1"/>
  <c r="Q29" i="11"/>
  <c r="M29" i="11"/>
  <c r="C5" i="8"/>
  <c r="DC12" i="6"/>
  <c r="DC14" i="6"/>
  <c r="DC16" i="6"/>
  <c r="DC18" i="6"/>
  <c r="DC20" i="6"/>
  <c r="DC22" i="6"/>
  <c r="DC24" i="6"/>
  <c r="DC26" i="6"/>
  <c r="DC28" i="6"/>
  <c r="DC30" i="6"/>
  <c r="DC32" i="6"/>
  <c r="DC34" i="6"/>
  <c r="DC36" i="6"/>
  <c r="DC38" i="6"/>
  <c r="DC40" i="6"/>
  <c r="DC42" i="6"/>
  <c r="DC44" i="6"/>
  <c r="DC46" i="6"/>
  <c r="DC48" i="6"/>
  <c r="DC50" i="6"/>
  <c r="DC52" i="6"/>
  <c r="DC54" i="6"/>
  <c r="DC56" i="6"/>
  <c r="DC58" i="6"/>
  <c r="DC60" i="6"/>
  <c r="DC62" i="6"/>
  <c r="DC64" i="6"/>
  <c r="DC66" i="6"/>
  <c r="DC68" i="6"/>
  <c r="DC70" i="6"/>
  <c r="DC72" i="6"/>
  <c r="DC74" i="6"/>
  <c r="DC76" i="6"/>
  <c r="DC77" i="6"/>
  <c r="DC78" i="6"/>
  <c r="DC80" i="6"/>
  <c r="DC82" i="6"/>
  <c r="DC83" i="6"/>
  <c r="DC84" i="6"/>
  <c r="DC86" i="6"/>
  <c r="DC88" i="6"/>
  <c r="DC90" i="6"/>
  <c r="DC92" i="6"/>
  <c r="DC94" i="6"/>
  <c r="DC96" i="6"/>
  <c r="DC98" i="6"/>
  <c r="DC100" i="6"/>
  <c r="DC102" i="6"/>
  <c r="DC104" i="6"/>
  <c r="DC105" i="6"/>
  <c r="DC106" i="6"/>
  <c r="DC108" i="6"/>
  <c r="DC109" i="6"/>
  <c r="DC110" i="6"/>
  <c r="DC112" i="6"/>
  <c r="D45" i="11" l="1"/>
  <c r="D46" i="11" s="1"/>
  <c r="D47" i="11" s="1"/>
  <c r="D48" i="11" s="1"/>
  <c r="Q30" i="11"/>
  <c r="M30" i="11"/>
  <c r="D49" i="11" l="1"/>
  <c r="D50" i="11" s="1"/>
  <c r="D51" i="11" s="1"/>
  <c r="D52" i="11" s="1"/>
  <c r="Q31" i="11"/>
  <c r="Q32" i="11"/>
  <c r="M31" i="11"/>
  <c r="D53" i="11" l="1"/>
  <c r="D54" i="11" s="1"/>
  <c r="Q33" i="11"/>
  <c r="M32" i="11"/>
  <c r="D55" i="11" l="1"/>
  <c r="D56" i="11" s="1"/>
  <c r="D57" i="11" s="1"/>
  <c r="D58" i="11" s="1"/>
  <c r="D59" i="11" s="1"/>
  <c r="D60" i="11" s="1"/>
  <c r="D61" i="11" s="1"/>
  <c r="D62" i="11" s="1"/>
  <c r="D63" i="11" s="1"/>
  <c r="D64" i="11" s="1"/>
  <c r="Q34" i="11"/>
  <c r="M33" i="11"/>
  <c r="D65" i="11" l="1"/>
  <c r="D66" i="11" s="1"/>
  <c r="D67" i="11" s="1"/>
  <c r="D68" i="11" s="1"/>
  <c r="E35" i="11"/>
  <c r="E36" i="11" s="1"/>
  <c r="E37" i="11" s="1"/>
  <c r="M34" i="11"/>
  <c r="D69" i="11" l="1"/>
  <c r="D70" i="11" s="1"/>
  <c r="D71" i="11" s="1"/>
  <c r="D72" i="11" s="1"/>
  <c r="Q35" i="11"/>
  <c r="M35" i="11"/>
  <c r="D73" i="11" l="1"/>
  <c r="D74" i="11" s="1"/>
  <c r="D75" i="11" s="1"/>
  <c r="D76" i="11" s="1"/>
  <c r="Q36" i="11"/>
  <c r="M36" i="11"/>
  <c r="D77" i="11" l="1"/>
  <c r="D78" i="11" s="1"/>
  <c r="D79" i="11" s="1"/>
  <c r="D80" i="11" s="1"/>
  <c r="D81" i="11" s="1"/>
  <c r="D82" i="11" s="1"/>
  <c r="D83" i="11" s="1"/>
  <c r="D84" i="11" s="1"/>
  <c r="E38" i="11"/>
  <c r="Q38" i="11" s="1"/>
  <c r="Q37" i="11"/>
  <c r="M37" i="11"/>
  <c r="D85" i="11" l="1"/>
  <c r="D86" i="11" s="1"/>
  <c r="D87" i="11" s="1"/>
  <c r="D88" i="11" s="1"/>
  <c r="D89" i="11" s="1"/>
  <c r="D90" i="11" s="1"/>
  <c r="D91" i="11" s="1"/>
  <c r="D92" i="11" s="1"/>
  <c r="E39" i="11"/>
  <c r="M38" i="11"/>
  <c r="I12" i="8"/>
  <c r="I13" i="8"/>
  <c r="I9" i="8"/>
  <c r="I10" i="8"/>
  <c r="G14" i="8"/>
  <c r="F14" i="8"/>
  <c r="I11" i="8"/>
  <c r="H14" i="8"/>
  <c r="Q39" i="11" l="1"/>
  <c r="E40" i="11"/>
  <c r="E41" i="11" s="1"/>
  <c r="E42" i="11" s="1"/>
  <c r="D93" i="11"/>
  <c r="D94" i="11" s="1"/>
  <c r="D95" i="11" s="1"/>
  <c r="D96" i="11" s="1"/>
  <c r="Q40" i="11"/>
  <c r="M39" i="11"/>
  <c r="O18" i="8"/>
  <c r="E4" i="8" s="1"/>
  <c r="C4" i="8"/>
  <c r="I14" i="8"/>
  <c r="E20" i="8" s="1"/>
  <c r="N19" i="8"/>
  <c r="O19" i="8" s="1"/>
  <c r="E5" i="8" s="1"/>
  <c r="D97" i="11" l="1"/>
  <c r="D98" i="11" s="1"/>
  <c r="D99" i="11" s="1"/>
  <c r="D100" i="11" s="1"/>
  <c r="Q41" i="11"/>
  <c r="M40" i="11"/>
  <c r="DB77" i="6"/>
  <c r="DB78" i="6"/>
  <c r="DB83" i="6"/>
  <c r="DB84" i="6"/>
  <c r="DB105" i="6"/>
  <c r="DB106" i="6"/>
  <c r="DB109" i="6"/>
  <c r="DB110" i="6"/>
  <c r="AE113" i="6"/>
  <c r="S113" i="6"/>
  <c r="H111" i="6"/>
  <c r="H107" i="6"/>
  <c r="J103" i="6"/>
  <c r="H103" i="6"/>
  <c r="J101" i="6"/>
  <c r="H101" i="6"/>
  <c r="H99" i="6"/>
  <c r="J97" i="6"/>
  <c r="H97" i="6"/>
  <c r="J95" i="6"/>
  <c r="H95" i="6"/>
  <c r="J93" i="6"/>
  <c r="H93" i="6"/>
  <c r="J91" i="6"/>
  <c r="H91" i="6"/>
  <c r="J89" i="6"/>
  <c r="H89" i="6"/>
  <c r="J87" i="6"/>
  <c r="H87" i="6"/>
  <c r="H85" i="6"/>
  <c r="H81" i="6"/>
  <c r="G79" i="6"/>
  <c r="H21" i="6"/>
  <c r="H11" i="6"/>
  <c r="G107" i="6" l="1"/>
  <c r="G102" i="19"/>
  <c r="G102" i="18"/>
  <c r="G89" i="6"/>
  <c r="G84" i="19"/>
  <c r="G84" i="18"/>
  <c r="G97" i="6"/>
  <c r="G92" i="18"/>
  <c r="G92" i="19"/>
  <c r="G111" i="6"/>
  <c r="G106" i="19"/>
  <c r="G106" i="18"/>
  <c r="G101" i="6"/>
  <c r="G96" i="19"/>
  <c r="G96" i="18"/>
  <c r="G21" i="6"/>
  <c r="G16" i="18"/>
  <c r="G16" i="19"/>
  <c r="G99" i="6"/>
  <c r="G94" i="19"/>
  <c r="G94" i="18"/>
  <c r="G81" i="6"/>
  <c r="G76" i="19"/>
  <c r="G76" i="18"/>
  <c r="G93" i="6"/>
  <c r="G88" i="18"/>
  <c r="G88" i="19"/>
  <c r="G91" i="6"/>
  <c r="G86" i="19"/>
  <c r="G86" i="18"/>
  <c r="G103" i="6"/>
  <c r="G98" i="18"/>
  <c r="G98" i="19"/>
  <c r="F74" i="19"/>
  <c r="F74" i="18"/>
  <c r="G85" i="6"/>
  <c r="G80" i="18"/>
  <c r="G80" i="19"/>
  <c r="G11" i="6"/>
  <c r="G6" i="19"/>
  <c r="G6" i="18"/>
  <c r="G95" i="6"/>
  <c r="G90" i="18"/>
  <c r="G90" i="19"/>
  <c r="G87" i="6"/>
  <c r="G82" i="18"/>
  <c r="G82" i="19"/>
  <c r="D101" i="11"/>
  <c r="D102" i="11" s="1"/>
  <c r="D103" i="11" s="1"/>
  <c r="D104" i="11" s="1"/>
  <c r="Q42" i="11"/>
  <c r="M41" i="11"/>
  <c r="J85" i="6"/>
  <c r="J81" i="6"/>
  <c r="J99" i="6"/>
  <c r="F16" i="19" l="1"/>
  <c r="F16" i="18"/>
  <c r="F98" i="19"/>
  <c r="F98" i="18"/>
  <c r="F92" i="18"/>
  <c r="F92" i="19"/>
  <c r="F76" i="19"/>
  <c r="F76" i="18"/>
  <c r="F96" i="19"/>
  <c r="F96" i="18"/>
  <c r="F86" i="19"/>
  <c r="F86" i="18"/>
  <c r="F84" i="19"/>
  <c r="F84" i="18"/>
  <c r="F94" i="19"/>
  <c r="F94" i="18"/>
  <c r="F106" i="19"/>
  <c r="F106" i="18"/>
  <c r="F88" i="18"/>
  <c r="F88" i="19"/>
  <c r="F102" i="19"/>
  <c r="F102" i="18"/>
  <c r="F80" i="18"/>
  <c r="F80" i="19"/>
  <c r="F6" i="19"/>
  <c r="F6" i="18"/>
  <c r="F90" i="19"/>
  <c r="F90" i="18"/>
  <c r="F82" i="19"/>
  <c r="F82" i="18"/>
  <c r="D105" i="11"/>
  <c r="D106" i="11" s="1"/>
  <c r="D107" i="11" s="1"/>
  <c r="D108" i="11" s="1"/>
  <c r="E43" i="11"/>
  <c r="M42" i="11"/>
  <c r="J79" i="6"/>
  <c r="J25" i="6"/>
  <c r="J23" i="6"/>
  <c r="J17" i="6"/>
  <c r="J61" i="6"/>
  <c r="J59" i="6"/>
  <c r="J57" i="6"/>
  <c r="J27" i="6"/>
  <c r="N2" i="11" l="1"/>
  <c r="Q2" i="11" s="1"/>
  <c r="R2" i="11" s="1"/>
  <c r="D109" i="11"/>
  <c r="D110" i="11" s="1"/>
  <c r="D111" i="11" s="1"/>
  <c r="D112" i="11" s="1"/>
  <c r="D113" i="11" s="1"/>
  <c r="D114" i="11" s="1"/>
  <c r="D115" i="11" s="1"/>
  <c r="D116" i="11" s="1"/>
  <c r="Q43" i="11"/>
  <c r="E44" i="11"/>
  <c r="M43" i="11"/>
  <c r="J13" i="6"/>
  <c r="D117" i="11" l="1"/>
  <c r="D118" i="11" s="1"/>
  <c r="D119" i="11" s="1"/>
  <c r="D120" i="11" s="1"/>
  <c r="E45" i="11"/>
  <c r="Q45" i="11" s="1"/>
  <c r="Q44" i="11"/>
  <c r="M44" i="11"/>
  <c r="J21" i="6"/>
  <c r="D121" i="11" l="1"/>
  <c r="D122" i="11" s="1"/>
  <c r="D123" i="11" s="1"/>
  <c r="D124" i="11" s="1"/>
  <c r="D125" i="11" s="1"/>
  <c r="D126" i="11" s="1"/>
  <c r="D127" i="11" s="1"/>
  <c r="D128" i="11" s="1"/>
  <c r="E46" i="11"/>
  <c r="M45" i="11"/>
  <c r="Q46" i="11" l="1"/>
  <c r="E47" i="11"/>
  <c r="M46" i="11"/>
  <c r="J11" i="6"/>
  <c r="J15" i="6"/>
  <c r="J19" i="6"/>
  <c r="Q47" i="11" l="1"/>
  <c r="E48" i="11"/>
  <c r="M47" i="11"/>
  <c r="E49" i="11" l="1"/>
  <c r="Q48" i="11"/>
  <c r="M48" i="11"/>
  <c r="J53" i="6"/>
  <c r="E50" i="11" l="1"/>
  <c r="Q49" i="11"/>
  <c r="M49" i="11"/>
  <c r="J69" i="6"/>
  <c r="J31" i="6"/>
  <c r="J63" i="6"/>
  <c r="J71" i="6"/>
  <c r="J65" i="6"/>
  <c r="J39" i="6"/>
  <c r="J73" i="6"/>
  <c r="J41" i="6"/>
  <c r="J67" i="6"/>
  <c r="J35" i="6"/>
  <c r="J33" i="6"/>
  <c r="J47" i="6"/>
  <c r="J75" i="6"/>
  <c r="J51" i="6"/>
  <c r="Q50" i="11" l="1"/>
  <c r="E51" i="11"/>
  <c r="M50" i="11"/>
  <c r="J29" i="6"/>
  <c r="J37" i="6"/>
  <c r="J43" i="6"/>
  <c r="J49" i="6"/>
  <c r="J55" i="6"/>
  <c r="Q51" i="11" l="1"/>
  <c r="E52" i="11"/>
  <c r="M51" i="11"/>
  <c r="E53" i="11" l="1"/>
  <c r="Q53" i="11" s="1"/>
  <c r="Q52" i="11"/>
  <c r="M52" i="11"/>
  <c r="E54" i="11" l="1"/>
  <c r="M53" i="11"/>
  <c r="Q54" i="11" l="1"/>
  <c r="E55" i="11"/>
  <c r="M54" i="11"/>
  <c r="E56" i="11" l="1"/>
  <c r="Q56" i="11" s="1"/>
  <c r="Q55" i="11"/>
  <c r="M55" i="11"/>
  <c r="E57" i="11" l="1"/>
  <c r="Q57" i="11" s="1"/>
  <c r="M56" i="11"/>
  <c r="J10" i="11"/>
  <c r="E58" i="11" l="1"/>
  <c r="Q58" i="11" s="1"/>
  <c r="M57" i="11"/>
  <c r="E59" i="11" l="1"/>
  <c r="M58" i="11"/>
  <c r="Q59" i="11" l="1"/>
  <c r="E60" i="11"/>
  <c r="M59" i="11"/>
  <c r="E61" i="11" l="1"/>
  <c r="Q60" i="11"/>
  <c r="M60" i="11"/>
  <c r="E62" i="11" l="1"/>
  <c r="Q61" i="11"/>
  <c r="M61" i="11"/>
  <c r="Q62" i="11" l="1"/>
  <c r="M62" i="11"/>
  <c r="E65" i="11" l="1"/>
  <c r="E66" i="11" s="1"/>
  <c r="M63" i="11"/>
  <c r="O63" i="11" l="1"/>
  <c r="P63" i="11" s="1"/>
  <c r="N63" i="11"/>
  <c r="R63" i="11"/>
  <c r="S63" i="11"/>
  <c r="T63" i="11" s="1"/>
  <c r="Q65" i="11"/>
  <c r="S65" i="11" s="1"/>
  <c r="Q64" i="11"/>
  <c r="S64" i="11" s="1"/>
  <c r="M64" i="11"/>
  <c r="O64" i="11" l="1"/>
  <c r="P64" i="11" s="1"/>
  <c r="N64" i="11"/>
  <c r="R64" i="11"/>
  <c r="T64" i="11"/>
  <c r="T65" i="11"/>
  <c r="R65" i="11"/>
  <c r="Q66" i="11"/>
  <c r="M65" i="11"/>
  <c r="S66" i="11" l="1"/>
  <c r="T66" i="11" s="1"/>
  <c r="R66" i="11"/>
  <c r="N65" i="11"/>
  <c r="O65" i="11"/>
  <c r="P65" i="11" s="1"/>
  <c r="E67" i="11"/>
  <c r="M66" i="11"/>
  <c r="O66" i="11" s="1"/>
  <c r="P66" i="11" l="1"/>
  <c r="N66" i="11"/>
  <c r="Q67" i="11"/>
  <c r="E68" i="11"/>
  <c r="M67" i="11"/>
  <c r="S67" i="11" l="1"/>
  <c r="T67" i="11" s="1"/>
  <c r="R67" i="11"/>
  <c r="O67" i="11"/>
  <c r="P67" i="11" s="1"/>
  <c r="N67" i="11"/>
  <c r="E69" i="11"/>
  <c r="Q69" i="11" s="1"/>
  <c r="Q68" i="11"/>
  <c r="M68" i="11"/>
  <c r="O68" i="11" l="1"/>
  <c r="P68" i="11" s="1"/>
  <c r="N68" i="11"/>
  <c r="S68" i="11"/>
  <c r="T68" i="11" s="1"/>
  <c r="R68" i="11"/>
  <c r="R69" i="11"/>
  <c r="S69" i="11"/>
  <c r="T69" i="11" s="1"/>
  <c r="E70" i="11"/>
  <c r="Q70" i="11" s="1"/>
  <c r="M69" i="11"/>
  <c r="S70" i="11" l="1"/>
  <c r="T70" i="11" s="1"/>
  <c r="R70" i="11"/>
  <c r="O69" i="11"/>
  <c r="P69" i="11" s="1"/>
  <c r="N69" i="11"/>
  <c r="E71" i="11"/>
  <c r="M70" i="11"/>
  <c r="N70" i="11" l="1"/>
  <c r="O70" i="11"/>
  <c r="P70" i="11" s="1"/>
  <c r="Q71" i="11"/>
  <c r="M71" i="11"/>
  <c r="N71" i="11" l="1"/>
  <c r="O71" i="11"/>
  <c r="P71" i="11" s="1"/>
  <c r="S71" i="11"/>
  <c r="T71" i="11" s="1"/>
  <c r="R71" i="11"/>
  <c r="Q72" i="11"/>
  <c r="M72" i="11"/>
  <c r="R72" i="11" l="1"/>
  <c r="S72" i="11"/>
  <c r="T72" i="11" s="1"/>
  <c r="N72" i="11"/>
  <c r="O72" i="11"/>
  <c r="P72" i="11" s="1"/>
  <c r="E74" i="11"/>
  <c r="Q73" i="11"/>
  <c r="M73" i="11"/>
  <c r="N73" i="11" l="1"/>
  <c r="O73" i="11"/>
  <c r="P73" i="11" s="1"/>
  <c r="S73" i="11"/>
  <c r="T73" i="11" s="1"/>
  <c r="R73" i="11"/>
  <c r="Q75" i="11"/>
  <c r="Q74" i="11"/>
  <c r="M74" i="11"/>
  <c r="R75" i="11" l="1"/>
  <c r="S75" i="11"/>
  <c r="T75" i="11" s="1"/>
  <c r="O74" i="11"/>
  <c r="P74" i="11" s="1"/>
  <c r="N74" i="11"/>
  <c r="R74" i="11"/>
  <c r="S74" i="11"/>
  <c r="T74" i="11" s="1"/>
  <c r="Q76" i="11"/>
  <c r="M75" i="11"/>
  <c r="R76" i="11" l="1"/>
  <c r="S76" i="11"/>
  <c r="T76" i="11" s="1"/>
  <c r="O75" i="11"/>
  <c r="P75" i="11" s="1"/>
  <c r="N75" i="11"/>
  <c r="E77" i="11"/>
  <c r="Q77" i="11" s="1"/>
  <c r="M76" i="11"/>
  <c r="R77" i="11" l="1"/>
  <c r="S77" i="11"/>
  <c r="T77" i="11" s="1"/>
  <c r="O76" i="11"/>
  <c r="P76" i="11" s="1"/>
  <c r="N76" i="11"/>
  <c r="E78" i="11"/>
  <c r="M77" i="11"/>
  <c r="O77" i="11" l="1"/>
  <c r="P77" i="11" s="1"/>
  <c r="N77" i="11"/>
  <c r="Q78" i="11"/>
  <c r="E79" i="11"/>
  <c r="M78" i="11"/>
  <c r="N78" i="11" l="1"/>
  <c r="O78" i="11"/>
  <c r="P78" i="11" s="1"/>
  <c r="S78" i="11"/>
  <c r="T78" i="11" s="1"/>
  <c r="R78" i="11"/>
  <c r="Q79" i="11"/>
  <c r="E80" i="11"/>
  <c r="Q80" i="11" s="1"/>
  <c r="M79" i="11"/>
  <c r="O79" i="11" l="1"/>
  <c r="P79" i="11" s="1"/>
  <c r="N79" i="11"/>
  <c r="R79" i="11"/>
  <c r="S79" i="11"/>
  <c r="T79" i="11" s="1"/>
  <c r="S80" i="11"/>
  <c r="T80" i="11" s="1"/>
  <c r="R80" i="11"/>
  <c r="E81" i="11"/>
  <c r="M80" i="11"/>
  <c r="O80" i="11" l="1"/>
  <c r="P80" i="11" s="1"/>
  <c r="N80" i="11"/>
  <c r="E82" i="11"/>
  <c r="Q81" i="11"/>
  <c r="M81" i="11"/>
  <c r="N81" i="11" l="1"/>
  <c r="O81" i="11"/>
  <c r="P81" i="11" s="1"/>
  <c r="S81" i="11"/>
  <c r="T81" i="11" s="1"/>
  <c r="R81" i="11"/>
  <c r="Q82" i="11"/>
  <c r="E83" i="11"/>
  <c r="M82" i="11"/>
  <c r="O82" i="11" l="1"/>
  <c r="P82" i="11" s="1"/>
  <c r="N82" i="11"/>
  <c r="R82" i="11"/>
  <c r="S82" i="11"/>
  <c r="T82" i="11" s="1"/>
  <c r="Q83" i="11"/>
  <c r="E84" i="11"/>
  <c r="Q84" i="11" s="1"/>
  <c r="M83" i="11"/>
  <c r="R84" i="11" l="1"/>
  <c r="S84" i="11"/>
  <c r="T84" i="11" s="1"/>
  <c r="N83" i="11"/>
  <c r="O83" i="11"/>
  <c r="P83" i="11" s="1"/>
  <c r="R83" i="11"/>
  <c r="S83" i="11"/>
  <c r="T83" i="11" s="1"/>
  <c r="E85" i="11"/>
  <c r="Q85" i="11" s="1"/>
  <c r="M84" i="11"/>
  <c r="N84" i="11" l="1"/>
  <c r="O84" i="11"/>
  <c r="P84" i="11" s="1"/>
  <c r="R85" i="11"/>
  <c r="S85" i="11"/>
  <c r="T85" i="11" s="1"/>
  <c r="E86" i="11"/>
  <c r="M85" i="11"/>
  <c r="O85" i="11" l="1"/>
  <c r="P85" i="11" s="1"/>
  <c r="N85" i="11"/>
  <c r="E87" i="11"/>
  <c r="Q87" i="11" s="1"/>
  <c r="Q86" i="11"/>
  <c r="M86" i="11"/>
  <c r="S87" i="11" l="1"/>
  <c r="T87" i="11" s="1"/>
  <c r="R87" i="11"/>
  <c r="S86" i="11"/>
  <c r="T86" i="11" s="1"/>
  <c r="R86" i="11"/>
  <c r="N86" i="11"/>
  <c r="O86" i="11"/>
  <c r="P86" i="11" s="1"/>
  <c r="M87" i="11"/>
  <c r="N87" i="11" l="1"/>
  <c r="O87" i="11"/>
  <c r="P87" i="11" s="1"/>
  <c r="Q89" i="11"/>
  <c r="Q88" i="11"/>
  <c r="M88" i="11"/>
  <c r="S89" i="11" l="1"/>
  <c r="T89" i="11" s="1"/>
  <c r="R89" i="11"/>
  <c r="N88" i="11"/>
  <c r="O88" i="11"/>
  <c r="P88" i="11" s="1"/>
  <c r="S88" i="11"/>
  <c r="T88" i="11" s="1"/>
  <c r="R88" i="11"/>
  <c r="M89" i="11"/>
  <c r="N89" i="11" l="1"/>
  <c r="O89" i="11"/>
  <c r="P89" i="11" s="1"/>
  <c r="Q90" i="11"/>
  <c r="E91" i="11"/>
  <c r="M90" i="11"/>
  <c r="R90" i="11" l="1"/>
  <c r="S90" i="11"/>
  <c r="T90" i="11" s="1"/>
  <c r="O90" i="11"/>
  <c r="P90" i="11" s="1"/>
  <c r="N90" i="11"/>
  <c r="Q91" i="11"/>
  <c r="E92" i="11"/>
  <c r="M91" i="11"/>
  <c r="O91" i="11" l="1"/>
  <c r="P91" i="11" s="1"/>
  <c r="N91" i="11"/>
  <c r="R91" i="11"/>
  <c r="S91" i="11"/>
  <c r="T91" i="11" s="1"/>
  <c r="E93" i="11"/>
  <c r="Q93" i="11" s="1"/>
  <c r="Q92" i="11"/>
  <c r="M92" i="11"/>
  <c r="O92" i="11" l="1"/>
  <c r="P92" i="11" s="1"/>
  <c r="N92" i="11"/>
  <c r="R93" i="11"/>
  <c r="S93" i="11"/>
  <c r="T93" i="11" s="1"/>
  <c r="R92" i="11"/>
  <c r="S92" i="11"/>
  <c r="T92" i="11" s="1"/>
  <c r="E94" i="11"/>
  <c r="M93" i="11"/>
  <c r="O93" i="11" l="1"/>
  <c r="P93" i="11" s="1"/>
  <c r="N93" i="11"/>
  <c r="Q94" i="11"/>
  <c r="E95" i="11"/>
  <c r="M94" i="11"/>
  <c r="S94" i="11" l="1"/>
  <c r="T94" i="11" s="1"/>
  <c r="R94" i="11"/>
  <c r="N94" i="11"/>
  <c r="O94" i="11"/>
  <c r="P94" i="11" s="1"/>
  <c r="Q95" i="11"/>
  <c r="E96" i="11"/>
  <c r="M95" i="11"/>
  <c r="S95" i="11" l="1"/>
  <c r="T95" i="11" s="1"/>
  <c r="R95" i="11"/>
  <c r="N95" i="11"/>
  <c r="O95" i="11"/>
  <c r="P95" i="11" s="1"/>
  <c r="E97" i="11"/>
  <c r="Q97" i="11" s="1"/>
  <c r="Q96" i="11"/>
  <c r="M96" i="11"/>
  <c r="O96" i="11" l="1"/>
  <c r="P96" i="11" s="1"/>
  <c r="N96" i="11"/>
  <c r="S96" i="11"/>
  <c r="T96" i="11" s="1"/>
  <c r="R96" i="11"/>
  <c r="S97" i="11"/>
  <c r="T97" i="11" s="1"/>
  <c r="R97" i="11"/>
  <c r="E98" i="11"/>
  <c r="M97" i="11"/>
  <c r="N97" i="11" l="1"/>
  <c r="O97" i="11"/>
  <c r="P97" i="11" s="1"/>
  <c r="Q98" i="11"/>
  <c r="E99" i="11"/>
  <c r="M98" i="11"/>
  <c r="R98" i="11" l="1"/>
  <c r="S98" i="11"/>
  <c r="T98" i="11" s="1"/>
  <c r="O98" i="11"/>
  <c r="P98" i="11" s="1"/>
  <c r="N98" i="11"/>
  <c r="Q99" i="11"/>
  <c r="E100" i="11"/>
  <c r="Q100" i="11" s="1"/>
  <c r="M99" i="11"/>
  <c r="S100" i="11" l="1"/>
  <c r="T100" i="11" s="1"/>
  <c r="R100" i="11"/>
  <c r="O99" i="11"/>
  <c r="P99" i="11" s="1"/>
  <c r="N99" i="11"/>
  <c r="R99" i="11"/>
  <c r="S99" i="11"/>
  <c r="T99" i="11" s="1"/>
  <c r="E101" i="11"/>
  <c r="M100" i="11"/>
  <c r="O100" i="11" l="1"/>
  <c r="P100" i="11" s="1"/>
  <c r="N100" i="11"/>
  <c r="Q101" i="11"/>
  <c r="E102" i="11"/>
  <c r="M101" i="11"/>
  <c r="O101" i="11" l="1"/>
  <c r="P101" i="11" s="1"/>
  <c r="N101" i="11"/>
  <c r="R101" i="11"/>
  <c r="S101" i="11"/>
  <c r="T101" i="11" s="1"/>
  <c r="Q102" i="11"/>
  <c r="E103" i="11"/>
  <c r="M102" i="11"/>
  <c r="N102" i="11" l="1"/>
  <c r="O102" i="11"/>
  <c r="P102" i="11" s="1"/>
  <c r="S102" i="11"/>
  <c r="T102" i="11" s="1"/>
  <c r="R102" i="11"/>
  <c r="Q103" i="11"/>
  <c r="E104" i="11"/>
  <c r="M103" i="11"/>
  <c r="N103" i="11" l="1"/>
  <c r="O103" i="11"/>
  <c r="P103" i="11" s="1"/>
  <c r="S103" i="11"/>
  <c r="T103" i="11" s="1"/>
  <c r="R103" i="11"/>
  <c r="E105" i="11"/>
  <c r="Q105" i="11" s="1"/>
  <c r="Q104" i="11"/>
  <c r="M104" i="11"/>
  <c r="R104" i="11" l="1"/>
  <c r="S104" i="11"/>
  <c r="T104" i="11" s="1"/>
  <c r="S105" i="11"/>
  <c r="T105" i="11" s="1"/>
  <c r="R105" i="11"/>
  <c r="N104" i="11"/>
  <c r="O104" i="11"/>
  <c r="P104" i="11" s="1"/>
  <c r="E106" i="11"/>
  <c r="Q106" i="11" s="1"/>
  <c r="M105" i="11"/>
  <c r="R106" i="11" l="1"/>
  <c r="S106" i="11"/>
  <c r="T106" i="11" s="1"/>
  <c r="N105" i="11"/>
  <c r="O105" i="11"/>
  <c r="P105" i="11" s="1"/>
  <c r="E107" i="11"/>
  <c r="M106" i="11"/>
  <c r="O106" i="11" l="1"/>
  <c r="P106" i="11" s="1"/>
  <c r="N106" i="11"/>
  <c r="E108" i="11"/>
  <c r="Q108" i="11" s="1"/>
  <c r="Q107" i="11"/>
  <c r="M107" i="11"/>
  <c r="O107" i="11" l="1"/>
  <c r="P107" i="11" s="1"/>
  <c r="N107" i="11"/>
  <c r="S107" i="11"/>
  <c r="T107" i="11" s="1"/>
  <c r="R107" i="11"/>
  <c r="R108" i="11"/>
  <c r="S108" i="11"/>
  <c r="T108" i="11" s="1"/>
  <c r="E109" i="11"/>
  <c r="M108" i="11"/>
  <c r="O108" i="11" l="1"/>
  <c r="P108" i="11" s="1"/>
  <c r="N108" i="11"/>
  <c r="E110" i="11"/>
  <c r="Q110" i="11" s="1"/>
  <c r="Q109" i="11"/>
  <c r="M109" i="11"/>
  <c r="R109" i="11" l="1"/>
  <c r="S109" i="11"/>
  <c r="T109" i="11" s="1"/>
  <c r="O109" i="11"/>
  <c r="P109" i="11" s="1"/>
  <c r="N109" i="11"/>
  <c r="S110" i="11"/>
  <c r="T110" i="11" s="1"/>
  <c r="R110" i="11"/>
  <c r="E111" i="11"/>
  <c r="M110" i="11"/>
  <c r="N110" i="11" l="1"/>
  <c r="O110" i="11"/>
  <c r="P110" i="11" s="1"/>
  <c r="Q111" i="11"/>
  <c r="E112" i="11"/>
  <c r="M111" i="11"/>
  <c r="O111" i="11" l="1"/>
  <c r="P111" i="11" s="1"/>
  <c r="N111" i="11"/>
  <c r="R111" i="11"/>
  <c r="S111" i="11"/>
  <c r="T111" i="11" s="1"/>
  <c r="E113" i="11"/>
  <c r="Q112" i="11"/>
  <c r="M112" i="11"/>
  <c r="N112" i="11" l="1"/>
  <c r="O112" i="11"/>
  <c r="P112" i="11" s="1"/>
  <c r="S112" i="11"/>
  <c r="T112" i="11" s="1"/>
  <c r="R112" i="11"/>
  <c r="Q113" i="11"/>
  <c r="E114" i="11"/>
  <c r="M113" i="11"/>
  <c r="N113" i="11" l="1"/>
  <c r="O113" i="11"/>
  <c r="P113" i="11" s="1"/>
  <c r="S113" i="11"/>
  <c r="T113" i="11" s="1"/>
  <c r="R113" i="11"/>
  <c r="Q114" i="11"/>
  <c r="E115" i="11"/>
  <c r="M114" i="11"/>
  <c r="O114" i="11" l="1"/>
  <c r="P114" i="11" s="1"/>
  <c r="N114" i="11"/>
  <c r="R114" i="11"/>
  <c r="S114" i="11"/>
  <c r="T114" i="11" s="1"/>
  <c r="Q115" i="11"/>
  <c r="E116" i="11"/>
  <c r="Q116" i="11" s="1"/>
  <c r="M115" i="11"/>
  <c r="O115" i="11" l="1"/>
  <c r="P115" i="11" s="1"/>
  <c r="N115" i="11"/>
  <c r="R115" i="11"/>
  <c r="S115" i="11"/>
  <c r="T115" i="11" s="1"/>
  <c r="R116" i="11"/>
  <c r="S116" i="11"/>
  <c r="T116" i="11" s="1"/>
  <c r="E117" i="11"/>
  <c r="M116" i="11"/>
  <c r="O116" i="11" l="1"/>
  <c r="P116" i="11" s="1"/>
  <c r="N116" i="11"/>
  <c r="E118" i="11"/>
  <c r="Q118" i="11" s="1"/>
  <c r="Q117" i="11"/>
  <c r="M117" i="11"/>
  <c r="R117" i="11" l="1"/>
  <c r="S117" i="11"/>
  <c r="T117" i="11" s="1"/>
  <c r="O117" i="11"/>
  <c r="P117" i="11" s="1"/>
  <c r="N117" i="11"/>
  <c r="S118" i="11"/>
  <c r="T118" i="11" s="1"/>
  <c r="R118" i="11"/>
  <c r="E119" i="11"/>
  <c r="M118" i="11"/>
  <c r="N118" i="11" l="1"/>
  <c r="O118" i="11"/>
  <c r="P118" i="11" s="1"/>
  <c r="Q119" i="11"/>
  <c r="E120" i="11"/>
  <c r="M119" i="11"/>
  <c r="N119" i="11" l="1"/>
  <c r="O119" i="11"/>
  <c r="P119" i="11" s="1"/>
  <c r="S119" i="11"/>
  <c r="T119" i="11" s="1"/>
  <c r="R119" i="11"/>
  <c r="E121" i="11"/>
  <c r="Q121" i="11" s="1"/>
  <c r="Q120" i="11"/>
  <c r="M120" i="11"/>
  <c r="N120" i="11" l="1"/>
  <c r="O120" i="11"/>
  <c r="P120" i="11" s="1"/>
  <c r="S120" i="11"/>
  <c r="T120" i="11" s="1"/>
  <c r="R120" i="11"/>
  <c r="S121" i="11"/>
  <c r="T121" i="11" s="1"/>
  <c r="R121" i="11"/>
  <c r="E122" i="11"/>
  <c r="Q122" i="11" s="1"/>
  <c r="M121" i="11"/>
  <c r="R122" i="11" l="1"/>
  <c r="S122" i="11"/>
  <c r="T122" i="11" s="1"/>
  <c r="N121" i="11"/>
  <c r="O121" i="11"/>
  <c r="P121" i="11" s="1"/>
  <c r="E123" i="11"/>
  <c r="Q123" i="11" s="1"/>
  <c r="M122" i="11"/>
  <c r="R123" i="11" l="1"/>
  <c r="S123" i="11"/>
  <c r="T123" i="11" s="1"/>
  <c r="O122" i="11"/>
  <c r="P122" i="11" s="1"/>
  <c r="N122" i="11"/>
  <c r="E124" i="11"/>
  <c r="Q124" i="11" s="1"/>
  <c r="M123" i="11"/>
  <c r="O123" i="11" l="1"/>
  <c r="P123" i="11" s="1"/>
  <c r="N123" i="11"/>
  <c r="R124" i="11"/>
  <c r="S124" i="11"/>
  <c r="T124" i="11" s="1"/>
  <c r="E125" i="11"/>
  <c r="Q125" i="11" s="1"/>
  <c r="M124" i="11"/>
  <c r="N124" i="11" l="1"/>
  <c r="O124" i="11"/>
  <c r="P124" i="11" s="1"/>
  <c r="R125" i="11"/>
  <c r="S125" i="11"/>
  <c r="T125" i="11" s="1"/>
  <c r="E126" i="11"/>
  <c r="Q126" i="11" s="1"/>
  <c r="M125" i="11"/>
  <c r="O125" i="11" l="1"/>
  <c r="P125" i="11" s="1"/>
  <c r="N125" i="11"/>
  <c r="S126" i="11"/>
  <c r="T126" i="11" s="1"/>
  <c r="R126" i="11"/>
  <c r="E127" i="11"/>
  <c r="M126" i="11"/>
  <c r="N126" i="11" l="1"/>
  <c r="O126" i="11"/>
  <c r="P126" i="11" s="1"/>
  <c r="M127" i="11"/>
  <c r="Q127" i="11"/>
  <c r="E128" i="11"/>
  <c r="S127" i="11" l="1"/>
  <c r="T127" i="11" s="1"/>
  <c r="R127" i="11"/>
  <c r="N127" i="11"/>
  <c r="O127" i="11"/>
  <c r="P127" i="11" s="1"/>
  <c r="M128" i="11"/>
  <c r="Q128" i="11"/>
  <c r="S128" i="11" l="1"/>
  <c r="T128" i="11" s="1"/>
  <c r="R128" i="11"/>
  <c r="O128" i="11"/>
  <c r="P128" i="11" s="1"/>
  <c r="N128" i="11"/>
  <c r="J45" i="6"/>
  <c r="J113" i="6" s="1"/>
  <c r="K21" i="6" s="1"/>
  <c r="AF34" i="14"/>
  <c r="AF69" i="14" l="1"/>
  <c r="AF71" i="14"/>
  <c r="BN21" i="6"/>
  <c r="BN22" i="6"/>
  <c r="CM21" i="6"/>
  <c r="CB22" i="6"/>
  <c r="BQ22" i="6"/>
  <c r="CE21" i="6"/>
  <c r="CC22" i="6"/>
  <c r="BW21" i="6"/>
  <c r="BX22" i="6"/>
  <c r="CN21" i="6"/>
  <c r="CU22" i="6"/>
  <c r="CX22" i="6"/>
  <c r="CI22" i="6"/>
  <c r="CM22" i="6"/>
  <c r="CH22" i="6"/>
  <c r="BO22" i="6"/>
  <c r="BX21" i="6"/>
  <c r="CJ21" i="6"/>
  <c r="CP21" i="6"/>
  <c r="CW22" i="6"/>
  <c r="CQ22" i="6"/>
  <c r="BU21" i="6"/>
  <c r="CJ22" i="6"/>
  <c r="BU22" i="6"/>
  <c r="CB21" i="6"/>
  <c r="BZ21" i="6"/>
  <c r="CD22" i="6"/>
  <c r="CO21" i="6"/>
  <c r="CV21" i="6"/>
  <c r="DC21" i="6"/>
  <c r="BS22" i="6"/>
  <c r="BP21" i="6"/>
  <c r="CC21" i="6"/>
  <c r="CA21" i="6"/>
  <c r="BY22" i="6"/>
  <c r="CI21" i="6"/>
  <c r="CP22" i="6"/>
  <c r="CX21" i="6"/>
  <c r="CU21" i="6"/>
  <c r="BR22" i="6"/>
  <c r="CG21" i="6"/>
  <c r="BY21" i="6"/>
  <c r="BV21" i="6"/>
  <c r="CK22" i="6"/>
  <c r="CK21" i="6"/>
  <c r="CT22" i="6"/>
  <c r="CO22" i="6"/>
  <c r="CT21" i="6"/>
  <c r="BZ22" i="6"/>
  <c r="BP22" i="6"/>
  <c r="BO21" i="6"/>
  <c r="BQ21" i="6"/>
  <c r="CL22" i="6"/>
  <c r="CF22" i="6"/>
  <c r="CN22" i="6"/>
  <c r="CQ21" i="6"/>
  <c r="CV22" i="6"/>
  <c r="BT21" i="6"/>
  <c r="BV22" i="6"/>
  <c r="CL21" i="6"/>
  <c r="BW22" i="6"/>
  <c r="CH21" i="6"/>
  <c r="BR21" i="6"/>
  <c r="CS21" i="6"/>
  <c r="CW21" i="6"/>
  <c r="CR22" i="6"/>
  <c r="BT22" i="6"/>
  <c r="BS21" i="6"/>
  <c r="CE22" i="6"/>
  <c r="CA22" i="6"/>
  <c r="CF21" i="6"/>
  <c r="CD21" i="6"/>
  <c r="CG22" i="6"/>
  <c r="CS22" i="6"/>
  <c r="CR21" i="6"/>
  <c r="K43" i="6"/>
  <c r="K69" i="6"/>
  <c r="K17" i="6"/>
  <c r="K67" i="6"/>
  <c r="K87" i="6"/>
  <c r="K97" i="6"/>
  <c r="K63" i="6"/>
  <c r="K31" i="6"/>
  <c r="K33" i="6"/>
  <c r="K11" i="6"/>
  <c r="K111" i="6"/>
  <c r="K61" i="6"/>
  <c r="K65" i="6"/>
  <c r="K15" i="6"/>
  <c r="K13" i="6"/>
  <c r="K23" i="6"/>
  <c r="K71" i="6"/>
  <c r="K59" i="6"/>
  <c r="K55" i="6"/>
  <c r="K51" i="6"/>
  <c r="K91" i="6"/>
  <c r="K103" i="6"/>
  <c r="K35" i="6"/>
  <c r="K81" i="6"/>
  <c r="K37" i="6"/>
  <c r="K107" i="6"/>
  <c r="K25" i="6"/>
  <c r="K27" i="6"/>
  <c r="K49" i="6"/>
  <c r="K29" i="6"/>
  <c r="K53" i="6"/>
  <c r="K47" i="6"/>
  <c r="K101" i="6"/>
  <c r="K73" i="6"/>
  <c r="K85" i="6"/>
  <c r="K45" i="6"/>
  <c r="K75" i="6"/>
  <c r="K93" i="6"/>
  <c r="K57" i="6"/>
  <c r="K39" i="6"/>
  <c r="K89" i="6"/>
  <c r="K41" i="6"/>
  <c r="K99" i="6"/>
  <c r="K79" i="6"/>
  <c r="K19" i="6"/>
  <c r="K95" i="6"/>
  <c r="AH21" i="14" l="1"/>
  <c r="AH69" i="14"/>
  <c r="AH55" i="14"/>
  <c r="AH43" i="14"/>
  <c r="AH47" i="14"/>
  <c r="AH66" i="14"/>
  <c r="AH24" i="14"/>
  <c r="AH37" i="14"/>
  <c r="AH50" i="14"/>
  <c r="AH28" i="14"/>
  <c r="AH59" i="14"/>
  <c r="AH48" i="14"/>
  <c r="AH40" i="14"/>
  <c r="AH53" i="14"/>
  <c r="AH39" i="14"/>
  <c r="AH31" i="14"/>
  <c r="AH36" i="14"/>
  <c r="AH41" i="14"/>
  <c r="AH44" i="14"/>
  <c r="AH25" i="14"/>
  <c r="AH29" i="14"/>
  <c r="AH33" i="14"/>
  <c r="AH64" i="14"/>
  <c r="AH45" i="14"/>
  <c r="AH49" i="14"/>
  <c r="AH32" i="14"/>
  <c r="AH35" i="14"/>
  <c r="AH23" i="14"/>
  <c r="AH22" i="14"/>
  <c r="AH27" i="14"/>
  <c r="AH14" i="14"/>
  <c r="AH61" i="14"/>
  <c r="AH63" i="14"/>
  <c r="AH57" i="14"/>
  <c r="AH10" i="14"/>
  <c r="AH52" i="14"/>
  <c r="AH18" i="14"/>
  <c r="AH56" i="14"/>
  <c r="AH58" i="14"/>
  <c r="AH60" i="14"/>
  <c r="AH62" i="14"/>
  <c r="AH16" i="14"/>
  <c r="AH12" i="14"/>
  <c r="AH17" i="14"/>
  <c r="AH11" i="14"/>
  <c r="AH19" i="14"/>
  <c r="AH13" i="14"/>
  <c r="BN53" i="6"/>
  <c r="BN54" i="6"/>
  <c r="BZ54" i="6"/>
  <c r="CA54" i="6"/>
  <c r="BW53" i="6"/>
  <c r="BP53" i="6"/>
  <c r="BS54" i="6"/>
  <c r="CF53" i="6"/>
  <c r="CS54" i="6"/>
  <c r="CV53" i="6"/>
  <c r="CW53" i="6"/>
  <c r="CD53" i="6"/>
  <c r="BO53" i="6"/>
  <c r="CI53" i="6"/>
  <c r="CC54" i="6"/>
  <c r="BX53" i="6"/>
  <c r="BY53" i="6"/>
  <c r="CO54" i="6"/>
  <c r="CT53" i="6"/>
  <c r="CT54" i="6"/>
  <c r="BX54" i="6"/>
  <c r="CL54" i="6"/>
  <c r="CA53" i="6"/>
  <c r="BV54" i="6"/>
  <c r="BQ54" i="6"/>
  <c r="CK53" i="6"/>
  <c r="BW54" i="6"/>
  <c r="CN53" i="6"/>
  <c r="CX53" i="6"/>
  <c r="CB53" i="6"/>
  <c r="CE54" i="6"/>
  <c r="BO54" i="6"/>
  <c r="CJ54" i="6"/>
  <c r="CH54" i="6"/>
  <c r="CM54" i="6"/>
  <c r="CE53" i="6"/>
  <c r="CP53" i="6"/>
  <c r="CU54" i="6"/>
  <c r="CS53" i="6"/>
  <c r="CC53" i="6"/>
  <c r="BQ53" i="6"/>
  <c r="BU53" i="6"/>
  <c r="CH53" i="6"/>
  <c r="BZ53" i="6"/>
  <c r="BV53" i="6"/>
  <c r="CO53" i="6"/>
  <c r="CR53" i="6"/>
  <c r="CX54" i="6"/>
  <c r="CM53" i="6"/>
  <c r="CG54" i="6"/>
  <c r="BU54" i="6"/>
  <c r="BT53" i="6"/>
  <c r="CJ53" i="6"/>
  <c r="CL53" i="6"/>
  <c r="CQ53" i="6"/>
  <c r="CV54" i="6"/>
  <c r="CR54" i="6"/>
  <c r="CD54" i="6"/>
  <c r="BR54" i="6"/>
  <c r="CK54" i="6"/>
  <c r="CG53" i="6"/>
  <c r="BS53" i="6"/>
  <c r="CB54" i="6"/>
  <c r="CW54" i="6"/>
  <c r="CQ54" i="6"/>
  <c r="CU53" i="6"/>
  <c r="CI54" i="6"/>
  <c r="BR53" i="6"/>
  <c r="BP54" i="6"/>
  <c r="CF54" i="6"/>
  <c r="BT54" i="6"/>
  <c r="BY54" i="6"/>
  <c r="CN54" i="6"/>
  <c r="DC53" i="6"/>
  <c r="CP54" i="6"/>
  <c r="BN26" i="6"/>
  <c r="BN25" i="6"/>
  <c r="CC26" i="6"/>
  <c r="CG26" i="6"/>
  <c r="CK26" i="6"/>
  <c r="BZ26" i="6"/>
  <c r="BV25" i="6"/>
  <c r="CN25" i="6"/>
  <c r="CU25" i="6"/>
  <c r="CE25" i="6"/>
  <c r="BT26" i="6"/>
  <c r="CS25" i="6"/>
  <c r="CS26" i="6"/>
  <c r="BV26" i="6"/>
  <c r="CD26" i="6"/>
  <c r="CM25" i="6"/>
  <c r="CM26" i="6"/>
  <c r="CX25" i="6"/>
  <c r="CH25" i="6"/>
  <c r="BW25" i="6"/>
  <c r="BU26" i="6"/>
  <c r="CF25" i="6"/>
  <c r="BS26" i="6"/>
  <c r="CF26" i="6"/>
  <c r="BT25" i="6"/>
  <c r="CE26" i="6"/>
  <c r="DC25" i="6"/>
  <c r="CW26" i="6"/>
  <c r="CO26" i="6"/>
  <c r="CR26" i="6"/>
  <c r="BP26" i="6"/>
  <c r="CQ26" i="6"/>
  <c r="CL25" i="6"/>
  <c r="BQ25" i="6"/>
  <c r="CH26" i="6"/>
  <c r="BW26" i="6"/>
  <c r="CP25" i="6"/>
  <c r="CT25" i="6"/>
  <c r="BU25" i="6"/>
  <c r="BY25" i="6"/>
  <c r="CA25" i="6"/>
  <c r="CV26" i="6"/>
  <c r="CP26" i="6"/>
  <c r="BX25" i="6"/>
  <c r="BR26" i="6"/>
  <c r="BO26" i="6"/>
  <c r="CJ25" i="6"/>
  <c r="CL26" i="6"/>
  <c r="BX26" i="6"/>
  <c r="BO25" i="6"/>
  <c r="CW25" i="6"/>
  <c r="CR25" i="6"/>
  <c r="CK25" i="6"/>
  <c r="CJ26" i="6"/>
  <c r="BY26" i="6"/>
  <c r="CI26" i="6"/>
  <c r="CT26" i="6"/>
  <c r="CN26" i="6"/>
  <c r="CO25" i="6"/>
  <c r="BR25" i="6"/>
  <c r="CB25" i="6"/>
  <c r="CV25" i="6"/>
  <c r="CX26" i="6"/>
  <c r="BP25" i="6"/>
  <c r="BZ25" i="6"/>
  <c r="CI25" i="6"/>
  <c r="CQ25" i="6"/>
  <c r="CA26" i="6"/>
  <c r="CC25" i="6"/>
  <c r="BQ26" i="6"/>
  <c r="CD25" i="6"/>
  <c r="CU26" i="6"/>
  <c r="CG25" i="6"/>
  <c r="CB26" i="6"/>
  <c r="BS25" i="6"/>
  <c r="BN55" i="6"/>
  <c r="BN56" i="6"/>
  <c r="CI55" i="6"/>
  <c r="CB56" i="6"/>
  <c r="CT55" i="6"/>
  <c r="CB55" i="6"/>
  <c r="CA55" i="6"/>
  <c r="CK55" i="6"/>
  <c r="CO55" i="6"/>
  <c r="CS56" i="6"/>
  <c r="CX55" i="6"/>
  <c r="BP55" i="6"/>
  <c r="BV56" i="6"/>
  <c r="CH56" i="6"/>
  <c r="BR55" i="6"/>
  <c r="CH55" i="6"/>
  <c r="CD55" i="6"/>
  <c r="CT56" i="6"/>
  <c r="CP55" i="6"/>
  <c r="CR56" i="6"/>
  <c r="CG56" i="6"/>
  <c r="CE56" i="6"/>
  <c r="BO55" i="6"/>
  <c r="BU55" i="6"/>
  <c r="CA56" i="6"/>
  <c r="CG55" i="6"/>
  <c r="CV56" i="6"/>
  <c r="CN56" i="6"/>
  <c r="CO56" i="6"/>
  <c r="BW55" i="6"/>
  <c r="CF55" i="6"/>
  <c r="BT56" i="6"/>
  <c r="CD56" i="6"/>
  <c r="BP56" i="6"/>
  <c r="CC56" i="6"/>
  <c r="CS55" i="6"/>
  <c r="CV55" i="6"/>
  <c r="CW56" i="6"/>
  <c r="DC55" i="6"/>
  <c r="BS56" i="6"/>
  <c r="BO56" i="6"/>
  <c r="BR56" i="6"/>
  <c r="BU56" i="6"/>
  <c r="CM56" i="6"/>
  <c r="CE55" i="6"/>
  <c r="CR55" i="6"/>
  <c r="CU56" i="6"/>
  <c r="CL55" i="6"/>
  <c r="CJ55" i="6"/>
  <c r="BS55" i="6"/>
  <c r="BZ55" i="6"/>
  <c r="BT55" i="6"/>
  <c r="BY56" i="6"/>
  <c r="BW56" i="6"/>
  <c r="CW55" i="6"/>
  <c r="CX56" i="6"/>
  <c r="CU55" i="6"/>
  <c r="CC55" i="6"/>
  <c r="BQ56" i="6"/>
  <c r="BZ56" i="6"/>
  <c r="CL56" i="6"/>
  <c r="CK56" i="6"/>
  <c r="CM55" i="6"/>
  <c r="CJ56" i="6"/>
  <c r="CQ56" i="6"/>
  <c r="CN55" i="6"/>
  <c r="CF56" i="6"/>
  <c r="BY55" i="6"/>
  <c r="BV55" i="6"/>
  <c r="BX56" i="6"/>
  <c r="CI56" i="6"/>
  <c r="BX55" i="6"/>
  <c r="BQ55" i="6"/>
  <c r="CQ55" i="6"/>
  <c r="CP56" i="6"/>
  <c r="BN66" i="6"/>
  <c r="BN65" i="6"/>
  <c r="BX66" i="6"/>
  <c r="CD65" i="6"/>
  <c r="BT65" i="6"/>
  <c r="BS66" i="6"/>
  <c r="BZ65" i="6"/>
  <c r="CA66" i="6"/>
  <c r="CK65" i="6"/>
  <c r="CN65" i="6"/>
  <c r="CR65" i="6"/>
  <c r="CV65" i="6"/>
  <c r="CX65" i="6"/>
  <c r="BV65" i="6"/>
  <c r="CF66" i="6"/>
  <c r="BV66" i="6"/>
  <c r="BO66" i="6"/>
  <c r="BX65" i="6"/>
  <c r="CA65" i="6"/>
  <c r="CW66" i="6"/>
  <c r="CO65" i="6"/>
  <c r="BU66" i="6"/>
  <c r="CC66" i="6"/>
  <c r="DC65" i="6"/>
  <c r="CH66" i="6"/>
  <c r="CF65" i="6"/>
  <c r="CD66" i="6"/>
  <c r="BP66" i="6"/>
  <c r="CU65" i="6"/>
  <c r="CQ66" i="6"/>
  <c r="BQ65" i="6"/>
  <c r="CB65" i="6"/>
  <c r="CE66" i="6"/>
  <c r="CG66" i="6"/>
  <c r="BW65" i="6"/>
  <c r="CM65" i="6"/>
  <c r="BU65" i="6"/>
  <c r="CT66" i="6"/>
  <c r="CP66" i="6"/>
  <c r="CI65" i="6"/>
  <c r="BP65" i="6"/>
  <c r="BS65" i="6"/>
  <c r="CK66" i="6"/>
  <c r="CJ66" i="6"/>
  <c r="CG65" i="6"/>
  <c r="BW66" i="6"/>
  <c r="CS65" i="6"/>
  <c r="CS66" i="6"/>
  <c r="CP65" i="6"/>
  <c r="BO65" i="6"/>
  <c r="BZ66" i="6"/>
  <c r="CE65" i="6"/>
  <c r="CL66" i="6"/>
  <c r="CQ65" i="6"/>
  <c r="CX66" i="6"/>
  <c r="CR66" i="6"/>
  <c r="CN66" i="6"/>
  <c r="BY65" i="6"/>
  <c r="CH65" i="6"/>
  <c r="CB66" i="6"/>
  <c r="CI66" i="6"/>
  <c r="CM66" i="6"/>
  <c r="BR66" i="6"/>
  <c r="CT65" i="6"/>
  <c r="CW65" i="6"/>
  <c r="CO66" i="6"/>
  <c r="BT66" i="6"/>
  <c r="CC65" i="6"/>
  <c r="BY66" i="6"/>
  <c r="CJ65" i="6"/>
  <c r="CL65" i="6"/>
  <c r="BR65" i="6"/>
  <c r="BQ66" i="6"/>
  <c r="CU66" i="6"/>
  <c r="CV66" i="6"/>
  <c r="BN88" i="6"/>
  <c r="CA87" i="6"/>
  <c r="BY87" i="6"/>
  <c r="CJ88" i="6"/>
  <c r="CC87" i="6"/>
  <c r="CS88" i="6"/>
  <c r="BV87" i="6"/>
  <c r="CQ88" i="6"/>
  <c r="CN88" i="6"/>
  <c r="CR87" i="6"/>
  <c r="BR87" i="6"/>
  <c r="CG87" i="6"/>
  <c r="CX88" i="6"/>
  <c r="BV88" i="6"/>
  <c r="CP87" i="6"/>
  <c r="BZ87" i="6"/>
  <c r="CI87" i="6"/>
  <c r="CW87" i="6"/>
  <c r="CN87" i="6"/>
  <c r="BN87" i="6"/>
  <c r="BU87" i="6"/>
  <c r="CG88" i="6"/>
  <c r="BP87" i="6"/>
  <c r="CI88" i="6"/>
  <c r="BO88" i="6"/>
  <c r="CJ87" i="6"/>
  <c r="CC88" i="6"/>
  <c r="CR88" i="6"/>
  <c r="CT88" i="6"/>
  <c r="CU88" i="6"/>
  <c r="BT88" i="6"/>
  <c r="BX88" i="6"/>
  <c r="CD88" i="6"/>
  <c r="BP88" i="6"/>
  <c r="BY88" i="6"/>
  <c r="CL88" i="6"/>
  <c r="CM87" i="6"/>
  <c r="CX87" i="6"/>
  <c r="CV88" i="6"/>
  <c r="CK88" i="6"/>
  <c r="BS88" i="6"/>
  <c r="CK87" i="6"/>
  <c r="BO87" i="6"/>
  <c r="CM88" i="6"/>
  <c r="BU88" i="6"/>
  <c r="CF88" i="6"/>
  <c r="CT87" i="6"/>
  <c r="DC87" i="6"/>
  <c r="BW88" i="6"/>
  <c r="CH87" i="6"/>
  <c r="CP88" i="6"/>
  <c r="BQ88" i="6"/>
  <c r="CE87" i="6"/>
  <c r="CL87" i="6"/>
  <c r="BS87" i="6"/>
  <c r="CS87" i="6"/>
  <c r="CO87" i="6"/>
  <c r="BZ88" i="6"/>
  <c r="BQ87" i="6"/>
  <c r="CH88" i="6"/>
  <c r="CF87" i="6"/>
  <c r="BW87" i="6"/>
  <c r="CB87" i="6"/>
  <c r="CA88" i="6"/>
  <c r="CV87" i="6"/>
  <c r="CQ87" i="6"/>
  <c r="CD87" i="6"/>
  <c r="BR88" i="6"/>
  <c r="CE88" i="6"/>
  <c r="BX87" i="6"/>
  <c r="BT87" i="6"/>
  <c r="CB88" i="6"/>
  <c r="CU87" i="6"/>
  <c r="CW88" i="6"/>
  <c r="CO88" i="6"/>
  <c r="BN60" i="6"/>
  <c r="BN59" i="6"/>
  <c r="CB60" i="6"/>
  <c r="CN60" i="6"/>
  <c r="CI60" i="6"/>
  <c r="BZ60" i="6"/>
  <c r="CG60" i="6"/>
  <c r="BY59" i="6"/>
  <c r="CV59" i="6"/>
  <c r="CQ60" i="6"/>
  <c r="CW59" i="6"/>
  <c r="BO59" i="6"/>
  <c r="CA60" i="6"/>
  <c r="CF59" i="6"/>
  <c r="CD60" i="6"/>
  <c r="CJ59" i="6"/>
  <c r="BT59" i="6"/>
  <c r="CP60" i="6"/>
  <c r="CU60" i="6"/>
  <c r="CO60" i="6"/>
  <c r="BQ59" i="6"/>
  <c r="CH60" i="6"/>
  <c r="CF60" i="6"/>
  <c r="BX60" i="6"/>
  <c r="CA59" i="6"/>
  <c r="CM60" i="6"/>
  <c r="CR60" i="6"/>
  <c r="CS59" i="6"/>
  <c r="DC59" i="6"/>
  <c r="BV59" i="6"/>
  <c r="CM59" i="6"/>
  <c r="BW60" i="6"/>
  <c r="BO60" i="6"/>
  <c r="BP59" i="6"/>
  <c r="CB59" i="6"/>
  <c r="CO59" i="6"/>
  <c r="CN59" i="6"/>
  <c r="CT60" i="6"/>
  <c r="BT60" i="6"/>
  <c r="CK59" i="6"/>
  <c r="CD59" i="6"/>
  <c r="CI59" i="6"/>
  <c r="CG59" i="6"/>
  <c r="CK60" i="6"/>
  <c r="CL59" i="6"/>
  <c r="CX60" i="6"/>
  <c r="CX59" i="6"/>
  <c r="BV60" i="6"/>
  <c r="BU60" i="6"/>
  <c r="BU59" i="6"/>
  <c r="BS60" i="6"/>
  <c r="CE60" i="6"/>
  <c r="CH59" i="6"/>
  <c r="CC59" i="6"/>
  <c r="CT59" i="6"/>
  <c r="CS60" i="6"/>
  <c r="CR59" i="6"/>
  <c r="BR59" i="6"/>
  <c r="CE59" i="6"/>
  <c r="BX59" i="6"/>
  <c r="BR60" i="6"/>
  <c r="CJ60" i="6"/>
  <c r="BP60" i="6"/>
  <c r="CL60" i="6"/>
  <c r="CV60" i="6"/>
  <c r="CW60" i="6"/>
  <c r="BY60" i="6"/>
  <c r="CC60" i="6"/>
  <c r="BZ59" i="6"/>
  <c r="CQ59" i="6"/>
  <c r="BQ60" i="6"/>
  <c r="BS59" i="6"/>
  <c r="BW59" i="6"/>
  <c r="CU59" i="6"/>
  <c r="CP59" i="6"/>
  <c r="CM62" i="6"/>
  <c r="BP61" i="6"/>
  <c r="BY61" i="6"/>
  <c r="CH62" i="6"/>
  <c r="BN61" i="6"/>
  <c r="CF61" i="6"/>
  <c r="CL62" i="6"/>
  <c r="BZ61" i="6"/>
  <c r="CK61" i="6"/>
  <c r="BN62" i="6"/>
  <c r="BV62" i="6"/>
  <c r="CJ61" i="6"/>
  <c r="BO61" i="6"/>
  <c r="BS62" i="6"/>
  <c r="BR61" i="6"/>
  <c r="BS61" i="6"/>
  <c r="CK62" i="6"/>
  <c r="BW61" i="6"/>
  <c r="CF62" i="6"/>
  <c r="CW62" i="6"/>
  <c r="CX62" i="6"/>
  <c r="CB62" i="6"/>
  <c r="CD61" i="6"/>
  <c r="BW62" i="6"/>
  <c r="CG62" i="6"/>
  <c r="CA62" i="6"/>
  <c r="CN61" i="6"/>
  <c r="CV62" i="6"/>
  <c r="CI61" i="6"/>
  <c r="BX62" i="6"/>
  <c r="CD62" i="6"/>
  <c r="BU61" i="6"/>
  <c r="CI62" i="6"/>
  <c r="CC62" i="6"/>
  <c r="CQ62" i="6"/>
  <c r="CW61" i="6"/>
  <c r="CJ62" i="6"/>
  <c r="BO62" i="6"/>
  <c r="BY62" i="6"/>
  <c r="BZ62" i="6"/>
  <c r="CM61" i="6"/>
  <c r="BV61" i="6"/>
  <c r="DC61" i="6"/>
  <c r="CP62" i="6"/>
  <c r="CE62" i="6"/>
  <c r="BQ62" i="6"/>
  <c r="CL61" i="6"/>
  <c r="BT62" i="6"/>
  <c r="CG61" i="6"/>
  <c r="CB61" i="6"/>
  <c r="CR62" i="6"/>
  <c r="CS62" i="6"/>
  <c r="CH61" i="6"/>
  <c r="CC61" i="6"/>
  <c r="BU62" i="6"/>
  <c r="CE61" i="6"/>
  <c r="BQ61" i="6"/>
  <c r="CR61" i="6"/>
  <c r="CT61" i="6"/>
  <c r="CU62" i="6"/>
  <c r="BP62" i="6"/>
  <c r="CP61" i="6"/>
  <c r="CT62" i="6"/>
  <c r="CQ61" i="6"/>
  <c r="CO62" i="6"/>
  <c r="CX61" i="6"/>
  <c r="CN62" i="6"/>
  <c r="CV61" i="6"/>
  <c r="BR62" i="6"/>
  <c r="BX61" i="6"/>
  <c r="CA61" i="6"/>
  <c r="BT61" i="6"/>
  <c r="CU61" i="6"/>
  <c r="CO61" i="6"/>
  <c r="CS61" i="6"/>
  <c r="BN68" i="6"/>
  <c r="BN67" i="6"/>
  <c r="BW68" i="6"/>
  <c r="BS68" i="6"/>
  <c r="CE68" i="6"/>
  <c r="CJ67" i="6"/>
  <c r="CC68" i="6"/>
  <c r="BR68" i="6"/>
  <c r="BX67" i="6"/>
  <c r="CR67" i="6"/>
  <c r="CS67" i="6"/>
  <c r="CX67" i="6"/>
  <c r="CM68" i="6"/>
  <c r="CG67" i="6"/>
  <c r="BQ67" i="6"/>
  <c r="CG68" i="6"/>
  <c r="CA67" i="6"/>
  <c r="BO67" i="6"/>
  <c r="CW67" i="6"/>
  <c r="CV67" i="6"/>
  <c r="CQ67" i="6"/>
  <c r="CK67" i="6"/>
  <c r="BY68" i="6"/>
  <c r="CF67" i="6"/>
  <c r="BU68" i="6"/>
  <c r="CA68" i="6"/>
  <c r="CM67" i="6"/>
  <c r="CW68" i="6"/>
  <c r="CU67" i="6"/>
  <c r="CT68" i="6"/>
  <c r="CK68" i="6"/>
  <c r="BZ67" i="6"/>
  <c r="CB68" i="6"/>
  <c r="BQ68" i="6"/>
  <c r="BY67" i="6"/>
  <c r="BX68" i="6"/>
  <c r="CP67" i="6"/>
  <c r="CV68" i="6"/>
  <c r="CR68" i="6"/>
  <c r="CL67" i="6"/>
  <c r="CC67" i="6"/>
  <c r="BU67" i="6"/>
  <c r="CI68" i="6"/>
  <c r="BP68" i="6"/>
  <c r="CE67" i="6"/>
  <c r="CP68" i="6"/>
  <c r="CT67" i="6"/>
  <c r="CU68" i="6"/>
  <c r="BT67" i="6"/>
  <c r="CH67" i="6"/>
  <c r="BW67" i="6"/>
  <c r="BO68" i="6"/>
  <c r="CJ68" i="6"/>
  <c r="CI67" i="6"/>
  <c r="CO68" i="6"/>
  <c r="CS68" i="6"/>
  <c r="CQ68" i="6"/>
  <c r="BV67" i="6"/>
  <c r="BS67" i="6"/>
  <c r="CF68" i="6"/>
  <c r="CD67" i="6"/>
  <c r="BZ68" i="6"/>
  <c r="CD68" i="6"/>
  <c r="DC67" i="6"/>
  <c r="CN68" i="6"/>
  <c r="CO67" i="6"/>
  <c r="BV68" i="6"/>
  <c r="CH68" i="6"/>
  <c r="CL68" i="6"/>
  <c r="BP67" i="6"/>
  <c r="CB67" i="6"/>
  <c r="BT68" i="6"/>
  <c r="BR67" i="6"/>
  <c r="CX68" i="6"/>
  <c r="CN67" i="6"/>
  <c r="BN20" i="6"/>
  <c r="BN19" i="6"/>
  <c r="BO19" i="6"/>
  <c r="BU20" i="6"/>
  <c r="BT19" i="6"/>
  <c r="BX20" i="6"/>
  <c r="BS20" i="6"/>
  <c r="CB20" i="6"/>
  <c r="CU20" i="6"/>
  <c r="CO20" i="6"/>
  <c r="CX20" i="6"/>
  <c r="CJ19" i="6"/>
  <c r="BS19" i="6"/>
  <c r="CF19" i="6"/>
  <c r="BP19" i="6"/>
  <c r="BQ20" i="6"/>
  <c r="BZ19" i="6"/>
  <c r="CG20" i="6"/>
  <c r="CS20" i="6"/>
  <c r="DC19" i="6"/>
  <c r="CM19" i="6"/>
  <c r="BY20" i="6"/>
  <c r="BV19" i="6"/>
  <c r="BW20" i="6"/>
  <c r="CD20" i="6"/>
  <c r="CG19" i="6"/>
  <c r="CA20" i="6"/>
  <c r="CT19" i="6"/>
  <c r="CW19" i="6"/>
  <c r="CN20" i="6"/>
  <c r="BQ19" i="6"/>
  <c r="CD19" i="6"/>
  <c r="BW19" i="6"/>
  <c r="BO20" i="6"/>
  <c r="BU19" i="6"/>
  <c r="BP20" i="6"/>
  <c r="CS19" i="6"/>
  <c r="CX19" i="6"/>
  <c r="CR19" i="6"/>
  <c r="CH20" i="6"/>
  <c r="BX19" i="6"/>
  <c r="CL19" i="6"/>
  <c r="CI19" i="6"/>
  <c r="CK20" i="6"/>
  <c r="CE20" i="6"/>
  <c r="CU19" i="6"/>
  <c r="CR20" i="6"/>
  <c r="CP20" i="6"/>
  <c r="CC20" i="6"/>
  <c r="CC19" i="6"/>
  <c r="CM20" i="6"/>
  <c r="CB19" i="6"/>
  <c r="CK19" i="6"/>
  <c r="CJ20" i="6"/>
  <c r="CQ19" i="6"/>
  <c r="CW20" i="6"/>
  <c r="CV19" i="6"/>
  <c r="CF20" i="6"/>
  <c r="BY19" i="6"/>
  <c r="BV20" i="6"/>
  <c r="CI20" i="6"/>
  <c r="CL20" i="6"/>
  <c r="CH19" i="6"/>
  <c r="CN19" i="6"/>
  <c r="CP19" i="6"/>
  <c r="CV20" i="6"/>
  <c r="BZ20" i="6"/>
  <c r="BR19" i="6"/>
  <c r="BT20" i="6"/>
  <c r="CE19" i="6"/>
  <c r="BR20" i="6"/>
  <c r="CA19" i="6"/>
  <c r="CT20" i="6"/>
  <c r="CO19" i="6"/>
  <c r="CQ20" i="6"/>
  <c r="BN45" i="6"/>
  <c r="BN46" i="6"/>
  <c r="CL46" i="6"/>
  <c r="CH46" i="6"/>
  <c r="BU46" i="6"/>
  <c r="CW46" i="6"/>
  <c r="CQ46" i="6"/>
  <c r="CT45" i="6"/>
  <c r="CT46" i="6"/>
  <c r="CQ45" i="6"/>
  <c r="BO45" i="6"/>
  <c r="CR46" i="6"/>
  <c r="CG46" i="6"/>
  <c r="BO46" i="6"/>
  <c r="BV45" i="6"/>
  <c r="DC45" i="6"/>
  <c r="BP45" i="6"/>
  <c r="CX46" i="6"/>
  <c r="CP46" i="6"/>
  <c r="CN45" i="6"/>
  <c r="BY46" i="6"/>
  <c r="CR45" i="6"/>
  <c r="BT46" i="6"/>
  <c r="CK46" i="6"/>
  <c r="BS45" i="6"/>
  <c r="CG45" i="6"/>
  <c r="CE46" i="6"/>
  <c r="CE45" i="6"/>
  <c r="CS46" i="6"/>
  <c r="BU45" i="6"/>
  <c r="CF45" i="6"/>
  <c r="CA45" i="6"/>
  <c r="CL45" i="6"/>
  <c r="CD45" i="6"/>
  <c r="CM46" i="6"/>
  <c r="BV46" i="6"/>
  <c r="BW45" i="6"/>
  <c r="BQ46" i="6"/>
  <c r="CN46" i="6"/>
  <c r="CO45" i="6"/>
  <c r="BX46" i="6"/>
  <c r="BS46" i="6"/>
  <c r="CD46" i="6"/>
  <c r="CC46" i="6"/>
  <c r="BZ45" i="6"/>
  <c r="CB46" i="6"/>
  <c r="BW46" i="6"/>
  <c r="CS45" i="6"/>
  <c r="CM45" i="6"/>
  <c r="CC45" i="6"/>
  <c r="BX45" i="6"/>
  <c r="CF46" i="6"/>
  <c r="CJ46" i="6"/>
  <c r="BZ46" i="6"/>
  <c r="CH45" i="6"/>
  <c r="CK45" i="6"/>
  <c r="CA46" i="6"/>
  <c r="CX45" i="6"/>
  <c r="BQ45" i="6"/>
  <c r="CJ45" i="6"/>
  <c r="CV46" i="6"/>
  <c r="BP46" i="6"/>
  <c r="CB45" i="6"/>
  <c r="BR45" i="6"/>
  <c r="BY45" i="6"/>
  <c r="BR46" i="6"/>
  <c r="CI46" i="6"/>
  <c r="CO46" i="6"/>
  <c r="CI45" i="6"/>
  <c r="CP45" i="6"/>
  <c r="CU46" i="6"/>
  <c r="CU45" i="6"/>
  <c r="CW45" i="6"/>
  <c r="CV45" i="6"/>
  <c r="BT45" i="6"/>
  <c r="BN111" i="6"/>
  <c r="BN112" i="6"/>
  <c r="BP111" i="6"/>
  <c r="CP111" i="6"/>
  <c r="CI112" i="6"/>
  <c r="CH112" i="6"/>
  <c r="CK111" i="6"/>
  <c r="CE111" i="6"/>
  <c r="CD111" i="6"/>
  <c r="CS111" i="6"/>
  <c r="CR111" i="6"/>
  <c r="BP112" i="6"/>
  <c r="CB112" i="6"/>
  <c r="BR112" i="6"/>
  <c r="BQ112" i="6"/>
  <c r="BU112" i="6"/>
  <c r="CF111" i="6"/>
  <c r="CJ111" i="6"/>
  <c r="CN111" i="6"/>
  <c r="CS112" i="6"/>
  <c r="BS112" i="6"/>
  <c r="BT112" i="6"/>
  <c r="BO111" i="6"/>
  <c r="CT111" i="6"/>
  <c r="CG111" i="6"/>
  <c r="CF112" i="6"/>
  <c r="CC112" i="6"/>
  <c r="CW112" i="6"/>
  <c r="CT112" i="6"/>
  <c r="CE112" i="6"/>
  <c r="CP112" i="6"/>
  <c r="CQ112" i="6"/>
  <c r="CK112" i="6"/>
  <c r="BW111" i="6"/>
  <c r="CL112" i="6"/>
  <c r="BZ111" i="6"/>
  <c r="CU111" i="6"/>
  <c r="DC111" i="6"/>
  <c r="BX111" i="6"/>
  <c r="BY112" i="6"/>
  <c r="BT111" i="6"/>
  <c r="BV112" i="6"/>
  <c r="BR111" i="6"/>
  <c r="CI111" i="6"/>
  <c r="CV112" i="6"/>
  <c r="CR112" i="6"/>
  <c r="CQ111" i="6"/>
  <c r="CM112" i="6"/>
  <c r="CL111" i="6"/>
  <c r="CD112" i="6"/>
  <c r="CM111" i="6"/>
  <c r="BY111" i="6"/>
  <c r="BX112" i="6"/>
  <c r="CV111" i="6"/>
  <c r="CX112" i="6"/>
  <c r="CO112" i="6"/>
  <c r="CB111" i="6"/>
  <c r="BS111" i="6"/>
  <c r="BZ112" i="6"/>
  <c r="CC111" i="6"/>
  <c r="CA111" i="6"/>
  <c r="BW112" i="6"/>
  <c r="CH111" i="6"/>
  <c r="CX111" i="6"/>
  <c r="CU112" i="6"/>
  <c r="CW111" i="6"/>
  <c r="BQ111" i="6"/>
  <c r="CJ112" i="6"/>
  <c r="BV111" i="6"/>
  <c r="BO112" i="6"/>
  <c r="CG112" i="6"/>
  <c r="CA112" i="6"/>
  <c r="BU111" i="6"/>
  <c r="CO111" i="6"/>
  <c r="CN112" i="6"/>
  <c r="BN17" i="6"/>
  <c r="BN18" i="6"/>
  <c r="BP18" i="6"/>
  <c r="CL17" i="6"/>
  <c r="CC18" i="6"/>
  <c r="BO17" i="6"/>
  <c r="CI17" i="6"/>
  <c r="CK18" i="6"/>
  <c r="CE18" i="6"/>
  <c r="CQ18" i="6"/>
  <c r="CT17" i="6"/>
  <c r="CT18" i="6"/>
  <c r="CH18" i="6"/>
  <c r="BW18" i="6"/>
  <c r="CB17" i="6"/>
  <c r="BQ17" i="6"/>
  <c r="CG17" i="6"/>
  <c r="CM18" i="6"/>
  <c r="CX18" i="6"/>
  <c r="CS18" i="6"/>
  <c r="CX17" i="6"/>
  <c r="BT17" i="6"/>
  <c r="CI18" i="6"/>
  <c r="BS17" i="6"/>
  <c r="BS18" i="6"/>
  <c r="BZ17" i="6"/>
  <c r="BY17" i="6"/>
  <c r="CR18" i="6"/>
  <c r="CO18" i="6"/>
  <c r="DC17" i="6"/>
  <c r="BQ18" i="6"/>
  <c r="CF17" i="6"/>
  <c r="CD17" i="6"/>
  <c r="BZ18" i="6"/>
  <c r="CA17" i="6"/>
  <c r="BR17" i="6"/>
  <c r="CW17" i="6"/>
  <c r="CQ17" i="6"/>
  <c r="CV18" i="6"/>
  <c r="BV17" i="6"/>
  <c r="BY18" i="6"/>
  <c r="CH17" i="6"/>
  <c r="CF18" i="6"/>
  <c r="CE17" i="6"/>
  <c r="BR18" i="6"/>
  <c r="CP18" i="6"/>
  <c r="CV17" i="6"/>
  <c r="CP17" i="6"/>
  <c r="BU18" i="6"/>
  <c r="BT18" i="6"/>
  <c r="CM17" i="6"/>
  <c r="CA18" i="6"/>
  <c r="CL18" i="6"/>
  <c r="BX18" i="6"/>
  <c r="CR17" i="6"/>
  <c r="CW18" i="6"/>
  <c r="CN18" i="6"/>
  <c r="CG18" i="6"/>
  <c r="BW17" i="6"/>
  <c r="BO18" i="6"/>
  <c r="CD18" i="6"/>
  <c r="BV18" i="6"/>
  <c r="CC17" i="6"/>
  <c r="CO17" i="6"/>
  <c r="CU18" i="6"/>
  <c r="CS17" i="6"/>
  <c r="CJ18" i="6"/>
  <c r="BP17" i="6"/>
  <c r="CJ17" i="6"/>
  <c r="BX17" i="6"/>
  <c r="CB18" i="6"/>
  <c r="CK17" i="6"/>
  <c r="BU17" i="6"/>
  <c r="CU17" i="6"/>
  <c r="CN17" i="6"/>
  <c r="BN93" i="6"/>
  <c r="BN94" i="6"/>
  <c r="CA93" i="6"/>
  <c r="CH94" i="6"/>
  <c r="CD94" i="6"/>
  <c r="CF93" i="6"/>
  <c r="BU94" i="6"/>
  <c r="CK93" i="6"/>
  <c r="CR93" i="6"/>
  <c r="CU93" i="6"/>
  <c r="CT93" i="6"/>
  <c r="CC93" i="6"/>
  <c r="CM93" i="6"/>
  <c r="CH93" i="6"/>
  <c r="CE93" i="6"/>
  <c r="BZ94" i="6"/>
  <c r="CL94" i="6"/>
  <c r="CO93" i="6"/>
  <c r="CP93" i="6"/>
  <c r="CS93" i="6"/>
  <c r="BS93" i="6"/>
  <c r="CL93" i="6"/>
  <c r="BR93" i="6"/>
  <c r="BZ93" i="6"/>
  <c r="BQ94" i="6"/>
  <c r="BT94" i="6"/>
  <c r="CX94" i="6"/>
  <c r="CN93" i="6"/>
  <c r="CN94" i="6"/>
  <c r="BO94" i="6"/>
  <c r="CE94" i="6"/>
  <c r="BP93" i="6"/>
  <c r="CI94" i="6"/>
  <c r="BU93" i="6"/>
  <c r="BQ93" i="6"/>
  <c r="CR94" i="6"/>
  <c r="CU94" i="6"/>
  <c r="DC93" i="6"/>
  <c r="CJ93" i="6"/>
  <c r="BP94" i="6"/>
  <c r="CI93" i="6"/>
  <c r="BY93" i="6"/>
  <c r="CK94" i="6"/>
  <c r="BS94" i="6"/>
  <c r="CS94" i="6"/>
  <c r="CO94" i="6"/>
  <c r="CT94" i="6"/>
  <c r="CA94" i="6"/>
  <c r="CM94" i="6"/>
  <c r="CB93" i="6"/>
  <c r="BT93" i="6"/>
  <c r="BR94" i="6"/>
  <c r="CG93" i="6"/>
  <c r="CG94" i="6"/>
  <c r="CW93" i="6"/>
  <c r="CQ94" i="6"/>
  <c r="BW94" i="6"/>
  <c r="CJ94" i="6"/>
  <c r="CC94" i="6"/>
  <c r="CF94" i="6"/>
  <c r="CD93" i="6"/>
  <c r="BO93" i="6"/>
  <c r="BX94" i="6"/>
  <c r="CP94" i="6"/>
  <c r="CW94" i="6"/>
  <c r="CQ93" i="6"/>
  <c r="BV93" i="6"/>
  <c r="CB94" i="6"/>
  <c r="BX93" i="6"/>
  <c r="BW93" i="6"/>
  <c r="BV94" i="6"/>
  <c r="BY94" i="6"/>
  <c r="CX93" i="6"/>
  <c r="CV93" i="6"/>
  <c r="CV94" i="6"/>
  <c r="BN71" i="6"/>
  <c r="BN72" i="6"/>
  <c r="BS71" i="6"/>
  <c r="BP71" i="6"/>
  <c r="CE72" i="6"/>
  <c r="BU71" i="6"/>
  <c r="CI72" i="6"/>
  <c r="BQ72" i="6"/>
  <c r="BQ71" i="6"/>
  <c r="CU71" i="6"/>
  <c r="CP71" i="6"/>
  <c r="CH72" i="6"/>
  <c r="CK72" i="6"/>
  <c r="CL71" i="6"/>
  <c r="BX72" i="6"/>
  <c r="CL72" i="6"/>
  <c r="CF72" i="6"/>
  <c r="CX71" i="6"/>
  <c r="CT71" i="6"/>
  <c r="CS72" i="6"/>
  <c r="CJ71" i="6"/>
  <c r="BW72" i="6"/>
  <c r="CE71" i="6"/>
  <c r="CA71" i="6"/>
  <c r="CI71" i="6"/>
  <c r="CD71" i="6"/>
  <c r="CR72" i="6"/>
  <c r="CT72" i="6"/>
  <c r="CP72" i="6"/>
  <c r="CM72" i="6"/>
  <c r="BO72" i="6"/>
  <c r="BY72" i="6"/>
  <c r="BZ71" i="6"/>
  <c r="CB71" i="6"/>
  <c r="BZ72" i="6"/>
  <c r="BP72" i="6"/>
  <c r="CN71" i="6"/>
  <c r="CU72" i="6"/>
  <c r="CR71" i="6"/>
  <c r="CG71" i="6"/>
  <c r="CW71" i="6"/>
  <c r="BT72" i="6"/>
  <c r="BW71" i="6"/>
  <c r="CM71" i="6"/>
  <c r="CB72" i="6"/>
  <c r="CD72" i="6"/>
  <c r="CV72" i="6"/>
  <c r="CW72" i="6"/>
  <c r="BY71" i="6"/>
  <c r="CC71" i="6"/>
  <c r="CJ72" i="6"/>
  <c r="CQ71" i="6"/>
  <c r="CK71" i="6"/>
  <c r="BV71" i="6"/>
  <c r="CG72" i="6"/>
  <c r="CX72" i="6"/>
  <c r="CV71" i="6"/>
  <c r="BU72" i="6"/>
  <c r="CF71" i="6"/>
  <c r="CN72" i="6"/>
  <c r="CH71" i="6"/>
  <c r="BO71" i="6"/>
  <c r="CC72" i="6"/>
  <c r="BR71" i="6"/>
  <c r="CQ72" i="6"/>
  <c r="CS71" i="6"/>
  <c r="BR72" i="6"/>
  <c r="CO71" i="6"/>
  <c r="BV72" i="6"/>
  <c r="BT71" i="6"/>
  <c r="BX71" i="6"/>
  <c r="BS72" i="6"/>
  <c r="CA72" i="6"/>
  <c r="DC71" i="6"/>
  <c r="CO72" i="6"/>
  <c r="BN69" i="6"/>
  <c r="BN70" i="6"/>
  <c r="CE70" i="6"/>
  <c r="BT69" i="6"/>
  <c r="BZ69" i="6"/>
  <c r="BX69" i="6"/>
  <c r="BR69" i="6"/>
  <c r="BO69" i="6"/>
  <c r="BS69" i="6"/>
  <c r="CS70" i="6"/>
  <c r="CP70" i="6"/>
  <c r="CQ70" i="6"/>
  <c r="CD69" i="6"/>
  <c r="CL69" i="6"/>
  <c r="CK69" i="6"/>
  <c r="CA70" i="6"/>
  <c r="BQ70" i="6"/>
  <c r="CG70" i="6"/>
  <c r="CQ69" i="6"/>
  <c r="CT70" i="6"/>
  <c r="CR70" i="6"/>
  <c r="CJ69" i="6"/>
  <c r="BW70" i="6"/>
  <c r="BV70" i="6"/>
  <c r="CF70" i="6"/>
  <c r="CM70" i="6"/>
  <c r="CB70" i="6"/>
  <c r="CX70" i="6"/>
  <c r="CV70" i="6"/>
  <c r="CO70" i="6"/>
  <c r="CJ70" i="6"/>
  <c r="CA69" i="6"/>
  <c r="BS70" i="6"/>
  <c r="CF69" i="6"/>
  <c r="BY70" i="6"/>
  <c r="BU70" i="6"/>
  <c r="CT69" i="6"/>
  <c r="CV69" i="6"/>
  <c r="CP69" i="6"/>
  <c r="CH70" i="6"/>
  <c r="BO70" i="6"/>
  <c r="CD70" i="6"/>
  <c r="BY69" i="6"/>
  <c r="BR70" i="6"/>
  <c r="BP69" i="6"/>
  <c r="CO69" i="6"/>
  <c r="CW70" i="6"/>
  <c r="CU69" i="6"/>
  <c r="CL70" i="6"/>
  <c r="CG69" i="6"/>
  <c r="CH69" i="6"/>
  <c r="BP70" i="6"/>
  <c r="CI69" i="6"/>
  <c r="BV69" i="6"/>
  <c r="CX69" i="6"/>
  <c r="CS69" i="6"/>
  <c r="CW69" i="6"/>
  <c r="CK70" i="6"/>
  <c r="BT70" i="6"/>
  <c r="BW69" i="6"/>
  <c r="BQ69" i="6"/>
  <c r="BX70" i="6"/>
  <c r="BZ70" i="6"/>
  <c r="DC69" i="6"/>
  <c r="CN69" i="6"/>
  <c r="CN70" i="6"/>
  <c r="CE69" i="6"/>
  <c r="CB69" i="6"/>
  <c r="BU69" i="6"/>
  <c r="CC69" i="6"/>
  <c r="CC70" i="6"/>
  <c r="CI70" i="6"/>
  <c r="CM69" i="6"/>
  <c r="CU70" i="6"/>
  <c r="CR69" i="6"/>
  <c r="BN79" i="6"/>
  <c r="BN80" i="6"/>
  <c r="CG80" i="6"/>
  <c r="BO80" i="6"/>
  <c r="CA80" i="6"/>
  <c r="CC80" i="6"/>
  <c r="BU79" i="6"/>
  <c r="BW80" i="6"/>
  <c r="CS80" i="6"/>
  <c r="CV79" i="6"/>
  <c r="CW80" i="6"/>
  <c r="CB80" i="6"/>
  <c r="BX80" i="6"/>
  <c r="BT80" i="6"/>
  <c r="BR79" i="6"/>
  <c r="BT79" i="6"/>
  <c r="BQ80" i="6"/>
  <c r="BZ80" i="6"/>
  <c r="CR80" i="6"/>
  <c r="CW79" i="6"/>
  <c r="BW79" i="6"/>
  <c r="BY79" i="6"/>
  <c r="CG79" i="6"/>
  <c r="BY80" i="6"/>
  <c r="CI79" i="6"/>
  <c r="CD80" i="6"/>
  <c r="BX79" i="6"/>
  <c r="CU80" i="6"/>
  <c r="CX80" i="6"/>
  <c r="CS79" i="6"/>
  <c r="BO79" i="6"/>
  <c r="BQ79" i="6"/>
  <c r="BP79" i="6"/>
  <c r="CK79" i="6"/>
  <c r="CL80" i="6"/>
  <c r="BV80" i="6"/>
  <c r="CV80" i="6"/>
  <c r="CQ80" i="6"/>
  <c r="CN79" i="6"/>
  <c r="BS79" i="6"/>
  <c r="CK80" i="6"/>
  <c r="CH80" i="6"/>
  <c r="BS80" i="6"/>
  <c r="BZ79" i="6"/>
  <c r="CF79" i="6"/>
  <c r="CO80" i="6"/>
  <c r="CR79" i="6"/>
  <c r="CU79" i="6"/>
  <c r="BV79" i="6"/>
  <c r="CE79" i="6"/>
  <c r="CB79" i="6"/>
  <c r="CA79" i="6"/>
  <c r="CM79" i="6"/>
  <c r="CL79" i="6"/>
  <c r="DC79" i="6"/>
  <c r="CX79" i="6"/>
  <c r="CP79" i="6"/>
  <c r="CF80" i="6"/>
  <c r="CD79" i="6"/>
  <c r="BR80" i="6"/>
  <c r="CH79" i="6"/>
  <c r="BP80" i="6"/>
  <c r="CC79" i="6"/>
  <c r="CT80" i="6"/>
  <c r="CN80" i="6"/>
  <c r="CT79" i="6"/>
  <c r="CI80" i="6"/>
  <c r="CE80" i="6"/>
  <c r="BU80" i="6"/>
  <c r="CJ80" i="6"/>
  <c r="CJ79" i="6"/>
  <c r="CM80" i="6"/>
  <c r="CO79" i="6"/>
  <c r="CP80" i="6"/>
  <c r="CQ79" i="6"/>
  <c r="BN37" i="6"/>
  <c r="BN38" i="6"/>
  <c r="CD37" i="6"/>
  <c r="CM37" i="6"/>
  <c r="CG38" i="6"/>
  <c r="BT37" i="6"/>
  <c r="CF37" i="6"/>
  <c r="BR37" i="6"/>
  <c r="CN37" i="6"/>
  <c r="CS38" i="6"/>
  <c r="CV37" i="6"/>
  <c r="CM38" i="6"/>
  <c r="BP37" i="6"/>
  <c r="CB37" i="6"/>
  <c r="BX38" i="6"/>
  <c r="BY38" i="6"/>
  <c r="CJ38" i="6"/>
  <c r="CR37" i="6"/>
  <c r="CX38" i="6"/>
  <c r="CO37" i="6"/>
  <c r="CC37" i="6"/>
  <c r="CG37" i="6"/>
  <c r="CC38" i="6"/>
  <c r="BQ38" i="6"/>
  <c r="BO37" i="6"/>
  <c r="CL38" i="6"/>
  <c r="CH38" i="6"/>
  <c r="CT38" i="6"/>
  <c r="CV38" i="6"/>
  <c r="BY37" i="6"/>
  <c r="BO38" i="6"/>
  <c r="BS37" i="6"/>
  <c r="BZ37" i="6"/>
  <c r="CD38" i="6"/>
  <c r="CL37" i="6"/>
  <c r="BW38" i="6"/>
  <c r="CQ38" i="6"/>
  <c r="CP37" i="6"/>
  <c r="CW38" i="6"/>
  <c r="CH37" i="6"/>
  <c r="CF38" i="6"/>
  <c r="BU37" i="6"/>
  <c r="CK38" i="6"/>
  <c r="CI38" i="6"/>
  <c r="CE37" i="6"/>
  <c r="CU37" i="6"/>
  <c r="DC37" i="6"/>
  <c r="CP38" i="6"/>
  <c r="CE38" i="6"/>
  <c r="CA37" i="6"/>
  <c r="BT38" i="6"/>
  <c r="CA38" i="6"/>
  <c r="BW37" i="6"/>
  <c r="BS38" i="6"/>
  <c r="CN38" i="6"/>
  <c r="CQ37" i="6"/>
  <c r="CX37" i="6"/>
  <c r="BZ38" i="6"/>
  <c r="BU38" i="6"/>
  <c r="CJ37" i="6"/>
  <c r="BP38" i="6"/>
  <c r="CK37" i="6"/>
  <c r="BR38" i="6"/>
  <c r="CO38" i="6"/>
  <c r="CT37" i="6"/>
  <c r="CR38" i="6"/>
  <c r="BV38" i="6"/>
  <c r="BV37" i="6"/>
  <c r="CI37" i="6"/>
  <c r="BX37" i="6"/>
  <c r="BQ37" i="6"/>
  <c r="CB38" i="6"/>
  <c r="CW37" i="6"/>
  <c r="CU38" i="6"/>
  <c r="CS37" i="6"/>
  <c r="BN28" i="6"/>
  <c r="BN27" i="6"/>
  <c r="CG28" i="6"/>
  <c r="CI28" i="6"/>
  <c r="BV27" i="6"/>
  <c r="BO28" i="6"/>
  <c r="CB28" i="6"/>
  <c r="BU28" i="6"/>
  <c r="BT27" i="6"/>
  <c r="CT27" i="6"/>
  <c r="DC27" i="6"/>
  <c r="BY27" i="6"/>
  <c r="CL28" i="6"/>
  <c r="CE28" i="6"/>
  <c r="BP28" i="6"/>
  <c r="CA28" i="6"/>
  <c r="BV28" i="6"/>
  <c r="BS28" i="6"/>
  <c r="CU27" i="6"/>
  <c r="CS27" i="6"/>
  <c r="CN28" i="6"/>
  <c r="CM28" i="6"/>
  <c r="BT28" i="6"/>
  <c r="CE27" i="6"/>
  <c r="CJ27" i="6"/>
  <c r="BO27" i="6"/>
  <c r="BW27" i="6"/>
  <c r="CR28" i="6"/>
  <c r="CX27" i="6"/>
  <c r="CR27" i="6"/>
  <c r="CH27" i="6"/>
  <c r="CL27" i="6"/>
  <c r="CA27" i="6"/>
  <c r="CD27" i="6"/>
  <c r="BR27" i="6"/>
  <c r="CH28" i="6"/>
  <c r="CV27" i="6"/>
  <c r="CN27" i="6"/>
  <c r="CO27" i="6"/>
  <c r="BX27" i="6"/>
  <c r="CM27" i="6"/>
  <c r="CC28" i="6"/>
  <c r="BZ28" i="6"/>
  <c r="CF27" i="6"/>
  <c r="BS27" i="6"/>
  <c r="CQ27" i="6"/>
  <c r="CW28" i="6"/>
  <c r="CP28" i="6"/>
  <c r="CK27" i="6"/>
  <c r="BR28" i="6"/>
  <c r="BW28" i="6"/>
  <c r="CC27" i="6"/>
  <c r="CK28" i="6"/>
  <c r="BX28" i="6"/>
  <c r="CQ28" i="6"/>
  <c r="CP27" i="6"/>
  <c r="CV28" i="6"/>
  <c r="BZ27" i="6"/>
  <c r="CB27" i="6"/>
  <c r="CI27" i="6"/>
  <c r="CD28" i="6"/>
  <c r="BQ27" i="6"/>
  <c r="BU27" i="6"/>
  <c r="CX28" i="6"/>
  <c r="CS28" i="6"/>
  <c r="CT28" i="6"/>
  <c r="BY28" i="6"/>
  <c r="BQ28" i="6"/>
  <c r="CJ28" i="6"/>
  <c r="CF28" i="6"/>
  <c r="BP27" i="6"/>
  <c r="CG27" i="6"/>
  <c r="CU28" i="6"/>
  <c r="CO28" i="6"/>
  <c r="CW27" i="6"/>
  <c r="BN86" i="6"/>
  <c r="BN85" i="6"/>
  <c r="CH85" i="6"/>
  <c r="BZ85" i="6"/>
  <c r="BS86" i="6"/>
  <c r="CH86" i="6"/>
  <c r="CL85" i="6"/>
  <c r="CF85" i="6"/>
  <c r="CR85" i="6"/>
  <c r="CN85" i="6"/>
  <c r="CT86" i="6"/>
  <c r="BY85" i="6"/>
  <c r="CD86" i="6"/>
  <c r="BW86" i="6"/>
  <c r="BZ86" i="6"/>
  <c r="CB85" i="6"/>
  <c r="BW85" i="6"/>
  <c r="CX86" i="6"/>
  <c r="CP86" i="6"/>
  <c r="DC85" i="6"/>
  <c r="CB86" i="6"/>
  <c r="BQ85" i="6"/>
  <c r="BX85" i="6"/>
  <c r="CM85" i="6"/>
  <c r="BT86" i="6"/>
  <c r="BO86" i="6"/>
  <c r="CS86" i="6"/>
  <c r="CN86" i="6"/>
  <c r="CX85" i="6"/>
  <c r="BY86" i="6"/>
  <c r="BU86" i="6"/>
  <c r="BP86" i="6"/>
  <c r="BR86" i="6"/>
  <c r="BV85" i="6"/>
  <c r="BP85" i="6"/>
  <c r="CU86" i="6"/>
  <c r="CQ86" i="6"/>
  <c r="CW85" i="6"/>
  <c r="BO85" i="6"/>
  <c r="CI85" i="6"/>
  <c r="CI86" i="6"/>
  <c r="CC86" i="6"/>
  <c r="BX86" i="6"/>
  <c r="BT85" i="6"/>
  <c r="CS85" i="6"/>
  <c r="CR86" i="6"/>
  <c r="CW86" i="6"/>
  <c r="CD85" i="6"/>
  <c r="CJ85" i="6"/>
  <c r="BR85" i="6"/>
  <c r="CG85" i="6"/>
  <c r="CK85" i="6"/>
  <c r="CA86" i="6"/>
  <c r="CV85" i="6"/>
  <c r="CQ85" i="6"/>
  <c r="CU85" i="6"/>
  <c r="BS85" i="6"/>
  <c r="BV86" i="6"/>
  <c r="CK86" i="6"/>
  <c r="CL86" i="6"/>
  <c r="CG86" i="6"/>
  <c r="CC85" i="6"/>
  <c r="CM86" i="6"/>
  <c r="CP85" i="6"/>
  <c r="CT85" i="6"/>
  <c r="BQ86" i="6"/>
  <c r="BU85" i="6"/>
  <c r="CE85" i="6"/>
  <c r="CE86" i="6"/>
  <c r="CA85" i="6"/>
  <c r="CJ86" i="6"/>
  <c r="CF86" i="6"/>
  <c r="CV86" i="6"/>
  <c r="CO86" i="6"/>
  <c r="CO85" i="6"/>
  <c r="BN35" i="6"/>
  <c r="BN36" i="6"/>
  <c r="CG35" i="6"/>
  <c r="BY35" i="6"/>
  <c r="CM36" i="6"/>
  <c r="CF36" i="6"/>
  <c r="CD36" i="6"/>
  <c r="BT35" i="6"/>
  <c r="BO36" i="6"/>
  <c r="CX36" i="6"/>
  <c r="CS36" i="6"/>
  <c r="CC35" i="6"/>
  <c r="BX35" i="6"/>
  <c r="BW35" i="6"/>
  <c r="BP35" i="6"/>
  <c r="BR36" i="6"/>
  <c r="CA35" i="6"/>
  <c r="CM35" i="6"/>
  <c r="CW36" i="6"/>
  <c r="CQ36" i="6"/>
  <c r="CQ35" i="6"/>
  <c r="BO35" i="6"/>
  <c r="BP36" i="6"/>
  <c r="CI35" i="6"/>
  <c r="CA36" i="6"/>
  <c r="CK35" i="6"/>
  <c r="CH35" i="6"/>
  <c r="CU35" i="6"/>
  <c r="CP35" i="6"/>
  <c r="CV36" i="6"/>
  <c r="CF35" i="6"/>
  <c r="CJ36" i="6"/>
  <c r="BX36" i="6"/>
  <c r="CK36" i="6"/>
  <c r="BQ36" i="6"/>
  <c r="CC36" i="6"/>
  <c r="CW35" i="6"/>
  <c r="CT36" i="6"/>
  <c r="CS35" i="6"/>
  <c r="CG36" i="6"/>
  <c r="BV36" i="6"/>
  <c r="BZ36" i="6"/>
  <c r="CB35" i="6"/>
  <c r="CL36" i="6"/>
  <c r="CH36" i="6"/>
  <c r="CU36" i="6"/>
  <c r="CO36" i="6"/>
  <c r="CN35" i="6"/>
  <c r="BZ35" i="6"/>
  <c r="CE35" i="6"/>
  <c r="CD35" i="6"/>
  <c r="CB36" i="6"/>
  <c r="BR35" i="6"/>
  <c r="BU36" i="6"/>
  <c r="CO35" i="6"/>
  <c r="DC35" i="6"/>
  <c r="CN36" i="6"/>
  <c r="BU35" i="6"/>
  <c r="CL35" i="6"/>
  <c r="BV35" i="6"/>
  <c r="CI36" i="6"/>
  <c r="BS35" i="6"/>
  <c r="CJ35" i="6"/>
  <c r="CV35" i="6"/>
  <c r="CT35" i="6"/>
  <c r="CR36" i="6"/>
  <c r="CE36" i="6"/>
  <c r="BT36" i="6"/>
  <c r="BQ35" i="6"/>
  <c r="BY36" i="6"/>
  <c r="BS36" i="6"/>
  <c r="BW36" i="6"/>
  <c r="CX35" i="6"/>
  <c r="CR35" i="6"/>
  <c r="CP36" i="6"/>
  <c r="BN33" i="6"/>
  <c r="BN34" i="6"/>
  <c r="BT33" i="6"/>
  <c r="CE33" i="6"/>
  <c r="CD33" i="6"/>
  <c r="CM33" i="6"/>
  <c r="BW33" i="6"/>
  <c r="CC34" i="6"/>
  <c r="BV34" i="6"/>
  <c r="CO34" i="6"/>
  <c r="CN33" i="6"/>
  <c r="BZ34" i="6"/>
  <c r="CI33" i="6"/>
  <c r="CJ33" i="6"/>
  <c r="CK34" i="6"/>
  <c r="BT34" i="6"/>
  <c r="CB33" i="6"/>
  <c r="CH33" i="6"/>
  <c r="CV34" i="6"/>
  <c r="CN34" i="6"/>
  <c r="CR33" i="6"/>
  <c r="CI34" i="6"/>
  <c r="BU33" i="6"/>
  <c r="CB34" i="6"/>
  <c r="CL33" i="6"/>
  <c r="BU34" i="6"/>
  <c r="BY34" i="6"/>
  <c r="CS34" i="6"/>
  <c r="CX33" i="6"/>
  <c r="BQ33" i="6"/>
  <c r="BO33" i="6"/>
  <c r="BW34" i="6"/>
  <c r="CF33" i="6"/>
  <c r="BV33" i="6"/>
  <c r="BY33" i="6"/>
  <c r="BQ34" i="6"/>
  <c r="CX34" i="6"/>
  <c r="CQ34" i="6"/>
  <c r="BR33" i="6"/>
  <c r="CR34" i="6"/>
  <c r="BS34" i="6"/>
  <c r="CW34" i="6"/>
  <c r="CT34" i="6"/>
  <c r="CW33" i="6"/>
  <c r="CE34" i="6"/>
  <c r="CP33" i="6"/>
  <c r="CS33" i="6"/>
  <c r="DC33" i="6"/>
  <c r="BX34" i="6"/>
  <c r="CG34" i="6"/>
  <c r="BS33" i="6"/>
  <c r="BO34" i="6"/>
  <c r="CA33" i="6"/>
  <c r="BP34" i="6"/>
  <c r="CJ34" i="6"/>
  <c r="CP34" i="6"/>
  <c r="CV33" i="6"/>
  <c r="CG33" i="6"/>
  <c r="BZ33" i="6"/>
  <c r="CU33" i="6"/>
  <c r="CA34" i="6"/>
  <c r="BP33" i="6"/>
  <c r="CF34" i="6"/>
  <c r="BR34" i="6"/>
  <c r="CT33" i="6"/>
  <c r="CQ33" i="6"/>
  <c r="CK33" i="6"/>
  <c r="BX33" i="6"/>
  <c r="CC33" i="6"/>
  <c r="CD34" i="6"/>
  <c r="CL34" i="6"/>
  <c r="CH34" i="6"/>
  <c r="CM34" i="6"/>
  <c r="CO33" i="6"/>
  <c r="CU34" i="6"/>
  <c r="BN43" i="6"/>
  <c r="BN44" i="6"/>
  <c r="CP44" i="6"/>
  <c r="CX43" i="6"/>
  <c r="CU44" i="6"/>
  <c r="CW44" i="6"/>
  <c r="CR44" i="6"/>
  <c r="CA43" i="6"/>
  <c r="CM43" i="6"/>
  <c r="CV43" i="6"/>
  <c r="DC43" i="6"/>
  <c r="BY44" i="6"/>
  <c r="CQ44" i="6"/>
  <c r="BQ44" i="6"/>
  <c r="CP43" i="6"/>
  <c r="CR43" i="6"/>
  <c r="CT44" i="6"/>
  <c r="BS43" i="6"/>
  <c r="CQ43" i="6"/>
  <c r="CL43" i="6"/>
  <c r="CK43" i="6"/>
  <c r="BO44" i="6"/>
  <c r="CD44" i="6"/>
  <c r="CB43" i="6"/>
  <c r="CH43" i="6"/>
  <c r="CO43" i="6"/>
  <c r="CH44" i="6"/>
  <c r="BP44" i="6"/>
  <c r="BU43" i="6"/>
  <c r="BT44" i="6"/>
  <c r="CE44" i="6"/>
  <c r="CF43" i="6"/>
  <c r="BU44" i="6"/>
  <c r="CI43" i="6"/>
  <c r="CV44" i="6"/>
  <c r="CS44" i="6"/>
  <c r="CM44" i="6"/>
  <c r="CU43" i="6"/>
  <c r="BW43" i="6"/>
  <c r="BV43" i="6"/>
  <c r="CC44" i="6"/>
  <c r="CG43" i="6"/>
  <c r="BY43" i="6"/>
  <c r="BR43" i="6"/>
  <c r="CN44" i="6"/>
  <c r="CT43" i="6"/>
  <c r="CO44" i="6"/>
  <c r="BQ43" i="6"/>
  <c r="CJ44" i="6"/>
  <c r="BZ44" i="6"/>
  <c r="CB44" i="6"/>
  <c r="CF44" i="6"/>
  <c r="BZ43" i="6"/>
  <c r="BO43" i="6"/>
  <c r="CG44" i="6"/>
  <c r="BT43" i="6"/>
  <c r="CK44" i="6"/>
  <c r="CS43" i="6"/>
  <c r="CN43" i="6"/>
  <c r="CC43" i="6"/>
  <c r="CL44" i="6"/>
  <c r="BR44" i="6"/>
  <c r="BX44" i="6"/>
  <c r="BS44" i="6"/>
  <c r="BV44" i="6"/>
  <c r="CA44" i="6"/>
  <c r="CW43" i="6"/>
  <c r="CE43" i="6"/>
  <c r="CX44" i="6"/>
  <c r="CD43" i="6"/>
  <c r="BP43" i="6"/>
  <c r="BW44" i="6"/>
  <c r="CI44" i="6"/>
  <c r="BX43" i="6"/>
  <c r="CJ43" i="6"/>
  <c r="BN29" i="6"/>
  <c r="BN30" i="6"/>
  <c r="CH29" i="6"/>
  <c r="BV29" i="6"/>
  <c r="BO29" i="6"/>
  <c r="BS29" i="6"/>
  <c r="CB30" i="6"/>
  <c r="CA30" i="6"/>
  <c r="CI29" i="6"/>
  <c r="CJ29" i="6"/>
  <c r="CF30" i="6"/>
  <c r="BY30" i="6"/>
  <c r="CA29" i="6"/>
  <c r="BV30" i="6"/>
  <c r="CG30" i="6"/>
  <c r="BU30" i="6"/>
  <c r="BX30" i="6"/>
  <c r="CK29" i="6"/>
  <c r="BR29" i="6"/>
  <c r="BP29" i="6"/>
  <c r="CB29" i="6"/>
  <c r="CK30" i="6"/>
  <c r="CX30" i="6"/>
  <c r="CN30" i="6"/>
  <c r="CV29" i="6"/>
  <c r="CM30" i="6"/>
  <c r="BQ30" i="6"/>
  <c r="BQ29" i="6"/>
  <c r="CD29" i="6"/>
  <c r="CQ29" i="6"/>
  <c r="CW30" i="6"/>
  <c r="CQ30" i="6"/>
  <c r="BT29" i="6"/>
  <c r="BZ29" i="6"/>
  <c r="BO30" i="6"/>
  <c r="CD30" i="6"/>
  <c r="CG29" i="6"/>
  <c r="CR30" i="6"/>
  <c r="CW29" i="6"/>
  <c r="CJ30" i="6"/>
  <c r="CL29" i="6"/>
  <c r="CC30" i="6"/>
  <c r="BX29" i="6"/>
  <c r="BY29" i="6"/>
  <c r="CP30" i="6"/>
  <c r="CN29" i="6"/>
  <c r="DC29" i="6"/>
  <c r="BU29" i="6"/>
  <c r="BZ30" i="6"/>
  <c r="BR30" i="6"/>
  <c r="CH30" i="6"/>
  <c r="CS30" i="6"/>
  <c r="CU29" i="6"/>
  <c r="CO30" i="6"/>
  <c r="CL30" i="6"/>
  <c r="BS30" i="6"/>
  <c r="CF29" i="6"/>
  <c r="CC29" i="6"/>
  <c r="CT29" i="6"/>
  <c r="CO29" i="6"/>
  <c r="CV30" i="6"/>
  <c r="CM29" i="6"/>
  <c r="CE29" i="6"/>
  <c r="BW29" i="6"/>
  <c r="BW30" i="6"/>
  <c r="CT30" i="6"/>
  <c r="CS29" i="6"/>
  <c r="CX29" i="6"/>
  <c r="CE30" i="6"/>
  <c r="CI30" i="6"/>
  <c r="BT30" i="6"/>
  <c r="BP30" i="6"/>
  <c r="CP29" i="6"/>
  <c r="CU30" i="6"/>
  <c r="CR29" i="6"/>
  <c r="BN100" i="6"/>
  <c r="BN99" i="6"/>
  <c r="CL100" i="6"/>
  <c r="CI100" i="6"/>
  <c r="CK100" i="6"/>
  <c r="CC100" i="6"/>
  <c r="CC99" i="6"/>
  <c r="BS99" i="6"/>
  <c r="CS99" i="6"/>
  <c r="DC99" i="6"/>
  <c r="CQ100" i="6"/>
  <c r="CF99" i="6"/>
  <c r="CA99" i="6"/>
  <c r="BP100" i="6"/>
  <c r="CL99" i="6"/>
  <c r="BV99" i="6"/>
  <c r="CB99" i="6"/>
  <c r="CN99" i="6"/>
  <c r="CQ99" i="6"/>
  <c r="CU99" i="6"/>
  <c r="CG99" i="6"/>
  <c r="CD99" i="6"/>
  <c r="CI99" i="6"/>
  <c r="BR100" i="6"/>
  <c r="BU100" i="6"/>
  <c r="BT99" i="6"/>
  <c r="CO100" i="6"/>
  <c r="CW99" i="6"/>
  <c r="CP100" i="6"/>
  <c r="BW100" i="6"/>
  <c r="BP99" i="6"/>
  <c r="BT100" i="6"/>
  <c r="CG100" i="6"/>
  <c r="BY99" i="6"/>
  <c r="CF100" i="6"/>
  <c r="CE99" i="6"/>
  <c r="CU100" i="6"/>
  <c r="CV99" i="6"/>
  <c r="CE100" i="6"/>
  <c r="BW99" i="6"/>
  <c r="CM100" i="6"/>
  <c r="BU99" i="6"/>
  <c r="CM99" i="6"/>
  <c r="BO99" i="6"/>
  <c r="BR99" i="6"/>
  <c r="CX99" i="6"/>
  <c r="CR100" i="6"/>
  <c r="CT99" i="6"/>
  <c r="CA100" i="6"/>
  <c r="CJ100" i="6"/>
  <c r="CK99" i="6"/>
  <c r="BX100" i="6"/>
  <c r="BQ99" i="6"/>
  <c r="BO100" i="6"/>
  <c r="CX100" i="6"/>
  <c r="CR99" i="6"/>
  <c r="CO99" i="6"/>
  <c r="BZ99" i="6"/>
  <c r="CJ99" i="6"/>
  <c r="BQ100" i="6"/>
  <c r="CD100" i="6"/>
  <c r="BY100" i="6"/>
  <c r="BV100" i="6"/>
  <c r="CN100" i="6"/>
  <c r="CS100" i="6"/>
  <c r="CV100" i="6"/>
  <c r="CH100" i="6"/>
  <c r="BZ100" i="6"/>
  <c r="CH99" i="6"/>
  <c r="BS100" i="6"/>
  <c r="CB100" i="6"/>
  <c r="BX99" i="6"/>
  <c r="CW100" i="6"/>
  <c r="CT100" i="6"/>
  <c r="CP99" i="6"/>
  <c r="BN42" i="6"/>
  <c r="BN41" i="6"/>
  <c r="BZ42" i="6"/>
  <c r="BY42" i="6"/>
  <c r="CK41" i="6"/>
  <c r="BP41" i="6"/>
  <c r="CE42" i="6"/>
  <c r="CM41" i="6"/>
  <c r="CN42" i="6"/>
  <c r="CQ41" i="6"/>
  <c r="CN41" i="6"/>
  <c r="BX42" i="6"/>
  <c r="CF42" i="6"/>
  <c r="BO42" i="6"/>
  <c r="BV42" i="6"/>
  <c r="CB42" i="6"/>
  <c r="CG41" i="6"/>
  <c r="CT42" i="6"/>
  <c r="CW42" i="6"/>
  <c r="CR41" i="6"/>
  <c r="CH41" i="6"/>
  <c r="BY41" i="6"/>
  <c r="CL42" i="6"/>
  <c r="CC41" i="6"/>
  <c r="BU42" i="6"/>
  <c r="CD42" i="6"/>
  <c r="CS41" i="6"/>
  <c r="CS42" i="6"/>
  <c r="CX41" i="6"/>
  <c r="CI41" i="6"/>
  <c r="CJ41" i="6"/>
  <c r="CA42" i="6"/>
  <c r="BW41" i="6"/>
  <c r="CL41" i="6"/>
  <c r="CB41" i="6"/>
  <c r="BX41" i="6"/>
  <c r="CX42" i="6"/>
  <c r="CQ42" i="6"/>
  <c r="BR42" i="6"/>
  <c r="CF41" i="6"/>
  <c r="BS41" i="6"/>
  <c r="BP42" i="6"/>
  <c r="BQ41" i="6"/>
  <c r="CK42" i="6"/>
  <c r="BQ42" i="6"/>
  <c r="CW41" i="6"/>
  <c r="CT41" i="6"/>
  <c r="DC41" i="6"/>
  <c r="CE41" i="6"/>
  <c r="CC42" i="6"/>
  <c r="BW42" i="6"/>
  <c r="CJ42" i="6"/>
  <c r="CG42" i="6"/>
  <c r="BO41" i="6"/>
  <c r="CO42" i="6"/>
  <c r="CP42" i="6"/>
  <c r="CV41" i="6"/>
  <c r="BT41" i="6"/>
  <c r="BS42" i="6"/>
  <c r="BZ41" i="6"/>
  <c r="BR41" i="6"/>
  <c r="BT42" i="6"/>
  <c r="BU41" i="6"/>
  <c r="CP41" i="6"/>
  <c r="CU41" i="6"/>
  <c r="CR42" i="6"/>
  <c r="CA41" i="6"/>
  <c r="CI42" i="6"/>
  <c r="CH42" i="6"/>
  <c r="BV41" i="6"/>
  <c r="CM42" i="6"/>
  <c r="CD41" i="6"/>
  <c r="CV42" i="6"/>
  <c r="CO41" i="6"/>
  <c r="CU42" i="6"/>
  <c r="BN90" i="6"/>
  <c r="BN89" i="6"/>
  <c r="CC89" i="6"/>
  <c r="BZ90" i="6"/>
  <c r="BO89" i="6"/>
  <c r="BO90" i="6"/>
  <c r="BW90" i="6"/>
  <c r="CL90" i="6"/>
  <c r="CN90" i="6"/>
  <c r="CT90" i="6"/>
  <c r="CP89" i="6"/>
  <c r="CK89" i="6"/>
  <c r="BT90" i="6"/>
  <c r="CJ89" i="6"/>
  <c r="BX90" i="6"/>
  <c r="CH90" i="6"/>
  <c r="BY90" i="6"/>
  <c r="CW90" i="6"/>
  <c r="CR90" i="6"/>
  <c r="CS90" i="6"/>
  <c r="BS90" i="6"/>
  <c r="CC90" i="6"/>
  <c r="CH89" i="6"/>
  <c r="CE90" i="6"/>
  <c r="CA90" i="6"/>
  <c r="CE89" i="6"/>
  <c r="CT89" i="6"/>
  <c r="CU90" i="6"/>
  <c r="CX90" i="6"/>
  <c r="CB89" i="6"/>
  <c r="BQ90" i="6"/>
  <c r="CD89" i="6"/>
  <c r="CF90" i="6"/>
  <c r="CK90" i="6"/>
  <c r="CF89" i="6"/>
  <c r="BV89" i="6"/>
  <c r="CQ90" i="6"/>
  <c r="CO89" i="6"/>
  <c r="BP90" i="6"/>
  <c r="BT89" i="6"/>
  <c r="CM90" i="6"/>
  <c r="CJ90" i="6"/>
  <c r="CG89" i="6"/>
  <c r="BW89" i="6"/>
  <c r="CM89" i="6"/>
  <c r="CO90" i="6"/>
  <c r="CU89" i="6"/>
  <c r="DC89" i="6"/>
  <c r="CA89" i="6"/>
  <c r="BR90" i="6"/>
  <c r="CL89" i="6"/>
  <c r="BZ89" i="6"/>
  <c r="BX89" i="6"/>
  <c r="BU90" i="6"/>
  <c r="CN89" i="6"/>
  <c r="CV90" i="6"/>
  <c r="CX89" i="6"/>
  <c r="BS89" i="6"/>
  <c r="CI90" i="6"/>
  <c r="BP89" i="6"/>
  <c r="BV90" i="6"/>
  <c r="CD90" i="6"/>
  <c r="BQ89" i="6"/>
  <c r="CP90" i="6"/>
  <c r="CW89" i="6"/>
  <c r="CQ89" i="6"/>
  <c r="BR89" i="6"/>
  <c r="BU89" i="6"/>
  <c r="CG90" i="6"/>
  <c r="BY89" i="6"/>
  <c r="CI89" i="6"/>
  <c r="CB90" i="6"/>
  <c r="CV89" i="6"/>
  <c r="CR89" i="6"/>
  <c r="CS89" i="6"/>
  <c r="BN104" i="6"/>
  <c r="BN103" i="6"/>
  <c r="BQ103" i="6"/>
  <c r="BT104" i="6"/>
  <c r="CE104" i="6"/>
  <c r="CW104" i="6"/>
  <c r="CO103" i="6"/>
  <c r="BY103" i="6"/>
  <c r="BY104" i="6"/>
  <c r="BS103" i="6"/>
  <c r="CL104" i="6"/>
  <c r="BP103" i="6"/>
  <c r="CF104" i="6"/>
  <c r="CT103" i="6"/>
  <c r="CS103" i="6"/>
  <c r="CU103" i="6"/>
  <c r="CO104" i="6"/>
  <c r="CK104" i="6"/>
  <c r="BO104" i="6"/>
  <c r="CJ104" i="6"/>
  <c r="DC103" i="6"/>
  <c r="CU104" i="6"/>
  <c r="CR104" i="6"/>
  <c r="BR104" i="6"/>
  <c r="CM103" i="6"/>
  <c r="CP103" i="6"/>
  <c r="CT104" i="6"/>
  <c r="BX103" i="6"/>
  <c r="BP104" i="6"/>
  <c r="CI104" i="6"/>
  <c r="CX103" i="6"/>
  <c r="BV104" i="6"/>
  <c r="CD103" i="6"/>
  <c r="CG103" i="6"/>
  <c r="CC104" i="6"/>
  <c r="CS104" i="6"/>
  <c r="CQ103" i="6"/>
  <c r="CB104" i="6"/>
  <c r="CI103" i="6"/>
  <c r="BV103" i="6"/>
  <c r="BW104" i="6"/>
  <c r="CM104" i="6"/>
  <c r="CF103" i="6"/>
  <c r="BU103" i="6"/>
  <c r="CB103" i="6"/>
  <c r="CR103" i="6"/>
  <c r="BW103" i="6"/>
  <c r="CJ103" i="6"/>
  <c r="BR103" i="6"/>
  <c r="CQ104" i="6"/>
  <c r="BZ103" i="6"/>
  <c r="BO103" i="6"/>
  <c r="CE103" i="6"/>
  <c r="BS104" i="6"/>
  <c r="CV103" i="6"/>
  <c r="CN104" i="6"/>
  <c r="CA104" i="6"/>
  <c r="CD104" i="6"/>
  <c r="BU104" i="6"/>
  <c r="CA103" i="6"/>
  <c r="CC103" i="6"/>
  <c r="CG104" i="6"/>
  <c r="CK103" i="6"/>
  <c r="CH104" i="6"/>
  <c r="CX104" i="6"/>
  <c r="CW103" i="6"/>
  <c r="CL103" i="6"/>
  <c r="CV104" i="6"/>
  <c r="BZ104" i="6"/>
  <c r="CH103" i="6"/>
  <c r="BT103" i="6"/>
  <c r="BX104" i="6"/>
  <c r="BQ104" i="6"/>
  <c r="CN103" i="6"/>
  <c r="CP104" i="6"/>
  <c r="BN23" i="6"/>
  <c r="BN24" i="6"/>
  <c r="BV23" i="6"/>
  <c r="BW24" i="6"/>
  <c r="CH24" i="6"/>
  <c r="BS24" i="6"/>
  <c r="BR23" i="6"/>
  <c r="CJ24" i="6"/>
  <c r="CM24" i="6"/>
  <c r="CW24" i="6"/>
  <c r="DC23" i="6"/>
  <c r="CF24" i="6"/>
  <c r="BZ24" i="6"/>
  <c r="BP24" i="6"/>
  <c r="CP23" i="6"/>
  <c r="CU23" i="6"/>
  <c r="CQ24" i="6"/>
  <c r="BX23" i="6"/>
  <c r="CQ23" i="6"/>
  <c r="CU24" i="6"/>
  <c r="CN23" i="6"/>
  <c r="CC24" i="6"/>
  <c r="CW23" i="6"/>
  <c r="CP24" i="6"/>
  <c r="CE24" i="6"/>
  <c r="BW23" i="6"/>
  <c r="CF23" i="6"/>
  <c r="BT24" i="6"/>
  <c r="CR24" i="6"/>
  <c r="CS24" i="6"/>
  <c r="CI23" i="6"/>
  <c r="CK23" i="6"/>
  <c r="CB23" i="6"/>
  <c r="BQ24" i="6"/>
  <c r="CL23" i="6"/>
  <c r="CB24" i="6"/>
  <c r="BR24" i="6"/>
  <c r="CX24" i="6"/>
  <c r="CN24" i="6"/>
  <c r="BU23" i="6"/>
  <c r="CA24" i="6"/>
  <c r="CH23" i="6"/>
  <c r="BT23" i="6"/>
  <c r="CI24" i="6"/>
  <c r="BP23" i="6"/>
  <c r="BQ23" i="6"/>
  <c r="CO24" i="6"/>
  <c r="CR23" i="6"/>
  <c r="BS23" i="6"/>
  <c r="CK24" i="6"/>
  <c r="BY24" i="6"/>
  <c r="CL24" i="6"/>
  <c r="CD23" i="6"/>
  <c r="CG23" i="6"/>
  <c r="CE23" i="6"/>
  <c r="CT23" i="6"/>
  <c r="CV23" i="6"/>
  <c r="BY23" i="6"/>
  <c r="CA23" i="6"/>
  <c r="BO23" i="6"/>
  <c r="BX24" i="6"/>
  <c r="BZ23" i="6"/>
  <c r="CM23" i="6"/>
  <c r="BV24" i="6"/>
  <c r="CX23" i="6"/>
  <c r="CS23" i="6"/>
  <c r="CV24" i="6"/>
  <c r="CG24" i="6"/>
  <c r="BO24" i="6"/>
  <c r="CJ23" i="6"/>
  <c r="BU24" i="6"/>
  <c r="CD24" i="6"/>
  <c r="CC23" i="6"/>
  <c r="CO23" i="6"/>
  <c r="CT24" i="6"/>
  <c r="BN31" i="6"/>
  <c r="BN32" i="6"/>
  <c r="CI32" i="6"/>
  <c r="CO31" i="6"/>
  <c r="CQ31" i="6"/>
  <c r="CG32" i="6"/>
  <c r="CB31" i="6"/>
  <c r="CF31" i="6"/>
  <c r="BU32" i="6"/>
  <c r="CO32" i="6"/>
  <c r="CU32" i="6"/>
  <c r="CC32" i="6"/>
  <c r="BV32" i="6"/>
  <c r="BZ32" i="6"/>
  <c r="BV31" i="6"/>
  <c r="BW31" i="6"/>
  <c r="BS31" i="6"/>
  <c r="BR32" i="6"/>
  <c r="CF32" i="6"/>
  <c r="CS31" i="6"/>
  <c r="CK31" i="6"/>
  <c r="CD32" i="6"/>
  <c r="CK32" i="6"/>
  <c r="BQ32" i="6"/>
  <c r="BW32" i="6"/>
  <c r="CL32" i="6"/>
  <c r="BQ31" i="6"/>
  <c r="CV32" i="6"/>
  <c r="CV31" i="6"/>
  <c r="CN31" i="6"/>
  <c r="BY32" i="6"/>
  <c r="BO31" i="6"/>
  <c r="BO32" i="6"/>
  <c r="CU31" i="6"/>
  <c r="CA31" i="6"/>
  <c r="CG31" i="6"/>
  <c r="CN32" i="6"/>
  <c r="CS32" i="6"/>
  <c r="CA32" i="6"/>
  <c r="BU31" i="6"/>
  <c r="CW31" i="6"/>
  <c r="CT32" i="6"/>
  <c r="BY31" i="6"/>
  <c r="BT31" i="6"/>
  <c r="CX32" i="6"/>
  <c r="CP31" i="6"/>
  <c r="CM31" i="6"/>
  <c r="CE31" i="6"/>
  <c r="BX31" i="6"/>
  <c r="BR31" i="6"/>
  <c r="CH31" i="6"/>
  <c r="CD31" i="6"/>
  <c r="CX31" i="6"/>
  <c r="CP32" i="6"/>
  <c r="DC31" i="6"/>
  <c r="CE32" i="6"/>
  <c r="CI31" i="6"/>
  <c r="CL31" i="6"/>
  <c r="BX32" i="6"/>
  <c r="BT32" i="6"/>
  <c r="CC31" i="6"/>
  <c r="CR31" i="6"/>
  <c r="CT31" i="6"/>
  <c r="BZ31" i="6"/>
  <c r="CJ32" i="6"/>
  <c r="BS32" i="6"/>
  <c r="BP31" i="6"/>
  <c r="BP32" i="6"/>
  <c r="CJ31" i="6"/>
  <c r="CQ32" i="6"/>
  <c r="CR32" i="6"/>
  <c r="CH32" i="6"/>
  <c r="CM32" i="6"/>
  <c r="CB32" i="6"/>
  <c r="CW32" i="6"/>
  <c r="BN75" i="6"/>
  <c r="BN76" i="6"/>
  <c r="CH76" i="6"/>
  <c r="CB76" i="6"/>
  <c r="BY76" i="6"/>
  <c r="BS75" i="6"/>
  <c r="CK75" i="6"/>
  <c r="CJ76" i="6"/>
  <c r="CQ75" i="6"/>
  <c r="CW76" i="6"/>
  <c r="CO75" i="6"/>
  <c r="CL75" i="6"/>
  <c r="CG76" i="6"/>
  <c r="BU76" i="6"/>
  <c r="CH75" i="6"/>
  <c r="CB75" i="6"/>
  <c r="BQ76" i="6"/>
  <c r="CR76" i="6"/>
  <c r="CX75" i="6"/>
  <c r="CR75" i="6"/>
  <c r="CC75" i="6"/>
  <c r="BW76" i="6"/>
  <c r="BR75" i="6"/>
  <c r="BP75" i="6"/>
  <c r="BZ75" i="6"/>
  <c r="CD75" i="6"/>
  <c r="CP76" i="6"/>
  <c r="CW75" i="6"/>
  <c r="CV75" i="6"/>
  <c r="CL76" i="6"/>
  <c r="CM76" i="6"/>
  <c r="BW75" i="6"/>
  <c r="CK76" i="6"/>
  <c r="CJ75" i="6"/>
  <c r="BO76" i="6"/>
  <c r="CO76" i="6"/>
  <c r="CT75" i="6"/>
  <c r="CX76" i="6"/>
  <c r="CD76" i="6"/>
  <c r="BQ75" i="6"/>
  <c r="BS76" i="6"/>
  <c r="BU75" i="6"/>
  <c r="CA75" i="6"/>
  <c r="CI76" i="6"/>
  <c r="CU75" i="6"/>
  <c r="CP75" i="6"/>
  <c r="CQ76" i="6"/>
  <c r="CA76" i="6"/>
  <c r="CM75" i="6"/>
  <c r="BT76" i="6"/>
  <c r="CF75" i="6"/>
  <c r="CE76" i="6"/>
  <c r="CF76" i="6"/>
  <c r="CC76" i="6"/>
  <c r="CN76" i="6"/>
  <c r="CS75" i="6"/>
  <c r="BV76" i="6"/>
  <c r="BX75" i="6"/>
  <c r="CE75" i="6"/>
  <c r="BR76" i="6"/>
  <c r="CI75" i="6"/>
  <c r="BX76" i="6"/>
  <c r="BY75" i="6"/>
  <c r="CU76" i="6"/>
  <c r="CT76" i="6"/>
  <c r="CN75" i="6"/>
  <c r="BP76" i="6"/>
  <c r="BV75" i="6"/>
  <c r="BZ76" i="6"/>
  <c r="BT75" i="6"/>
  <c r="CG75" i="6"/>
  <c r="BO75" i="6"/>
  <c r="CV76" i="6"/>
  <c r="DC75" i="6"/>
  <c r="CS76" i="6"/>
  <c r="CV11" i="6"/>
  <c r="CR11" i="6"/>
  <c r="CS11" i="6"/>
  <c r="CQ11" i="6"/>
  <c r="CT11" i="6"/>
  <c r="CP11" i="6"/>
  <c r="BO11" i="6"/>
  <c r="BS11" i="6"/>
  <c r="BZ11" i="6"/>
  <c r="CU11" i="6"/>
  <c r="CG11" i="6"/>
  <c r="BP11" i="6"/>
  <c r="BQ11" i="6"/>
  <c r="BX11" i="6"/>
  <c r="BV11" i="6"/>
  <c r="CN11" i="6"/>
  <c r="CH11" i="6"/>
  <c r="BT11" i="6"/>
  <c r="CO11" i="6"/>
  <c r="CE11" i="6"/>
  <c r="BR11" i="6"/>
  <c r="CD11" i="6"/>
  <c r="CF11" i="6"/>
  <c r="BU11" i="6"/>
  <c r="CX11" i="6"/>
  <c r="CM11" i="6"/>
  <c r="BY11" i="6"/>
  <c r="CI11" i="6"/>
  <c r="BW11" i="6"/>
  <c r="CB11" i="6"/>
  <c r="CL11" i="6"/>
  <c r="CW11" i="6"/>
  <c r="BN11" i="6"/>
  <c r="CK11" i="6"/>
  <c r="CJ11" i="6"/>
  <c r="BN12" i="6"/>
  <c r="CC11" i="6"/>
  <c r="CA11" i="6"/>
  <c r="CX12" i="6"/>
  <c r="CL12" i="6"/>
  <c r="CA12" i="6"/>
  <c r="CG12" i="6"/>
  <c r="CT12" i="6"/>
  <c r="CJ12" i="6"/>
  <c r="BO12" i="6"/>
  <c r="BY12" i="6"/>
  <c r="BP12" i="6"/>
  <c r="CR12" i="6"/>
  <c r="BT12" i="6"/>
  <c r="BV12" i="6"/>
  <c r="CI12" i="6"/>
  <c r="BW12" i="6"/>
  <c r="CP12" i="6"/>
  <c r="BU12" i="6"/>
  <c r="CE12" i="6"/>
  <c r="BZ12" i="6"/>
  <c r="CF12" i="6"/>
  <c r="CS12" i="6"/>
  <c r="CD12" i="6"/>
  <c r="BS12" i="6"/>
  <c r="DC11" i="6"/>
  <c r="CK12" i="6"/>
  <c r="CU12" i="6"/>
  <c r="CC12" i="6"/>
  <c r="CN12" i="6"/>
  <c r="CM12" i="6"/>
  <c r="CQ12" i="6"/>
  <c r="CB12" i="6"/>
  <c r="BR12" i="6"/>
  <c r="BX12" i="6"/>
  <c r="CW12" i="6"/>
  <c r="CO12" i="6"/>
  <c r="K113" i="6"/>
  <c r="BQ12" i="6"/>
  <c r="CH12" i="6"/>
  <c r="CV12" i="6"/>
  <c r="BN96" i="6"/>
  <c r="BN95" i="6"/>
  <c r="CD96" i="6"/>
  <c r="CF95" i="6"/>
  <c r="CL96" i="6"/>
  <c r="CI96" i="6"/>
  <c r="CM96" i="6"/>
  <c r="BR96" i="6"/>
  <c r="CS96" i="6"/>
  <c r="CP96" i="6"/>
  <c r="CR95" i="6"/>
  <c r="CA96" i="6"/>
  <c r="CG95" i="6"/>
  <c r="BV95" i="6"/>
  <c r="BS96" i="6"/>
  <c r="CE96" i="6"/>
  <c r="CH95" i="6"/>
  <c r="BY96" i="6"/>
  <c r="CO95" i="6"/>
  <c r="DC95" i="6"/>
  <c r="CG96" i="6"/>
  <c r="BQ96" i="6"/>
  <c r="BW96" i="6"/>
  <c r="BS95" i="6"/>
  <c r="CM95" i="6"/>
  <c r="CB96" i="6"/>
  <c r="BX96" i="6"/>
  <c r="CQ95" i="6"/>
  <c r="CT95" i="6"/>
  <c r="CX95" i="6"/>
  <c r="BO96" i="6"/>
  <c r="CH96" i="6"/>
  <c r="BZ95" i="6"/>
  <c r="BQ95" i="6"/>
  <c r="CF96" i="6"/>
  <c r="BY95" i="6"/>
  <c r="CN96" i="6"/>
  <c r="CV95" i="6"/>
  <c r="CS95" i="6"/>
  <c r="CC95" i="6"/>
  <c r="CC96" i="6"/>
  <c r="CK96" i="6"/>
  <c r="BW95" i="6"/>
  <c r="BZ96" i="6"/>
  <c r="CE95" i="6"/>
  <c r="CV96" i="6"/>
  <c r="CW96" i="6"/>
  <c r="CQ96" i="6"/>
  <c r="BR95" i="6"/>
  <c r="CJ95" i="6"/>
  <c r="CJ96" i="6"/>
  <c r="CI95" i="6"/>
  <c r="BO95" i="6"/>
  <c r="BT96" i="6"/>
  <c r="CP95" i="6"/>
  <c r="CX96" i="6"/>
  <c r="CT96" i="6"/>
  <c r="BP96" i="6"/>
  <c r="CB95" i="6"/>
  <c r="BX95" i="6"/>
  <c r="BV96" i="6"/>
  <c r="CD95" i="6"/>
  <c r="BT95" i="6"/>
  <c r="CW95" i="6"/>
  <c r="CN95" i="6"/>
  <c r="CU96" i="6"/>
  <c r="CK95" i="6"/>
  <c r="BU95" i="6"/>
  <c r="CA95" i="6"/>
  <c r="BP95" i="6"/>
  <c r="CL95" i="6"/>
  <c r="BU96" i="6"/>
  <c r="CR96" i="6"/>
  <c r="CU95" i="6"/>
  <c r="CO96" i="6"/>
  <c r="BN92" i="6"/>
  <c r="BN91" i="6"/>
  <c r="CL92" i="6"/>
  <c r="CC91" i="6"/>
  <c r="BW92" i="6"/>
  <c r="CI92" i="6"/>
  <c r="CG92" i="6"/>
  <c r="BO92" i="6"/>
  <c r="BY91" i="6"/>
  <c r="CQ92" i="6"/>
  <c r="CO91" i="6"/>
  <c r="BT91" i="6"/>
  <c r="BW91" i="6"/>
  <c r="BY92" i="6"/>
  <c r="CJ91" i="6"/>
  <c r="CJ92" i="6"/>
  <c r="CH92" i="6"/>
  <c r="BX92" i="6"/>
  <c r="CU92" i="6"/>
  <c r="DC91" i="6"/>
  <c r="CM92" i="6"/>
  <c r="CA92" i="6"/>
  <c r="BP92" i="6"/>
  <c r="CA91" i="6"/>
  <c r="CH91" i="6"/>
  <c r="CM91" i="6"/>
  <c r="CL91" i="6"/>
  <c r="CT92" i="6"/>
  <c r="CV91" i="6"/>
  <c r="BT92" i="6"/>
  <c r="BZ92" i="6"/>
  <c r="CG91" i="6"/>
  <c r="CF91" i="6"/>
  <c r="CE91" i="6"/>
  <c r="CD91" i="6"/>
  <c r="BU91" i="6"/>
  <c r="CO92" i="6"/>
  <c r="CU91" i="6"/>
  <c r="BU92" i="6"/>
  <c r="BZ91" i="6"/>
  <c r="BQ91" i="6"/>
  <c r="BP91" i="6"/>
  <c r="BO91" i="6"/>
  <c r="CE92" i="6"/>
  <c r="BV92" i="6"/>
  <c r="CP92" i="6"/>
  <c r="CS92" i="6"/>
  <c r="BS92" i="6"/>
  <c r="CK92" i="6"/>
  <c r="BQ92" i="6"/>
  <c r="CK91" i="6"/>
  <c r="CB91" i="6"/>
  <c r="BS91" i="6"/>
  <c r="CW92" i="6"/>
  <c r="CW91" i="6"/>
  <c r="CX92" i="6"/>
  <c r="BX91" i="6"/>
  <c r="CI91" i="6"/>
  <c r="BR92" i="6"/>
  <c r="CN92" i="6"/>
  <c r="CV92" i="6"/>
  <c r="CQ91" i="6"/>
  <c r="CT91" i="6"/>
  <c r="CN91" i="6"/>
  <c r="CR91" i="6"/>
  <c r="BV91" i="6"/>
  <c r="CB92" i="6"/>
  <c r="CP91" i="6"/>
  <c r="CD92" i="6"/>
  <c r="BR91" i="6"/>
  <c r="CF92" i="6"/>
  <c r="CC92" i="6"/>
  <c r="CS91" i="6"/>
  <c r="CX91" i="6"/>
  <c r="CR92" i="6"/>
  <c r="BN14" i="6"/>
  <c r="BN13" i="6"/>
  <c r="BT14" i="6"/>
  <c r="CH13" i="6"/>
  <c r="CE14" i="6"/>
  <c r="BV13" i="6"/>
  <c r="BP14" i="6"/>
  <c r="CJ13" i="6"/>
  <c r="BV14" i="6"/>
  <c r="CQ14" i="6"/>
  <c r="CR14" i="6"/>
  <c r="CK14" i="6"/>
  <c r="CB14" i="6"/>
  <c r="BY14" i="6"/>
  <c r="CI14" i="6"/>
  <c r="BW13" i="6"/>
  <c r="BX13" i="6"/>
  <c r="BO13" i="6"/>
  <c r="DC13" i="6"/>
  <c r="CW13" i="6"/>
  <c r="CR13" i="6"/>
  <c r="CM13" i="6"/>
  <c r="BX14" i="6"/>
  <c r="BW14" i="6"/>
  <c r="CB13" i="6"/>
  <c r="BQ13" i="6"/>
  <c r="BQ14" i="6"/>
  <c r="CU14" i="6"/>
  <c r="CU13" i="6"/>
  <c r="CW14" i="6"/>
  <c r="CG14" i="6"/>
  <c r="BU13" i="6"/>
  <c r="CC14" i="6"/>
  <c r="CF14" i="6"/>
  <c r="BY13" i="6"/>
  <c r="CD14" i="6"/>
  <c r="CQ13" i="6"/>
  <c r="CN13" i="6"/>
  <c r="CP13" i="6"/>
  <c r="CL14" i="6"/>
  <c r="BP13" i="6"/>
  <c r="CD13" i="6"/>
  <c r="BO14" i="6"/>
  <c r="BR14" i="6"/>
  <c r="CA13" i="6"/>
  <c r="CN14" i="6"/>
  <c r="CP14" i="6"/>
  <c r="CV14" i="6"/>
  <c r="CK13" i="6"/>
  <c r="BR13" i="6"/>
  <c r="CC13" i="6"/>
  <c r="CE13" i="6"/>
  <c r="BZ13" i="6"/>
  <c r="BZ14" i="6"/>
  <c r="CT13" i="6"/>
  <c r="CS14" i="6"/>
  <c r="CO14" i="6"/>
  <c r="CF13" i="6"/>
  <c r="CH14" i="6"/>
  <c r="CJ14" i="6"/>
  <c r="CA14" i="6"/>
  <c r="CI13" i="6"/>
  <c r="BT13" i="6"/>
  <c r="CX14" i="6"/>
  <c r="CX13" i="6"/>
  <c r="CO13" i="6"/>
  <c r="CG13" i="6"/>
  <c r="BU14" i="6"/>
  <c r="CL13" i="6"/>
  <c r="BS13" i="6"/>
  <c r="CM14" i="6"/>
  <c r="BS14" i="6"/>
  <c r="CT14" i="6"/>
  <c r="CS13" i="6"/>
  <c r="CV13" i="6"/>
  <c r="BN63" i="6"/>
  <c r="BN64" i="6"/>
  <c r="BQ64" i="6"/>
  <c r="BU64" i="6"/>
  <c r="BO64" i="6"/>
  <c r="BT63" i="6"/>
  <c r="BZ63" i="6"/>
  <c r="CS64" i="6"/>
  <c r="CQ63" i="6"/>
  <c r="CR64" i="6"/>
  <c r="CW64" i="6"/>
  <c r="CI63" i="6"/>
  <c r="CM64" i="6"/>
  <c r="BY64" i="6"/>
  <c r="BS64" i="6"/>
  <c r="CE64" i="6"/>
  <c r="CR63" i="6"/>
  <c r="BQ63" i="6"/>
  <c r="CW63" i="6"/>
  <c r="CP64" i="6"/>
  <c r="CA63" i="6"/>
  <c r="CJ64" i="6"/>
  <c r="CK64" i="6"/>
  <c r="BP63" i="6"/>
  <c r="CF64" i="6"/>
  <c r="CB64" i="6"/>
  <c r="CJ63" i="6"/>
  <c r="DC63" i="6"/>
  <c r="CX64" i="6"/>
  <c r="CT63" i="6"/>
  <c r="CE63" i="6"/>
  <c r="CD64" i="6"/>
  <c r="BY63" i="6"/>
  <c r="BO63" i="6"/>
  <c r="CU64" i="6"/>
  <c r="CK63" i="6"/>
  <c r="BR63" i="6"/>
  <c r="CP63" i="6"/>
  <c r="CU63" i="6"/>
  <c r="BP64" i="6"/>
  <c r="BV63" i="6"/>
  <c r="BX63" i="6"/>
  <c r="CT64" i="6"/>
  <c r="BU63" i="6"/>
  <c r="CG64" i="6"/>
  <c r="BW64" i="6"/>
  <c r="CO64" i="6"/>
  <c r="CN64" i="6"/>
  <c r="CC64" i="6"/>
  <c r="CG63" i="6"/>
  <c r="CH63" i="6"/>
  <c r="CI64" i="6"/>
  <c r="BV64" i="6"/>
  <c r="CM63" i="6"/>
  <c r="CB63" i="6"/>
  <c r="CN63" i="6"/>
  <c r="CX63" i="6"/>
  <c r="CL64" i="6"/>
  <c r="CH64" i="6"/>
  <c r="CD63" i="6"/>
  <c r="CL63" i="6"/>
  <c r="BX64" i="6"/>
  <c r="CC63" i="6"/>
  <c r="BZ64" i="6"/>
  <c r="CV64" i="6"/>
  <c r="CQ64" i="6"/>
  <c r="CA64" i="6"/>
  <c r="BR64" i="6"/>
  <c r="CF63" i="6"/>
  <c r="BW63" i="6"/>
  <c r="BT64" i="6"/>
  <c r="BS63" i="6"/>
  <c r="CV63" i="6"/>
  <c r="CO63" i="6"/>
  <c r="CS63" i="6"/>
  <c r="DB22" i="6"/>
  <c r="BN108" i="6"/>
  <c r="BN107" i="6"/>
  <c r="CF107" i="6"/>
  <c r="CI108" i="6"/>
  <c r="BY107" i="6"/>
  <c r="BO108" i="6"/>
  <c r="BR107" i="6"/>
  <c r="BQ107" i="6"/>
  <c r="CO107" i="6"/>
  <c r="CT108" i="6"/>
  <c r="CR107" i="6"/>
  <c r="BV108" i="6"/>
  <c r="BS107" i="6"/>
  <c r="CG108" i="6"/>
  <c r="CC107" i="6"/>
  <c r="CK108" i="6"/>
  <c r="CA107" i="6"/>
  <c r="CP108" i="6"/>
  <c r="CN107" i="6"/>
  <c r="CS108" i="6"/>
  <c r="BT108" i="6"/>
  <c r="BX107" i="6"/>
  <c r="CM107" i="6"/>
  <c r="BU107" i="6"/>
  <c r="BW108" i="6"/>
  <c r="CH108" i="6"/>
  <c r="CR108" i="6"/>
  <c r="CW108" i="6"/>
  <c r="CA108" i="6"/>
  <c r="CI107" i="6"/>
  <c r="CE107" i="6"/>
  <c r="CL108" i="6"/>
  <c r="CJ107" i="6"/>
  <c r="BX108" i="6"/>
  <c r="CU107" i="6"/>
  <c r="CS107" i="6"/>
  <c r="BW107" i="6"/>
  <c r="BR108" i="6"/>
  <c r="CD107" i="6"/>
  <c r="CF108" i="6"/>
  <c r="CD108" i="6"/>
  <c r="BT107" i="6"/>
  <c r="DC107" i="6"/>
  <c r="CW107" i="6"/>
  <c r="CQ107" i="6"/>
  <c r="CE108" i="6"/>
  <c r="BS108" i="6"/>
  <c r="CH107" i="6"/>
  <c r="BP108" i="6"/>
  <c r="CJ108" i="6"/>
  <c r="BP107" i="6"/>
  <c r="CQ108" i="6"/>
  <c r="CO108" i="6"/>
  <c r="CX108" i="6"/>
  <c r="CG107" i="6"/>
  <c r="CK107" i="6"/>
  <c r="BO107" i="6"/>
  <c r="BY108" i="6"/>
  <c r="CM108" i="6"/>
  <c r="CB107" i="6"/>
  <c r="BZ107" i="6"/>
  <c r="CV107" i="6"/>
  <c r="CV108" i="6"/>
  <c r="CC108" i="6"/>
  <c r="BZ108" i="6"/>
  <c r="CB108" i="6"/>
  <c r="BV107" i="6"/>
  <c r="BQ108" i="6"/>
  <c r="CL107" i="6"/>
  <c r="BU108" i="6"/>
  <c r="CP107" i="6"/>
  <c r="CT107" i="6"/>
  <c r="CN108" i="6"/>
  <c r="CU108" i="6"/>
  <c r="CX107" i="6"/>
  <c r="BN50" i="6"/>
  <c r="BN49" i="6"/>
  <c r="CI49" i="6"/>
  <c r="BR50" i="6"/>
  <c r="CD50" i="6"/>
  <c r="CA49" i="6"/>
  <c r="CC50" i="6"/>
  <c r="CK50" i="6"/>
  <c r="CJ49" i="6"/>
  <c r="CP50" i="6"/>
  <c r="CQ50" i="6"/>
  <c r="BR49" i="6"/>
  <c r="CE49" i="6"/>
  <c r="BU50" i="6"/>
  <c r="CI50" i="6"/>
  <c r="BO49" i="6"/>
  <c r="CB50" i="6"/>
  <c r="CF50" i="6"/>
  <c r="CT50" i="6"/>
  <c r="CX50" i="6"/>
  <c r="CN49" i="6"/>
  <c r="BT50" i="6"/>
  <c r="BV50" i="6"/>
  <c r="BX50" i="6"/>
  <c r="CM50" i="6"/>
  <c r="CC49" i="6"/>
  <c r="CL49" i="6"/>
  <c r="CV50" i="6"/>
  <c r="CW50" i="6"/>
  <c r="CS50" i="6"/>
  <c r="BY50" i="6"/>
  <c r="CG50" i="6"/>
  <c r="BZ49" i="6"/>
  <c r="BX49" i="6"/>
  <c r="BS49" i="6"/>
  <c r="BV49" i="6"/>
  <c r="CX49" i="6"/>
  <c r="CO50" i="6"/>
  <c r="CT49" i="6"/>
  <c r="BS50" i="6"/>
  <c r="CH49" i="6"/>
  <c r="BQ49" i="6"/>
  <c r="CE50" i="6"/>
  <c r="CA50" i="6"/>
  <c r="CM49" i="6"/>
  <c r="DC49" i="6"/>
  <c r="CW49" i="6"/>
  <c r="CU49" i="6"/>
  <c r="CH50" i="6"/>
  <c r="BP50" i="6"/>
  <c r="CG49" i="6"/>
  <c r="CK49" i="6"/>
  <c r="BQ50" i="6"/>
  <c r="BP49" i="6"/>
  <c r="CS49" i="6"/>
  <c r="CR50" i="6"/>
  <c r="CV49" i="6"/>
  <c r="CF49" i="6"/>
  <c r="CL50" i="6"/>
  <c r="BW49" i="6"/>
  <c r="CJ50" i="6"/>
  <c r="BY49" i="6"/>
  <c r="BU49" i="6"/>
  <c r="CP49" i="6"/>
  <c r="CN50" i="6"/>
  <c r="CR49" i="6"/>
  <c r="BT49" i="6"/>
  <c r="BO50" i="6"/>
  <c r="CD49" i="6"/>
  <c r="BZ50" i="6"/>
  <c r="CB49" i="6"/>
  <c r="BW50" i="6"/>
  <c r="CQ49" i="6"/>
  <c r="CO49" i="6"/>
  <c r="CU50" i="6"/>
  <c r="BN81" i="6"/>
  <c r="BN82" i="6"/>
  <c r="CX81" i="6"/>
  <c r="BQ81" i="6"/>
  <c r="CE82" i="6"/>
  <c r="BT81" i="6"/>
  <c r="CB82" i="6"/>
  <c r="CO82" i="6"/>
  <c r="CW81" i="6"/>
  <c r="CO81" i="6"/>
  <c r="CD81" i="6"/>
  <c r="CH81" i="6"/>
  <c r="CJ81" i="6"/>
  <c r="CI81" i="6"/>
  <c r="CI82" i="6"/>
  <c r="BO81" i="6"/>
  <c r="BX81" i="6"/>
  <c r="CR81" i="6"/>
  <c r="DC81" i="6"/>
  <c r="CP81" i="6"/>
  <c r="BQ82" i="6"/>
  <c r="CC82" i="6"/>
  <c r="CQ82" i="6"/>
  <c r="BP82" i="6"/>
  <c r="BW82" i="6"/>
  <c r="CH82" i="6"/>
  <c r="BV82" i="6"/>
  <c r="BW81" i="6"/>
  <c r="BR82" i="6"/>
  <c r="CD82" i="6"/>
  <c r="CV82" i="6"/>
  <c r="CL81" i="6"/>
  <c r="CM81" i="6"/>
  <c r="BR81" i="6"/>
  <c r="BY81" i="6"/>
  <c r="CG82" i="6"/>
  <c r="BX82" i="6"/>
  <c r="BV81" i="6"/>
  <c r="CR82" i="6"/>
  <c r="BU82" i="6"/>
  <c r="BZ81" i="6"/>
  <c r="CA81" i="6"/>
  <c r="BU81" i="6"/>
  <c r="CC81" i="6"/>
  <c r="CG81" i="6"/>
  <c r="CA82" i="6"/>
  <c r="BZ82" i="6"/>
  <c r="BT82" i="6"/>
  <c r="CK82" i="6"/>
  <c r="CP82" i="6"/>
  <c r="CT81" i="6"/>
  <c r="CV81" i="6"/>
  <c r="CQ81" i="6"/>
  <c r="CJ82" i="6"/>
  <c r="CK81" i="6"/>
  <c r="BS82" i="6"/>
  <c r="BO82" i="6"/>
  <c r="CF82" i="6"/>
  <c r="BP81" i="6"/>
  <c r="BS81" i="6"/>
  <c r="CS82" i="6"/>
  <c r="CN82" i="6"/>
  <c r="CX82" i="6"/>
  <c r="CF81" i="6"/>
  <c r="CE81" i="6"/>
  <c r="BY82" i="6"/>
  <c r="CL82" i="6"/>
  <c r="CN81" i="6"/>
  <c r="CM82" i="6"/>
  <c r="CU81" i="6"/>
  <c r="CW82" i="6"/>
  <c r="CT82" i="6"/>
  <c r="CS81" i="6"/>
  <c r="CU82" i="6"/>
  <c r="CB81" i="6"/>
  <c r="BN73" i="6"/>
  <c r="BN74" i="6"/>
  <c r="BU73" i="6"/>
  <c r="CI74" i="6"/>
  <c r="BR73" i="6"/>
  <c r="CM73" i="6"/>
  <c r="CE74" i="6"/>
  <c r="BV73" i="6"/>
  <c r="CW73" i="6"/>
  <c r="CR73" i="6"/>
  <c r="CS73" i="6"/>
  <c r="CG74" i="6"/>
  <c r="BT74" i="6"/>
  <c r="BR74" i="6"/>
  <c r="CA74" i="6"/>
  <c r="BQ74" i="6"/>
  <c r="CM74" i="6"/>
  <c r="CU73" i="6"/>
  <c r="CX74" i="6"/>
  <c r="CP73" i="6"/>
  <c r="CF74" i="6"/>
  <c r="CC73" i="6"/>
  <c r="CL73" i="6"/>
  <c r="BO73" i="6"/>
  <c r="CJ73" i="6"/>
  <c r="CK74" i="6"/>
  <c r="CW74" i="6"/>
  <c r="CT73" i="6"/>
  <c r="CN74" i="6"/>
  <c r="CI73" i="6"/>
  <c r="CF73" i="6"/>
  <c r="BW73" i="6"/>
  <c r="BY73" i="6"/>
  <c r="CC74" i="6"/>
  <c r="BS73" i="6"/>
  <c r="CO73" i="6"/>
  <c r="CU74" i="6"/>
  <c r="CQ74" i="6"/>
  <c r="CH73" i="6"/>
  <c r="CE73" i="6"/>
  <c r="CB74" i="6"/>
  <c r="CJ74" i="6"/>
  <c r="CA73" i="6"/>
  <c r="BQ73" i="6"/>
  <c r="CK73" i="6"/>
  <c r="CV73" i="6"/>
  <c r="CP74" i="6"/>
  <c r="BP73" i="6"/>
  <c r="BO74" i="6"/>
  <c r="CD74" i="6"/>
  <c r="CH74" i="6"/>
  <c r="CD73" i="6"/>
  <c r="BW74" i="6"/>
  <c r="CG73" i="6"/>
  <c r="CO74" i="6"/>
  <c r="CS74" i="6"/>
  <c r="CT74" i="6"/>
  <c r="CB73" i="6"/>
  <c r="BS74" i="6"/>
  <c r="CL74" i="6"/>
  <c r="BV74" i="6"/>
  <c r="BZ74" i="6"/>
  <c r="BT73" i="6"/>
  <c r="CQ73" i="6"/>
  <c r="DC73" i="6"/>
  <c r="CX73" i="6"/>
  <c r="BZ73" i="6"/>
  <c r="BX73" i="6"/>
  <c r="BX74" i="6"/>
  <c r="BP74" i="6"/>
  <c r="BU74" i="6"/>
  <c r="BY74" i="6"/>
  <c r="CN73" i="6"/>
  <c r="CV74" i="6"/>
  <c r="CR74" i="6"/>
  <c r="BN39" i="6"/>
  <c r="BN40" i="6"/>
  <c r="CE40" i="6"/>
  <c r="CG40" i="6"/>
  <c r="CL40" i="6"/>
  <c r="BW40" i="6"/>
  <c r="CC40" i="6"/>
  <c r="BV39" i="6"/>
  <c r="CH39" i="6"/>
  <c r="CD39" i="6"/>
  <c r="CI40" i="6"/>
  <c r="CF39" i="6"/>
  <c r="CM39" i="6"/>
  <c r="BX39" i="6"/>
  <c r="BQ40" i="6"/>
  <c r="CB39" i="6"/>
  <c r="BS39" i="6"/>
  <c r="BR39" i="6"/>
  <c r="BP40" i="6"/>
  <c r="CB40" i="6"/>
  <c r="BV40" i="6"/>
  <c r="CD40" i="6"/>
  <c r="BY39" i="6"/>
  <c r="CH40" i="6"/>
  <c r="BY40" i="6"/>
  <c r="CJ40" i="6"/>
  <c r="CC39" i="6"/>
  <c r="CE39" i="6"/>
  <c r="BS40" i="6"/>
  <c r="CM40" i="6"/>
  <c r="BW39" i="6"/>
  <c r="BZ39" i="6"/>
  <c r="CF40" i="6"/>
  <c r="BZ40" i="6"/>
  <c r="BU40" i="6"/>
  <c r="BT39" i="6"/>
  <c r="BP39" i="6"/>
  <c r="BU39" i="6"/>
  <c r="BO40" i="6"/>
  <c r="CL39" i="6"/>
  <c r="CW39" i="6"/>
  <c r="CN40" i="6"/>
  <c r="CT39" i="6"/>
  <c r="CI39" i="6"/>
  <c r="CV39" i="6"/>
  <c r="CU40" i="6"/>
  <c r="CO39" i="6"/>
  <c r="CA40" i="6"/>
  <c r="CK39" i="6"/>
  <c r="CX40" i="6"/>
  <c r="CU39" i="6"/>
  <c r="CQ39" i="6"/>
  <c r="BO39" i="6"/>
  <c r="CK40" i="6"/>
  <c r="CV40" i="6"/>
  <c r="CP39" i="6"/>
  <c r="DC39" i="6"/>
  <c r="BT40" i="6"/>
  <c r="CJ39" i="6"/>
  <c r="CN39" i="6"/>
  <c r="CR39" i="6"/>
  <c r="CW40" i="6"/>
  <c r="BQ39" i="6"/>
  <c r="BX40" i="6"/>
  <c r="CP40" i="6"/>
  <c r="CQ40" i="6"/>
  <c r="BR40" i="6"/>
  <c r="CG39" i="6"/>
  <c r="CS39" i="6"/>
  <c r="CO40" i="6"/>
  <c r="CS40" i="6"/>
  <c r="CA39" i="6"/>
  <c r="CX39" i="6"/>
  <c r="CR40" i="6"/>
  <c r="CT40" i="6"/>
  <c r="BN102" i="6"/>
  <c r="BN101" i="6"/>
  <c r="BX101" i="6"/>
  <c r="BO102" i="6"/>
  <c r="CF101" i="6"/>
  <c r="CL101" i="6"/>
  <c r="CI102" i="6"/>
  <c r="CF102" i="6"/>
  <c r="CQ101" i="6"/>
  <c r="CR101" i="6"/>
  <c r="CS101" i="6"/>
  <c r="CD101" i="6"/>
  <c r="BP102" i="6"/>
  <c r="CI101" i="6"/>
  <c r="CH101" i="6"/>
  <c r="CE101" i="6"/>
  <c r="BS102" i="6"/>
  <c r="CW101" i="6"/>
  <c r="CN101" i="6"/>
  <c r="CV102" i="6"/>
  <c r="BQ102" i="6"/>
  <c r="CG101" i="6"/>
  <c r="CL102" i="6"/>
  <c r="CG102" i="6"/>
  <c r="BZ102" i="6"/>
  <c r="BT102" i="6"/>
  <c r="CR102" i="6"/>
  <c r="CW102" i="6"/>
  <c r="DC101" i="6"/>
  <c r="BR102" i="6"/>
  <c r="BO101" i="6"/>
  <c r="BR101" i="6"/>
  <c r="BS101" i="6"/>
  <c r="BT101" i="6"/>
  <c r="CK102" i="6"/>
  <c r="CS102" i="6"/>
  <c r="CP102" i="6"/>
  <c r="CO102" i="6"/>
  <c r="BV101" i="6"/>
  <c r="CK101" i="6"/>
  <c r="CE102" i="6"/>
  <c r="CC101" i="6"/>
  <c r="BQ101" i="6"/>
  <c r="CA102" i="6"/>
  <c r="CH102" i="6"/>
  <c r="CU101" i="6"/>
  <c r="CQ102" i="6"/>
  <c r="CB101" i="6"/>
  <c r="BX102" i="6"/>
  <c r="BY101" i="6"/>
  <c r="CJ102" i="6"/>
  <c r="BV102" i="6"/>
  <c r="BU102" i="6"/>
  <c r="CJ101" i="6"/>
  <c r="CP101" i="6"/>
  <c r="CU102" i="6"/>
  <c r="CN102" i="6"/>
  <c r="CA101" i="6"/>
  <c r="BW101" i="6"/>
  <c r="BZ101" i="6"/>
  <c r="CB102" i="6"/>
  <c r="CD102" i="6"/>
  <c r="BU101" i="6"/>
  <c r="CX101" i="6"/>
  <c r="CV101" i="6"/>
  <c r="CO101" i="6"/>
  <c r="BW102" i="6"/>
  <c r="BY102" i="6"/>
  <c r="CM102" i="6"/>
  <c r="CM101" i="6"/>
  <c r="CC102" i="6"/>
  <c r="BP101" i="6"/>
  <c r="CT102" i="6"/>
  <c r="CX102" i="6"/>
  <c r="CT101" i="6"/>
  <c r="BN58" i="6"/>
  <c r="BN57" i="6"/>
  <c r="CK58" i="6"/>
  <c r="CM57" i="6"/>
  <c r="CD58" i="6"/>
  <c r="BQ57" i="6"/>
  <c r="CD57" i="6"/>
  <c r="CL58" i="6"/>
  <c r="CN58" i="6"/>
  <c r="CT57" i="6"/>
  <c r="CU57" i="6"/>
  <c r="CC58" i="6"/>
  <c r="CL57" i="6"/>
  <c r="BZ57" i="6"/>
  <c r="BV57" i="6"/>
  <c r="CG58" i="6"/>
  <c r="CJ58" i="6"/>
  <c r="CV57" i="6"/>
  <c r="CP57" i="6"/>
  <c r="CP58" i="6"/>
  <c r="BZ58" i="6"/>
  <c r="CE57" i="6"/>
  <c r="CA57" i="6"/>
  <c r="CI57" i="6"/>
  <c r="BW58" i="6"/>
  <c r="BV58" i="6"/>
  <c r="CV58" i="6"/>
  <c r="CR57" i="6"/>
  <c r="CO57" i="6"/>
  <c r="BY58" i="6"/>
  <c r="BP58" i="6"/>
  <c r="BR58" i="6"/>
  <c r="BO57" i="6"/>
  <c r="BY57" i="6"/>
  <c r="BP57" i="6"/>
  <c r="CU58" i="6"/>
  <c r="CQ58" i="6"/>
  <c r="CS57" i="6"/>
  <c r="CC57" i="6"/>
  <c r="CM58" i="6"/>
  <c r="BT58" i="6"/>
  <c r="BQ58" i="6"/>
  <c r="CA58" i="6"/>
  <c r="BX57" i="6"/>
  <c r="CN57" i="6"/>
  <c r="CT58" i="6"/>
  <c r="CO58" i="6"/>
  <c r="BX58" i="6"/>
  <c r="CJ57" i="6"/>
  <c r="CF57" i="6"/>
  <c r="CG57" i="6"/>
  <c r="CE58" i="6"/>
  <c r="BO58" i="6"/>
  <c r="CH58" i="6"/>
  <c r="CW58" i="6"/>
  <c r="CR58" i="6"/>
  <c r="BS57" i="6"/>
  <c r="BU58" i="6"/>
  <c r="CH57" i="6"/>
  <c r="BU57" i="6"/>
  <c r="BR57" i="6"/>
  <c r="CF58" i="6"/>
  <c r="CK57" i="6"/>
  <c r="CX57" i="6"/>
  <c r="CQ57" i="6"/>
  <c r="CS58" i="6"/>
  <c r="BT57" i="6"/>
  <c r="BS58" i="6"/>
  <c r="BW57" i="6"/>
  <c r="CB57" i="6"/>
  <c r="CI58" i="6"/>
  <c r="CB58" i="6"/>
  <c r="CX58" i="6"/>
  <c r="DC57" i="6"/>
  <c r="CW57" i="6"/>
  <c r="BN48" i="6"/>
  <c r="BN47" i="6"/>
  <c r="CM47" i="6"/>
  <c r="BS47" i="6"/>
  <c r="BU47" i="6"/>
  <c r="CD48" i="6"/>
  <c r="CF48" i="6"/>
  <c r="CJ47" i="6"/>
  <c r="CV47" i="6"/>
  <c r="CV48" i="6"/>
  <c r="CP47" i="6"/>
  <c r="BT47" i="6"/>
  <c r="CG48" i="6"/>
  <c r="CL48" i="6"/>
  <c r="BV47" i="6"/>
  <c r="CH48" i="6"/>
  <c r="CF47" i="6"/>
  <c r="CO48" i="6"/>
  <c r="CU47" i="6"/>
  <c r="CR47" i="6"/>
  <c r="CH47" i="6"/>
  <c r="CC47" i="6"/>
  <c r="BX47" i="6"/>
  <c r="CG47" i="6"/>
  <c r="BO47" i="6"/>
  <c r="BO48" i="6"/>
  <c r="BQ48" i="6"/>
  <c r="CW48" i="6"/>
  <c r="CT48" i="6"/>
  <c r="BP48" i="6"/>
  <c r="BW47" i="6"/>
  <c r="CB47" i="6"/>
  <c r="BQ47" i="6"/>
  <c r="BW48" i="6"/>
  <c r="CI48" i="6"/>
  <c r="CA48" i="6"/>
  <c r="CN47" i="6"/>
  <c r="CS47" i="6"/>
  <c r="DC47" i="6"/>
  <c r="BZ47" i="6"/>
  <c r="BX48" i="6"/>
  <c r="BT48" i="6"/>
  <c r="BU48" i="6"/>
  <c r="CJ48" i="6"/>
  <c r="BP47" i="6"/>
  <c r="CX48" i="6"/>
  <c r="CQ47" i="6"/>
  <c r="CQ48" i="6"/>
  <c r="BY48" i="6"/>
  <c r="CB48" i="6"/>
  <c r="CC48" i="6"/>
  <c r="CA47" i="6"/>
  <c r="BS48" i="6"/>
  <c r="CD47" i="6"/>
  <c r="CS48" i="6"/>
  <c r="CW47" i="6"/>
  <c r="CP48" i="6"/>
  <c r="CE47" i="6"/>
  <c r="BY47" i="6"/>
  <c r="CI47" i="6"/>
  <c r="CL47" i="6"/>
  <c r="CE48" i="6"/>
  <c r="CK48" i="6"/>
  <c r="CN48" i="6"/>
  <c r="CR48" i="6"/>
  <c r="CU48" i="6"/>
  <c r="CK47" i="6"/>
  <c r="BR48" i="6"/>
  <c r="BR47" i="6"/>
  <c r="CM48" i="6"/>
  <c r="BV48" i="6"/>
  <c r="BZ48" i="6"/>
  <c r="CX47" i="6"/>
  <c r="CO47" i="6"/>
  <c r="CT47" i="6"/>
  <c r="BN52" i="6"/>
  <c r="BN51" i="6"/>
  <c r="CB51" i="6"/>
  <c r="CE52" i="6"/>
  <c r="CL51" i="6"/>
  <c r="BT52" i="6"/>
  <c r="BT51" i="6"/>
  <c r="CA52" i="6"/>
  <c r="CJ52" i="6"/>
  <c r="CW51" i="6"/>
  <c r="CQ51" i="6"/>
  <c r="CJ51" i="6"/>
  <c r="CM52" i="6"/>
  <c r="BZ52" i="6"/>
  <c r="CL52" i="6"/>
  <c r="CI51" i="6"/>
  <c r="BO51" i="6"/>
  <c r="CS52" i="6"/>
  <c r="CR52" i="6"/>
  <c r="CX52" i="6"/>
  <c r="BZ51" i="6"/>
  <c r="CF51" i="6"/>
  <c r="CI52" i="6"/>
  <c r="BU52" i="6"/>
  <c r="BY51" i="6"/>
  <c r="BR52" i="6"/>
  <c r="CS51" i="6"/>
  <c r="CV52" i="6"/>
  <c r="CN51" i="6"/>
  <c r="BW52" i="6"/>
  <c r="BP52" i="6"/>
  <c r="CC51" i="6"/>
  <c r="CD52" i="6"/>
  <c r="BY52" i="6"/>
  <c r="CH51" i="6"/>
  <c r="CO52" i="6"/>
  <c r="CU51" i="6"/>
  <c r="CU52" i="6"/>
  <c r="CK52" i="6"/>
  <c r="CB52" i="6"/>
  <c r="CA51" i="6"/>
  <c r="CC52" i="6"/>
  <c r="CD51" i="6"/>
  <c r="DC51" i="6"/>
  <c r="CR51" i="6"/>
  <c r="CO51" i="6"/>
  <c r="CT52" i="6"/>
  <c r="CF52" i="6"/>
  <c r="BX51" i="6"/>
  <c r="BR51" i="6"/>
  <c r="BQ52" i="6"/>
  <c r="CG52" i="6"/>
  <c r="CK51" i="6"/>
  <c r="CV51" i="6"/>
  <c r="CN52" i="6"/>
  <c r="CP52" i="6"/>
  <c r="BW51" i="6"/>
  <c r="BU51" i="6"/>
  <c r="BS52" i="6"/>
  <c r="BO52" i="6"/>
  <c r="CH52" i="6"/>
  <c r="BS51" i="6"/>
  <c r="BX52" i="6"/>
  <c r="CW52" i="6"/>
  <c r="CT51" i="6"/>
  <c r="CM51" i="6"/>
  <c r="BV52" i="6"/>
  <c r="BV51" i="6"/>
  <c r="BQ51" i="6"/>
  <c r="BP51" i="6"/>
  <c r="CG51" i="6"/>
  <c r="CE51" i="6"/>
  <c r="CP51" i="6"/>
  <c r="CQ52" i="6"/>
  <c r="CX51" i="6"/>
  <c r="BN16" i="6"/>
  <c r="BN15" i="6"/>
  <c r="BX15" i="6"/>
  <c r="CE15" i="6"/>
  <c r="CF16" i="6"/>
  <c r="CK16" i="6"/>
  <c r="CB16" i="6"/>
  <c r="CX15" i="6"/>
  <c r="CM16" i="6"/>
  <c r="CQ15" i="6"/>
  <c r="CW16" i="6"/>
  <c r="CV15" i="6"/>
  <c r="BQ15" i="6"/>
  <c r="CD15" i="6"/>
  <c r="BO15" i="6"/>
  <c r="CG15" i="6"/>
  <c r="CU16" i="6"/>
  <c r="CK15" i="6"/>
  <c r="CJ15" i="6"/>
  <c r="CN15" i="6"/>
  <c r="CN16" i="6"/>
  <c r="CU15" i="6"/>
  <c r="BW15" i="6"/>
  <c r="BU16" i="6"/>
  <c r="CH16" i="6"/>
  <c r="BP16" i="6"/>
  <c r="BW16" i="6"/>
  <c r="CC15" i="6"/>
  <c r="CS15" i="6"/>
  <c r="DC15" i="6"/>
  <c r="CE16" i="6"/>
  <c r="CC16" i="6"/>
  <c r="CI16" i="6"/>
  <c r="BY16" i="6"/>
  <c r="CD16" i="6"/>
  <c r="CI15" i="6"/>
  <c r="CL16" i="6"/>
  <c r="CO16" i="6"/>
  <c r="CW15" i="6"/>
  <c r="CM15" i="6"/>
  <c r="BS16" i="6"/>
  <c r="BP15" i="6"/>
  <c r="BR16" i="6"/>
  <c r="BV16" i="6"/>
  <c r="BS15" i="6"/>
  <c r="CF15" i="6"/>
  <c r="CQ16" i="6"/>
  <c r="CS16" i="6"/>
  <c r="BO16" i="6"/>
  <c r="BQ16" i="6"/>
  <c r="CG16" i="6"/>
  <c r="BT16" i="6"/>
  <c r="CA15" i="6"/>
  <c r="CA16" i="6"/>
  <c r="BZ16" i="6"/>
  <c r="CR15" i="6"/>
  <c r="CV16" i="6"/>
  <c r="CR16" i="6"/>
  <c r="BV15" i="6"/>
  <c r="BU15" i="6"/>
  <c r="CH15" i="6"/>
  <c r="CJ16" i="6"/>
  <c r="BR15" i="6"/>
  <c r="CP15" i="6"/>
  <c r="CO15" i="6"/>
  <c r="CT16" i="6"/>
  <c r="BX16" i="6"/>
  <c r="CB15" i="6"/>
  <c r="BT15" i="6"/>
  <c r="CL15" i="6"/>
  <c r="BZ15" i="6"/>
  <c r="BY15" i="6"/>
  <c r="CP16" i="6"/>
  <c r="CX16" i="6"/>
  <c r="CT15" i="6"/>
  <c r="BN98" i="6"/>
  <c r="BU98" i="6"/>
  <c r="BU97" i="6"/>
  <c r="BV97" i="6"/>
  <c r="CI98" i="6"/>
  <c r="CP98" i="6"/>
  <c r="BT98" i="6"/>
  <c r="CB97" i="6"/>
  <c r="CP97" i="6"/>
  <c r="CW98" i="6"/>
  <c r="BY98" i="6"/>
  <c r="CU98" i="6"/>
  <c r="CK98" i="6"/>
  <c r="BR98" i="6"/>
  <c r="CL97" i="6"/>
  <c r="CD97" i="6"/>
  <c r="CJ98" i="6"/>
  <c r="CO97" i="6"/>
  <c r="CQ97" i="6"/>
  <c r="BN97" i="6"/>
  <c r="CI97" i="6"/>
  <c r="CM97" i="6"/>
  <c r="BS98" i="6"/>
  <c r="BO97" i="6"/>
  <c r="CF97" i="6"/>
  <c r="BS97" i="6"/>
  <c r="CV98" i="6"/>
  <c r="CR98" i="6"/>
  <c r="CW97" i="6"/>
  <c r="BZ97" i="6"/>
  <c r="BQ97" i="6"/>
  <c r="CD98" i="6"/>
  <c r="BP97" i="6"/>
  <c r="CE97" i="6"/>
  <c r="BO98" i="6"/>
  <c r="CB98" i="6"/>
  <c r="CS97" i="6"/>
  <c r="DC97" i="6"/>
  <c r="CA97" i="6"/>
  <c r="BX97" i="6"/>
  <c r="CX97" i="6"/>
  <c r="CA98" i="6"/>
  <c r="BX98" i="6"/>
  <c r="CG98" i="6"/>
  <c r="BW98" i="6"/>
  <c r="CX98" i="6"/>
  <c r="CN97" i="6"/>
  <c r="CO98" i="6"/>
  <c r="BR97" i="6"/>
  <c r="BV98" i="6"/>
  <c r="CL98" i="6"/>
  <c r="CH97" i="6"/>
  <c r="CC97" i="6"/>
  <c r="BT97" i="6"/>
  <c r="CV97" i="6"/>
  <c r="CR97" i="6"/>
  <c r="CU97" i="6"/>
  <c r="BY97" i="6"/>
  <c r="CK97" i="6"/>
  <c r="BP98" i="6"/>
  <c r="CJ97" i="6"/>
  <c r="CH98" i="6"/>
  <c r="CT98" i="6"/>
  <c r="BZ98" i="6"/>
  <c r="CQ98" i="6"/>
  <c r="CS98" i="6"/>
  <c r="CF98" i="6"/>
  <c r="CM98" i="6"/>
  <c r="BW97" i="6"/>
  <c r="CE98" i="6"/>
  <c r="BQ98" i="6"/>
  <c r="CC98" i="6"/>
  <c r="CG97" i="6"/>
  <c r="CT97" i="6"/>
  <c r="CN98" i="6"/>
  <c r="DB21" i="6"/>
  <c r="AH15" i="14" l="1"/>
  <c r="AH26" i="14"/>
  <c r="AH34" i="14"/>
  <c r="AH30" i="14"/>
  <c r="AH42" i="14"/>
  <c r="AH20" i="14"/>
  <c r="AH38" i="14"/>
  <c r="AH46" i="14"/>
  <c r="DB15" i="6"/>
  <c r="DB48" i="6"/>
  <c r="DB97" i="6"/>
  <c r="DB51" i="6"/>
  <c r="DB102" i="6"/>
  <c r="DB74" i="6"/>
  <c r="DB64" i="6"/>
  <c r="CK118" i="6"/>
  <c r="CK116" i="6"/>
  <c r="AJ117" i="6" s="1"/>
  <c r="CM116" i="6"/>
  <c r="AL117" i="6" s="1"/>
  <c r="CM118" i="6"/>
  <c r="BT118" i="6"/>
  <c r="S121" i="6" s="1"/>
  <c r="AH7" i="11" s="1"/>
  <c r="BT116" i="6"/>
  <c r="CU116" i="6"/>
  <c r="AT117" i="6" s="1"/>
  <c r="CU118" i="6"/>
  <c r="CR116" i="6"/>
  <c r="AQ117" i="6" s="1"/>
  <c r="CR118" i="6"/>
  <c r="DB90" i="6"/>
  <c r="DB99" i="6"/>
  <c r="DB35" i="6"/>
  <c r="DB27" i="6"/>
  <c r="DB93" i="6"/>
  <c r="DB60" i="6"/>
  <c r="DB87" i="6"/>
  <c r="DB56" i="6"/>
  <c r="DB52" i="6"/>
  <c r="DB57" i="6"/>
  <c r="DB73" i="6"/>
  <c r="DB49" i="6"/>
  <c r="DB63" i="6"/>
  <c r="BN118" i="6"/>
  <c r="BN116" i="6"/>
  <c r="DB11" i="6"/>
  <c r="CX116" i="6"/>
  <c r="AW117" i="6" s="1"/>
  <c r="CX118" i="6"/>
  <c r="CH116" i="6"/>
  <c r="AG117" i="6" s="1"/>
  <c r="CH118" i="6"/>
  <c r="AG121" i="6" s="1"/>
  <c r="BZ116" i="6"/>
  <c r="BZ118" i="6"/>
  <c r="Y121" i="6" s="1"/>
  <c r="AN7" i="11" s="1"/>
  <c r="CV118" i="6"/>
  <c r="CV116" i="6"/>
  <c r="AU117" i="6" s="1"/>
  <c r="DB24" i="6"/>
  <c r="DB100" i="6"/>
  <c r="DB34" i="6"/>
  <c r="DB28" i="6"/>
  <c r="DB70" i="6"/>
  <c r="DB67" i="6"/>
  <c r="DB61" i="6"/>
  <c r="DB55" i="6"/>
  <c r="DB58" i="6"/>
  <c r="DB40" i="6"/>
  <c r="DB50" i="6"/>
  <c r="CW116" i="6"/>
  <c r="AV117" i="6" s="1"/>
  <c r="CW118" i="6"/>
  <c r="BU116" i="6"/>
  <c r="BU118" i="6"/>
  <c r="T121" i="6" s="1"/>
  <c r="AI7" i="11" s="1"/>
  <c r="CN116" i="6"/>
  <c r="AM117" i="6" s="1"/>
  <c r="CN118" i="6"/>
  <c r="BS116" i="6"/>
  <c r="BS118" i="6"/>
  <c r="R121" i="6" s="1"/>
  <c r="AG7" i="11" s="1"/>
  <c r="DB23" i="6"/>
  <c r="DB33" i="6"/>
  <c r="DB69" i="6"/>
  <c r="DB18" i="6"/>
  <c r="DB68" i="6"/>
  <c r="DB98" i="6"/>
  <c r="DB39" i="6"/>
  <c r="DB13" i="6"/>
  <c r="CL118" i="6"/>
  <c r="CL116" i="6"/>
  <c r="AK117" i="6" s="1"/>
  <c r="CF118" i="6"/>
  <c r="AE121" i="6" s="1"/>
  <c r="CF116" i="6"/>
  <c r="AE117" i="6" s="1"/>
  <c r="BV116" i="6"/>
  <c r="BV118" i="6"/>
  <c r="U121" i="6" s="1"/>
  <c r="AJ7" i="11" s="1"/>
  <c r="BO116" i="6"/>
  <c r="BO118" i="6"/>
  <c r="N121" i="6" s="1"/>
  <c r="AC7" i="11" s="1"/>
  <c r="DB76" i="6"/>
  <c r="DB30" i="6"/>
  <c r="DB38" i="6"/>
  <c r="DB17" i="6"/>
  <c r="DB46" i="6"/>
  <c r="DB88" i="6"/>
  <c r="DB25" i="6"/>
  <c r="DB107" i="6"/>
  <c r="DB14" i="6"/>
  <c r="DB95" i="6"/>
  <c r="CA116" i="6"/>
  <c r="CA118" i="6"/>
  <c r="Z121" i="6" s="1"/>
  <c r="AO7" i="11" s="1"/>
  <c r="CB116" i="6"/>
  <c r="AA117" i="6" s="1"/>
  <c r="CB118" i="6"/>
  <c r="AA121" i="6" s="1"/>
  <c r="AP7" i="11" s="1"/>
  <c r="I65" i="11" s="1"/>
  <c r="CD116" i="6"/>
  <c r="AC117" i="6" s="1"/>
  <c r="CD118" i="6"/>
  <c r="AC121" i="6" s="1"/>
  <c r="BX116" i="6"/>
  <c r="BX118" i="6"/>
  <c r="W121" i="6" s="1"/>
  <c r="AL7" i="11" s="1"/>
  <c r="CP116" i="6"/>
  <c r="AO117" i="6" s="1"/>
  <c r="CP118" i="6"/>
  <c r="DB75" i="6"/>
  <c r="DB103" i="6"/>
  <c r="DB29" i="6"/>
  <c r="DB37" i="6"/>
  <c r="DB72" i="6"/>
  <c r="DB45" i="6"/>
  <c r="DB62" i="6"/>
  <c r="DB26" i="6"/>
  <c r="DB108" i="6"/>
  <c r="DB96" i="6"/>
  <c r="CC118" i="6"/>
  <c r="AB121" i="6" s="1"/>
  <c r="CC116" i="6"/>
  <c r="AB117" i="6" s="1"/>
  <c r="BW116" i="6"/>
  <c r="BW118" i="6"/>
  <c r="V121" i="6" s="1"/>
  <c r="AK7" i="11" s="1"/>
  <c r="BR116" i="6"/>
  <c r="BR118" i="6"/>
  <c r="Q121" i="6" s="1"/>
  <c r="AF7" i="11" s="1"/>
  <c r="BQ118" i="6"/>
  <c r="P121" i="6" s="1"/>
  <c r="AE7" i="11" s="1"/>
  <c r="BQ116" i="6"/>
  <c r="CT118" i="6"/>
  <c r="CT116" i="6"/>
  <c r="AS117" i="6" s="1"/>
  <c r="DB104" i="6"/>
  <c r="DB41" i="6"/>
  <c r="DB85" i="6"/>
  <c r="DB71" i="6"/>
  <c r="DB112" i="6"/>
  <c r="DB65" i="6"/>
  <c r="DB16" i="6"/>
  <c r="DB47" i="6"/>
  <c r="DB82" i="6"/>
  <c r="DB91" i="6"/>
  <c r="DB12" i="6"/>
  <c r="CI116" i="6"/>
  <c r="AH117" i="6" s="1"/>
  <c r="CI118" i="6"/>
  <c r="CE116" i="6"/>
  <c r="AD117" i="6" s="1"/>
  <c r="CE118" i="6"/>
  <c r="AD121" i="6" s="1"/>
  <c r="BP118" i="6"/>
  <c r="O121" i="6" s="1"/>
  <c r="AD7" i="11" s="1"/>
  <c r="BP116" i="6"/>
  <c r="CQ118" i="6"/>
  <c r="CQ116" i="6"/>
  <c r="AP117" i="6" s="1"/>
  <c r="DB32" i="6"/>
  <c r="DB42" i="6"/>
  <c r="DB44" i="6"/>
  <c r="DB86" i="6"/>
  <c r="DB80" i="6"/>
  <c r="DB111" i="6"/>
  <c r="DB19" i="6"/>
  <c r="DB66" i="6"/>
  <c r="DB54" i="6"/>
  <c r="DB101" i="6"/>
  <c r="DB81" i="6"/>
  <c r="DB92" i="6"/>
  <c r="CJ118" i="6"/>
  <c r="CJ116" i="6"/>
  <c r="AI117" i="6" s="1"/>
  <c r="BY118" i="6"/>
  <c r="X121" i="6" s="1"/>
  <c r="AM7" i="11" s="1"/>
  <c r="BY116" i="6"/>
  <c r="CO116" i="6"/>
  <c r="AN117" i="6" s="1"/>
  <c r="CO118" i="6"/>
  <c r="CG118" i="6"/>
  <c r="AF121" i="6" s="1"/>
  <c r="CG116" i="6"/>
  <c r="AF117" i="6" s="1"/>
  <c r="CS116" i="6"/>
  <c r="AR117" i="6" s="1"/>
  <c r="CS118" i="6"/>
  <c r="DB31" i="6"/>
  <c r="DB89" i="6"/>
  <c r="DB43" i="6"/>
  <c r="DB36" i="6"/>
  <c r="DB79" i="6"/>
  <c r="DB94" i="6"/>
  <c r="DB20" i="6"/>
  <c r="DB59" i="6"/>
  <c r="DB53" i="6"/>
  <c r="I39" i="11" l="1"/>
  <c r="I40" i="11"/>
  <c r="I41" i="11"/>
  <c r="I42" i="11"/>
  <c r="AC122" i="6"/>
  <c r="AR7" i="11"/>
  <c r="AE122" i="6"/>
  <c r="AT7" i="11"/>
  <c r="AG122" i="6"/>
  <c r="AV7" i="11"/>
  <c r="AD122" i="6"/>
  <c r="AS7" i="11"/>
  <c r="AF122" i="6"/>
  <c r="AU7" i="11"/>
  <c r="I83" i="11" s="1"/>
  <c r="AB122" i="6"/>
  <c r="AQ7" i="11"/>
  <c r="G119" i="11"/>
  <c r="G120" i="11"/>
  <c r="G121" i="11"/>
  <c r="G122" i="11"/>
  <c r="AA122" i="6"/>
  <c r="AP118" i="6"/>
  <c r="Z18" i="11"/>
  <c r="AC118" i="6"/>
  <c r="AE118" i="6"/>
  <c r="R122" i="6"/>
  <c r="AJ118" i="6"/>
  <c r="X122" i="6"/>
  <c r="AB18" i="11"/>
  <c r="P122" i="6"/>
  <c r="AQ118" i="6"/>
  <c r="AI118" i="6"/>
  <c r="Q122" i="6"/>
  <c r="AA118" i="6"/>
  <c r="AK118" i="6"/>
  <c r="AG118" i="6"/>
  <c r="O122" i="6"/>
  <c r="Z122" i="6"/>
  <c r="AM118" i="6"/>
  <c r="AT118" i="6"/>
  <c r="AF118" i="6"/>
  <c r="V122" i="6"/>
  <c r="AO118" i="6"/>
  <c r="N122" i="6"/>
  <c r="T122" i="6"/>
  <c r="AW118" i="6"/>
  <c r="AR118" i="6"/>
  <c r="AD118" i="6"/>
  <c r="W122" i="6"/>
  <c r="AU118" i="6"/>
  <c r="S122" i="6"/>
  <c r="AS118" i="6"/>
  <c r="AB118" i="6"/>
  <c r="U122" i="6"/>
  <c r="BN117" i="6"/>
  <c r="BO117" i="6" s="1"/>
  <c r="BP117" i="6" s="1"/>
  <c r="BQ117" i="6" s="1"/>
  <c r="BR117" i="6" s="1"/>
  <c r="BS117" i="6" s="1"/>
  <c r="BT117" i="6" s="1"/>
  <c r="BU117" i="6" s="1"/>
  <c r="BV117" i="6" s="1"/>
  <c r="BW117" i="6" s="1"/>
  <c r="BX117" i="6" s="1"/>
  <c r="BY117" i="6" s="1"/>
  <c r="BZ117" i="6" s="1"/>
  <c r="CA117" i="6" s="1"/>
  <c r="CB117" i="6" s="1"/>
  <c r="CC117" i="6" s="1"/>
  <c r="CD117" i="6" s="1"/>
  <c r="CE117" i="6" s="1"/>
  <c r="CF117" i="6" s="1"/>
  <c r="CG117" i="6" s="1"/>
  <c r="CH117" i="6" s="1"/>
  <c r="CI117" i="6" s="1"/>
  <c r="CJ117" i="6" s="1"/>
  <c r="CK117" i="6" s="1"/>
  <c r="CL117" i="6" s="1"/>
  <c r="CM117" i="6" s="1"/>
  <c r="CN117" i="6" s="1"/>
  <c r="CO117" i="6" s="1"/>
  <c r="CP117" i="6" s="1"/>
  <c r="CQ117" i="6" s="1"/>
  <c r="CR117" i="6" s="1"/>
  <c r="CS117" i="6" s="1"/>
  <c r="CT117" i="6" s="1"/>
  <c r="CU117" i="6" s="1"/>
  <c r="CV117" i="6" s="1"/>
  <c r="CW117" i="6" s="1"/>
  <c r="CX117" i="6" s="1"/>
  <c r="AN118" i="6"/>
  <c r="AH118" i="6"/>
  <c r="AV118" i="6"/>
  <c r="Y122" i="6"/>
  <c r="M121" i="6"/>
  <c r="AB7" i="11" s="1"/>
  <c r="BN119" i="6"/>
  <c r="BO119" i="6" s="1"/>
  <c r="BP119" i="6" s="1"/>
  <c r="BQ119" i="6" s="1"/>
  <c r="BR119" i="6" s="1"/>
  <c r="BS119" i="6" s="1"/>
  <c r="BT119" i="6" s="1"/>
  <c r="BU119" i="6" s="1"/>
  <c r="BV119" i="6" s="1"/>
  <c r="BW119" i="6" s="1"/>
  <c r="BX119" i="6" s="1"/>
  <c r="BY119" i="6" s="1"/>
  <c r="BZ119" i="6" s="1"/>
  <c r="CA119" i="6" s="1"/>
  <c r="CB119" i="6" s="1"/>
  <c r="CC119" i="6" s="1"/>
  <c r="CD119" i="6" s="1"/>
  <c r="CE119" i="6" s="1"/>
  <c r="CF119" i="6" s="1"/>
  <c r="CG119" i="6" s="1"/>
  <c r="CH119" i="6" s="1"/>
  <c r="CI119" i="6" s="1"/>
  <c r="CJ119" i="6" s="1"/>
  <c r="CK119" i="6" s="1"/>
  <c r="CL119" i="6" s="1"/>
  <c r="CM119" i="6" s="1"/>
  <c r="CN119" i="6" s="1"/>
  <c r="CO119" i="6" s="1"/>
  <c r="CP119" i="6" s="1"/>
  <c r="CQ119" i="6" s="1"/>
  <c r="CR119" i="6" s="1"/>
  <c r="CS119" i="6" s="1"/>
  <c r="CT119" i="6" s="1"/>
  <c r="CU119" i="6" s="1"/>
  <c r="CV119" i="6" s="1"/>
  <c r="CW119" i="6" s="1"/>
  <c r="CX119" i="6" s="1"/>
  <c r="AL118" i="6"/>
  <c r="I82" i="11" l="1"/>
  <c r="I79" i="11"/>
  <c r="I80" i="11"/>
  <c r="I81" i="11"/>
  <c r="AD18" i="11"/>
  <c r="I46" i="11"/>
  <c r="I45" i="11"/>
  <c r="I43" i="11"/>
  <c r="I44" i="11"/>
  <c r="G18" i="11"/>
  <c r="G16" i="11"/>
  <c r="G15" i="11"/>
  <c r="G17" i="11"/>
  <c r="G29" i="11"/>
  <c r="G30" i="11"/>
  <c r="G27" i="11"/>
  <c r="G28" i="11"/>
  <c r="G99" i="11"/>
  <c r="G102" i="11"/>
  <c r="G100" i="11"/>
  <c r="G101" i="11"/>
  <c r="I29" i="11"/>
  <c r="I30" i="11"/>
  <c r="I28" i="11"/>
  <c r="I27" i="11"/>
  <c r="G34" i="11"/>
  <c r="G31" i="11"/>
  <c r="G32" i="11"/>
  <c r="G33" i="11"/>
  <c r="I14" i="11"/>
  <c r="I13" i="11"/>
  <c r="I12" i="11"/>
  <c r="I11" i="11"/>
  <c r="I60" i="11"/>
  <c r="I59" i="11"/>
  <c r="I62" i="11"/>
  <c r="I61" i="11"/>
  <c r="I21" i="11"/>
  <c r="I22" i="11"/>
  <c r="I20" i="11"/>
  <c r="I19" i="11"/>
  <c r="G22" i="11"/>
  <c r="G21" i="11"/>
  <c r="G19" i="11"/>
  <c r="G20" i="11"/>
  <c r="I55" i="11"/>
  <c r="I57" i="11"/>
  <c r="I56" i="11"/>
  <c r="I58" i="11"/>
  <c r="G78" i="11"/>
  <c r="G75" i="11"/>
  <c r="G77" i="11"/>
  <c r="G76" i="11"/>
  <c r="C26" i="8"/>
  <c r="C19" i="8" s="1"/>
  <c r="I48" i="11"/>
  <c r="I47" i="11"/>
  <c r="I50" i="11"/>
  <c r="I49" i="11"/>
  <c r="I15" i="11"/>
  <c r="I18" i="11"/>
  <c r="I17" i="11"/>
  <c r="I16" i="11"/>
  <c r="G89" i="11"/>
  <c r="G87" i="11"/>
  <c r="G90" i="11"/>
  <c r="G88" i="11"/>
  <c r="G66" i="11"/>
  <c r="G64" i="11"/>
  <c r="G63" i="11"/>
  <c r="G65" i="11"/>
  <c r="I72" i="11"/>
  <c r="I71" i="11"/>
  <c r="I73" i="11"/>
  <c r="I74" i="11"/>
  <c r="G113" i="11"/>
  <c r="G111" i="11"/>
  <c r="G114" i="11"/>
  <c r="G112" i="11"/>
  <c r="G97" i="11"/>
  <c r="G95" i="11"/>
  <c r="G98" i="11"/>
  <c r="G96" i="11"/>
  <c r="G41" i="11"/>
  <c r="G40" i="11"/>
  <c r="G42" i="11"/>
  <c r="G39" i="11"/>
  <c r="G93" i="11"/>
  <c r="G91" i="11"/>
  <c r="G94" i="11"/>
  <c r="G92" i="11"/>
  <c r="G50" i="11"/>
  <c r="G49" i="11"/>
  <c r="G47" i="11"/>
  <c r="G48" i="11"/>
  <c r="I69" i="11"/>
  <c r="I67" i="11"/>
  <c r="I70" i="11"/>
  <c r="I68" i="11"/>
  <c r="G62" i="11"/>
  <c r="G59" i="11"/>
  <c r="G60" i="11"/>
  <c r="G61" i="11"/>
  <c r="I121" i="11"/>
  <c r="I98" i="11"/>
  <c r="I112" i="11"/>
  <c r="I110" i="11"/>
  <c r="I109" i="11"/>
  <c r="I103" i="11"/>
  <c r="I95" i="11"/>
  <c r="I94" i="11"/>
  <c r="I86" i="11"/>
  <c r="I78" i="11"/>
  <c r="I108" i="11"/>
  <c r="I99" i="11"/>
  <c r="I76" i="11"/>
  <c r="I75" i="11"/>
  <c r="I113" i="11"/>
  <c r="I120" i="11"/>
  <c r="I111" i="11"/>
  <c r="I104" i="11"/>
  <c r="I101" i="11"/>
  <c r="I96" i="11"/>
  <c r="I116" i="11"/>
  <c r="I107" i="11"/>
  <c r="I105" i="11"/>
  <c r="I97" i="11"/>
  <c r="I91" i="11"/>
  <c r="I114" i="11"/>
  <c r="I117" i="11"/>
  <c r="I122" i="11"/>
  <c r="I115" i="11"/>
  <c r="I106" i="11"/>
  <c r="I92" i="11"/>
  <c r="I85" i="11"/>
  <c r="I84" i="11"/>
  <c r="I119" i="11"/>
  <c r="I118" i="11"/>
  <c r="I102" i="11"/>
  <c r="I100" i="11"/>
  <c r="I93" i="11"/>
  <c r="I77" i="11"/>
  <c r="G82" i="11"/>
  <c r="G80" i="11"/>
  <c r="G81" i="11"/>
  <c r="G79" i="11"/>
  <c r="M123" i="6"/>
  <c r="AB8" i="11" s="1"/>
  <c r="M122" i="6"/>
  <c r="D26" i="8" s="1"/>
  <c r="D19" i="8" s="1"/>
  <c r="C27" i="8"/>
  <c r="C20" i="8" s="1"/>
  <c r="F20" i="8" s="1"/>
  <c r="G37" i="11"/>
  <c r="G36" i="11"/>
  <c r="G38" i="11"/>
  <c r="G35" i="11"/>
  <c r="I37" i="11"/>
  <c r="I38" i="11"/>
  <c r="I36" i="11"/>
  <c r="I35" i="11"/>
  <c r="I24" i="11"/>
  <c r="I23" i="11"/>
  <c r="I26" i="11"/>
  <c r="I25" i="11"/>
  <c r="G118" i="11"/>
  <c r="G116" i="11"/>
  <c r="G115" i="11"/>
  <c r="G117" i="11"/>
  <c r="G67" i="11"/>
  <c r="G70" i="11"/>
  <c r="G68" i="11"/>
  <c r="G69" i="11"/>
  <c r="I31" i="11"/>
  <c r="I34" i="11"/>
  <c r="I33" i="11"/>
  <c r="I32" i="11"/>
  <c r="G46" i="11"/>
  <c r="G45" i="11"/>
  <c r="G43" i="11"/>
  <c r="G44" i="11"/>
  <c r="G26" i="11"/>
  <c r="G24" i="11"/>
  <c r="G23" i="11"/>
  <c r="G25" i="11"/>
  <c r="G106" i="11"/>
  <c r="G104" i="11"/>
  <c r="G105" i="11"/>
  <c r="G103" i="11"/>
  <c r="I53" i="11"/>
  <c r="I52" i="11"/>
  <c r="I54" i="11"/>
  <c r="I51" i="11"/>
  <c r="G56" i="11"/>
  <c r="G57" i="11"/>
  <c r="G55" i="11"/>
  <c r="G58" i="11"/>
  <c r="G110" i="11"/>
  <c r="G108" i="11"/>
  <c r="G109" i="11"/>
  <c r="G107" i="11"/>
  <c r="G12" i="11"/>
  <c r="G14" i="11"/>
  <c r="G13" i="11"/>
  <c r="G11" i="11"/>
  <c r="G85" i="11"/>
  <c r="G83" i="11"/>
  <c r="G86" i="11"/>
  <c r="G84" i="11"/>
  <c r="G71" i="11"/>
  <c r="G72" i="11"/>
  <c r="G74" i="11"/>
  <c r="G73" i="11"/>
  <c r="G54" i="11"/>
  <c r="G51" i="11"/>
  <c r="G52" i="11"/>
  <c r="G53" i="11"/>
  <c r="E19" i="8" l="1"/>
  <c r="F19" i="8" s="1"/>
  <c r="K65" i="11"/>
  <c r="K35" i="11"/>
  <c r="K100" i="11"/>
  <c r="K88" i="11"/>
  <c r="K114" i="11"/>
  <c r="K104" i="11"/>
  <c r="K78" i="11"/>
  <c r="K112" i="11"/>
  <c r="K71" i="11"/>
  <c r="K47" i="11"/>
  <c r="K61" i="11"/>
  <c r="K102" i="11"/>
  <c r="K90" i="11"/>
  <c r="K91" i="11"/>
  <c r="K111" i="11"/>
  <c r="K80" i="11"/>
  <c r="K82" i="11"/>
  <c r="K68" i="11"/>
  <c r="K72" i="11"/>
  <c r="K48" i="11"/>
  <c r="K62" i="11"/>
  <c r="K118" i="11"/>
  <c r="K92" i="11"/>
  <c r="K97" i="11"/>
  <c r="K120" i="11"/>
  <c r="K86" i="11"/>
  <c r="K89" i="11"/>
  <c r="K70" i="11"/>
  <c r="K16" i="11"/>
  <c r="K58" i="11"/>
  <c r="K59" i="11"/>
  <c r="K36" i="11"/>
  <c r="K41" i="11"/>
  <c r="K37" i="11"/>
  <c r="M124" i="6"/>
  <c r="D27" i="8"/>
  <c r="D20" i="8" s="1"/>
  <c r="N123" i="6"/>
  <c r="AC8" i="11" s="1"/>
  <c r="K119" i="11"/>
  <c r="K106" i="11"/>
  <c r="K105" i="11"/>
  <c r="K113" i="11"/>
  <c r="K94" i="11"/>
  <c r="K98" i="11"/>
  <c r="K67" i="11"/>
  <c r="K17" i="11"/>
  <c r="K56" i="11"/>
  <c r="K19" i="11"/>
  <c r="K60" i="11"/>
  <c r="K39" i="11"/>
  <c r="K51" i="11"/>
  <c r="K32" i="11"/>
  <c r="K25" i="11"/>
  <c r="K79" i="11"/>
  <c r="K115" i="11"/>
  <c r="K107" i="11"/>
  <c r="K75" i="11"/>
  <c r="K95" i="11"/>
  <c r="K121" i="11"/>
  <c r="K69" i="11"/>
  <c r="K18" i="11"/>
  <c r="K57" i="11"/>
  <c r="K20" i="11"/>
  <c r="J11" i="11"/>
  <c r="J12" i="11" s="1"/>
  <c r="K11" i="11"/>
  <c r="K27" i="11"/>
  <c r="K44" i="11"/>
  <c r="K63" i="11"/>
  <c r="K38" i="11"/>
  <c r="K54" i="11"/>
  <c r="K33" i="11"/>
  <c r="K26" i="11"/>
  <c r="K77" i="11"/>
  <c r="K81" i="11"/>
  <c r="K122" i="11"/>
  <c r="K116" i="11"/>
  <c r="K76" i="11"/>
  <c r="K103" i="11"/>
  <c r="K15" i="11"/>
  <c r="G10" i="11"/>
  <c r="G9" i="11"/>
  <c r="K55" i="11"/>
  <c r="K22" i="11"/>
  <c r="K12" i="11"/>
  <c r="K28" i="11"/>
  <c r="K43" i="11"/>
  <c r="K64" i="11"/>
  <c r="K40" i="11"/>
  <c r="K66" i="11"/>
  <c r="K52" i="11"/>
  <c r="K34" i="11"/>
  <c r="K23" i="11"/>
  <c r="K83" i="11"/>
  <c r="K84" i="11"/>
  <c r="K87" i="11"/>
  <c r="K96" i="11"/>
  <c r="K99" i="11"/>
  <c r="K109" i="11"/>
  <c r="K74" i="11"/>
  <c r="K49" i="11"/>
  <c r="K13" i="11"/>
  <c r="K30" i="11"/>
  <c r="K45" i="11"/>
  <c r="K42" i="11"/>
  <c r="K53" i="11"/>
  <c r="K31" i="11"/>
  <c r="K24" i="11"/>
  <c r="K93" i="11"/>
  <c r="K85" i="11"/>
  <c r="K117" i="11"/>
  <c r="K101" i="11"/>
  <c r="K108" i="11"/>
  <c r="K110" i="11"/>
  <c r="K73" i="11"/>
  <c r="K50" i="11"/>
  <c r="K21" i="11"/>
  <c r="K14" i="11"/>
  <c r="K29" i="11"/>
  <c r="K46" i="11"/>
  <c r="N124" i="6" l="1"/>
  <c r="O123" i="6"/>
  <c r="AD8" i="11" s="1"/>
  <c r="J13" i="11"/>
  <c r="K9" i="11"/>
  <c r="H9" i="11"/>
  <c r="L9" i="11" s="1"/>
  <c r="K10" i="11"/>
  <c r="H10" i="11" l="1"/>
  <c r="L10" i="11" s="1"/>
  <c r="O124" i="6"/>
  <c r="P123" i="6"/>
  <c r="AE8" i="11" s="1"/>
  <c r="J14" i="11"/>
  <c r="H11" i="11" l="1"/>
  <c r="H12" i="11" s="1"/>
  <c r="P124" i="6"/>
  <c r="Q123" i="6"/>
  <c r="AF8" i="11" s="1"/>
  <c r="L11" i="11"/>
  <c r="J15" i="11"/>
  <c r="H13" i="11" l="1"/>
  <c r="L12" i="11"/>
  <c r="Q124" i="6"/>
  <c r="R123" i="6"/>
  <c r="AG8" i="11" s="1"/>
  <c r="J16" i="11"/>
  <c r="R124" i="6" l="1"/>
  <c r="S123" i="6"/>
  <c r="AH8" i="11" s="1"/>
  <c r="J17" i="11"/>
  <c r="H14" i="11"/>
  <c r="L13" i="11"/>
  <c r="J18" i="11" l="1"/>
  <c r="S124" i="6"/>
  <c r="T123" i="6"/>
  <c r="AI8" i="11" s="1"/>
  <c r="H15" i="11"/>
  <c r="L14" i="11"/>
  <c r="T124" i="6" l="1"/>
  <c r="U123" i="6"/>
  <c r="AJ8" i="11" s="1"/>
  <c r="J19" i="11"/>
  <c r="H16" i="11"/>
  <c r="L15" i="11"/>
  <c r="J20" i="11" l="1"/>
  <c r="AC18" i="11" s="1"/>
  <c r="U124" i="6"/>
  <c r="V123" i="6"/>
  <c r="AK8" i="11" s="1"/>
  <c r="H17" i="11"/>
  <c r="L16" i="11"/>
  <c r="V124" i="6" l="1"/>
  <c r="W123" i="6"/>
  <c r="AL8" i="11" s="1"/>
  <c r="J21" i="11"/>
  <c r="H18" i="11"/>
  <c r="L17" i="11"/>
  <c r="H19" i="11" l="1"/>
  <c r="L18" i="11"/>
  <c r="W124" i="6"/>
  <c r="X123" i="6"/>
  <c r="AM8" i="11" s="1"/>
  <c r="J22" i="11"/>
  <c r="H20" i="11" l="1"/>
  <c r="AA18" i="11" s="1"/>
  <c r="AE18" i="11" s="1"/>
  <c r="L19" i="11"/>
  <c r="J23" i="11"/>
  <c r="X124" i="6"/>
  <c r="Y123" i="6"/>
  <c r="AN8" i="11" s="1"/>
  <c r="J24" i="11" l="1"/>
  <c r="Y124" i="6"/>
  <c r="Z123" i="6"/>
  <c r="H21" i="11"/>
  <c r="L20" i="11"/>
  <c r="AA123" i="6" l="1"/>
  <c r="AB123" i="6" s="1"/>
  <c r="AC123" i="6" s="1"/>
  <c r="AD123" i="6" s="1"/>
  <c r="AO8" i="11"/>
  <c r="Z124" i="6"/>
  <c r="J25" i="11"/>
  <c r="AA119" i="6"/>
  <c r="AP6" i="11" s="1"/>
  <c r="H22" i="11"/>
  <c r="L21" i="11"/>
  <c r="AD124" i="6" l="1"/>
  <c r="AS8" i="11"/>
  <c r="AE123" i="6"/>
  <c r="AC124" i="6"/>
  <c r="AR8" i="11"/>
  <c r="AB124" i="6"/>
  <c r="AQ8" i="11"/>
  <c r="AA124" i="6"/>
  <c r="AP8" i="11"/>
  <c r="AA120" i="6"/>
  <c r="AB119" i="6"/>
  <c r="AQ6" i="11" s="1"/>
  <c r="J26" i="11"/>
  <c r="H23" i="11"/>
  <c r="L22" i="11"/>
  <c r="AE124" i="6" l="1"/>
  <c r="AT8" i="11"/>
  <c r="AF123" i="6"/>
  <c r="J27" i="11"/>
  <c r="AB120" i="6"/>
  <c r="AC119" i="6"/>
  <c r="AR6" i="11" s="1"/>
  <c r="H24" i="11"/>
  <c r="L23" i="11"/>
  <c r="AF124" i="6" l="1"/>
  <c r="AU8" i="11"/>
  <c r="AG123" i="6"/>
  <c r="AV8" i="11" s="1"/>
  <c r="AC120" i="6"/>
  <c r="AD119" i="6"/>
  <c r="AS6" i="11" s="1"/>
  <c r="J28" i="11"/>
  <c r="H25" i="11"/>
  <c r="L24" i="11"/>
  <c r="AG124" i="6" l="1"/>
  <c r="J29" i="11"/>
  <c r="AD120" i="6"/>
  <c r="AE119" i="6"/>
  <c r="AT6" i="11" s="1"/>
  <c r="H26" i="11"/>
  <c r="L25" i="11"/>
  <c r="AE120" i="6" l="1"/>
  <c r="AF119" i="6"/>
  <c r="AU6" i="11" s="1"/>
  <c r="J30" i="11"/>
  <c r="H27" i="11"/>
  <c r="L26" i="11"/>
  <c r="J31" i="11" l="1"/>
  <c r="AF120" i="6"/>
  <c r="AG119" i="6"/>
  <c r="AV6" i="11" s="1"/>
  <c r="H28" i="11"/>
  <c r="L27" i="11"/>
  <c r="AG120" i="6" l="1"/>
  <c r="AH119" i="6"/>
  <c r="AW6" i="11" s="1"/>
  <c r="J32" i="11"/>
  <c r="H29" i="11"/>
  <c r="L28" i="11"/>
  <c r="J33" i="11" l="1"/>
  <c r="AH120" i="6"/>
  <c r="AI119" i="6"/>
  <c r="AX6" i="11" s="1"/>
  <c r="H30" i="11"/>
  <c r="L29" i="11"/>
  <c r="AI120" i="6" l="1"/>
  <c r="AJ119" i="6"/>
  <c r="AY6" i="11" s="1"/>
  <c r="J34" i="11"/>
  <c r="H31" i="11"/>
  <c r="L30" i="11"/>
  <c r="J35" i="11" l="1"/>
  <c r="AJ120" i="6"/>
  <c r="AK119" i="6"/>
  <c r="AZ6" i="11" s="1"/>
  <c r="H32" i="11"/>
  <c r="L31" i="11"/>
  <c r="AK120" i="6" l="1"/>
  <c r="AL119" i="6"/>
  <c r="BA6" i="11" s="1"/>
  <c r="J36" i="11"/>
  <c r="H33" i="11"/>
  <c r="L32" i="11"/>
  <c r="J37" i="11" l="1"/>
  <c r="AL120" i="6"/>
  <c r="AM119" i="6"/>
  <c r="BB6" i="11" s="1"/>
  <c r="H34" i="11"/>
  <c r="L33" i="11"/>
  <c r="J38" i="11" l="1"/>
  <c r="H35" i="11"/>
  <c r="L34" i="11"/>
  <c r="AM120" i="6"/>
  <c r="AN119" i="6"/>
  <c r="BC6" i="11" s="1"/>
  <c r="AN120" i="6" l="1"/>
  <c r="AO119" i="6"/>
  <c r="BD6" i="11" s="1"/>
  <c r="J39" i="11"/>
  <c r="H36" i="11"/>
  <c r="L35" i="11"/>
  <c r="AO120" i="6" l="1"/>
  <c r="AP119" i="6"/>
  <c r="BE6" i="11" s="1"/>
  <c r="J40" i="11"/>
  <c r="H37" i="11"/>
  <c r="L36" i="11"/>
  <c r="H38" i="11" l="1"/>
  <c r="L37" i="11"/>
  <c r="J41" i="11"/>
  <c r="AP120" i="6"/>
  <c r="AQ119" i="6"/>
  <c r="BF6" i="11" s="1"/>
  <c r="AQ120" i="6" l="1"/>
  <c r="AR119" i="6"/>
  <c r="BG6" i="11" s="1"/>
  <c r="J42" i="11"/>
  <c r="H39" i="11"/>
  <c r="L38" i="11"/>
  <c r="H40" i="11" l="1"/>
  <c r="L39" i="11"/>
  <c r="J43" i="11"/>
  <c r="AR120" i="6"/>
  <c r="AS119" i="6"/>
  <c r="BH6" i="11" s="1"/>
  <c r="AS120" i="6" l="1"/>
  <c r="AT119" i="6"/>
  <c r="BI6" i="11" s="1"/>
  <c r="J44" i="11"/>
  <c r="H41" i="11"/>
  <c r="L40" i="11"/>
  <c r="J45" i="11" l="1"/>
  <c r="H42" i="11"/>
  <c r="L41" i="11"/>
  <c r="AT120" i="6"/>
  <c r="AU119" i="6"/>
  <c r="BJ6" i="11" s="1"/>
  <c r="AU120" i="6" l="1"/>
  <c r="AV119" i="6"/>
  <c r="BK6" i="11" s="1"/>
  <c r="H43" i="11"/>
  <c r="L42" i="11"/>
  <c r="J46" i="11"/>
  <c r="J47" i="11" l="1"/>
  <c r="H44" i="11"/>
  <c r="L43" i="11"/>
  <c r="AV120" i="6"/>
  <c r="AW119" i="6"/>
  <c r="AW120" i="6" l="1"/>
  <c r="BL6" i="11"/>
  <c r="H45" i="11"/>
  <c r="L44" i="11"/>
  <c r="J48" i="11"/>
  <c r="J49" i="11" l="1"/>
  <c r="H46" i="11"/>
  <c r="L45" i="11"/>
  <c r="H47" i="11" l="1"/>
  <c r="L46" i="11"/>
  <c r="J50" i="11"/>
  <c r="J51" i="11" l="1"/>
  <c r="H48" i="11"/>
  <c r="L47" i="11"/>
  <c r="H49" i="11" l="1"/>
  <c r="L48" i="11"/>
  <c r="J52" i="11"/>
  <c r="J53" i="11" l="1"/>
  <c r="H50" i="11"/>
  <c r="L49" i="11"/>
  <c r="H51" i="11" l="1"/>
  <c r="L50" i="11"/>
  <c r="J54" i="11"/>
  <c r="J55" i="11" l="1"/>
  <c r="H52" i="11"/>
  <c r="L51" i="11"/>
  <c r="H53" i="11" l="1"/>
  <c r="L52" i="11"/>
  <c r="J56" i="11"/>
  <c r="J57" i="11" l="1"/>
  <c r="H54" i="11"/>
  <c r="L53" i="11"/>
  <c r="H55" i="11" l="1"/>
  <c r="L54" i="11"/>
  <c r="J58" i="11"/>
  <c r="J59" i="11" l="1"/>
  <c r="H56" i="11"/>
  <c r="L55" i="11"/>
  <c r="H57" i="11" l="1"/>
  <c r="L56" i="11"/>
  <c r="J60" i="11"/>
  <c r="J61" i="11" l="1"/>
  <c r="H58" i="11"/>
  <c r="L57" i="11"/>
  <c r="H59" i="11" l="1"/>
  <c r="L58" i="11"/>
  <c r="J62" i="11"/>
  <c r="J63" i="11" s="1"/>
  <c r="J64" i="11" s="1"/>
  <c r="H60" i="11" l="1"/>
  <c r="L59" i="11"/>
  <c r="H61" i="11" l="1"/>
  <c r="L60" i="11"/>
  <c r="J65" i="11" l="1"/>
  <c r="H62" i="11"/>
  <c r="L61" i="11"/>
  <c r="H63" i="11" l="1"/>
  <c r="L62" i="11"/>
  <c r="J66" i="11"/>
  <c r="J67" i="11" l="1"/>
  <c r="H64" i="11"/>
  <c r="L63" i="11"/>
  <c r="H65" i="11" l="1"/>
  <c r="L64" i="11"/>
  <c r="J68" i="11"/>
  <c r="J69" i="11" l="1"/>
  <c r="H66" i="11"/>
  <c r="L65" i="11"/>
  <c r="H67" i="11" l="1"/>
  <c r="L66" i="11"/>
  <c r="J70" i="11"/>
  <c r="J71" i="11" l="1"/>
  <c r="H68" i="11"/>
  <c r="L67" i="11"/>
  <c r="H69" i="11" l="1"/>
  <c r="L68" i="11"/>
  <c r="J72" i="11"/>
  <c r="J73" i="11" l="1"/>
  <c r="H70" i="11"/>
  <c r="L69" i="11"/>
  <c r="H71" i="11" l="1"/>
  <c r="L70" i="11"/>
  <c r="J74" i="11"/>
  <c r="J75" i="11" l="1"/>
  <c r="H72" i="11"/>
  <c r="L71" i="11"/>
  <c r="H73" i="11" l="1"/>
  <c r="L72" i="11"/>
  <c r="J76" i="11"/>
  <c r="J77" i="11" l="1"/>
  <c r="H74" i="11"/>
  <c r="L73" i="11"/>
  <c r="H75" i="11" l="1"/>
  <c r="L74" i="11"/>
  <c r="J78" i="11"/>
  <c r="J79" i="11" l="1"/>
  <c r="H76" i="11"/>
  <c r="L75" i="11"/>
  <c r="H77" i="11" l="1"/>
  <c r="L76" i="11"/>
  <c r="J80" i="11"/>
  <c r="J81" i="11" l="1"/>
  <c r="H78" i="11"/>
  <c r="L77" i="11"/>
  <c r="H79" i="11" l="1"/>
  <c r="L78" i="11"/>
  <c r="J82" i="11"/>
  <c r="J83" i="11" l="1"/>
  <c r="H80" i="11"/>
  <c r="L79" i="11"/>
  <c r="H81" i="11" l="1"/>
  <c r="L80" i="11"/>
  <c r="J84" i="11"/>
  <c r="J85" i="11" l="1"/>
  <c r="H82" i="11"/>
  <c r="L81" i="11"/>
  <c r="H83" i="11" l="1"/>
  <c r="L82" i="11"/>
  <c r="J86" i="11"/>
  <c r="J87" i="11" l="1"/>
  <c r="H84" i="11"/>
  <c r="L83" i="11"/>
  <c r="H85" i="11" l="1"/>
  <c r="L84" i="11"/>
  <c r="J88" i="11"/>
  <c r="J89" i="11" s="1"/>
  <c r="H86" i="11" l="1"/>
  <c r="L85" i="11"/>
  <c r="H87" i="11" l="1"/>
  <c r="L86" i="11"/>
  <c r="J90" i="11"/>
  <c r="J91" i="11" l="1"/>
  <c r="H88" i="11"/>
  <c r="L87" i="11"/>
  <c r="H89" i="11" l="1"/>
  <c r="L88" i="11"/>
  <c r="J92" i="11"/>
  <c r="J93" i="11" l="1"/>
  <c r="H90" i="11"/>
  <c r="L89" i="11"/>
  <c r="H91" i="11" l="1"/>
  <c r="L90" i="11"/>
  <c r="J94" i="11"/>
  <c r="J95" i="11" l="1"/>
  <c r="H92" i="11"/>
  <c r="L91" i="11"/>
  <c r="H93" i="11" l="1"/>
  <c r="L92" i="11"/>
  <c r="J96" i="11"/>
  <c r="J97" i="11" l="1"/>
  <c r="H94" i="11"/>
  <c r="L93" i="11"/>
  <c r="H95" i="11" l="1"/>
  <c r="L94" i="11"/>
  <c r="J98" i="11"/>
  <c r="J99" i="11" l="1"/>
  <c r="H96" i="11"/>
  <c r="L95" i="11"/>
  <c r="H97" i="11" l="1"/>
  <c r="L96" i="11"/>
  <c r="J100" i="11"/>
  <c r="J101" i="11" l="1"/>
  <c r="H98" i="11"/>
  <c r="L97" i="11"/>
  <c r="H99" i="11" l="1"/>
  <c r="L98" i="11"/>
  <c r="J102" i="11"/>
  <c r="J103" i="11" l="1"/>
  <c r="H100" i="11"/>
  <c r="L99" i="11"/>
  <c r="H101" i="11" l="1"/>
  <c r="L100" i="11"/>
  <c r="J104" i="11"/>
  <c r="J105" i="11" l="1"/>
  <c r="H102" i="11"/>
  <c r="L101" i="11"/>
  <c r="H103" i="11" l="1"/>
  <c r="L102" i="11"/>
  <c r="J106" i="11"/>
  <c r="J107" i="11" l="1"/>
  <c r="H104" i="11"/>
  <c r="L103" i="11"/>
  <c r="H105" i="11" l="1"/>
  <c r="L104" i="11"/>
  <c r="J108" i="11"/>
  <c r="J109" i="11" l="1"/>
  <c r="H106" i="11"/>
  <c r="L105" i="11"/>
  <c r="J110" i="11" l="1"/>
  <c r="H107" i="11"/>
  <c r="L106" i="11"/>
  <c r="H108" i="11" l="1"/>
  <c r="L107" i="11"/>
  <c r="J111" i="11"/>
  <c r="H109" i="11" l="1"/>
  <c r="L108" i="11"/>
  <c r="J112" i="11"/>
  <c r="J113" i="11" l="1"/>
  <c r="H110" i="11"/>
  <c r="L109" i="11"/>
  <c r="H111" i="11" l="1"/>
  <c r="L110" i="11"/>
  <c r="J114" i="11"/>
  <c r="J115" i="11" l="1"/>
  <c r="H112" i="11"/>
  <c r="L111" i="11"/>
  <c r="H113" i="11" l="1"/>
  <c r="L112" i="11"/>
  <c r="J116" i="11"/>
  <c r="J117" i="11" l="1"/>
  <c r="H114" i="11"/>
  <c r="L113" i="11"/>
  <c r="J118" i="11" l="1"/>
  <c r="H115" i="11"/>
  <c r="L114" i="11"/>
  <c r="H116" i="11" l="1"/>
  <c r="L115" i="11"/>
  <c r="J119" i="11"/>
  <c r="J120" i="11" l="1"/>
  <c r="H117" i="11"/>
  <c r="L116" i="11"/>
  <c r="J121" i="11" l="1"/>
  <c r="H118" i="11"/>
  <c r="L117" i="11"/>
  <c r="H119" i="11" l="1"/>
  <c r="L118" i="11"/>
  <c r="J122" i="11"/>
  <c r="H120" i="11" l="1"/>
  <c r="L119" i="11"/>
  <c r="H121" i="11" l="1"/>
  <c r="L120" i="11"/>
  <c r="H122" i="11" l="1"/>
  <c r="L122" i="11" s="1"/>
  <c r="L121" i="11"/>
  <c r="Y35" i="19"/>
  <c r="Y33" i="19"/>
  <c r="Y31" i="19"/>
  <c r="Y29" i="19"/>
  <c r="Y27" i="19"/>
  <c r="Y25" i="19"/>
  <c r="Y37" i="19"/>
  <c r="Y39" i="19"/>
  <c r="Y41" i="19"/>
  <c r="Y43" i="19"/>
  <c r="Y45" i="19"/>
  <c r="Y47" i="19"/>
  <c r="Y49" i="19"/>
  <c r="Y51" i="19"/>
  <c r="Y53" i="19"/>
  <c r="Y7" i="19"/>
  <c r="Y11" i="19"/>
  <c r="Y13" i="19"/>
  <c r="Y15" i="19"/>
  <c r="Y17" i="19"/>
  <c r="Y19" i="19"/>
  <c r="Y21" i="19"/>
  <c r="Y23" i="19"/>
  <c r="T13" i="19"/>
  <c r="T65" i="19"/>
  <c r="T77" i="19"/>
  <c r="T99" i="19"/>
  <c r="T23" i="19"/>
  <c r="T83" i="19"/>
  <c r="T47" i="19"/>
  <c r="T15" i="19"/>
  <c r="T27" i="19"/>
  <c r="T53" i="19"/>
  <c r="T91" i="19"/>
  <c r="T81" i="19"/>
  <c r="T9" i="19"/>
  <c r="T55" i="19"/>
  <c r="T29" i="19"/>
  <c r="T19" i="19"/>
  <c r="T61" i="19"/>
  <c r="T67" i="19"/>
  <c r="T25" i="19"/>
  <c r="T35" i="19"/>
  <c r="T95" i="19"/>
  <c r="T39" i="19"/>
  <c r="T63" i="19"/>
  <c r="T87" i="19"/>
  <c r="T33" i="19"/>
  <c r="T71" i="19"/>
  <c r="T89" i="19"/>
  <c r="T43" i="19"/>
  <c r="T45" i="19"/>
  <c r="T51" i="19"/>
  <c r="T59" i="19"/>
  <c r="T69" i="19"/>
  <c r="T21" i="19"/>
  <c r="T49" i="19"/>
  <c r="T11" i="19"/>
  <c r="T41" i="19"/>
  <c r="T107" i="19"/>
  <c r="T85" i="19"/>
  <c r="T103" i="19"/>
  <c r="T75" i="19"/>
  <c r="T97" i="19"/>
  <c r="T93" i="19"/>
  <c r="T31" i="19"/>
  <c r="T57" i="19"/>
  <c r="T37" i="19"/>
</calcChain>
</file>

<file path=xl/sharedStrings.xml><?xml version="1.0" encoding="utf-8"?>
<sst xmlns="http://schemas.openxmlformats.org/spreadsheetml/2006/main" count="4336" uniqueCount="918">
  <si>
    <t>รายการ</t>
  </si>
  <si>
    <t>หน่วย</t>
  </si>
  <si>
    <t>ปริมาณ</t>
  </si>
  <si>
    <t>ราคาต่อหน่วย</t>
  </si>
  <si>
    <t>จำนวนเงิน</t>
  </si>
  <si>
    <t>(บาท)</t>
  </si>
  <si>
    <t>เหมาจ่าย</t>
  </si>
  <si>
    <t>รวมค่างานก่อสร้างทั้งสิ้น</t>
  </si>
  <si>
    <t>มิ.ย.</t>
  </si>
  <si>
    <t>ก.ค.</t>
  </si>
  <si>
    <t>ส.ค.</t>
  </si>
  <si>
    <t>ก.ย.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</si>
  <si>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</si>
  <si>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</si>
  <si>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</si>
  <si>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</si>
  <si>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</si>
  <si>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</si>
  <si>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</si>
  <si>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</si>
  <si>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%</t>
  </si>
  <si>
    <t>เดือน</t>
  </si>
  <si>
    <t>แผนงานสะสม</t>
  </si>
  <si>
    <t>แผนงานต่อเดือน</t>
  </si>
  <si>
    <t>ลำดับ</t>
  </si>
  <si>
    <t>ที่</t>
  </si>
  <si>
    <t>ผลงานต่อเดือน</t>
  </si>
  <si>
    <t>ผลงานสะสม</t>
  </si>
  <si>
    <t>ผลงาน</t>
  </si>
  <si>
    <t>งานทาง</t>
  </si>
  <si>
    <t>แผน</t>
  </si>
  <si>
    <t>รวม</t>
  </si>
  <si>
    <t>หมวดที่</t>
  </si>
  <si>
    <t>งานเขื่อนป้องกันตลิ่ง</t>
  </si>
  <si>
    <t>งานเขื่อนป้องกันตลิ่ง แบบที่ 1</t>
  </si>
  <si>
    <t>งานคาน</t>
  </si>
  <si>
    <t>งานกำแพง w15+ บันได</t>
  </si>
  <si>
    <t>งานราวกันตก</t>
  </si>
  <si>
    <t>วัสดุปูพื้น</t>
  </si>
  <si>
    <t>งานวัสดุปูพื้น</t>
  </si>
  <si>
    <t>งานเขื่อนป้องกันตลิ่ง แบบที่ 2</t>
  </si>
  <si>
    <t>ปริมาณงานและราคา</t>
  </si>
  <si>
    <t>ช่องที่ 1</t>
  </si>
  <si>
    <t>ช่องที่ 2</t>
  </si>
  <si>
    <t>ช่องที่ 3</t>
  </si>
  <si>
    <t>ช่องที่ 4</t>
  </si>
  <si>
    <t>ช่องที่ 5</t>
  </si>
  <si>
    <t>ช่องที่ 6</t>
  </si>
  <si>
    <t>ช่องที่ 7</t>
  </si>
  <si>
    <t>หมายเหตุ</t>
  </si>
  <si>
    <t>ราคากลาง</t>
  </si>
  <si>
    <t>ลำดับที่</t>
  </si>
  <si>
    <t>(รวมนั่งร้านตอกเสาเข็ม)</t>
  </si>
  <si>
    <t>วัสดุผิวผนัง</t>
  </si>
  <si>
    <t>ตร.ม.</t>
  </si>
  <si>
    <t>ลบ.ม.</t>
  </si>
  <si>
    <t>งานระบายน้ำหลังเขื่อน</t>
  </si>
  <si>
    <t>ม.</t>
  </si>
  <si>
    <t>บ่อ</t>
  </si>
  <si>
    <t>งานอื่น ๆ (ถ้ามี)</t>
  </si>
  <si>
    <t>งานเขื่อนป้องกันตลิ่ง แบบที่ 4 (ช่วงที่ 1)</t>
  </si>
  <si>
    <t>ต้น</t>
  </si>
  <si>
    <t>แผ่น</t>
  </si>
  <si>
    <t>งานเขื่อนป้องกันตลิ่ง แบบที่ 4 (ช่วงที่ 2)</t>
  </si>
  <si>
    <t>งานเขื่อนป้องกันตลิ่ง แบบที่ 5</t>
  </si>
  <si>
    <t>งานเขื่อนป้องกันตลิ่ง แบบที่ 5 (มีผิวจราจรด้านหลังเขื่อน)</t>
  </si>
  <si>
    <t>งานเขื่อนป้องกันตลิ่ง แบบที่ 6 ช่วงที่ 1</t>
  </si>
  <si>
    <t>งานเขื่อนป้องกันตลิ่ง แบบที่ 6 ช่วงที่ 2</t>
  </si>
  <si>
    <t>รวม 1.10 งานเขื่อนป้องกันตลิ่ง แบบที่ 6 ช่วงที่ 2</t>
  </si>
  <si>
    <t>งานเขื่อนป้องกันตลิ่ง แบบที่ 6 ช่วงที่ 3</t>
  </si>
  <si>
    <t>งานเขื่อนป้องกันตลิ่ง แบบที่ 7</t>
  </si>
  <si>
    <t>งานปรับปรุงภูมิทัศน์</t>
  </si>
  <si>
    <t>งานปรับปรุงภูมิทัศน์บริเวณลานทางเข้าเทศบาลตำบลหัวรอ</t>
  </si>
  <si>
    <t>แห่ง</t>
  </si>
  <si>
    <t>งานปรับปรุงทางปั่นจักรยาน ริมเขื่อนป้องกันตลิ่งบริเวณ</t>
  </si>
  <si>
    <t>วัดโพธิญาณ - ชุมชนวัดน้อย ตำบลในเมือง</t>
  </si>
  <si>
    <t>รื้อถอนซ่อมคืน หินเรียง</t>
  </si>
  <si>
    <t>เจาะสำรวจชั้นดิน(boring Test)</t>
  </si>
  <si>
    <t>หลุม</t>
  </si>
  <si>
    <t>เสาเข็มเจาะ Dia 0.35x13.00 ม.(WET PROCESS)</t>
  </si>
  <si>
    <t>เสาเข็มเจาะ Dia 0.35x11.00 ม.(WET PROCESS)</t>
  </si>
  <si>
    <t xml:space="preserve"> - สกัดหัวเสาเข็ม</t>
  </si>
  <si>
    <t>ทดสอบความสมบูรณ์ Seismic Test</t>
  </si>
  <si>
    <t>ดินขุดพร้อมถมกลับ</t>
  </si>
  <si>
    <t>ทรายหยาบ</t>
  </si>
  <si>
    <t>คอนกรีตหยาบ</t>
  </si>
  <si>
    <t>คอนกรีตโครงสร้าง fc'  280 ksc.(ทรงกระบอก)</t>
  </si>
  <si>
    <t>แบบหล่อคอนกรีต</t>
  </si>
  <si>
    <t xml:space="preserve"> - ค่าแรงแบบหล่อคอนกรีต</t>
  </si>
  <si>
    <t xml:space="preserve"> - แบบหล่อคอนกรีต</t>
  </si>
  <si>
    <t>ลบ.ฟ.</t>
  </si>
  <si>
    <t xml:space="preserve"> - โครงเคร่าแบบหล่อคอนกรีต</t>
  </si>
  <si>
    <t xml:space="preserve"> - เสาค้ำยัน</t>
  </si>
  <si>
    <t xml:space="preserve"> - ตะปู</t>
  </si>
  <si>
    <t>กก.</t>
  </si>
  <si>
    <t>เหล็กเสริม</t>
  </si>
  <si>
    <t xml:space="preserve"> - เหล็ก SR 24 dia. 6 มม.</t>
  </si>
  <si>
    <t xml:space="preserve"> - เหล็ก SR 24 dia. 9 มม.</t>
  </si>
  <si>
    <t xml:space="preserve"> - เหล็ก SD 40 dia. 12 มม.</t>
  </si>
  <si>
    <t xml:space="preserve"> - เหล็ก SD 40 dia. 16 มม.</t>
  </si>
  <si>
    <t xml:space="preserve"> - เหล็ก SD 40 dia. 20 มม.</t>
  </si>
  <si>
    <t xml:space="preserve"> - ลวดผูกเหล็ก</t>
  </si>
  <si>
    <t>ราวกันตก</t>
  </si>
  <si>
    <t>รอยต่อพื้น</t>
  </si>
  <si>
    <t xml:space="preserve">เส้นจราจร สี Thermoplastic </t>
  </si>
  <si>
    <t>งานถนนสาย F ช่วงที่ 1</t>
  </si>
  <si>
    <t>งานระบายน้ำผิวจราจร</t>
  </si>
  <si>
    <t>งานถนนสาย F ช่วงที่ 2</t>
  </si>
  <si>
    <t>งานถนนสาย F ช่วงที่ 3</t>
  </si>
  <si>
    <t>งานถนนสาย G</t>
  </si>
  <si>
    <t>งานถนนสาย H</t>
  </si>
  <si>
    <t>งานถนนสาย D</t>
  </si>
  <si>
    <t>งานถนนสาย B</t>
  </si>
  <si>
    <t>งานถนนสาย E</t>
  </si>
  <si>
    <t>งานเครื่องจักรและอุปกรณ์และงานอื่น ๆ</t>
  </si>
  <si>
    <t>รวมเป็นเงินทั้งสิ้น</t>
  </si>
  <si>
    <t>บาท</t>
  </si>
  <si>
    <t>คงเหลือ</t>
  </si>
  <si>
    <t>งานเขื่อนป้องกันตลิ่ง แบบที่ 4 ช่วงที่ 1</t>
  </si>
  <si>
    <t>งานเขื่อนป้องกันตลิ่ง แบบที่ 4 ช่วงที่ 2</t>
  </si>
  <si>
    <t xml:space="preserve">งานเขื่อนป้องกันตลิ่ง แบบที่ 5 </t>
  </si>
  <si>
    <t>งานราวกันตก และ งานระบายน้ำหลังเขื่อน</t>
  </si>
  <si>
    <t>งานปรับปรุงทางปั่นจักรยาน ริมเขื่อนป้องกันตลิ่งบริเวณวัดโพธิญาณ - ชุมชนวัดน้อย ตำบลในเมือง</t>
  </si>
  <si>
    <t>งานถนนสาย J</t>
  </si>
  <si>
    <t>งานปรับปรุงยกระดับฝาท่อระบายน้ำ</t>
  </si>
  <si>
    <t>งานเครื่องจักรและอุปกรณ์และงานอื่นๆ</t>
  </si>
  <si>
    <t>งานเครื่องสูบน้ำ พร้อมอุปกรณ์</t>
  </si>
  <si>
    <t>ค่าใช้จ่ายพิเศษ งานก่อสร้าง</t>
  </si>
  <si>
    <t>พ.ศ. 2568</t>
  </si>
  <si>
    <t>พ.ศ. 2569</t>
  </si>
  <si>
    <t>ก.ค</t>
  </si>
  <si>
    <t>ส.ค</t>
  </si>
  <si>
    <t>ก.ย</t>
  </si>
  <si>
    <t>ต.ค</t>
  </si>
  <si>
    <t>พ.ย</t>
  </si>
  <si>
    <t>พ.ศ. 2567</t>
  </si>
  <si>
    <t>Sum%</t>
  </si>
  <si>
    <t>เวลา(เดือน)</t>
  </si>
  <si>
    <t>ผลรวมแผน %</t>
  </si>
  <si>
    <t>ผลรวมแผนสะสม %</t>
  </si>
  <si>
    <t>ผลรวมผลงาน %</t>
  </si>
  <si>
    <t>ผลงานสะสม %</t>
  </si>
  <si>
    <t xml:space="preserve">งานเขื่อนป้องกันตลิ่ง แบบที่ 5 ช่วง </t>
  </si>
  <si>
    <t>ปริมาณงาน</t>
  </si>
  <si>
    <t>รายงานความก้าวหน้า</t>
  </si>
  <si>
    <t>ระยะเวลาก่อสร้างผ่านไปแล้ว</t>
  </si>
  <si>
    <t>วัน</t>
  </si>
  <si>
    <t>ค่างานก่อสร้าง</t>
  </si>
  <si>
    <t>ค่างานตาม</t>
  </si>
  <si>
    <t>แผนงานสะสม (%)</t>
  </si>
  <si>
    <t>ผลงานสะสม (%)</t>
  </si>
  <si>
    <t>แผนงาน(%)</t>
  </si>
  <si>
    <t>วันที่</t>
  </si>
  <si>
    <t>เดือน เม.ย. 66</t>
  </si>
  <si>
    <t>สัญญา(%)</t>
  </si>
  <si>
    <t>เดือน ก่อนหน้า</t>
  </si>
  <si>
    <t> รวม</t>
  </si>
  <si>
    <t>2.</t>
  </si>
  <si>
    <t>สถานะความก้าวหน้างานก่อสร้าง</t>
  </si>
  <si>
    <t>สิ้นสุดสัญญา</t>
  </si>
  <si>
    <t>ระยะเวลา</t>
  </si>
  <si>
    <t>แผน-ผล งานก่อสร้าง</t>
  </si>
  <si>
    <t>ผล</t>
  </si>
  <si>
    <t>เริ่มสัญญา</t>
  </si>
  <si>
    <t>ผ่านมาแล้ว</t>
  </si>
  <si>
    <t>วันที่ ปัจจุบัน</t>
  </si>
  <si>
    <t>เหลือ</t>
  </si>
  <si>
    <t>งานก่อสร้างสะสม</t>
  </si>
  <si>
    <r>
      <t>เร็ว</t>
    </r>
    <r>
      <rPr>
        <b/>
        <sz val="16"/>
        <color rgb="FF000000"/>
        <rFont val="TH Sarabun New"/>
        <family val="2"/>
      </rPr>
      <t>/</t>
    </r>
    <r>
      <rPr>
        <b/>
        <sz val="16"/>
        <color rgb="FFFF0000"/>
        <rFont val="TH Sarabun New"/>
        <family val="2"/>
      </rPr>
      <t>ช้า (%)</t>
    </r>
  </si>
  <si>
    <r>
      <rPr>
        <b/>
        <sz val="16"/>
        <color rgb="FF00B050"/>
        <rFont val="TH Sarabun New"/>
        <family val="2"/>
      </rPr>
      <t>เร็ว</t>
    </r>
    <r>
      <rPr>
        <b/>
        <sz val="16"/>
        <rFont val="TH Sarabun New"/>
        <family val="2"/>
      </rPr>
      <t>/</t>
    </r>
    <r>
      <rPr>
        <b/>
        <sz val="16"/>
        <color rgb="FFFF0000"/>
        <rFont val="TH Sarabun New"/>
        <family val="2"/>
      </rPr>
      <t>ช้า</t>
    </r>
    <r>
      <rPr>
        <b/>
        <sz val="16"/>
        <rFont val="TH Sarabun New"/>
        <family val="2"/>
      </rPr>
      <t>(</t>
    </r>
    <r>
      <rPr>
        <b/>
        <sz val="16"/>
        <color rgb="FF00B050"/>
        <rFont val="TH Sarabun New"/>
        <family val="2"/>
      </rPr>
      <t>+</t>
    </r>
    <r>
      <rPr>
        <b/>
        <sz val="16"/>
        <rFont val="TH Sarabun New"/>
        <family val="2"/>
      </rPr>
      <t>/</t>
    </r>
    <r>
      <rPr>
        <b/>
        <sz val="16"/>
        <color rgb="FFFF0000"/>
        <rFont val="TH Sarabun New"/>
        <family val="2"/>
      </rPr>
      <t>-</t>
    </r>
    <r>
      <rPr>
        <b/>
        <sz val="16"/>
        <rFont val="TH Sarabun New"/>
        <family val="2"/>
      </rPr>
      <t>)</t>
    </r>
  </si>
  <si>
    <t>โครงการพัฒนาพื้นที่ชุมชนหัวรอและพื้นที่ต่อเนื่อง ตำบลหัวรอ อำเภอเมืองพิษณุโลก จังหวัดพิษณุโลก</t>
  </si>
  <si>
    <t>งาน</t>
  </si>
  <si>
    <t>ค่าเช่ารถ โมบายเครน ขนาด 25 ตัน</t>
  </si>
  <si>
    <t>งานทางลำเลียงชั่วคราว</t>
  </si>
  <si>
    <t>รวมราคาค่าใช้จ่ายพิเศษ</t>
  </si>
  <si>
    <t>ราคากลาง
ต่อหน่วย (บาท)</t>
  </si>
  <si>
    <t>-</t>
  </si>
  <si>
    <t>ประจำสัปดาห์ที่ 1</t>
  </si>
  <si>
    <t>ประจำเดือนสิงหาคม 2567</t>
  </si>
  <si>
    <t>สัปดาห์ที่</t>
  </si>
  <si>
    <t>ประจำเดือน กรกฎาคม</t>
  </si>
  <si>
    <r>
      <rPr>
        <b/>
        <sz val="16"/>
        <color rgb="FF00B050"/>
        <rFont val="TH SarabunPSK"/>
        <family val="2"/>
      </rPr>
      <t>เร็ว</t>
    </r>
    <r>
      <rPr>
        <b/>
        <sz val="16"/>
        <rFont val="TH SarabunPSK"/>
        <family val="2"/>
      </rPr>
      <t>/</t>
    </r>
    <r>
      <rPr>
        <b/>
        <sz val="16"/>
        <color rgb="FFFF0000"/>
        <rFont val="TH SarabunPSK"/>
        <family val="2"/>
      </rPr>
      <t>ช้า</t>
    </r>
    <r>
      <rPr>
        <b/>
        <sz val="16"/>
        <rFont val="TH SarabunPSK"/>
        <family val="2"/>
      </rPr>
      <t>(</t>
    </r>
    <r>
      <rPr>
        <b/>
        <sz val="16"/>
        <color rgb="FF00B050"/>
        <rFont val="TH SarabunPSK"/>
        <family val="2"/>
      </rPr>
      <t>+</t>
    </r>
    <r>
      <rPr>
        <b/>
        <sz val="16"/>
        <rFont val="TH SarabunPSK"/>
        <family val="2"/>
      </rPr>
      <t>/</t>
    </r>
    <r>
      <rPr>
        <b/>
        <sz val="16"/>
        <color rgb="FFFF0000"/>
        <rFont val="TH SarabunPSK"/>
        <family val="2"/>
      </rPr>
      <t>-</t>
    </r>
    <r>
      <rPr>
        <b/>
        <sz val="16"/>
        <rFont val="TH SarabunPSK"/>
        <family val="2"/>
      </rPr>
      <t>)</t>
    </r>
  </si>
  <si>
    <t>แผนงาน %</t>
  </si>
  <si>
    <t>จำนวนวัน</t>
  </si>
  <si>
    <t>ผลงาน%</t>
  </si>
  <si>
    <t>ช้าเร็วกว่าแผน%</t>
  </si>
  <si>
    <t>จากวันที่</t>
  </si>
  <si>
    <t>ถึงวันที่</t>
  </si>
  <si>
    <t>ระยะเวลาดำเนินการ %</t>
  </si>
  <si>
    <t>บันทึกข้อความ</t>
  </si>
  <si>
    <t>เริ่ม</t>
  </si>
  <si>
    <t>แผนงานสะสม %</t>
  </si>
  <si>
    <t>ช้าเร็วกว่าแผน% สะสม</t>
  </si>
  <si>
    <t>จำนวนวันสะสม</t>
  </si>
  <si>
    <t>งานเจาะสำรวจดิน</t>
  </si>
  <si>
    <t>ดินขุดด้วยเครื่องจักร</t>
  </si>
  <si>
    <t>PileIntegrity Test (Seismic Test)</t>
  </si>
  <si>
    <t>แผ่นใยสังเคราะห์</t>
  </si>
  <si>
    <t>คาน B1</t>
  </si>
  <si>
    <t>คาน B2</t>
  </si>
  <si>
    <t>คาน B3</t>
  </si>
  <si>
    <t>คาน B4</t>
  </si>
  <si>
    <t>คาน B5</t>
  </si>
  <si>
    <t>คาน B10</t>
  </si>
  <si>
    <t>คาน B11</t>
  </si>
  <si>
    <t>คาน B12</t>
  </si>
  <si>
    <t>กำแพง W15</t>
  </si>
  <si>
    <t>บันไดบริเวณเขื่อน แบบที่ 1</t>
  </si>
  <si>
    <t>คอนกรีตทับหน้า หนา 0.05 ม.เสริมเหล็กตะแกรง Wire Mesh</t>
  </si>
  <si>
    <t>Dia 4 มม. @0.15x0.15 ม.#</t>
  </si>
  <si>
    <t>พื้น S1 เขื่อนแบบที่ 1</t>
  </si>
  <si>
    <t>ราวกันตก 1</t>
  </si>
  <si>
    <t>ราวกันตก 2</t>
  </si>
  <si>
    <t>ราวกันตก 3</t>
  </si>
  <si>
    <t>จุด</t>
  </si>
  <si>
    <t>ทรายถมอัดแน่น</t>
  </si>
  <si>
    <t>ดินเดิมถมกลับบดอัดแน่น</t>
  </si>
  <si>
    <t>งานหินเรียง</t>
  </si>
  <si>
    <t>พื้น S1 เขื่อนแบบที่ 2,3</t>
  </si>
  <si>
    <t>งานสะพานทางเดินชมวิว ยาว 22.00 ม.</t>
  </si>
  <si>
    <t xml:space="preserve"> - เสาเข็ม 0.40 x0.40x18.00 ม. สะพานทางเดิน</t>
  </si>
  <si>
    <t xml:space="preserve"> - คาน B1 สะพานทางเดิน</t>
  </si>
  <si>
    <t xml:space="preserve"> - พื้น S1 สะพานทางเดิน</t>
  </si>
  <si>
    <t xml:space="preserve"> - ราวกันตกสะพานชมวิว แบบที่ 2</t>
  </si>
  <si>
    <t>ดินถมอัดแน่น</t>
  </si>
  <si>
    <t>ลาน คสล. หนา 0.15 ม.เสริมเหล็กตะแกรง Wire Mesh</t>
  </si>
  <si>
    <t>Dia 4 มม. @0.20x0.20 ม.#</t>
  </si>
  <si>
    <t>พื้น 1 ผิวโพลีไวนิล คละสี</t>
  </si>
  <si>
    <t>ท่อลอด คสล. 2- Dia 1.50 ม. ยาว 8.00 ม. พร้อมปากผาย คสล.</t>
  </si>
  <si>
    <t>ท่อระบายน้ำ HDPE Dia 1,500 มม.(ชั้นคุณภาพ SN4-6)</t>
  </si>
  <si>
    <t>บ่อพักท่อระบายน้ำ HDPE Dia 1,500 มม.ลึกเฉลี่ย 3.40 ม.</t>
  </si>
  <si>
    <t>ฝาบ่อพักเหล็กหล่อ/ไฟเบอร์เรซิ่น</t>
  </si>
  <si>
    <t>แผ่นพื้นสำเร็จรูป SP (LL= 500 kg/m2 )</t>
  </si>
  <si>
    <t>ท่อคอนกรีตเสริมเหล็ก ขนาด ศก. 0.60 ม.</t>
  </si>
  <si>
    <t>งานท่อ HDPE ขนาด Ø 315 มม. (ชั้นคุณภาพPE100 PN4)</t>
  </si>
  <si>
    <t>เชื่อมบ่อพักหรือรางระบายน้ำเดิม</t>
  </si>
  <si>
    <t>ท่อระบายน้ำ HDPE Dia 2,000 มม.(ชั้นคุณภาพ SN4-6)</t>
  </si>
  <si>
    <t>ทางเท้าแบบที่ 5 บล็อคปลูกหญ้า</t>
  </si>
  <si>
    <t>งานรูระบายน้ำผนังรางระบายน้ำ (Side Drain)</t>
  </si>
  <si>
    <t>งานคอนกรีตดาด หนา 15 ซม. (เสริมเหล็กตะแกรง)</t>
  </si>
  <si>
    <t>บันไดทางลงคลอง</t>
  </si>
  <si>
    <t>ชุด</t>
  </si>
  <si>
    <t>พร้อมอุปกรณ์</t>
  </si>
  <si>
    <t>ทรายรองใต้ผิวคอนกรีต หนา 0.10 ม.</t>
  </si>
  <si>
    <t>บ่อสูบน้ำแบบที่ 2 (ไม่รวมเครื่องสูบน้ำ)</t>
  </si>
  <si>
    <t>รื้อผิวลาดยางเดิมและบดทับ</t>
  </si>
  <si>
    <t xml:space="preserve">จัดการจราจรแบบป้องกัน 1 ฝั่ง </t>
  </si>
  <si>
    <t>งานรองพื้นทางลูกรังบดอัดแน่น หนา 0.20 ม.</t>
  </si>
  <si>
    <t>งานพื้นทางหินคลุกบดอัดแน่น หนา 0.20 ม.</t>
  </si>
  <si>
    <t>งานลาดแอสฟัลต์ไพรม์โค้ต</t>
  </si>
  <si>
    <t xml:space="preserve">งานชั้นผิวทางแอสฟัลต์คอนกรีตหนา 5 ซม. </t>
  </si>
  <si>
    <t>ปรับประดับด้วยแอสฟัลคอนกรีต หนา 5ซม.</t>
  </si>
  <si>
    <t>กำแพงกันดินแบบที่ 1 (H=1.50 ม.)</t>
  </si>
  <si>
    <t>ขอบคันหินรางตื้น คสล.</t>
  </si>
  <si>
    <t>ขอบคันสำเร็จรูปหลังทางเท้า 0.15x0.30 ม.</t>
  </si>
  <si>
    <t>พื้น คสล. หนา 0.10 ม.เสริมเหล็กตะแกรงไวเมตท์</t>
  </si>
  <si>
    <t>ทางเท้า แบบที่ 6 กระเบื้องปูพื้นคอนกรีต 0.40x0.40x0.035 ม.</t>
  </si>
  <si>
    <t>ตีเส้นจราจร</t>
  </si>
  <si>
    <t>พื้นทางลาดเซาะร่องลายก้างปลา</t>
  </si>
  <si>
    <t>รื้อผิวคอนกรีตเดิม</t>
  </si>
  <si>
    <t>ไหล่ทางหินคลุก</t>
  </si>
  <si>
    <t>กำแพงกันดิน แบบที่ 2 (H = 2.00 ม.)</t>
  </si>
  <si>
    <t>พร้อมราวกันตกแบบที่ 2</t>
  </si>
  <si>
    <t>ขอบคันหินสำเร็จรูปหักมุมทางลาด</t>
  </si>
  <si>
    <t>รายงานผลการก่อสร้าง</t>
  </si>
  <si>
    <t xml:space="preserve">สรุปการใช้จ่าย </t>
  </si>
  <si>
    <t>ตามปีงบประมาณ</t>
  </si>
  <si>
    <t>เงินงบประมาณ</t>
  </si>
  <si>
    <t>เบิกจ่ายแล้ว</t>
  </si>
  <si>
    <t>เงิน (บาท)</t>
  </si>
  <si>
    <t>พ.ศ. 2566</t>
  </si>
  <si>
    <t>เวลาก่อสร้าง 870 วัน</t>
  </si>
  <si>
    <t>เวลาคงเหลือก่อสร้าง</t>
  </si>
  <si>
    <t>ผลงานเดือนสิงหาคมวันที่ 31</t>
  </si>
  <si>
    <t>เนื่องจากรายงานประจำเดือนมีการ</t>
  </si>
  <si>
    <t>จะไม่ตรงกับสัปดาห์ของสิงหา</t>
  </si>
  <si>
    <t>ปรับให้เริ่มวันที่ 1-7,8-15,16-23,24-31 ตลอด</t>
  </si>
  <si>
    <t>ผลงานสัปดาห์ที่ 10 24-31 สิงหาคม ผลงานที่ 0.155</t>
  </si>
  <si>
    <t>แก้ไขจำนวนวันสะสม +1 วัน ลงวันที่ 16/09/2567</t>
  </si>
  <si>
    <t>ตารางคำนวณ แผน - ผลงาน เพื่อประชุม weekly</t>
  </si>
  <si>
    <t>%แผนงานสะสม</t>
  </si>
  <si>
    <t>ผลงานสะสม%</t>
  </si>
  <si>
    <t>ระยะเวลาดำเนินการควบคุมงาน %</t>
  </si>
  <si>
    <t>ระยะเวลาดำเนินการควบคุมงาน</t>
  </si>
  <si>
    <t>ระยะเวลาดำเนินการ 
ควบคุมงาน</t>
  </si>
  <si>
    <t>ระยะเวลาดำเนินการ 
ควบคุมงาน (%)</t>
  </si>
  <si>
    <t>เวลาคงเหลือ %</t>
  </si>
  <si>
    <t>เร็วช้ากว่าแผนสะสม</t>
  </si>
  <si>
    <t>ช้าเร็วกว่าแผนงาน</t>
  </si>
  <si>
    <t>ระยะเวลาก่อสร้างคงเหลือ</t>
  </si>
  <si>
    <t>เวลาคงเหลือควบคุมฯ</t>
  </si>
  <si>
    <t>เวลาคงเหลือควบคุมฯ%</t>
  </si>
  <si>
    <t>โอนออก</t>
  </si>
  <si>
    <t>ตกพับ</t>
  </si>
  <si>
    <t>ผู้รับจ้างเริ่มเข้างาน  18 กรกฎาคม 2567</t>
  </si>
  <si>
    <t>ระยะเวลาปัจจุบัน</t>
  </si>
  <si>
    <t>ระยะเวลาเหลือ</t>
  </si>
  <si>
    <t>ระยะเวลาคงเหลือ</t>
  </si>
  <si>
    <t>ระยะเวลาคงเหลือ %</t>
  </si>
  <si>
    <t>พ.ศ. 2570</t>
  </si>
  <si>
    <t>ตารางเปรียบเทียบราคาค่าก่อสร้าง (แก้ไขสัญญาครั้งที่ 1)</t>
  </si>
  <si>
    <t>ปริมาณ
แก้ไข
สัญญา
ครั้งที่ 1</t>
  </si>
  <si>
    <t>ค่างานต้นทุน
ต่อหน่วย 
(บาท)</t>
  </si>
  <si>
    <t>ค่างานต้นทุน
รวม 
(บาท)</t>
  </si>
  <si>
    <t>ค่า 
Factor 
F</t>
  </si>
  <si>
    <t>ราคากลางรวมแก้ไข
สัญญาครั้งที่ 1 
(บาท)</t>
  </si>
  <si>
    <t>ช่วง กม. 0+000.00 ถึง กม. 0+166.00</t>
  </si>
  <si>
    <t>ความยาวรวม 166.00 เมตร</t>
  </si>
  <si>
    <t>เสาเข็ม A ขนาด 0.30x0.30x18.00 ม. (แบบที่ 1)</t>
  </si>
  <si>
    <t>เสาเข็ม C ขนาด 0.30x0.30x17.00 ม.</t>
  </si>
  <si>
    <t>งานจัดหาและติดตั้ง MATTRESS ขนาด 2.00x6.00x0.30 ม.</t>
  </si>
  <si>
    <t>บัรไดST1</t>
  </si>
  <si>
    <t>แผ่นพื้นสำเร็จรูป SP (LL=400 kg/m2)</t>
  </si>
  <si>
    <t>- พื้นที่ 1 ผิวโพลีไวนิล คละสี</t>
  </si>
  <si>
    <t>- พื้นที่ 2 กระเบื้องแกรนิตเนื้อเดียวผิวหยาบ</t>
  </si>
  <si>
    <t>ทางเท้า แบบที่ 2 กระเบื้อปูพื้นคอนกรีต 0.50x0.50x0.06 ม.</t>
  </si>
  <si>
    <t>- ผนัง 1 ผิวกรุกระเบื้องดินเผา</t>
  </si>
  <si>
    <t>- ผนัง 2 ผิวกรุกระเบื้องแกรนิตเนื้อเดียวผิวหยาบ</t>
  </si>
  <si>
    <t>- รางวี คสล.</t>
  </si>
  <si>
    <t>- บ่อพัก คสล.พร้อมท่อระบายน้ำ พีวีซี Dia 8 นิ้ว</t>
  </si>
  <si>
    <t>เสาเข็ม A ขนาด 0.30x0.30x12.00 ม.(แบบที่ 1) เข็มแก้ไขสัญญาครั้งที่ 1</t>
  </si>
  <si>
    <t>เสาเข็ม C ขนาด 0.30x0.30x12.00 ม. เข็มแก้ไขสัญญาครั้งที่ 1</t>
  </si>
  <si>
    <t>1,510.00</t>
  </si>
  <si>
    <t>3</t>
  </si>
  <si>
    <t>1,344.00</t>
  </si>
  <si>
    <t>298</t>
  </si>
  <si>
    <t>166.00</t>
  </si>
  <si>
    <t>207.00</t>
  </si>
  <si>
    <t>18.30</t>
  </si>
  <si>
    <t>18.00</t>
  </si>
  <si>
    <t>30.00</t>
  </si>
  <si>
    <t>50.00</t>
  </si>
  <si>
    <t>9.00</t>
  </si>
  <si>
    <t>5</t>
  </si>
  <si>
    <t>976.00</t>
  </si>
  <si>
    <t>19.00</t>
  </si>
  <si>
    <t>160.00</t>
  </si>
  <si>
    <t>126.00</t>
  </si>
  <si>
    <t>51.00</t>
  </si>
  <si>
    <t>149.00</t>
  </si>
  <si>
    <t>132.00</t>
  </si>
  <si>
    <t>215.00</t>
  </si>
  <si>
    <t>159.00</t>
  </si>
  <si>
    <t>8</t>
  </si>
  <si>
    <t>338</t>
  </si>
  <si>
    <t>15</t>
  </si>
  <si>
    <t>15,000.00</t>
  </si>
  <si>
    <t>15,758.00</t>
  </si>
  <si>
    <t>13,729.00</t>
  </si>
  <si>
    <t>700.00</t>
  </si>
  <si>
    <t>90.20</t>
  </si>
  <si>
    <t>1,484.00</t>
  </si>
  <si>
    <t>2,923.00</t>
  </si>
  <si>
    <t>4,576.00</t>
  </si>
  <si>
    <t>1,096.00</t>
  </si>
  <si>
    <t>801.00</t>
  </si>
  <si>
    <t>856.00</t>
  </si>
  <si>
    <t>812.00</t>
  </si>
  <si>
    <t>2,270.00</t>
  </si>
  <si>
    <t>1,910.00</t>
  </si>
  <si>
    <t>44,216</t>
  </si>
  <si>
    <t>4,891.00</t>
  </si>
  <si>
    <t>375.00</t>
  </si>
  <si>
    <t>1,087.00</t>
  </si>
  <si>
    <t>2,615.00</t>
  </si>
  <si>
    <t>2,675.00</t>
  </si>
  <si>
    <t>1,200.00</t>
  </si>
  <si>
    <t>2,049.00</t>
  </si>
  <si>
    <t>1,026.00</t>
  </si>
  <si>
    <t>846.00</t>
  </si>
  <si>
    <t>2,170.00</t>
  </si>
  <si>
    <t>285.39</t>
  </si>
  <si>
    <t>703.00</t>
  </si>
  <si>
    <t>3,890.00</t>
  </si>
  <si>
    <t>10,431.00</t>
  </si>
  <si>
    <t>รวม 1.1 งานเขื่อนป้องกันตลิ่ง แบบที่ 1</t>
  </si>
  <si>
    <t>1,942.05</t>
  </si>
  <si>
    <t>182.00</t>
  </si>
  <si>
    <t>33.15</t>
  </si>
  <si>
    <t>เสาเข็ม A รูปตัวไอ ขนาด 0.40x0.40x12.00 ม.</t>
  </si>
  <si>
    <t>133</t>
  </si>
  <si>
    <t>เสาเข็ม B สี่เหลี่ยมตัน ขนาด 0.40x0.40x12.00 ม.</t>
  </si>
  <si>
    <t>34</t>
  </si>
  <si>
    <t>พื้น S1 สะพานทางเดิน</t>
  </si>
  <si>
    <t>ราวกันตกสะพานชมวิว แบบที่ 2</t>
  </si>
  <si>
    <t>งานดินเดิมถมกลับ</t>
  </si>
  <si>
    <t>763.00</t>
  </si>
  <si>
    <t>หินทิ้ง</t>
  </si>
  <si>
    <t>680.00</t>
  </si>
  <si>
    <t>1</t>
  </si>
  <si>
    <t>700</t>
  </si>
  <si>
    <t>20,964.00</t>
  </si>
  <si>
    <t>15,055.00</t>
  </si>
  <si>
    <t>1,476.00</t>
  </si>
  <si>
    <t>25.22</t>
  </si>
  <si>
    <t>746.00</t>
  </si>
  <si>
    <t>คาน ค.ส.ล.. B1</t>
  </si>
  <si>
    <t>- รางวี ค.ส.ล.</t>
  </si>
  <si>
    <t>- บ่อพัก ค.ส.ล. พร้อมท่อระบายน้ำ พีวีซี Dia 9 นิ้ว</t>
  </si>
  <si>
    <t>แผ่นกันดินสำเร็จรูป</t>
  </si>
  <si>
    <t>359</t>
  </si>
  <si>
    <t>156</t>
  </si>
  <si>
    <t>264</t>
  </si>
  <si>
    <t>รวม 1.2 งานเขื่อนป้องกันตลิ่ง แบบที่ 2</t>
  </si>
  <si>
    <t>2,777.00</t>
  </si>
  <si>
    <t>1,234.00</t>
  </si>
  <si>
    <t>ราคากลางรวม
แก้ไขใส่สูตรเอง</t>
  </si>
  <si>
    <t>ช่วง กม. 0+000.00 ถึง กม. 0+163.00</t>
  </si>
  <si>
    <t>ความยาวรวม 163.00 เมตร</t>
  </si>
  <si>
    <t>2,216.00</t>
  </si>
  <si>
    <t>2</t>
  </si>
  <si>
    <t>1,320.00</t>
  </si>
  <si>
    <t>293.00</t>
  </si>
  <si>
    <t>163.00</t>
  </si>
  <si>
    <t>บันได ST1</t>
  </si>
  <si>
    <t>แผ่นพื้นสำเร็จรูป SP (LL=400kg/m2)</t>
  </si>
  <si>
    <t>คอนกรีตทับหน้า หนา 0.05 ม. เสริมเหล็กตะแกรง Wire Mesh</t>
  </si>
  <si>
    <t>Dia 4 มม. @0.15x015 ม.#</t>
  </si>
  <si>
    <t>201.00</t>
  </si>
  <si>
    <t>12.20</t>
  </si>
  <si>
    <t>12.00</t>
  </si>
  <si>
    <t>20.00</t>
  </si>
  <si>
    <t>6.00</t>
  </si>
  <si>
    <t>970</t>
  </si>
  <si>
    <t>13.00</t>
  </si>
  <si>
    <t>157.00</t>
  </si>
  <si>
    <t>123.00</t>
  </si>
  <si>
    <t>- พื้น 1 ผิวโพลีไวนิล คละสี</t>
  </si>
  <si>
    <t>- พื้น 2 กระเบื้องแกรนิตเนื้อเดียวผิวหยาบ</t>
  </si>
  <si>
    <t>- พื้น 3 ทางเท้า ค.ส.ล. หนา 0.15 ม. หลังเขื่อน</t>
  </si>
  <si>
    <t>- บ่อพัก ค.ส.ล. พร้อมท่อระบายน้ำ พีวีซี Dia 8 นิ้ว</t>
  </si>
  <si>
    <t>งานอื่น ๆ(ถ้ามี)</t>
  </si>
  <si>
    <t>180</t>
  </si>
  <si>
    <t>146</t>
  </si>
  <si>
    <t>211.00</t>
  </si>
  <si>
    <t>156.00</t>
  </si>
  <si>
    <t>268</t>
  </si>
  <si>
    <t>รวม 1.3 งานเขื่อนป้องกันตลิ่ง แบบที่ 1</t>
  </si>
  <si>
    <t>ช่วง กม.0+000.00 ถึง กม. 0+063.00</t>
  </si>
  <si>
    <t>ความยาวรวม 63.00 เมตร</t>
  </si>
  <si>
    <t>แผ่นกันดิน ค.ส.ล. ขนาด 0.67x1.00x0.12 ม.</t>
  </si>
  <si>
    <t>6</t>
  </si>
  <si>
    <t>7</t>
  </si>
  <si>
    <t>1,260.00</t>
  </si>
  <si>
    <t>195</t>
  </si>
  <si>
    <t>321.00</t>
  </si>
  <si>
    <t>304.0</t>
  </si>
  <si>
    <t>447.00</t>
  </si>
  <si>
    <t>คาน GB1 ขนาด 1.10x0.70 ม.</t>
  </si>
  <si>
    <t>63.00</t>
  </si>
  <si>
    <t>คาน GB2 ขนาด 0.70x0.70 ม.</t>
  </si>
  <si>
    <t>1.75</t>
  </si>
  <si>
    <t>64.75</t>
  </si>
  <si>
    <t>60</t>
  </si>
  <si>
    <t>60.00</t>
  </si>
  <si>
    <t>เสาเข็ม A ขนาด 0.50x0.30x12.00 ม. แก้ไขสัญญาครั้งที่ 1</t>
  </si>
  <si>
    <t>67</t>
  </si>
  <si>
    <t>เสาเข็ม B ขนาด 0.30x0.30x12.00 ม.</t>
  </si>
  <si>
    <t>63</t>
  </si>
  <si>
    <t>รวม 1.4 งานเขื่อนป้องกันตลิ่ง แบบที่ 4 (ช่วงที่ 1)</t>
  </si>
  <si>
    <t xml:space="preserve">63.00 </t>
  </si>
  <si>
    <t>ช่วง กม. 0+000.00 ถึง กม. 0+070.00</t>
  </si>
  <si>
    <t>ความยาว 70.00 เมตร</t>
  </si>
  <si>
    <t>784.00</t>
  </si>
  <si>
    <t>222</t>
  </si>
  <si>
    <t>ปิดหัว-ท้าย</t>
  </si>
  <si>
    <t>497.00</t>
  </si>
  <si>
    <t>338.00</t>
  </si>
  <si>
    <t>357.00</t>
  </si>
  <si>
    <t>เสาเข็ม B ขนาด 0.30x0.30x12.00 ม. (เขื่อนรูปแบบที่ 4)แก้ไขสัญญาครั้งที่ 1</t>
  </si>
  <si>
    <t>70</t>
  </si>
  <si>
    <t>77</t>
  </si>
  <si>
    <t>73.50</t>
  </si>
  <si>
    <t>3.50</t>
  </si>
  <si>
    <t>70.00</t>
  </si>
  <si>
    <t>รวม 1.5 งานเขื่อนป้องกันตลิ่ง แบบที่ 4 (ช่วงที่ 2)</t>
  </si>
  <si>
    <t>1.6</t>
  </si>
  <si>
    <t>ช่วง กม. 0+000.00 ถึง กม.0+070.00</t>
  </si>
  <si>
    <t>ความยาวรวม 70.00 เมตร</t>
  </si>
  <si>
    <t>364.00</t>
  </si>
  <si>
    <t>210.00</t>
  </si>
  <si>
    <t>คาน GB1 ขนาด 1.10x.0.70 ม.</t>
  </si>
  <si>
    <t>คาน GB2 ขนาด 0.70x.0.70 ม.</t>
  </si>
  <si>
    <t>รางระบายน้ำหลังเขื่อน</t>
  </si>
  <si>
    <t>เสาเข็ม A ขนาด 0.50x0.30x14.00 ม. แก้ไขสัญญาครั้งที่ 1</t>
  </si>
  <si>
    <t>เสาเข็ม B ขนาด 0.30x0.30x14.00 ม.(เขื่อนแบบที่ 4) แก้ไขสัญญาครั้งที่ 1</t>
  </si>
  <si>
    <t>67.00</t>
  </si>
  <si>
    <t>รวม 1.6 งานเขื่อนป้องกันตลิ่ง แบบที่ 5</t>
  </si>
  <si>
    <t>ช่วง กม. 0+000.00 ถึงกม. 0+325.00</t>
  </si>
  <si>
    <t>ความยาวรวม 325.00 เมตร</t>
  </si>
  <si>
    <t>1,690.00</t>
  </si>
  <si>
    <t>987</t>
  </si>
  <si>
    <t>975.00</t>
  </si>
  <si>
    <t>1,569.00</t>
  </si>
  <si>
    <t>806.00</t>
  </si>
  <si>
    <t>เสาเข็ม B ขนาด 0.30x0.30x14.00 ม. (เขื่อนรูปแบบที่ 4)แก้ไขสัญญาครั้งที่ 1</t>
  </si>
  <si>
    <t>325</t>
  </si>
  <si>
    <t>332</t>
  </si>
  <si>
    <t>3,965.00</t>
  </si>
  <si>
    <t>325.00</t>
  </si>
  <si>
    <t>328.50</t>
  </si>
  <si>
    <t>312.00</t>
  </si>
  <si>
    <t>16</t>
  </si>
  <si>
    <t>รวม 1.7 งานเขื่อนป้องกันตลิ่ง แบบที่ 5 (มีผิวจราจรด้านหลังเขื่อน)</t>
  </si>
  <si>
    <t>งานเขื่อนป้องกันตลิ่งแบบที่ 5</t>
  </si>
  <si>
    <t>ช่วง กม. 0+000.00 ถึงกม. 0+367.00</t>
  </si>
  <si>
    <t>ความยาว 367.00 เมตร</t>
  </si>
  <si>
    <t>1,113</t>
  </si>
  <si>
    <t>1,101.00</t>
  </si>
  <si>
    <t>1,772.00</t>
  </si>
  <si>
    <t>910.00</t>
  </si>
  <si>
    <t>1,552.00</t>
  </si>
  <si>
    <t>367.00</t>
  </si>
  <si>
    <t>งานราวกันตก 2</t>
  </si>
  <si>
    <t>352.00</t>
  </si>
  <si>
    <t>18</t>
  </si>
  <si>
    <t>บ่อรับน้ำ ค.ส.ล. พร้อมประตูระบายน้ำ 1.00x1.00 ม.</t>
  </si>
  <si>
    <t>เสาเข็ม B ขนาด 0.30x0.30x14.00 ม.(เขื่อนรูปแบบที่ 4)แก้ไขสัญญาครั้งที่ 1</t>
  </si>
  <si>
    <t>374</t>
  </si>
  <si>
    <t>367</t>
  </si>
  <si>
    <t>รวม 1.8 งานเขื่อนป้องกันตลิ่ง แบบที่ 5</t>
  </si>
  <si>
    <t>1,908.00</t>
  </si>
  <si>
    <t>ช่วง กม. 0+000.00 ถึงกม. 0+005.50</t>
  </si>
  <si>
    <t>ความยาว 5.50 เมตร</t>
  </si>
  <si>
    <t>แผ่นกันดิน ค.ส.ล.</t>
  </si>
  <si>
    <t>แผนกันดิน ค.ส.ล. (หล่อในที่) พร้อมยางบวมน้ำ</t>
  </si>
  <si>
    <t>คาน ค.ส.ล. B1 เขื่อนแบบที่ 2</t>
  </si>
  <si>
    <t>กำแพง ค.ส.ล. เขื่อนแบบที่ 6 สูง 1.20 ม.</t>
  </si>
  <si>
    <t>5.50</t>
  </si>
  <si>
    <t>4</t>
  </si>
  <si>
    <t>44.00</t>
  </si>
  <si>
    <t>15.00</t>
  </si>
  <si>
    <t>5.00</t>
  </si>
  <si>
    <t>รวม 1.9 งานเขื่อนป้องกันตลิ่ง แบบที่ 6 ช่วงที่ 1</t>
  </si>
  <si>
    <t>1.10</t>
  </si>
  <si>
    <t>ช่วง กม. 0+000.00 ถึงกม. 0+027.00</t>
  </si>
  <si>
    <t>ความยาว 27.00 เมตร</t>
  </si>
  <si>
    <t>297.00</t>
  </si>
  <si>
    <t>84</t>
  </si>
  <si>
    <t>แผ่นกันดิน ค.ส.ล. (หล่อในที่) พร้อมยางบวมน้ำ</t>
  </si>
  <si>
    <t>21</t>
  </si>
  <si>
    <t>216.00</t>
  </si>
  <si>
    <t>66.00</t>
  </si>
  <si>
    <t>พื้นที่ S1 เขื่อนแบบที่ 2,3</t>
  </si>
  <si>
    <t>27.00</t>
  </si>
  <si>
    <t>กำแพง ค.ส.ล. เขื่อนแบบที่ 6 สูง 1.55 ม.</t>
  </si>
  <si>
    <t>41.00</t>
  </si>
  <si>
    <t>148.00</t>
  </si>
  <si>
    <t>26.00</t>
  </si>
  <si>
    <t>22</t>
  </si>
  <si>
    <t>เสาเข็ม B สีเหลี่ยมตัน ขนาด 0.40x0.40x12.00 ม.</t>
  </si>
  <si>
    <t>ช่วง กม. 0+000.00 ถึง กม. 0+005.00</t>
  </si>
  <si>
    <t>ความยาวรวม 5.00 เมตร</t>
  </si>
  <si>
    <t>55.00</t>
  </si>
  <si>
    <t>40.00</t>
  </si>
  <si>
    <t>14.00</t>
  </si>
  <si>
    <t>รวม 1.11 งานเขื่อนป้องกันตลิ่ง แบบที่ 6 ช่วงที่ 3</t>
  </si>
  <si>
    <t>ช่วง กม. 0+000.00 ถึง กม. 0+031.00</t>
  </si>
  <si>
    <t>ความยาวรวม 31.00 เมตร</t>
  </si>
  <si>
    <t>31.00</t>
  </si>
  <si>
    <t>220.00</t>
  </si>
  <si>
    <t>341.00</t>
  </si>
  <si>
    <t>105</t>
  </si>
  <si>
    <t>34.50</t>
  </si>
  <si>
    <t>- บ่อพัก ค.ส.ล.พร้อมท่อระบายน้ำ พีวีซี Dia 8 นิ้ว</t>
  </si>
  <si>
    <t>เสาเข็ม B ขนาด 0.30x0.30x12.00 ม. (เขื่อนรูปแบบที่ 4) แก้ไขสัญญาครั้งที่ 1</t>
  </si>
  <si>
    <t>31</t>
  </si>
  <si>
    <t>38</t>
  </si>
  <si>
    <t>รวม 1.12 งานเขื่อนป้องกันตลิ่ง แบบที่ 7</t>
  </si>
  <si>
    <t>รวม 1 งานเขื่อนป้องกันตลิ่ง</t>
  </si>
  <si>
    <t>1,292.50</t>
  </si>
  <si>
    <t>2.1</t>
  </si>
  <si>
    <t>10</t>
  </si>
  <si>
    <t>สลับลำดับจาก (11)</t>
  </si>
  <si>
    <t>48.00</t>
  </si>
  <si>
    <t>1,242.00</t>
  </si>
  <si>
    <t>105.00</t>
  </si>
  <si>
    <t>1,050.00</t>
  </si>
  <si>
    <t>64.00</t>
  </si>
  <si>
    <t>รวม 2.1 งานปรับปรุงภูมิทัศน์บริเวณลานทางเข้าเทศบาลตำบลหัวรอ</t>
  </si>
  <si>
    <t>1,790.00</t>
  </si>
  <si>
    <t>65</t>
  </si>
  <si>
    <t>129</t>
  </si>
  <si>
    <t>194</t>
  </si>
  <si>
    <t>162.00</t>
  </si>
  <si>
    <t>1,227.00</t>
  </si>
  <si>
    <t>5,718.00</t>
  </si>
  <si>
    <t>4,003.00</t>
  </si>
  <si>
    <t>2,100</t>
  </si>
  <si>
    <t>1,429.00</t>
  </si>
  <si>
    <t>1,186.00</t>
  </si>
  <si>
    <t>4,799.00</t>
  </si>
  <si>
    <t>28,385.00</t>
  </si>
  <si>
    <t>58,396.00</t>
  </si>
  <si>
    <t>104,604.00</t>
  </si>
  <si>
    <t>5,921.00</t>
  </si>
  <si>
    <t>1,566.00</t>
  </si>
  <si>
    <t>223.79</t>
  </si>
  <si>
    <t>56.00</t>
  </si>
  <si>
    <t>รวม 2.2 งานปรับปรุงทางปั่นจักรยาน ริมเขื่อนป้องกันตลิ่งบริเวณ</t>
  </si>
  <si>
    <t>รวม 2 งานปรับปรุงภูมิทัศน์</t>
  </si>
  <si>
    <t>3.1</t>
  </si>
  <si>
    <t>ช่วง กม. 0+000.00 ถึง กม. 0+550.00</t>
  </si>
  <si>
    <t>ความยาวรวม 550.00 เมตร</t>
  </si>
  <si>
    <t>จัดการจราจรแบบป้องกัน 1 ฝั่ง</t>
  </si>
  <si>
    <t>1,600.00</t>
  </si>
  <si>
    <t>288.00</t>
  </si>
  <si>
    <t>224.00</t>
  </si>
  <si>
    <t>2,388.00</t>
  </si>
  <si>
    <t>34.00</t>
  </si>
  <si>
    <t>ท่อระบายน้ำ HDPE Dia 315 มม.(ชั้นคุณภาพ PE100 PN4)</t>
  </si>
  <si>
    <t>- บ่อพัก  ค.ส.ล. พร้อมท่อระบายน้ำ พีวีซี Dia 8 นิ้ว</t>
  </si>
  <si>
    <t>1,100.00</t>
  </si>
  <si>
    <t>1,970.00</t>
  </si>
  <si>
    <t>ปรับระดับด้วยแอสฟัลคอนกรีต หนา 5 ซม.</t>
  </si>
  <si>
    <t>179.00</t>
  </si>
  <si>
    <t>ขอบคันหินรางตื่น ค.ส.ล.</t>
  </si>
  <si>
    <t>1,306.00</t>
  </si>
  <si>
    <t>351.00</t>
  </si>
  <si>
    <t>1,271.00</t>
  </si>
  <si>
    <t>พื้น คสล. หนา 0.10 ม. เสริมเหล็กตะแกรงไวเมตท์</t>
  </si>
  <si>
    <t>แก้ไขสัญญา</t>
  </si>
  <si>
    <t>ผิวทางปอร์ตแลนต์ซีเมนต์คอนกรีตหนา 15 ซม.</t>
  </si>
  <si>
    <t>รอยต่อเผื่อขยายตามขวาง (Expansion Joint)</t>
  </si>
  <si>
    <t>รอยต่อเผื่อหดตามขวาง (Contraction Joint)</t>
  </si>
  <si>
    <t>รอยต่อตามยาว (Longitudinal Joint)</t>
  </si>
  <si>
    <t>งานลาดแอสฟัลต์แทคโค้ตไหล่ทาง</t>
  </si>
  <si>
    <t>งานชั้นผิวทางแอสฟัลต์คอนกรีตไหล่ทาง 5 ซม.</t>
  </si>
  <si>
    <t>งานป้องกันดินพังสำหรับก่อสร้างท่อระบายน้ำ ความลึกร่องขุด 4.00 ม.</t>
  </si>
  <si>
    <t>บ่อพักท่อระบายน้ำ HDPE Dia 1,500 มม.ลึกเฉลี่ย 3.80 ม.</t>
  </si>
  <si>
    <t>งานลาดแอสฟัลต์แทคโค้ต</t>
  </si>
  <si>
    <t>งานชั้นผิวทางแอสฟัลต์คอนกรีตหนา 5 ซม.</t>
  </si>
  <si>
    <t>งานขยายไหล่ทาง ผิวทางปอร์ตแลนต์ซีเมนต์คอนกรีตหนา 20 ซม.</t>
  </si>
  <si>
    <t>งานงางท่อกลม ค.อ.ร. dia 1.00 ม.</t>
  </si>
  <si>
    <t>195.00</t>
  </si>
  <si>
    <t>2,009.00</t>
  </si>
  <si>
    <t>9,853.00</t>
  </si>
  <si>
    <t>455.00</t>
  </si>
  <si>
    <t>39.00</t>
  </si>
  <si>
    <t>388.00</t>
  </si>
  <si>
    <t>4.32</t>
  </si>
  <si>
    <t>36.72</t>
  </si>
  <si>
    <t>195.20</t>
  </si>
  <si>
    <t>รวม 3.1 งานวางถนนสาย F ช่วงที่ 1</t>
  </si>
  <si>
    <t>550.00</t>
  </si>
  <si>
    <t>ถนนสาย F ช่วงที่ 2</t>
  </si>
  <si>
    <t>ช่วง กม. 0+550.00 ถึงกม. 0+966.00</t>
  </si>
  <si>
    <t>ความยาวรวม 416.00 เมตร</t>
  </si>
  <si>
    <t>งานแก้ไขสัญญา</t>
  </si>
  <si>
    <t>งานป้องกันดินพังสำหรับก่อสร้างท่อระบายน้ำ ความลึกร่องขุด 3.00 ม.</t>
  </si>
  <si>
    <t>บ่อพักท่อ HDPE Dia 315 มม. ลึก 1.00 ม. ฝา คสล.</t>
  </si>
  <si>
    <t>บ่อพักท่อ HDPE Dia 315 มม. ลึก 1.00 ม. ฝาตะแกรงเหล็ก</t>
  </si>
  <si>
    <t>บ่อพักท่อระบายน้ำ HDPE Dia 1,500 มม. ลึกเฉลี่ย 2.90 ม.</t>
  </si>
  <si>
    <t>3.2</t>
  </si>
  <si>
    <t>ปรับประดับด้วยแอสฟัลคอนกรีต หนา 5 ซม.</t>
  </si>
  <si>
    <t>33</t>
  </si>
  <si>
    <t>416.00</t>
  </si>
  <si>
    <t>2,632.00</t>
  </si>
  <si>
    <t>369.00</t>
  </si>
  <si>
    <t>1,498.00</t>
  </si>
  <si>
    <t>611.00</t>
  </si>
  <si>
    <t>434.00</t>
  </si>
  <si>
    <t>93.00</t>
  </si>
  <si>
    <t>401.00</t>
  </si>
  <si>
    <t>542.00</t>
  </si>
  <si>
    <t>72.00</t>
  </si>
  <si>
    <t>2,496.00</t>
  </si>
  <si>
    <t>337.30</t>
  </si>
  <si>
    <t>3,373.00</t>
  </si>
  <si>
    <t>167.00</t>
  </si>
  <si>
    <t>29</t>
  </si>
  <si>
    <t>40</t>
  </si>
  <si>
    <t>รวม 3.2 งานถนนสาย F ช่วงที่ 2</t>
  </si>
  <si>
    <t>ถนนสาย F ช่วงที่ 3</t>
  </si>
  <si>
    <t>ช่วง กม. 0+966.00 ถึงกม. 1+657.00</t>
  </si>
  <si>
    <t>ความยาวรวม 691.00 เมตร</t>
  </si>
  <si>
    <t>3.3</t>
  </si>
  <si>
    <t xml:space="preserve">งานชั้นผิวทางแอสฟัลท์คอนกรีตหนา 5 ซม. </t>
  </si>
  <si>
    <t>ปรับระดับด้วยแอสฟัลท์คอนกรีต หนา 5 ซม.</t>
  </si>
  <si>
    <t>งานท่อ HDPE ขนาด Ø 315 มม (ชั้นคุณภาพ PE100 PN4)</t>
  </si>
  <si>
    <t>บ่อพักท่อ HDPE Dia 315 มม. ลึก 1.00 ม. ฝา ค.ส.ล.</t>
  </si>
  <si>
    <t>บ่อพักท่อระบายน้ำ HDPE Dia 1,500 มม.ลึกเฉลี่ย 3.00 ม.</t>
  </si>
  <si>
    <t>62</t>
  </si>
  <si>
    <t>36</t>
  </si>
  <si>
    <t>317.50</t>
  </si>
  <si>
    <t>484.00</t>
  </si>
  <si>
    <t>363.00</t>
  </si>
  <si>
    <t>6,225.50</t>
  </si>
  <si>
    <t>691.00</t>
  </si>
  <si>
    <t>3,211.00</t>
  </si>
  <si>
    <t>430.00</t>
  </si>
  <si>
    <t>1,881.00</t>
  </si>
  <si>
    <t>1,245.10</t>
  </si>
  <si>
    <t>155.00</t>
  </si>
  <si>
    <t>768.00</t>
  </si>
  <si>
    <t>1,152.00</t>
  </si>
  <si>
    <t>4,146.00</t>
  </si>
  <si>
    <t>622.55</t>
  </si>
  <si>
    <t>รวม 3.3 งานถนนสาย F ช่วงที่ 3</t>
  </si>
  <si>
    <t>3.4</t>
  </si>
  <si>
    <t>ช่วง กม. 0+000.00 ถึงกม. 0+575.00</t>
  </si>
  <si>
    <t>ความยาวรวม 575.00 เมตร</t>
  </si>
  <si>
    <t>759.00</t>
  </si>
  <si>
    <t>713.00</t>
  </si>
  <si>
    <t>3,700.00</t>
  </si>
  <si>
    <t>3,450.00</t>
  </si>
  <si>
    <t>250.00</t>
  </si>
  <si>
    <t>80.00</t>
  </si>
  <si>
    <t>129.00</t>
  </si>
  <si>
    <t>575.00</t>
  </si>
  <si>
    <t>รวม 3.4 งานถนนสาย G</t>
  </si>
  <si>
    <t>3.5</t>
  </si>
  <si>
    <t>ช่วง กม. 0+000.00 ถึงกม. 0+336.00</t>
  </si>
  <si>
    <t>ความยาวรวม 336.00 เมตร</t>
  </si>
  <si>
    <t>1,680.00</t>
  </si>
  <si>
    <t>391.00</t>
  </si>
  <si>
    <t>1,759.00</t>
  </si>
  <si>
    <t>47.00</t>
  </si>
  <si>
    <t>75.00</t>
  </si>
  <si>
    <t>175.00</t>
  </si>
  <si>
    <t>งานลาดแอสฟัลท์แทคโค้ต</t>
  </si>
  <si>
    <t>150.00</t>
  </si>
  <si>
    <t>336.00</t>
  </si>
  <si>
    <t>รวม 3.5 งานถนนสาย H</t>
  </si>
  <si>
    <t>ถนนสาย D</t>
  </si>
  <si>
    <t>ช่วง กม. 0+000.00 ถึงกม. 0+360.00</t>
  </si>
  <si>
    <t>ความยาวรวม 360 เมตร</t>
  </si>
  <si>
    <t>บ่อพักท่อกลมขนาด Dia 2.00 ม. ลึกเฉลี่ย 3.80 ม.</t>
  </si>
  <si>
    <t>3.6</t>
  </si>
  <si>
    <t>360.00</t>
  </si>
  <si>
    <t>3,717.00</t>
  </si>
  <si>
    <t>320.00</t>
  </si>
  <si>
    <t>งานท่อ HDPE ขนาด dia 315 มม. (ชั้นคุณภาพ PE100 PN4)</t>
  </si>
  <si>
    <t>1,898.00</t>
  </si>
  <si>
    <t>277.00</t>
  </si>
  <si>
    <t>81.00</t>
  </si>
  <si>
    <t>144.00</t>
  </si>
  <si>
    <t>1,377.00</t>
  </si>
  <si>
    <t>16.00</t>
  </si>
  <si>
    <t>128.00</t>
  </si>
  <si>
    <t>28</t>
  </si>
  <si>
    <t>รวม 3.6 งานถนนสาย D</t>
  </si>
  <si>
    <t>3.7</t>
  </si>
  <si>
    <t>ช่วง กม. 0+000.00 ถึงกม. 0+825.00</t>
  </si>
  <si>
    <t>ความยาวรวม 825 เมตร</t>
  </si>
  <si>
    <t>GUARD CABLE</t>
  </si>
  <si>
    <t>งานอื่นๆ (ถ้ามี)</t>
  </si>
  <si>
    <t>รอยต่อเผื่อหกตามขวาง (Contraction Joint)</t>
  </si>
  <si>
    <t>บ่อพักท่อระบายน้ำ HDPE Dia 2,000 มม. ลึกเฉลี่ย 5.10 ม.</t>
  </si>
  <si>
    <t>3,300.00</t>
  </si>
  <si>
    <t>125.00</t>
  </si>
  <si>
    <t>1,743.00</t>
  </si>
  <si>
    <t>111.00</t>
  </si>
  <si>
    <t>งานท่อ HDPE ขนาด Dia 315 มม. (ชั้นคุณภาพ PE100 PN4)</t>
  </si>
  <si>
    <t>1,080.00</t>
  </si>
  <si>
    <t>1,040.80</t>
  </si>
  <si>
    <t>185.00</t>
  </si>
  <si>
    <t>225.00</t>
  </si>
  <si>
    <t>23.00</t>
  </si>
  <si>
    <t>342.00</t>
  </si>
  <si>
    <t>1,548.00</t>
  </si>
  <si>
    <t>520.40</t>
  </si>
  <si>
    <t>5,204.00</t>
  </si>
  <si>
    <t>52.00</t>
  </si>
  <si>
    <t>463.00</t>
  </si>
  <si>
    <t>825.00</t>
  </si>
  <si>
    <t>งานป้องกันดินพังสำหรับก่อสร้างท่อระบายน้ำ ความลึกร่องขุด 5.00 ม.</t>
  </si>
  <si>
    <t>บ่อสูบน้ำ (แก้ไขสัญญาครั้งที่ 1 ราคาจาก น้ำท่วมป่าโมก)</t>
  </si>
  <si>
    <t xml:space="preserve">รวม 3.7 งานถนนสาย B </t>
  </si>
  <si>
    <t>ถนนสาย E</t>
  </si>
  <si>
    <t>ท่อระบายน้ำ HDPE Dia 1,000 มม. (ชั้นคุณภาพ SN4-6)</t>
  </si>
  <si>
    <t>ท่อระบายน้ำ HDPE Dia 1,500 มม. (ชั้นคุณภาพ SN4-6)</t>
  </si>
  <si>
    <t>บ่อพักท่อระบายน้ำ HDPE Dia 1,500 มม. ลึกเฉลี่ย 3.00 ม.</t>
  </si>
  <si>
    <t>ผิวทางปอร์ตแลนซีเมนต์คอนกรีตหนา 15 ซม.</t>
  </si>
  <si>
    <t>ขยายไหล่ทาง ผิวทางปอร์ตแลนต์ซีเมนต์คอนกรีตหนา 15 ซม.</t>
  </si>
  <si>
    <t>(ท่อ HDPE ขนาด Dia. 1,000 มม.)</t>
  </si>
  <si>
    <t>ช่วง กม. 0+000 ถึงกม. 1+047.00</t>
  </si>
  <si>
    <t>ความยาวรวม 1,047.00 เมตร</t>
  </si>
  <si>
    <t>531.00</t>
  </si>
  <si>
    <t>5,450.00</t>
  </si>
  <si>
    <t>1,047.00</t>
  </si>
  <si>
    <t>1,980.00</t>
  </si>
  <si>
    <t>1,449.00</t>
  </si>
  <si>
    <t>7,245.00</t>
  </si>
  <si>
    <t>46</t>
  </si>
  <si>
    <t>439.00</t>
  </si>
  <si>
    <t>707.00</t>
  </si>
  <si>
    <t>7,072.00</t>
  </si>
  <si>
    <t>77.00</t>
  </si>
  <si>
    <t>644.00</t>
  </si>
  <si>
    <t>1,035.00</t>
  </si>
  <si>
    <t>ขยายไหล่ทาง ทรายรองใต้ผิวคอนกรีต หนา 0.10 ม.</t>
  </si>
  <si>
    <t>ขยายไหล่ทาง งานรองพื้นทางลูกรังบดอัดแน่น หนา 0.20 ม.</t>
  </si>
  <si>
    <t>งานชั้นผิวทางแอสฟัลท์คอนกรีต หนา 5 ซม.</t>
  </si>
  <si>
    <t>525.00</t>
  </si>
  <si>
    <t>52.50</t>
  </si>
  <si>
    <t>7,597.00</t>
  </si>
  <si>
    <t>รวม 3.8 งานถนนสาย E</t>
  </si>
  <si>
    <t>ช่วง กม.0+000.00 ถึงกม. 0+220.00</t>
  </si>
  <si>
    <t>ความยาวรวม 220.00 เมตร</t>
  </si>
  <si>
    <t>308.00</t>
  </si>
  <si>
    <t>660</t>
  </si>
  <si>
    <t>2,640.00</t>
  </si>
  <si>
    <t>รวม 3.9 งานถนนสาย J</t>
  </si>
  <si>
    <t>3.10</t>
  </si>
  <si>
    <t>งานเครื่องสูบน้ำแบบเคลื่อนที่ได้ ขนาด 0.125 ลบ.ม./วินาที</t>
  </si>
  <si>
    <t>รวม 4 งานเครื่องจักรและอุปกรณ์และงานอื่นๆ</t>
  </si>
  <si>
    <t>บ่อพักท่อระบายน้ำ HDPE Dia 1,000 มม. ลึกเฉลี่ย 2.60 ม.</t>
  </si>
  <si>
    <t>395.00</t>
  </si>
  <si>
    <t>1.3</t>
  </si>
  <si>
    <t>1.4</t>
  </si>
  <si>
    <t>1.5</t>
  </si>
  <si>
    <t>1.7</t>
  </si>
  <si>
    <t>1.8</t>
  </si>
  <si>
    <t>1.9</t>
  </si>
  <si>
    <t>1.11</t>
  </si>
  <si>
    <t>1.12</t>
  </si>
  <si>
    <t>2.2</t>
  </si>
  <si>
    <t>3.8</t>
  </si>
  <si>
    <t>3.9</t>
  </si>
  <si>
    <t>4.1</t>
  </si>
  <si>
    <t>5.1</t>
  </si>
  <si>
    <t>ราคา 
(บาท)</t>
  </si>
  <si>
    <t>ยอดรวม</t>
  </si>
  <si>
    <t>130.00</t>
  </si>
  <si>
    <t>ยกระดับฝาบ่อพัก ค.ส.ล. (เดิม) สูงฉลี่ย 1.00 ม.</t>
  </si>
  <si>
    <t>181</t>
  </si>
  <si>
    <t>รวม 3.10 งานปรับปรุงยกระดับฝาท่อระบายน้ำ</t>
  </si>
  <si>
    <t>รวม 3 งานทาง</t>
  </si>
  <si>
    <t>จำนวนเงิน (บาท)</t>
  </si>
  <si>
    <t>ปริมาณงานสะสม (รวม)</t>
  </si>
  <si>
    <t>ปริมาณงาน (รวม)</t>
  </si>
  <si>
    <t>ผลงานสะสม
(บาท)</t>
  </si>
  <si>
    <t>คิดเป็น
(%)</t>
  </si>
  <si>
    <t>สำนักงานสนาม 200,000 อยู่นี่</t>
  </si>
  <si>
    <t>งานปรับปรุงทางปั่นจักรยาน ริมเขื่อนป้องกันตลิ่งบริเวณฯ</t>
  </si>
  <si>
    <t>2334.00</t>
  </si>
  <si>
    <t>45</t>
  </si>
  <si>
    <t>0</t>
  </si>
  <si>
    <t>652.00</t>
  </si>
  <si>
    <t>ปริมาณงานสะสมส่งงานครั้งนี้ (28 กันยายน 68)</t>
  </si>
  <si>
    <t>ผลงานเดือนสิงหาคม 2567</t>
  </si>
  <si>
    <t>ผลงานเดือนกันยายน 2568</t>
  </si>
  <si>
    <t>ผลงานเก็บกองวัสดุตามงวด</t>
  </si>
  <si>
    <t>ทำระบบคิดผลงานประจำเดือน</t>
  </si>
  <si>
    <t>อีกครั้งให้สะดวกต่อการทำงาน</t>
  </si>
  <si>
    <t>ปริมาณงานสะสม (รวม) ประจำเดือน</t>
  </si>
  <si>
    <t>ขยายระเวลาก่อสร้างออกไป 248 วัน</t>
  </si>
  <si>
    <t>ดังนั้นจึงขยายระยะเวลาควบคุมงานออกไป 248 วัน</t>
  </si>
  <si>
    <t>stock งวด 47</t>
  </si>
  <si>
    <t>เดือนกันยายน</t>
  </si>
  <si>
    <t>เดือนตุลาคม</t>
  </si>
  <si>
    <t>เดือนพฤศจิกายน</t>
  </si>
  <si>
    <t>เดือนธันวาคม</t>
  </si>
  <si>
    <t>เดือนมกราคม</t>
  </si>
  <si>
    <t>1 - 7</t>
  </si>
  <si>
    <t>8 - 15</t>
  </si>
  <si>
    <t>16 - 23</t>
  </si>
  <si>
    <t>24 - 30</t>
  </si>
  <si>
    <t>ผลรวม</t>
  </si>
  <si>
    <t>งานที่ดำเนินการ</t>
  </si>
  <si>
    <t>สัดส่วน</t>
  </si>
  <si>
    <t>% ผลงานเทียบกับมูลค่าโครงการ</t>
  </si>
  <si>
    <t>สะสมสัปดาห์ก่อน</t>
  </si>
  <si>
    <t>สะสมถึงสัปดาห์นี้</t>
  </si>
  <si>
    <t xml:space="preserve">งานเขื่อนป้องกันตลิ่ง </t>
  </si>
  <si>
    <t>สะสมสัปดาก่อน</t>
  </si>
  <si>
    <t>สะสมสัปดานี้</t>
  </si>
  <si>
    <t>สะสมสัปดาก่อน
(%)</t>
  </si>
  <si>
    <t>สะสมสัปดานี้
(%)</t>
  </si>
  <si>
    <t>ผลงาน %</t>
  </si>
  <si>
    <t>สะสมสัปดาห์นี้</t>
  </si>
  <si>
    <t>งานกำแพง w15 + บันได</t>
  </si>
  <si>
    <t>งานบันได</t>
  </si>
  <si>
    <t xml:space="preserve">งานเขื่อนป้องกันตลิ่ง แบบที่ 7 </t>
  </si>
  <si>
    <t xml:space="preserve">งานถนนสาย G </t>
  </si>
  <si>
    <t>(1)</t>
  </si>
  <si>
    <t>1.1</t>
  </si>
  <si>
    <t>(2)</t>
  </si>
  <si>
    <t>(3)</t>
  </si>
  <si>
    <t>(4)</t>
  </si>
  <si>
    <t>งานเขื่อนป้องกันตลิ่ง แบบที่ 5 ช่วง</t>
  </si>
  <si>
    <t>งานปรับปรุงภูมิทัศน์บริเวณลานทางเข้าเทศบาลฯ</t>
  </si>
  <si>
    <t>งานปรับปรุงทางปั่นจักรยาน ริมเขื่อนป้องกันตลิ่งฯ</t>
  </si>
  <si>
    <t>สัดส่วนของงาน (%)</t>
  </si>
  <si>
    <t>ผลงานเดือนตุลาคม 2568</t>
  </si>
  <si>
    <t>งวดที่ 1 stock 280 ม.</t>
  </si>
  <si>
    <t xml:space="preserve"> </t>
  </si>
  <si>
    <t>งวด 27 stock 360 ม.</t>
  </si>
  <si>
    <t>stock งวด 48</t>
  </si>
  <si>
    <t>stock งวดที่ 57</t>
  </si>
  <si>
    <t>stock งวด 65</t>
  </si>
  <si>
    <t>stock งวด 41,42</t>
  </si>
  <si>
    <t>stock งวด 80</t>
  </si>
  <si>
    <t xml:space="preserve">งวด 94,95 </t>
  </si>
  <si>
    <t>งวด 99,100</t>
  </si>
  <si>
    <t>งวด 1 350,000 อยู่นี่</t>
  </si>
  <si>
    <t>stock งวดที่ 56</t>
  </si>
  <si>
    <t>stock งวด 66</t>
  </si>
  <si>
    <t>stock งวด 74,75</t>
  </si>
  <si>
    <t>stock งวด 77,78,79</t>
  </si>
  <si>
    <t>stock งวด 100,101,102</t>
  </si>
  <si>
    <t>ตารางการเบิกจ่ายงบประมาณงานให้บริการงานควบคุมงานก่อสร้าง</t>
  </si>
  <si>
    <t>ตารางการเบิกจ่ายงบประมาณงานก่อสร้าง</t>
  </si>
  <si>
    <t>ผลงานเดือนพฤศจิกายน 2568</t>
  </si>
  <si>
    <t>รวมคิดผลงาน</t>
  </si>
  <si>
    <t>เดือนกุมภาพันธ์</t>
  </si>
  <si>
    <t>เดือนมีนาคม</t>
  </si>
  <si>
    <t>เดือนเมษายน</t>
  </si>
  <si>
    <t>ผลงานเดือนมีนาคม 2569</t>
  </si>
  <si>
    <t>ยังไม่ได้หักเงินเบิกล่วงหน้า 20%</t>
  </si>
  <si>
    <t>หักเงินเบิกล่วงหน้า 20%</t>
  </si>
  <si>
    <t>ปริมาณงานสะสมส่งงานครั้งนี้ (25 มีนาคม 68)</t>
  </si>
  <si>
    <t>ให้ผลงาน</t>
  </si>
  <si>
    <t>stock งวด 71,72,73,74,75</t>
  </si>
  <si>
    <t>stock และ งวด 71,72,73,74,75</t>
  </si>
  <si>
    <t xml:space="preserve">งวดที่ 31 ,32 ,33 </t>
  </si>
  <si>
    <t>แผนงาน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</si>
</sst>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87" formatCode="_(* #,##0_);_(* \(#,##0\);_(* &quot;-&quot;_);_(@_)"/>
    <numFmt numFmtId="188" formatCode="_(* #,##0.00_);_(* \(#,##0.00\);_(* &quot;-&quot;_);_(@_)"/>
    <numFmt numFmtId="189" formatCode="#,##0.0_);\(#,##0.0\)"/>
    <numFmt numFmtId="190" formatCode="#,##0_);\(#,##0\)"/>
    <numFmt numFmtId="191" formatCode="0.000"/>
    <numFmt numFmtId="192" formatCode="0.0"/>
    <numFmt numFmtId="193" formatCode="0.00;0.00;"/>
    <numFmt numFmtId="194" formatCode="#,##0.00;#,##0.00;"/>
    <numFmt numFmtId="195" formatCode="#,##0_-;[Red]\-#,##0_-"/>
    <numFmt numFmtId="196" formatCode="#,##0;#,##0;"/>
    <numFmt numFmtId="197" formatCode="_(* #,##0.00_);_(* \(#,##0.00\);_(* &quot;-&quot;??_);_(@_)"/>
    <numFmt numFmtId="198" formatCode="#,##0.00_);\(#,##0.00\)"/>
    <numFmt numFmtId="199" formatCode="0.000%"/>
    <numFmt numFmtId="200" formatCode="[$-107041E]d\ mmm\ yy;@"/>
    <numFmt numFmtId="201" formatCode="[$-1070000]d/m/yy;@"/>
    <numFmt numFmtId="202" formatCode="0.000000"/>
    <numFmt numFmtId="203" formatCode="[$-187041E]d\ mmm\ yy;@"/>
    <numFmt numFmtId="204" formatCode="#,##0_ ;\-#,##0\ "/>
    <numFmt numFmtId="205" formatCode="\(0\)"/>
    <numFmt numFmtId="206" formatCode="_-* #,##0.000_-;\-* #,##0.000_-;_-* &quot;-&quot;??_-;_-@_-"/>
    <numFmt numFmtId="207" formatCode="0.00000"/>
    <numFmt numFmtId="208" formatCode="#,##0.000"/>
  </numFmts>
  <fonts count="97" x14ac:knownFonts="1">
    <font>
      <sz val="10"/>
      <color theme="1"/>
      <name val="Times New Roman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imes New Roman"/>
      <family val="2"/>
      <charset val="222"/>
    </font>
    <font>
      <sz val="6"/>
      <name val="Tahoma"/>
      <family val="2"/>
    </font>
    <font>
      <b/>
      <sz val="7"/>
      <name val="Tahoma"/>
      <family val="2"/>
    </font>
    <font>
      <sz val="7"/>
      <name val="Tahoma"/>
      <family val="2"/>
    </font>
    <font>
      <b/>
      <sz val="14"/>
      <name val="TH SarabunPSK"/>
      <family val="2"/>
    </font>
    <font>
      <b/>
      <u/>
      <sz val="16"/>
      <name val="TH SarabunPSK"/>
      <family val="2"/>
    </font>
    <font>
      <sz val="5"/>
      <name val="Tahoma"/>
      <family val="2"/>
    </font>
    <font>
      <b/>
      <sz val="11"/>
      <name val="TH SarabunPSK"/>
      <family val="2"/>
    </font>
    <font>
      <sz val="11"/>
      <name val="TH SarabunPSK"/>
      <family val="2"/>
    </font>
    <font>
      <sz val="6"/>
      <name val="Times New Roman"/>
      <family val="1"/>
    </font>
    <font>
      <sz val="6"/>
      <color rgb="FFFF0000"/>
      <name val="Times New Roman"/>
      <family val="1"/>
    </font>
    <font>
      <b/>
      <sz val="7"/>
      <color rgb="FFFF0000"/>
      <name val="Tahoma"/>
      <family val="2"/>
    </font>
    <font>
      <sz val="12"/>
      <name val="TH SarabunPSK"/>
      <family val="2"/>
    </font>
    <font>
      <sz val="14"/>
      <name val="Cordia New"/>
      <family val="2"/>
    </font>
    <font>
      <sz val="14"/>
      <name val="Browallia New"/>
      <family val="2"/>
    </font>
    <font>
      <sz val="14"/>
      <name val="Angsana New"/>
      <family val="1"/>
    </font>
    <font>
      <b/>
      <sz val="16"/>
      <name val="AngsanaUPC"/>
      <family val="1"/>
    </font>
    <font>
      <b/>
      <i/>
      <sz val="16"/>
      <name val="AngsanaUPC"/>
      <family val="1"/>
    </font>
    <font>
      <sz val="16"/>
      <name val="AngsanaUPC"/>
      <family val="1"/>
    </font>
    <font>
      <b/>
      <sz val="16"/>
      <color rgb="FF0070C0"/>
      <name val="AngsanaUPC"/>
      <family val="1"/>
    </font>
    <font>
      <b/>
      <sz val="16"/>
      <color rgb="FFFF0000"/>
      <name val="AngsanaUPC"/>
      <family val="1"/>
    </font>
    <font>
      <b/>
      <sz val="16"/>
      <name val="TH SarabunPSK"/>
      <family val="2"/>
    </font>
    <font>
      <sz val="16"/>
      <color rgb="FFFF0000"/>
      <name val="TH SarabunPSK"/>
      <family val="2"/>
    </font>
    <font>
      <b/>
      <sz val="16"/>
      <color rgb="FFFF0000"/>
      <name val="TH SarabunPSK"/>
      <family val="2"/>
    </font>
    <font>
      <b/>
      <sz val="12"/>
      <name val="TH SarabunPSK"/>
      <family val="2"/>
    </font>
    <font>
      <sz val="10"/>
      <name val="Arial"/>
      <family val="2"/>
    </font>
    <font>
      <sz val="16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6"/>
      <color rgb="FF00B050"/>
      <name val="TH Sarabun New"/>
      <family val="2"/>
    </font>
    <font>
      <b/>
      <sz val="16"/>
      <color rgb="FFFF0000"/>
      <name val="TH Sarabun New"/>
      <family val="2"/>
    </font>
    <font>
      <b/>
      <sz val="16"/>
      <color rgb="FF990000"/>
      <name val="TH Sarabun New"/>
      <family val="2"/>
    </font>
    <font>
      <sz val="16"/>
      <color rgb="FF00B050"/>
      <name val="TH Sarabun New"/>
      <family val="2"/>
    </font>
    <font>
      <sz val="16"/>
      <color theme="1"/>
      <name val="TH Sarabun New"/>
      <family val="2"/>
    </font>
    <font>
      <b/>
      <sz val="16"/>
      <color rgb="FF0000FF"/>
      <name val="TH Sarabun New"/>
      <family val="2"/>
    </font>
    <font>
      <b/>
      <sz val="16"/>
      <color rgb="FFFF3399"/>
      <name val="TH Sarabun New"/>
      <family val="2"/>
    </font>
    <font>
      <sz val="16"/>
      <name val="TH Sarabun New"/>
      <family val="2"/>
    </font>
    <font>
      <b/>
      <sz val="16"/>
      <name val="TH Sarabun New"/>
      <family val="2"/>
    </font>
    <font>
      <b/>
      <sz val="16"/>
      <color rgb="FF0000CC"/>
      <name val="TH Sarabun New"/>
      <family val="2"/>
    </font>
    <font>
      <b/>
      <sz val="16"/>
      <color rgb="FFFF0066"/>
      <name val="TH Sarabun New"/>
      <family val="2"/>
    </font>
    <font>
      <sz val="16"/>
      <color rgb="FF0000FF"/>
      <name val="TH Sarabun New"/>
      <family val="2"/>
    </font>
    <font>
      <sz val="16"/>
      <color rgb="FFFF3399"/>
      <name val="TH Sarabun New"/>
      <family val="2"/>
    </font>
    <font>
      <sz val="16"/>
      <color rgb="FFFF0000"/>
      <name val="TH Sarabun New"/>
      <family val="2"/>
    </font>
    <font>
      <sz val="16"/>
      <color rgb="FF0000CC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b/>
      <sz val="16"/>
      <color rgb="FF00B050"/>
      <name val="TH SarabunPSK"/>
      <family val="2"/>
    </font>
    <font>
      <sz val="22"/>
      <color theme="1"/>
      <name val="TH Sarabun New"/>
      <family val="2"/>
    </font>
    <font>
      <sz val="8"/>
      <name val="Times New Roman"/>
      <family val="2"/>
      <charset val="222"/>
    </font>
    <font>
      <sz val="26"/>
      <color theme="1"/>
      <name val="TH Sarabun New"/>
      <family val="2"/>
    </font>
    <font>
      <b/>
      <sz val="16"/>
      <color theme="1"/>
      <name val="TH SarabunIT๙"/>
      <family val="2"/>
    </font>
    <font>
      <b/>
      <sz val="16"/>
      <color rgb="FF000000"/>
      <name val="TH SarabunIT๙"/>
      <family val="2"/>
    </font>
    <font>
      <sz val="16"/>
      <color rgb="FF000000"/>
      <name val="TH SarabunIT๙"/>
      <family val="2"/>
    </font>
    <font>
      <sz val="16"/>
      <color theme="1"/>
      <name val="TH SarabunIT๙"/>
      <family val="2"/>
    </font>
    <font>
      <sz val="22"/>
      <name val="TH Sarabun New"/>
      <family val="2"/>
    </font>
    <font>
      <sz val="24"/>
      <color theme="1"/>
      <name val="TH Sarabun New"/>
      <family val="2"/>
    </font>
    <font>
      <sz val="26"/>
      <name val="TH Sarabun New"/>
      <family val="2"/>
    </font>
    <font>
      <b/>
      <sz val="28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rgb="FF0000FF"/>
      <name val="TH Sarabun New"/>
      <family val="2"/>
    </font>
    <font>
      <sz val="14"/>
      <name val="TH SarabunPSK"/>
      <family val="2"/>
    </font>
    <font>
      <b/>
      <sz val="14"/>
      <color rgb="FFFF0000"/>
      <name val="TH SarabunPSK"/>
      <family val="2"/>
    </font>
    <font>
      <sz val="9"/>
      <name val="Times New Roman"/>
      <family val="1"/>
    </font>
    <font>
      <b/>
      <sz val="5"/>
      <name val="Tahoma"/>
      <family val="2"/>
      <charset val="222"/>
    </font>
    <font>
      <b/>
      <sz val="6"/>
      <name val="Times New Roman"/>
      <family val="1"/>
      <charset val="222"/>
    </font>
    <font>
      <b/>
      <sz val="14"/>
      <color rgb="FF0070C0"/>
      <name val="TH SarabunPSK"/>
      <family val="2"/>
    </font>
    <font>
      <b/>
      <sz val="18"/>
      <name val="AngsanaUPC"/>
      <family val="1"/>
    </font>
    <font>
      <sz val="14"/>
      <color theme="3"/>
      <name val="TH Sarabun New"/>
      <family val="2"/>
    </font>
    <font>
      <b/>
      <sz val="26"/>
      <color theme="1"/>
      <name val="TH Sarabun New"/>
      <family val="2"/>
    </font>
    <font>
      <sz val="6"/>
      <color theme="1"/>
      <name val="Times New Roman"/>
      <family val="1"/>
    </font>
    <font>
      <sz val="16"/>
      <color theme="1"/>
      <name val="TH Sarabun New"/>
      <family val="2"/>
      <charset val="222"/>
    </font>
    <font>
      <b/>
      <sz val="6"/>
      <name val="Times New Roman"/>
      <family val="1"/>
    </font>
    <font>
      <b/>
      <sz val="16"/>
      <name val="TH Sarabun New"/>
      <family val="2"/>
      <charset val="222"/>
    </font>
    <font>
      <b/>
      <sz val="16"/>
      <color rgb="FF0070C0"/>
      <name val="TH Sarabun New"/>
      <family val="2"/>
      <charset val="222"/>
    </font>
    <font>
      <b/>
      <sz val="16"/>
      <color rgb="FFFF0000"/>
      <name val="TH Sarabun New"/>
      <family val="2"/>
      <charset val="222"/>
    </font>
    <font>
      <sz val="9"/>
      <color theme="1"/>
      <name val="Times New Roman"/>
      <family val="1"/>
    </font>
    <font>
      <b/>
      <i/>
      <sz val="16"/>
      <name val="TH Sarabun New"/>
      <family val="2"/>
      <charset val="222"/>
    </font>
    <font>
      <sz val="16"/>
      <name val="TH Sarabun New"/>
      <family val="2"/>
      <charset val="22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name val="TH Sarabun New"/>
      <family val="2"/>
      <charset val="222"/>
    </font>
    <font>
      <sz val="14"/>
      <color theme="1"/>
      <name val="Times New Roman"/>
      <family val="1"/>
      <charset val="222"/>
    </font>
    <font>
      <b/>
      <sz val="14"/>
      <color theme="1"/>
      <name val="Times New Roman"/>
      <family val="1"/>
      <charset val="222"/>
    </font>
    <font>
      <sz val="9"/>
      <color rgb="FF000000"/>
      <name val="TH SarabunIT๙"/>
      <family val="2"/>
      <charset val="222"/>
    </font>
    <font>
      <sz val="9"/>
      <color theme="1"/>
      <name val="TH Sarabun New"/>
      <family val="2"/>
      <charset val="222"/>
    </font>
    <font>
      <sz val="9"/>
      <color theme="1"/>
      <name val="Times New Roman"/>
      <family val="1"/>
      <charset val="222"/>
    </font>
    <font>
      <b/>
      <sz val="12"/>
      <color theme="1"/>
      <name val="Times New Roman"/>
      <family val="1"/>
    </font>
    <font>
      <sz val="9"/>
      <color rgb="FF000000"/>
      <name val="TH Sarabun New"/>
      <family val="2"/>
    </font>
    <font>
      <sz val="11"/>
      <color theme="1"/>
      <name val="TH Sarabun New"/>
      <family val="2"/>
      <charset val="222"/>
    </font>
    <font>
      <b/>
      <sz val="20"/>
      <color theme="1"/>
      <name val="TH Sarabun New"/>
      <family val="2"/>
    </font>
    <font>
      <sz val="14"/>
      <color theme="1"/>
      <name val="Times New Roman"/>
      <family val="1"/>
    </font>
    <font>
      <b/>
      <sz val="22"/>
      <color rgb="FF0000FF"/>
      <name val="TH Sarabun New"/>
      <family val="2"/>
    </font>
  </fonts>
  <fills count="3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gray125">
        <fgColor rgb="FFFFFF00"/>
        <bgColor theme="8" tint="0.59999389629810485"/>
      </patternFill>
    </fill>
    <fill>
      <patternFill patternType="gray125">
        <fgColor rgb="FFFFFF00"/>
        <bgColor theme="9" tint="0.59999389629810485"/>
      </patternFill>
    </fill>
    <fill>
      <patternFill patternType="gray125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FA44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E6F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5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/>
    <xf numFmtId="43" fontId="18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7" fillId="0" borderId="0"/>
    <xf numFmtId="9" fontId="3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" fillId="0" borderId="0"/>
    <xf numFmtId="9" fontId="16" fillId="0" borderId="0" applyFont="0" applyFill="0" applyBorder="0" applyAlignment="0" applyProtection="0"/>
    <xf numFmtId="0" fontId="47" fillId="0" borderId="0"/>
    <xf numFmtId="43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6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905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91" fontId="6" fillId="0" borderId="0" xfId="0" applyNumberFormat="1" applyFont="1" applyAlignment="1">
      <alignment horizontal="center" vertical="center"/>
    </xf>
    <xf numFmtId="191" fontId="4" fillId="0" borderId="0" xfId="0" applyNumberFormat="1" applyFont="1" applyAlignment="1">
      <alignment vertical="center"/>
    </xf>
    <xf numFmtId="0" fontId="6" fillId="0" borderId="20" xfId="0" applyFont="1" applyBorder="1" applyAlignment="1">
      <alignment vertical="center"/>
    </xf>
    <xf numFmtId="1" fontId="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91" fontId="12" fillId="0" borderId="18" xfId="0" applyNumberFormat="1" applyFont="1" applyBorder="1" applyAlignment="1">
      <alignment horizontal="center" vertical="center"/>
    </xf>
    <xf numFmtId="191" fontId="12" fillId="0" borderId="19" xfId="0" applyNumberFormat="1" applyFont="1" applyBorder="1" applyAlignment="1">
      <alignment horizontal="center" vertical="center"/>
    </xf>
    <xf numFmtId="191" fontId="12" fillId="0" borderId="28" xfId="0" applyNumberFormat="1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Continuous" vertical="center"/>
    </xf>
    <xf numFmtId="0" fontId="10" fillId="6" borderId="4" xfId="0" applyFont="1" applyFill="1" applyBorder="1" applyAlignment="1">
      <alignment horizontal="centerContinuous" vertical="center"/>
    </xf>
    <xf numFmtId="0" fontId="10" fillId="6" borderId="1" xfId="0" applyFont="1" applyFill="1" applyBorder="1" applyAlignment="1">
      <alignment vertical="center"/>
    </xf>
    <xf numFmtId="0" fontId="10" fillId="6" borderId="33" xfId="0" applyFont="1" applyFill="1" applyBorder="1" applyAlignment="1">
      <alignment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vertical="center"/>
    </xf>
    <xf numFmtId="0" fontId="10" fillId="6" borderId="42" xfId="0" applyFont="1" applyFill="1" applyBorder="1" applyAlignment="1">
      <alignment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195" fontId="6" fillId="0" borderId="0" xfId="0" applyNumberFormat="1" applyFont="1" applyAlignment="1">
      <alignment vertical="center"/>
    </xf>
    <xf numFmtId="193" fontId="1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0" fillId="5" borderId="7" xfId="0" applyFont="1" applyFill="1" applyBorder="1" applyAlignment="1">
      <alignment horizontal="center" vertical="center"/>
    </xf>
    <xf numFmtId="191" fontId="6" fillId="0" borderId="0" xfId="0" applyNumberFormat="1" applyFont="1" applyAlignment="1">
      <alignment vertical="center"/>
    </xf>
    <xf numFmtId="19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1" fontId="13" fillId="4" borderId="12" xfId="0" applyNumberFormat="1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14" borderId="47" xfId="0" applyFont="1" applyFill="1" applyBorder="1" applyAlignment="1">
      <alignment horizontal="center" vertical="center"/>
    </xf>
    <xf numFmtId="0" fontId="9" fillId="14" borderId="26" xfId="0" applyFont="1" applyFill="1" applyBorder="1" applyAlignment="1">
      <alignment horizontal="center" vertical="center"/>
    </xf>
    <xf numFmtId="191" fontId="12" fillId="14" borderId="26" xfId="0" applyNumberFormat="1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1" fontId="12" fillId="14" borderId="26" xfId="0" applyNumberFormat="1" applyFont="1" applyFill="1" applyBorder="1" applyAlignment="1">
      <alignment horizontal="center" vertical="center"/>
    </xf>
    <xf numFmtId="43" fontId="12" fillId="14" borderId="26" xfId="0" applyNumberFormat="1" applyFont="1" applyFill="1" applyBorder="1" applyAlignment="1">
      <alignment horizontal="center" vertical="center"/>
    </xf>
    <xf numFmtId="191" fontId="12" fillId="16" borderId="26" xfId="0" applyNumberFormat="1" applyFont="1" applyFill="1" applyBorder="1" applyAlignment="1">
      <alignment horizontal="center" vertical="center"/>
    </xf>
    <xf numFmtId="191" fontId="4" fillId="2" borderId="0" xfId="0" applyNumberFormat="1" applyFont="1" applyFill="1" applyAlignment="1">
      <alignment vertical="center"/>
    </xf>
    <xf numFmtId="191" fontId="12" fillId="2" borderId="28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191" fontId="6" fillId="0" borderId="16" xfId="0" applyNumberFormat="1" applyFont="1" applyBorder="1" applyAlignment="1">
      <alignment vertical="center"/>
    </xf>
    <xf numFmtId="1" fontId="15" fillId="0" borderId="16" xfId="0" applyNumberFormat="1" applyFont="1" applyBorder="1" applyAlignment="1">
      <alignment vertical="center"/>
    </xf>
    <xf numFmtId="2" fontId="12" fillId="7" borderId="10" xfId="0" applyNumberFormat="1" applyFont="1" applyFill="1" applyBorder="1" applyAlignment="1">
      <alignment horizontal="center" vertical="center"/>
    </xf>
    <xf numFmtId="2" fontId="13" fillId="4" borderId="10" xfId="0" applyNumberFormat="1" applyFont="1" applyFill="1" applyBorder="1" applyAlignment="1">
      <alignment horizontal="center" vertical="center"/>
    </xf>
    <xf numFmtId="194" fontId="22" fillId="10" borderId="47" xfId="0" applyNumberFormat="1" applyFont="1" applyFill="1" applyBorder="1" applyAlignment="1">
      <alignment vertical="center"/>
    </xf>
    <xf numFmtId="193" fontId="23" fillId="10" borderId="47" xfId="0" applyNumberFormat="1" applyFont="1" applyFill="1" applyBorder="1" applyAlignment="1">
      <alignment horizontal="center" vertical="center"/>
    </xf>
    <xf numFmtId="194" fontId="22" fillId="10" borderId="26" xfId="0" applyNumberFormat="1" applyFont="1" applyFill="1" applyBorder="1" applyAlignment="1">
      <alignment vertical="center"/>
    </xf>
    <xf numFmtId="193" fontId="23" fillId="10" borderId="26" xfId="0" applyNumberFormat="1" applyFont="1" applyFill="1" applyBorder="1" applyAlignment="1">
      <alignment horizontal="center" vertical="center"/>
    </xf>
    <xf numFmtId="194" fontId="22" fillId="10" borderId="9" xfId="0" applyNumberFormat="1" applyFont="1" applyFill="1" applyBorder="1" applyAlignment="1">
      <alignment vertical="center"/>
    </xf>
    <xf numFmtId="193" fontId="23" fillId="10" borderId="9" xfId="0" applyNumberFormat="1" applyFont="1" applyFill="1" applyBorder="1" applyAlignment="1">
      <alignment horizontal="center" vertical="center"/>
    </xf>
    <xf numFmtId="192" fontId="15" fillId="14" borderId="16" xfId="0" applyNumberFormat="1" applyFont="1" applyFill="1" applyBorder="1" applyAlignment="1">
      <alignment vertical="center"/>
    </xf>
    <xf numFmtId="192" fontId="15" fillId="14" borderId="26" xfId="0" applyNumberFormat="1" applyFont="1" applyFill="1" applyBorder="1" applyAlignment="1">
      <alignment vertical="center"/>
    </xf>
    <xf numFmtId="191" fontId="15" fillId="14" borderId="26" xfId="0" applyNumberFormat="1" applyFont="1" applyFill="1" applyBorder="1" applyAlignment="1">
      <alignment vertical="center"/>
    </xf>
    <xf numFmtId="191" fontId="15" fillId="14" borderId="48" xfId="0" applyNumberFormat="1" applyFont="1" applyFill="1" applyBorder="1" applyAlignment="1">
      <alignment vertical="center"/>
    </xf>
    <xf numFmtId="2" fontId="12" fillId="7" borderId="38" xfId="0" applyNumberFormat="1" applyFont="1" applyFill="1" applyBorder="1" applyAlignment="1">
      <alignment horizontal="center" vertical="center"/>
    </xf>
    <xf numFmtId="1" fontId="12" fillId="7" borderId="39" xfId="0" applyNumberFormat="1" applyFont="1" applyFill="1" applyBorder="1" applyAlignment="1">
      <alignment horizontal="center" vertical="center"/>
    </xf>
    <xf numFmtId="2" fontId="13" fillId="4" borderId="38" xfId="0" applyNumberFormat="1" applyFont="1" applyFill="1" applyBorder="1" applyAlignment="1">
      <alignment horizontal="center" vertical="center"/>
    </xf>
    <xf numFmtId="1" fontId="15" fillId="14" borderId="16" xfId="0" applyNumberFormat="1" applyFont="1" applyFill="1" applyBorder="1" applyAlignment="1">
      <alignment vertical="center"/>
    </xf>
    <xf numFmtId="2" fontId="15" fillId="8" borderId="16" xfId="0" applyNumberFormat="1" applyFont="1" applyFill="1" applyBorder="1" applyAlignment="1">
      <alignment vertical="center"/>
    </xf>
    <xf numFmtId="2" fontId="15" fillId="17" borderId="16" xfId="0" applyNumberFormat="1" applyFont="1" applyFill="1" applyBorder="1" applyAlignment="1">
      <alignment vertical="center"/>
    </xf>
    <xf numFmtId="0" fontId="10" fillId="5" borderId="3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/>
    </xf>
    <xf numFmtId="0" fontId="6" fillId="0" borderId="49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9" fillId="13" borderId="47" xfId="0" applyFont="1" applyFill="1" applyBorder="1" applyAlignment="1">
      <alignment horizontal="center" vertical="center"/>
    </xf>
    <xf numFmtId="0" fontId="9" fillId="13" borderId="26" xfId="0" applyFont="1" applyFill="1" applyBorder="1" applyAlignment="1">
      <alignment horizontal="center" vertical="center"/>
    </xf>
    <xf numFmtId="191" fontId="12" fillId="13" borderId="26" xfId="0" applyNumberFormat="1" applyFont="1" applyFill="1" applyBorder="1" applyAlignment="1">
      <alignment horizontal="center" vertical="center"/>
    </xf>
    <xf numFmtId="0" fontId="12" fillId="13" borderId="26" xfId="0" applyFont="1" applyFill="1" applyBorder="1" applyAlignment="1">
      <alignment horizontal="center" vertical="center"/>
    </xf>
    <xf numFmtId="1" fontId="12" fillId="13" borderId="26" xfId="0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2" fontId="12" fillId="7" borderId="11" xfId="0" applyNumberFormat="1" applyFont="1" applyFill="1" applyBorder="1" applyAlignment="1">
      <alignment horizontal="center" vertical="center"/>
    </xf>
    <xf numFmtId="2" fontId="13" fillId="4" borderId="11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Continuous" vertical="center"/>
    </xf>
    <xf numFmtId="0" fontId="27" fillId="6" borderId="4" xfId="0" applyFont="1" applyFill="1" applyBorder="1" applyAlignment="1">
      <alignment horizontal="centerContinuous" vertical="center"/>
    </xf>
    <xf numFmtId="0" fontId="9" fillId="14" borderId="33" xfId="0" applyFont="1" applyFill="1" applyBorder="1" applyAlignment="1">
      <alignment horizontal="center" vertical="center"/>
    </xf>
    <xf numFmtId="0" fontId="9" fillId="14" borderId="41" xfId="0" applyFont="1" applyFill="1" applyBorder="1" applyAlignment="1">
      <alignment horizontal="center" vertical="center"/>
    </xf>
    <xf numFmtId="191" fontId="12" fillId="14" borderId="41" xfId="0" applyNumberFormat="1" applyFont="1" applyFill="1" applyBorder="1" applyAlignment="1">
      <alignment horizontal="center" vertical="center"/>
    </xf>
    <xf numFmtId="43" fontId="12" fillId="14" borderId="41" xfId="0" applyNumberFormat="1" applyFont="1" applyFill="1" applyBorder="1" applyAlignment="1">
      <alignment horizontal="center" vertical="center"/>
    </xf>
    <xf numFmtId="0" fontId="12" fillId="14" borderId="41" xfId="0" applyFont="1" applyFill="1" applyBorder="1" applyAlignment="1">
      <alignment horizontal="center" vertical="center"/>
    </xf>
    <xf numFmtId="1" fontId="12" fillId="14" borderId="41" xfId="0" applyNumberFormat="1" applyFont="1" applyFill="1" applyBorder="1" applyAlignment="1">
      <alignment horizontal="center" vertical="center"/>
    </xf>
    <xf numFmtId="1" fontId="12" fillId="14" borderId="42" xfId="0" applyNumberFormat="1" applyFont="1" applyFill="1" applyBorder="1" applyAlignment="1">
      <alignment horizontal="center" vertical="center"/>
    </xf>
    <xf numFmtId="0" fontId="29" fillId="0" borderId="0" xfId="16" quotePrefix="1" applyFont="1" applyAlignment="1">
      <alignment horizontal="right"/>
    </xf>
    <xf numFmtId="0" fontId="29" fillId="0" borderId="0" xfId="16" applyFont="1"/>
    <xf numFmtId="0" fontId="30" fillId="0" borderId="47" xfId="16" applyFont="1" applyBorder="1" applyAlignment="1">
      <alignment horizontal="center" vertical="center" wrapText="1"/>
    </xf>
    <xf numFmtId="0" fontId="33" fillId="0" borderId="16" xfId="16" applyFont="1" applyBorder="1" applyAlignment="1">
      <alignment horizontal="center" vertical="center" wrapText="1"/>
    </xf>
    <xf numFmtId="0" fontId="30" fillId="0" borderId="48" xfId="16" applyFont="1" applyBorder="1" applyAlignment="1">
      <alignment horizontal="center" vertical="center" wrapText="1"/>
    </xf>
    <xf numFmtId="0" fontId="33" fillId="0" borderId="48" xfId="16" applyFont="1" applyBorder="1" applyAlignment="1">
      <alignment horizontal="center" vertical="center" wrapText="1"/>
    </xf>
    <xf numFmtId="0" fontId="29" fillId="0" borderId="43" xfId="16" applyFont="1" applyBorder="1" applyAlignment="1">
      <alignment horizontal="center" vertical="center"/>
    </xf>
    <xf numFmtId="199" fontId="29" fillId="0" borderId="9" xfId="12" applyNumberFormat="1" applyFont="1" applyBorder="1" applyAlignment="1">
      <alignment horizontal="center" vertical="center" wrapText="1"/>
    </xf>
    <xf numFmtId="199" fontId="29" fillId="0" borderId="43" xfId="16" applyNumberFormat="1" applyFont="1" applyBorder="1" applyAlignment="1">
      <alignment horizontal="center" vertical="center"/>
    </xf>
    <xf numFmtId="199" fontId="34" fillId="0" borderId="53" xfId="16" applyNumberFormat="1" applyFont="1" applyBorder="1" applyAlignment="1">
      <alignment horizontal="center" vertical="center"/>
    </xf>
    <xf numFmtId="199" fontId="35" fillId="0" borderId="9" xfId="12" applyNumberFormat="1" applyFont="1" applyBorder="1" applyAlignment="1">
      <alignment horizontal="center"/>
    </xf>
    <xf numFmtId="0" fontId="29" fillId="0" borderId="53" xfId="16" applyFont="1" applyBorder="1" applyAlignment="1">
      <alignment horizontal="center" vertical="center"/>
    </xf>
    <xf numFmtId="199" fontId="29" fillId="0" borderId="53" xfId="16" applyNumberFormat="1" applyFont="1" applyBorder="1" applyAlignment="1">
      <alignment horizontal="center" vertical="center"/>
    </xf>
    <xf numFmtId="199" fontId="35" fillId="0" borderId="53" xfId="12" applyNumberFormat="1" applyFont="1" applyBorder="1" applyAlignment="1">
      <alignment horizontal="center"/>
    </xf>
    <xf numFmtId="10" fontId="30" fillId="0" borderId="16" xfId="16" applyNumberFormat="1" applyFont="1" applyBorder="1" applyAlignment="1">
      <alignment horizontal="center" vertical="center" wrapText="1"/>
    </xf>
    <xf numFmtId="199" fontId="36" fillId="0" borderId="16" xfId="16" applyNumberFormat="1" applyFont="1" applyBorder="1" applyAlignment="1">
      <alignment horizontal="center" vertical="center"/>
    </xf>
    <xf numFmtId="199" fontId="37" fillId="0" borderId="16" xfId="16" applyNumberFormat="1" applyFont="1" applyBorder="1" applyAlignment="1">
      <alignment horizontal="center" vertical="center"/>
    </xf>
    <xf numFmtId="199" fontId="32" fillId="0" borderId="16" xfId="16" applyNumberFormat="1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200" fontId="38" fillId="0" borderId="0" xfId="0" applyNumberFormat="1" applyFont="1"/>
    <xf numFmtId="0" fontId="38" fillId="0" borderId="0" xfId="0" applyFont="1"/>
    <xf numFmtId="0" fontId="38" fillId="0" borderId="0" xfId="0" applyFont="1" applyAlignment="1">
      <alignment horizontal="left"/>
    </xf>
    <xf numFmtId="10" fontId="38" fillId="0" borderId="0" xfId="17" applyNumberFormat="1" applyFont="1"/>
    <xf numFmtId="0" fontId="39" fillId="0" borderId="16" xfId="16" applyFont="1" applyBorder="1" applyAlignment="1">
      <alignment horizontal="center"/>
    </xf>
    <xf numFmtId="0" fontId="40" fillId="0" borderId="16" xfId="16" applyFont="1" applyBorder="1" applyAlignment="1">
      <alignment horizontal="center"/>
    </xf>
    <xf numFmtId="0" fontId="41" fillId="0" borderId="16" xfId="16" applyFont="1" applyBorder="1" applyAlignment="1">
      <alignment horizontal="center"/>
    </xf>
    <xf numFmtId="0" fontId="38" fillId="4" borderId="0" xfId="0" applyFont="1" applyFill="1"/>
    <xf numFmtId="0" fontId="38" fillId="4" borderId="0" xfId="0" applyFont="1" applyFill="1" applyAlignment="1">
      <alignment horizontal="left"/>
    </xf>
    <xf numFmtId="10" fontId="38" fillId="4" borderId="0" xfId="17" applyNumberFormat="1" applyFont="1" applyFill="1"/>
    <xf numFmtId="0" fontId="38" fillId="0" borderId="16" xfId="16" applyFont="1" applyBorder="1" applyAlignment="1">
      <alignment horizontal="center"/>
    </xf>
    <xf numFmtId="199" fontId="42" fillId="0" borderId="16" xfId="12" applyNumberFormat="1" applyFont="1" applyBorder="1" applyAlignment="1">
      <alignment horizontal="center"/>
    </xf>
    <xf numFmtId="199" fontId="43" fillId="0" borderId="16" xfId="12" applyNumberFormat="1" applyFont="1" applyBorder="1" applyAlignment="1">
      <alignment horizontal="center"/>
    </xf>
    <xf numFmtId="199" fontId="44" fillId="0" borderId="16" xfId="16" applyNumberFormat="1" applyFont="1" applyBorder="1" applyAlignment="1">
      <alignment horizontal="center"/>
    </xf>
    <xf numFmtId="201" fontId="45" fillId="0" borderId="0" xfId="0" applyNumberFormat="1" applyFont="1"/>
    <xf numFmtId="0" fontId="38" fillId="18" borderId="0" xfId="0" applyFont="1" applyFill="1"/>
    <xf numFmtId="0" fontId="38" fillId="18" borderId="0" xfId="0" applyFont="1" applyFill="1" applyAlignment="1">
      <alignment horizontal="left"/>
    </xf>
    <xf numFmtId="10" fontId="38" fillId="18" borderId="0" xfId="17" applyNumberFormat="1" applyFont="1" applyFill="1"/>
    <xf numFmtId="199" fontId="42" fillId="0" borderId="16" xfId="16" applyNumberFormat="1" applyFont="1" applyBorder="1" applyAlignment="1">
      <alignment horizontal="center"/>
    </xf>
    <xf numFmtId="199" fontId="43" fillId="0" borderId="16" xfId="16" applyNumberFormat="1" applyFont="1" applyBorder="1" applyAlignment="1">
      <alignment horizontal="center"/>
    </xf>
    <xf numFmtId="0" fontId="44" fillId="0" borderId="0" xfId="16" applyFont="1"/>
    <xf numFmtId="199" fontId="44" fillId="0" borderId="0" xfId="16" applyNumberFormat="1" applyFont="1"/>
    <xf numFmtId="0" fontId="39" fillId="0" borderId="0" xfId="0" applyFont="1" applyAlignment="1">
      <alignment horizontal="center"/>
    </xf>
    <xf numFmtId="0" fontId="42" fillId="0" borderId="0" xfId="16" applyFont="1"/>
    <xf numFmtId="199" fontId="42" fillId="0" borderId="0" xfId="16" applyNumberFormat="1" applyFont="1"/>
    <xf numFmtId="199" fontId="42" fillId="0" borderId="0" xfId="12" applyNumberFormat="1" applyFont="1"/>
    <xf numFmtId="0" fontId="43" fillId="0" borderId="0" xfId="16" applyFont="1"/>
    <xf numFmtId="199" fontId="43" fillId="0" borderId="0" xfId="16" applyNumberFormat="1" applyFont="1"/>
    <xf numFmtId="191" fontId="38" fillId="0" borderId="0" xfId="0" applyNumberFormat="1" applyFont="1" applyAlignment="1">
      <alignment horizontal="center"/>
    </xf>
    <xf numFmtId="17" fontId="35" fillId="0" borderId="0" xfId="16" applyNumberFormat="1" applyFont="1" applyAlignment="1">
      <alignment horizontal="center"/>
    </xf>
    <xf numFmtId="0" fontId="46" fillId="0" borderId="0" xfId="16" applyFont="1" applyAlignment="1">
      <alignment horizontal="center"/>
    </xf>
    <xf numFmtId="0" fontId="35" fillId="0" borderId="0" xfId="16" applyFont="1"/>
    <xf numFmtId="0" fontId="35" fillId="0" borderId="0" xfId="0" applyFont="1"/>
    <xf numFmtId="0" fontId="46" fillId="0" borderId="47" xfId="16" applyFont="1" applyBorder="1" applyAlignment="1">
      <alignment horizontal="center"/>
    </xf>
    <xf numFmtId="0" fontId="40" fillId="0" borderId="48" xfId="16" applyFont="1" applyBorder="1" applyAlignment="1">
      <alignment horizontal="center"/>
    </xf>
    <xf numFmtId="0" fontId="33" fillId="0" borderId="48" xfId="16" applyFont="1" applyBorder="1" applyAlignment="1">
      <alignment horizontal="center"/>
    </xf>
    <xf numFmtId="43" fontId="35" fillId="0" borderId="0" xfId="1" applyFont="1"/>
    <xf numFmtId="199" fontId="35" fillId="0" borderId="0" xfId="16" applyNumberFormat="1" applyFont="1"/>
    <xf numFmtId="0" fontId="35" fillId="0" borderId="0" xfId="16" applyFont="1" applyAlignment="1">
      <alignment horizontal="left"/>
    </xf>
    <xf numFmtId="199" fontId="35" fillId="0" borderId="0" xfId="12" applyNumberFormat="1" applyFont="1"/>
    <xf numFmtId="197" fontId="35" fillId="0" borderId="0" xfId="16" applyNumberFormat="1" applyFont="1"/>
    <xf numFmtId="10" fontId="35" fillId="0" borderId="0" xfId="12" applyNumberFormat="1" applyFont="1"/>
    <xf numFmtId="202" fontId="42" fillId="0" borderId="16" xfId="12" applyNumberFormat="1" applyFont="1" applyBorder="1" applyAlignment="1">
      <alignment horizontal="center"/>
    </xf>
    <xf numFmtId="191" fontId="42" fillId="0" borderId="16" xfId="16" applyNumberFormat="1" applyFont="1" applyBorder="1" applyAlignment="1">
      <alignment horizontal="center"/>
    </xf>
    <xf numFmtId="191" fontId="43" fillId="0" borderId="16" xfId="16" applyNumberFormat="1" applyFont="1" applyBorder="1" applyAlignment="1">
      <alignment horizontal="center"/>
    </xf>
    <xf numFmtId="191" fontId="43" fillId="0" borderId="16" xfId="12" applyNumberFormat="1" applyFont="1" applyBorder="1" applyAlignment="1">
      <alignment horizontal="center"/>
    </xf>
    <xf numFmtId="0" fontId="46" fillId="0" borderId="0" xfId="16" applyFont="1" applyAlignment="1">
      <alignment horizontal="center" vertical="center"/>
    </xf>
    <xf numFmtId="0" fontId="35" fillId="0" borderId="0" xfId="16" applyFont="1" applyAlignment="1">
      <alignment vertical="center"/>
    </xf>
    <xf numFmtId="0" fontId="29" fillId="0" borderId="0" xfId="16" quotePrefix="1" applyFont="1" applyAlignment="1">
      <alignment horizontal="right" vertical="center"/>
    </xf>
    <xf numFmtId="0" fontId="29" fillId="0" borderId="0" xfId="16" applyFont="1" applyAlignment="1">
      <alignment horizontal="right" vertical="center"/>
    </xf>
    <xf numFmtId="0" fontId="29" fillId="0" borderId="0" xfId="16" applyFont="1" applyAlignment="1">
      <alignment horizontal="center" vertical="center"/>
    </xf>
    <xf numFmtId="199" fontId="29" fillId="0" borderId="0" xfId="12" applyNumberFormat="1" applyFont="1" applyBorder="1" applyAlignment="1">
      <alignment horizontal="center" vertical="center"/>
    </xf>
    <xf numFmtId="43" fontId="46" fillId="0" borderId="0" xfId="1" applyFont="1" applyAlignment="1">
      <alignment horizontal="right" vertical="center"/>
    </xf>
    <xf numFmtId="0" fontId="46" fillId="0" borderId="0" xfId="16" applyFont="1" applyAlignment="1">
      <alignment vertical="center"/>
    </xf>
    <xf numFmtId="0" fontId="29" fillId="0" borderId="0" xfId="16" applyFont="1" applyAlignment="1">
      <alignment vertical="center"/>
    </xf>
    <xf numFmtId="0" fontId="24" fillId="0" borderId="16" xfId="16" applyFont="1" applyBorder="1" applyAlignment="1">
      <alignment horizontal="center"/>
    </xf>
    <xf numFmtId="199" fontId="25" fillId="0" borderId="16" xfId="16" applyNumberFormat="1" applyFont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20" borderId="16" xfId="0" applyFont="1" applyFill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203" fontId="50" fillId="0" borderId="16" xfId="0" applyNumberFormat="1" applyFont="1" applyBorder="1" applyAlignment="1">
      <alignment horizontal="center" vertical="center"/>
    </xf>
    <xf numFmtId="10" fontId="50" fillId="0" borderId="16" xfId="0" applyNumberFormat="1" applyFont="1" applyBorder="1" applyAlignment="1">
      <alignment horizontal="center" vertical="center"/>
    </xf>
    <xf numFmtId="199" fontId="50" fillId="0" borderId="0" xfId="0" applyNumberFormat="1" applyFont="1" applyAlignment="1">
      <alignment horizontal="center" vertical="center"/>
    </xf>
    <xf numFmtId="203" fontId="50" fillId="0" borderId="0" xfId="0" applyNumberFormat="1" applyFont="1" applyAlignment="1">
      <alignment horizontal="center" vertical="center"/>
    </xf>
    <xf numFmtId="10" fontId="50" fillId="0" borderId="0" xfId="0" applyNumberFormat="1" applyFont="1" applyAlignment="1">
      <alignment horizontal="center" vertical="center"/>
    </xf>
    <xf numFmtId="191" fontId="50" fillId="0" borderId="16" xfId="0" applyNumberFormat="1" applyFont="1" applyBorder="1" applyAlignment="1">
      <alignment horizontal="center" vertical="center"/>
    </xf>
    <xf numFmtId="0" fontId="52" fillId="19" borderId="16" xfId="0" applyFont="1" applyFill="1" applyBorder="1" applyAlignment="1">
      <alignment horizontal="center" vertical="center"/>
    </xf>
    <xf numFmtId="0" fontId="53" fillId="0" borderId="58" xfId="0" applyFont="1" applyBorder="1" applyAlignment="1">
      <alignment horizontal="center" vertical="center" wrapText="1"/>
    </xf>
    <xf numFmtId="0" fontId="53" fillId="0" borderId="59" xfId="0" applyFont="1" applyBorder="1" applyAlignment="1">
      <alignment horizontal="center" vertical="center" wrapText="1"/>
    </xf>
    <xf numFmtId="0" fontId="54" fillId="0" borderId="61" xfId="0" applyFont="1" applyBorder="1" applyAlignment="1">
      <alignment horizontal="center" vertical="center" wrapText="1"/>
    </xf>
    <xf numFmtId="3" fontId="55" fillId="0" borderId="61" xfId="0" applyNumberFormat="1" applyFont="1" applyBorder="1" applyAlignment="1">
      <alignment horizontal="center" vertical="center" wrapText="1"/>
    </xf>
    <xf numFmtId="2" fontId="55" fillId="0" borderId="61" xfId="0" applyNumberFormat="1" applyFont="1" applyBorder="1" applyAlignment="1">
      <alignment horizontal="center" vertical="center" wrapText="1"/>
    </xf>
    <xf numFmtId="3" fontId="56" fillId="0" borderId="61" xfId="0" applyNumberFormat="1" applyFont="1" applyBorder="1" applyAlignment="1">
      <alignment horizontal="center" vertical="center" wrapText="1"/>
    </xf>
    <xf numFmtId="2" fontId="56" fillId="0" borderId="61" xfId="0" applyNumberFormat="1" applyFont="1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15" fontId="56" fillId="0" borderId="61" xfId="0" applyNumberFormat="1" applyFont="1" applyBorder="1" applyAlignment="1">
      <alignment horizontal="center" vertical="center" wrapText="1"/>
    </xf>
    <xf numFmtId="203" fontId="50" fillId="21" borderId="16" xfId="0" applyNumberFormat="1" applyFont="1" applyFill="1" applyBorder="1" applyAlignment="1">
      <alignment horizontal="center" vertical="center"/>
    </xf>
    <xf numFmtId="204" fontId="55" fillId="0" borderId="61" xfId="0" applyNumberFormat="1" applyFont="1" applyBorder="1" applyAlignment="1">
      <alignment horizontal="center" vertical="center" wrapText="1"/>
    </xf>
    <xf numFmtId="10" fontId="56" fillId="0" borderId="61" xfId="0" applyNumberFormat="1" applyFont="1" applyBorder="1" applyAlignment="1">
      <alignment horizontal="center" vertical="center" wrapText="1"/>
    </xf>
    <xf numFmtId="203" fontId="57" fillId="0" borderId="16" xfId="0" applyNumberFormat="1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191" fontId="57" fillId="0" borderId="16" xfId="0" applyNumberFormat="1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191" fontId="58" fillId="0" borderId="16" xfId="0" applyNumberFormat="1" applyFont="1" applyBorder="1" applyAlignment="1">
      <alignment horizontal="center" vertical="center"/>
    </xf>
    <xf numFmtId="203" fontId="58" fillId="0" borderId="16" xfId="0" applyNumberFormat="1" applyFont="1" applyBorder="1" applyAlignment="1">
      <alignment horizontal="center" vertical="center"/>
    </xf>
    <xf numFmtId="10" fontId="58" fillId="0" borderId="16" xfId="0" applyNumberFormat="1" applyFont="1" applyBorder="1" applyAlignment="1">
      <alignment horizontal="center" vertical="center"/>
    </xf>
    <xf numFmtId="0" fontId="57" fillId="20" borderId="16" xfId="0" applyFont="1" applyFill="1" applyBorder="1" applyAlignment="1">
      <alignment horizontal="center" vertical="center"/>
    </xf>
    <xf numFmtId="0" fontId="50" fillId="20" borderId="16" xfId="0" applyFont="1" applyFill="1" applyBorder="1" applyAlignment="1">
      <alignment horizontal="center" vertical="center" wrapText="1"/>
    </xf>
    <xf numFmtId="0" fontId="59" fillId="5" borderId="46" xfId="0" applyFont="1" applyFill="1" applyBorder="1" applyAlignment="1">
      <alignment vertical="center"/>
    </xf>
    <xf numFmtId="191" fontId="59" fillId="5" borderId="16" xfId="0" applyNumberFormat="1" applyFont="1" applyFill="1" applyBorder="1" applyAlignment="1">
      <alignment horizontal="center" vertical="center"/>
    </xf>
    <xf numFmtId="0" fontId="59" fillId="3" borderId="16" xfId="0" applyFont="1" applyFill="1" applyBorder="1" applyAlignment="1">
      <alignment horizontal="center" vertical="center"/>
    </xf>
    <xf numFmtId="0" fontId="59" fillId="5" borderId="16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0" fillId="0" borderId="26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191" fontId="52" fillId="0" borderId="16" xfId="0" applyNumberFormat="1" applyFont="1" applyBorder="1" applyAlignment="1">
      <alignment horizontal="center" vertical="center"/>
    </xf>
    <xf numFmtId="0" fontId="57" fillId="0" borderId="26" xfId="0" applyFont="1" applyBorder="1" applyAlignment="1">
      <alignment horizontal="center" vertical="center"/>
    </xf>
    <xf numFmtId="191" fontId="50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0" fillId="0" borderId="48" xfId="0" applyFont="1" applyBorder="1" applyAlignment="1">
      <alignment horizontal="center" vertical="center"/>
    </xf>
    <xf numFmtId="2" fontId="50" fillId="0" borderId="16" xfId="0" applyNumberFormat="1" applyFont="1" applyBorder="1" applyAlignment="1">
      <alignment horizontal="center" vertical="center"/>
    </xf>
    <xf numFmtId="3" fontId="29" fillId="0" borderId="61" xfId="0" applyNumberFormat="1" applyFont="1" applyBorder="1" applyAlignment="1">
      <alignment horizontal="center" vertical="center" wrapText="1"/>
    </xf>
    <xf numFmtId="2" fontId="29" fillId="0" borderId="61" xfId="0" applyNumberFormat="1" applyFont="1" applyBorder="1" applyAlignment="1">
      <alignment horizontal="center" vertical="center" wrapText="1"/>
    </xf>
    <xf numFmtId="43" fontId="29" fillId="0" borderId="61" xfId="0" applyNumberFormat="1" applyFont="1" applyBorder="1" applyAlignment="1">
      <alignment vertical="center" wrapText="1"/>
    </xf>
    <xf numFmtId="4" fontId="29" fillId="0" borderId="61" xfId="0" applyNumberFormat="1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8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191" fontId="50" fillId="0" borderId="4" xfId="0" applyNumberFormat="1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191" fontId="57" fillId="0" borderId="4" xfId="0" applyNumberFormat="1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191" fontId="12" fillId="0" borderId="63" xfId="0" applyNumberFormat="1" applyFont="1" applyBorder="1" applyAlignment="1">
      <alignment horizontal="center" vertical="center"/>
    </xf>
    <xf numFmtId="0" fontId="10" fillId="6" borderId="32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1" fontId="13" fillId="4" borderId="39" xfId="0" applyNumberFormat="1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 vertical="center"/>
    </xf>
    <xf numFmtId="1" fontId="12" fillId="7" borderId="13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191" fontId="12" fillId="0" borderId="12" xfId="0" applyNumberFormat="1" applyFont="1" applyBorder="1" applyAlignment="1">
      <alignment horizontal="center" vertical="center"/>
    </xf>
    <xf numFmtId="191" fontId="12" fillId="0" borderId="67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vertical="center"/>
    </xf>
    <xf numFmtId="2" fontId="15" fillId="8" borderId="4" xfId="0" applyNumberFormat="1" applyFont="1" applyFill="1" applyBorder="1" applyAlignment="1">
      <alignment vertical="center"/>
    </xf>
    <xf numFmtId="2" fontId="15" fillId="17" borderId="4" xfId="0" applyNumberFormat="1" applyFont="1" applyFill="1" applyBorder="1" applyAlignment="1">
      <alignment vertical="center"/>
    </xf>
    <xf numFmtId="191" fontId="12" fillId="0" borderId="68" xfId="0" applyNumberFormat="1" applyFont="1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1" fontId="12" fillId="13" borderId="41" xfId="0" applyNumberFormat="1" applyFont="1" applyFill="1" applyBorder="1" applyAlignment="1">
      <alignment horizontal="center" vertical="center"/>
    </xf>
    <xf numFmtId="0" fontId="27" fillId="13" borderId="0" xfId="0" applyFont="1" applyFill="1" applyAlignment="1">
      <alignment horizontal="centerContinuous" vertical="center"/>
    </xf>
    <xf numFmtId="0" fontId="10" fillId="13" borderId="0" xfId="0" applyFont="1" applyFill="1"/>
    <xf numFmtId="0" fontId="61" fillId="0" borderId="0" xfId="0" applyFont="1"/>
    <xf numFmtId="0" fontId="61" fillId="0" borderId="16" xfId="0" applyFont="1" applyBorder="1" applyAlignment="1">
      <alignment horizontal="center" vertical="center" wrapText="1"/>
    </xf>
    <xf numFmtId="0" fontId="61" fillId="0" borderId="16" xfId="0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/>
    <xf numFmtId="0" fontId="62" fillId="0" borderId="16" xfId="0" applyFont="1" applyBorder="1" applyAlignment="1">
      <alignment horizontal="center" vertical="center"/>
    </xf>
    <xf numFmtId="0" fontId="61" fillId="0" borderId="0" xfId="0" quotePrefix="1" applyFont="1"/>
    <xf numFmtId="0" fontId="61" fillId="0" borderId="16" xfId="0" applyFont="1" applyBorder="1"/>
    <xf numFmtId="0" fontId="61" fillId="0" borderId="40" xfId="0" applyFont="1" applyBorder="1"/>
    <xf numFmtId="0" fontId="61" fillId="0" borderId="34" xfId="0" applyFont="1" applyBorder="1"/>
    <xf numFmtId="0" fontId="61" fillId="0" borderId="0" xfId="0" applyFont="1" applyAlignment="1">
      <alignment horizontal="center"/>
    </xf>
    <xf numFmtId="0" fontId="61" fillId="0" borderId="47" xfId="0" applyFont="1" applyBorder="1" applyAlignment="1">
      <alignment horizontal="center"/>
    </xf>
    <xf numFmtId="0" fontId="61" fillId="0" borderId="26" xfId="0" applyFont="1" applyBorder="1" applyAlignment="1">
      <alignment horizontal="center"/>
    </xf>
    <xf numFmtId="205" fontId="61" fillId="0" borderId="26" xfId="0" applyNumberFormat="1" applyFont="1" applyBorder="1" applyAlignment="1">
      <alignment horizontal="center"/>
    </xf>
    <xf numFmtId="0" fontId="61" fillId="0" borderId="48" xfId="0" applyFont="1" applyBorder="1" applyAlignment="1">
      <alignment horizontal="center"/>
    </xf>
    <xf numFmtId="0" fontId="61" fillId="0" borderId="47" xfId="0" applyFont="1" applyBorder="1"/>
    <xf numFmtId="0" fontId="61" fillId="0" borderId="26" xfId="0" applyFont="1" applyBorder="1"/>
    <xf numFmtId="0" fontId="61" fillId="0" borderId="26" xfId="0" quotePrefix="1" applyFont="1" applyBorder="1"/>
    <xf numFmtId="0" fontId="61" fillId="0" borderId="48" xfId="0" applyFont="1" applyBorder="1"/>
    <xf numFmtId="0" fontId="61" fillId="0" borderId="0" xfId="0" applyFont="1" applyAlignment="1">
      <alignment horizontal="right"/>
    </xf>
    <xf numFmtId="0" fontId="61" fillId="0" borderId="47" xfId="0" applyFont="1" applyBorder="1" applyAlignment="1">
      <alignment horizontal="center" vertical="center"/>
    </xf>
    <xf numFmtId="0" fontId="61" fillId="0" borderId="26" xfId="0" applyFont="1" applyBorder="1" applyAlignment="1">
      <alignment horizontal="center" vertical="center"/>
    </xf>
    <xf numFmtId="0" fontId="61" fillId="0" borderId="48" xfId="0" applyFont="1" applyBorder="1" applyAlignment="1">
      <alignment horizontal="center" vertical="center"/>
    </xf>
    <xf numFmtId="0" fontId="61" fillId="0" borderId="0" xfId="0" applyFont="1" applyAlignment="1">
      <alignment horizontal="right" vertical="center"/>
    </xf>
    <xf numFmtId="49" fontId="61" fillId="0" borderId="40" xfId="0" applyNumberFormat="1" applyFont="1" applyBorder="1" applyAlignment="1">
      <alignment horizontal="right" vertical="center"/>
    </xf>
    <xf numFmtId="49" fontId="61" fillId="0" borderId="0" xfId="0" applyNumberFormat="1" applyFont="1" applyAlignment="1">
      <alignment horizontal="right" vertical="center"/>
    </xf>
    <xf numFmtId="49" fontId="61" fillId="0" borderId="34" xfId="0" applyNumberFormat="1" applyFont="1" applyBorder="1" applyAlignment="1">
      <alignment horizontal="right" vertical="center"/>
    </xf>
    <xf numFmtId="49" fontId="61" fillId="0" borderId="0" xfId="0" applyNumberFormat="1" applyFont="1" applyAlignment="1">
      <alignment horizontal="center"/>
    </xf>
    <xf numFmtId="49" fontId="62" fillId="0" borderId="16" xfId="0" applyNumberFormat="1" applyFont="1" applyBorder="1" applyAlignment="1">
      <alignment horizontal="center" vertical="center"/>
    </xf>
    <xf numFmtId="49" fontId="61" fillId="0" borderId="40" xfId="0" applyNumberFormat="1" applyFont="1" applyBorder="1" applyAlignment="1">
      <alignment horizontal="center"/>
    </xf>
    <xf numFmtId="49" fontId="61" fillId="0" borderId="34" xfId="0" applyNumberFormat="1" applyFont="1" applyBorder="1" applyAlignment="1">
      <alignment horizontal="center"/>
    </xf>
    <xf numFmtId="4" fontId="61" fillId="0" borderId="0" xfId="0" applyNumberFormat="1" applyFont="1"/>
    <xf numFmtId="4" fontId="62" fillId="0" borderId="16" xfId="0" applyNumberFormat="1" applyFont="1" applyBorder="1" applyAlignment="1">
      <alignment horizontal="center" vertical="center"/>
    </xf>
    <xf numFmtId="4" fontId="61" fillId="0" borderId="16" xfId="0" applyNumberFormat="1" applyFont="1" applyBorder="1" applyAlignment="1">
      <alignment horizontal="center" vertical="center" wrapText="1"/>
    </xf>
    <xf numFmtId="4" fontId="61" fillId="0" borderId="47" xfId="0" applyNumberFormat="1" applyFont="1" applyBorder="1"/>
    <xf numFmtId="4" fontId="61" fillId="0" borderId="26" xfId="0" applyNumberFormat="1" applyFont="1" applyBorder="1"/>
    <xf numFmtId="4" fontId="61" fillId="0" borderId="48" xfId="0" applyNumberFormat="1" applyFont="1" applyBorder="1"/>
    <xf numFmtId="49" fontId="61" fillId="0" borderId="16" xfId="0" applyNumberFormat="1" applyFont="1" applyBorder="1" applyAlignment="1">
      <alignment horizontal="center"/>
    </xf>
    <xf numFmtId="4" fontId="61" fillId="0" borderId="16" xfId="0" applyNumberFormat="1" applyFont="1" applyBorder="1"/>
    <xf numFmtId="49" fontId="61" fillId="0" borderId="16" xfId="0" applyNumberFormat="1" applyFont="1" applyBorder="1" applyAlignment="1">
      <alignment horizontal="right" vertical="center"/>
    </xf>
    <xf numFmtId="49" fontId="61" fillId="0" borderId="3" xfId="0" applyNumberFormat="1" applyFont="1" applyBorder="1" applyAlignment="1">
      <alignment horizontal="right" vertical="center"/>
    </xf>
    <xf numFmtId="49" fontId="61" fillId="0" borderId="3" xfId="0" applyNumberFormat="1" applyFont="1" applyBorder="1" applyAlignment="1">
      <alignment horizontal="center"/>
    </xf>
    <xf numFmtId="0" fontId="61" fillId="0" borderId="3" xfId="0" applyFont="1" applyBorder="1"/>
    <xf numFmtId="4" fontId="61" fillId="0" borderId="20" xfId="0" applyNumberFormat="1" applyFont="1" applyBorder="1"/>
    <xf numFmtId="4" fontId="61" fillId="0" borderId="2" xfId="0" applyNumberFormat="1" applyFont="1" applyBorder="1"/>
    <xf numFmtId="4" fontId="61" fillId="0" borderId="26" xfId="0" applyNumberFormat="1" applyFont="1" applyBorder="1" applyAlignment="1">
      <alignment horizontal="center"/>
    </xf>
    <xf numFmtId="0" fontId="63" fillId="0" borderId="16" xfId="0" applyFont="1" applyBorder="1"/>
    <xf numFmtId="0" fontId="63" fillId="0" borderId="16" xfId="0" applyFont="1" applyBorder="1" applyAlignment="1">
      <alignment horizontal="left" vertical="center"/>
    </xf>
    <xf numFmtId="49" fontId="61" fillId="0" borderId="26" xfId="0" applyNumberFormat="1" applyFont="1" applyBorder="1" applyAlignment="1">
      <alignment horizontal="right" vertical="center"/>
    </xf>
    <xf numFmtId="49" fontId="61" fillId="0" borderId="26" xfId="0" quotePrefix="1" applyNumberFormat="1" applyFont="1" applyBorder="1" applyAlignment="1">
      <alignment horizontal="right" vertical="center"/>
    </xf>
    <xf numFmtId="0" fontId="62" fillId="0" borderId="0" xfId="0" applyFont="1" applyAlignment="1">
      <alignment horizontal="left"/>
    </xf>
    <xf numFmtId="49" fontId="61" fillId="0" borderId="26" xfId="0" applyNumberFormat="1" applyFont="1" applyBorder="1" applyAlignment="1">
      <alignment horizontal="center"/>
    </xf>
    <xf numFmtId="49" fontId="61" fillId="0" borderId="3" xfId="0" applyNumberFormat="1" applyFont="1" applyBorder="1"/>
    <xf numFmtId="49" fontId="61" fillId="0" borderId="26" xfId="0" quotePrefix="1" applyNumberFormat="1" applyFont="1" applyBorder="1" applyAlignment="1">
      <alignment horizontal="right"/>
    </xf>
    <xf numFmtId="49" fontId="61" fillId="0" borderId="26" xfId="0" quotePrefix="1" applyNumberFormat="1" applyFont="1" applyBorder="1" applyAlignment="1">
      <alignment horizontal="center" vertical="center"/>
    </xf>
    <xf numFmtId="49" fontId="61" fillId="0" borderId="47" xfId="0" applyNumberFormat="1" applyFont="1" applyBorder="1" applyAlignment="1">
      <alignment horizontal="right" vertical="center"/>
    </xf>
    <xf numFmtId="0" fontId="61" fillId="0" borderId="2" xfId="0" applyFont="1" applyBorder="1"/>
    <xf numFmtId="49" fontId="62" fillId="0" borderId="26" xfId="0" applyNumberFormat="1" applyFont="1" applyBorder="1" applyAlignment="1">
      <alignment horizontal="center"/>
    </xf>
    <xf numFmtId="0" fontId="62" fillId="0" borderId="0" xfId="0" quotePrefix="1" applyFont="1"/>
    <xf numFmtId="0" fontId="61" fillId="0" borderId="47" xfId="0" applyFont="1" applyBorder="1" applyAlignment="1">
      <alignment horizontal="right"/>
    </xf>
    <xf numFmtId="0" fontId="61" fillId="0" borderId="26" xfId="0" applyFont="1" applyBorder="1" applyAlignment="1">
      <alignment horizontal="right"/>
    </xf>
    <xf numFmtId="4" fontId="61" fillId="0" borderId="26" xfId="0" applyNumberFormat="1" applyFont="1" applyBorder="1" applyAlignment="1">
      <alignment horizontal="right"/>
    </xf>
    <xf numFmtId="4" fontId="61" fillId="0" borderId="26" xfId="0" quotePrefix="1" applyNumberFormat="1" applyFont="1" applyBorder="1" applyAlignment="1">
      <alignment horizontal="right"/>
    </xf>
    <xf numFmtId="0" fontId="61" fillId="0" borderId="48" xfId="0" applyFont="1" applyBorder="1" applyAlignment="1">
      <alignment horizontal="right"/>
    </xf>
    <xf numFmtId="4" fontId="61" fillId="0" borderId="16" xfId="0" applyNumberFormat="1" applyFont="1" applyBorder="1" applyAlignment="1">
      <alignment horizontal="right"/>
    </xf>
    <xf numFmtId="4" fontId="61" fillId="0" borderId="47" xfId="0" applyNumberFormat="1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205" fontId="61" fillId="0" borderId="16" xfId="0" applyNumberFormat="1" applyFont="1" applyBorder="1" applyAlignment="1">
      <alignment horizontal="center"/>
    </xf>
    <xf numFmtId="49" fontId="62" fillId="0" borderId="16" xfId="0" applyNumberFormat="1" applyFont="1" applyBorder="1" applyAlignment="1">
      <alignment horizontal="center"/>
    </xf>
    <xf numFmtId="0" fontId="62" fillId="0" borderId="16" xfId="0" applyFont="1" applyBorder="1"/>
    <xf numFmtId="0" fontId="62" fillId="0" borderId="16" xfId="0" applyFont="1" applyBorder="1" applyAlignment="1">
      <alignment horizontal="center" vertical="center" wrapText="1"/>
    </xf>
    <xf numFmtId="4" fontId="61" fillId="0" borderId="16" xfId="0" applyNumberFormat="1" applyFont="1" applyBorder="1" applyAlignment="1">
      <alignment horizontal="center" vertical="center"/>
    </xf>
    <xf numFmtId="0" fontId="61" fillId="0" borderId="16" xfId="0" applyFont="1" applyBorder="1" applyAlignment="1">
      <alignment wrapText="1"/>
    </xf>
    <xf numFmtId="195" fontId="64" fillId="0" borderId="0" xfId="0" applyNumberFormat="1" applyFont="1" applyAlignment="1">
      <alignment vertical="center"/>
    </xf>
    <xf numFmtId="193" fontId="65" fillId="0" borderId="0" xfId="0" applyNumberFormat="1" applyFont="1" applyAlignment="1">
      <alignment vertical="center"/>
    </xf>
    <xf numFmtId="0" fontId="66" fillId="0" borderId="33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41" fontId="12" fillId="7" borderId="12" xfId="0" applyNumberFormat="1" applyFont="1" applyFill="1" applyBorder="1" applyAlignment="1">
      <alignment horizontal="center" vertical="center"/>
    </xf>
    <xf numFmtId="41" fontId="12" fillId="7" borderId="13" xfId="0" applyNumberFormat="1" applyFont="1" applyFill="1" applyBorder="1" applyAlignment="1">
      <alignment horizontal="center" vertical="center"/>
    </xf>
    <xf numFmtId="41" fontId="12" fillId="7" borderId="39" xfId="0" applyNumberFormat="1" applyFont="1" applyFill="1" applyBorder="1" applyAlignment="1">
      <alignment horizontal="center" vertical="center"/>
    </xf>
    <xf numFmtId="3" fontId="12" fillId="7" borderId="12" xfId="0" applyNumberFormat="1" applyFont="1" applyFill="1" applyBorder="1" applyAlignment="1">
      <alignment horizontal="center" vertical="center"/>
    </xf>
    <xf numFmtId="3" fontId="12" fillId="7" borderId="13" xfId="0" applyNumberFormat="1" applyFont="1" applyFill="1" applyBorder="1" applyAlignment="1">
      <alignment horizontal="center" vertical="center"/>
    </xf>
    <xf numFmtId="3" fontId="12" fillId="7" borderId="39" xfId="0" applyNumberFormat="1" applyFont="1" applyFill="1" applyBorder="1" applyAlignment="1">
      <alignment horizontal="center" vertical="center"/>
    </xf>
    <xf numFmtId="1" fontId="13" fillId="14" borderId="51" xfId="0" applyNumberFormat="1" applyFont="1" applyFill="1" applyBorder="1" applyAlignment="1">
      <alignment horizontal="center" vertical="center"/>
    </xf>
    <xf numFmtId="1" fontId="13" fillId="14" borderId="34" xfId="0" applyNumberFormat="1" applyFont="1" applyFill="1" applyBorder="1" applyAlignment="1">
      <alignment horizontal="center" vertical="center"/>
    </xf>
    <xf numFmtId="1" fontId="13" fillId="14" borderId="73" xfId="0" applyNumberFormat="1" applyFont="1" applyFill="1" applyBorder="1" applyAlignment="1">
      <alignment horizontal="center" vertical="center"/>
    </xf>
    <xf numFmtId="1" fontId="13" fillId="14" borderId="74" xfId="0" applyNumberFormat="1" applyFont="1" applyFill="1" applyBorder="1" applyAlignment="1">
      <alignment horizontal="center" vertical="center"/>
    </xf>
    <xf numFmtId="1" fontId="13" fillId="14" borderId="23" xfId="0" applyNumberFormat="1" applyFont="1" applyFill="1" applyBorder="1" applyAlignment="1">
      <alignment horizontal="center" vertical="center"/>
    </xf>
    <xf numFmtId="1" fontId="13" fillId="14" borderId="75" xfId="0" applyNumberFormat="1" applyFont="1" applyFill="1" applyBorder="1" applyAlignment="1">
      <alignment horizontal="center" vertical="center"/>
    </xf>
    <xf numFmtId="0" fontId="27" fillId="14" borderId="49" xfId="0" applyFont="1" applyFill="1" applyBorder="1" applyAlignment="1">
      <alignment vertical="center"/>
    </xf>
    <xf numFmtId="0" fontId="27" fillId="14" borderId="50" xfId="0" applyFont="1" applyFill="1" applyBorder="1" applyAlignment="1">
      <alignment vertical="center"/>
    </xf>
    <xf numFmtId="0" fontId="67" fillId="2" borderId="27" xfId="0" applyFont="1" applyFill="1" applyBorder="1" applyAlignment="1">
      <alignment horizontal="center" vertical="center"/>
    </xf>
    <xf numFmtId="0" fontId="67" fillId="2" borderId="21" xfId="0" applyFont="1" applyFill="1" applyBorder="1" applyAlignment="1">
      <alignment horizontal="center" vertical="center"/>
    </xf>
    <xf numFmtId="0" fontId="67" fillId="2" borderId="22" xfId="0" applyFont="1" applyFill="1" applyBorder="1" applyAlignment="1">
      <alignment horizontal="center" vertical="center"/>
    </xf>
    <xf numFmtId="0" fontId="67" fillId="2" borderId="24" xfId="0" applyFont="1" applyFill="1" applyBorder="1" applyAlignment="1">
      <alignment horizontal="center" vertical="center"/>
    </xf>
    <xf numFmtId="0" fontId="67" fillId="2" borderId="37" xfId="0" applyFont="1" applyFill="1" applyBorder="1" applyAlignment="1">
      <alignment horizontal="center" vertical="center"/>
    </xf>
    <xf numFmtId="0" fontId="67" fillId="2" borderId="25" xfId="0" applyFont="1" applyFill="1" applyBorder="1" applyAlignment="1">
      <alignment horizontal="center" vertical="center"/>
    </xf>
    <xf numFmtId="0" fontId="67" fillId="2" borderId="41" xfId="0" applyFont="1" applyFill="1" applyBorder="1" applyAlignment="1">
      <alignment horizontal="center" vertical="center"/>
    </xf>
    <xf numFmtId="191" fontId="68" fillId="0" borderId="28" xfId="0" applyNumberFormat="1" applyFont="1" applyBorder="1" applyAlignment="1">
      <alignment horizontal="center" vertical="center"/>
    </xf>
    <xf numFmtId="191" fontId="68" fillId="0" borderId="18" xfId="0" applyNumberFormat="1" applyFont="1" applyBorder="1" applyAlignment="1">
      <alignment horizontal="center" vertical="center"/>
    </xf>
    <xf numFmtId="191" fontId="68" fillId="0" borderId="19" xfId="0" applyNumberFormat="1" applyFont="1" applyBorder="1" applyAlignment="1">
      <alignment horizontal="center" vertical="center"/>
    </xf>
    <xf numFmtId="1" fontId="68" fillId="0" borderId="28" xfId="0" applyNumberFormat="1" applyFont="1" applyBorder="1" applyAlignment="1">
      <alignment horizontal="center" vertical="center"/>
    </xf>
    <xf numFmtId="1" fontId="68" fillId="0" borderId="18" xfId="0" applyNumberFormat="1" applyFont="1" applyBorder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191" fontId="68" fillId="0" borderId="29" xfId="0" applyNumberFormat="1" applyFont="1" applyBorder="1" applyAlignment="1">
      <alignment horizontal="center" vertical="center"/>
    </xf>
    <xf numFmtId="191" fontId="68" fillId="0" borderId="14" xfId="0" applyNumberFormat="1" applyFont="1" applyBorder="1" applyAlignment="1">
      <alignment horizontal="center" vertical="center"/>
    </xf>
    <xf numFmtId="191" fontId="68" fillId="0" borderId="15" xfId="0" applyNumberFormat="1" applyFont="1" applyBorder="1" applyAlignment="1">
      <alignment horizontal="center" vertical="center"/>
    </xf>
    <xf numFmtId="1" fontId="68" fillId="0" borderId="14" xfId="0" applyNumberFormat="1" applyFont="1" applyBorder="1" applyAlignment="1">
      <alignment horizontal="center" vertical="center"/>
    </xf>
    <xf numFmtId="1" fontId="68" fillId="0" borderId="15" xfId="0" applyNumberFormat="1" applyFont="1" applyBorder="1" applyAlignment="1">
      <alignment horizontal="center" vertical="center"/>
    </xf>
    <xf numFmtId="1" fontId="68" fillId="0" borderId="29" xfId="0" applyNumberFormat="1" applyFont="1" applyBorder="1" applyAlignment="1">
      <alignment horizontal="center" vertical="center"/>
    </xf>
    <xf numFmtId="191" fontId="68" fillId="0" borderId="64" xfId="0" applyNumberFormat="1" applyFont="1" applyBorder="1" applyAlignment="1">
      <alignment horizontal="center" vertical="center"/>
    </xf>
    <xf numFmtId="191" fontId="68" fillId="0" borderId="63" xfId="0" applyNumberFormat="1" applyFont="1" applyBorder="1" applyAlignment="1">
      <alignment horizontal="center" vertical="center"/>
    </xf>
    <xf numFmtId="191" fontId="68" fillId="0" borderId="27" xfId="0" applyNumberFormat="1" applyFont="1" applyBorder="1" applyAlignment="1">
      <alignment horizontal="center" vertical="center"/>
    </xf>
    <xf numFmtId="191" fontId="68" fillId="0" borderId="21" xfId="0" applyNumberFormat="1" applyFont="1" applyBorder="1" applyAlignment="1">
      <alignment horizontal="center" vertical="center"/>
    </xf>
    <xf numFmtId="191" fontId="68" fillId="0" borderId="22" xfId="0" applyNumberFormat="1" applyFont="1" applyBorder="1" applyAlignment="1">
      <alignment horizontal="center" vertical="center"/>
    </xf>
    <xf numFmtId="1" fontId="68" fillId="0" borderId="21" xfId="0" applyNumberFormat="1" applyFont="1" applyBorder="1" applyAlignment="1">
      <alignment horizontal="center" vertical="center"/>
    </xf>
    <xf numFmtId="1" fontId="68" fillId="0" borderId="27" xfId="0" applyNumberFormat="1" applyFont="1" applyBorder="1" applyAlignment="1">
      <alignment horizontal="center" vertical="center"/>
    </xf>
    <xf numFmtId="1" fontId="68" fillId="0" borderId="22" xfId="0" applyNumberFormat="1" applyFont="1" applyBorder="1" applyAlignment="1">
      <alignment horizontal="center" vertical="center"/>
    </xf>
    <xf numFmtId="191" fontId="68" fillId="0" borderId="41" xfId="0" applyNumberFormat="1" applyFont="1" applyBorder="1" applyAlignment="1">
      <alignment horizontal="center" vertical="center"/>
    </xf>
    <xf numFmtId="1" fontId="68" fillId="0" borderId="69" xfId="0" applyNumberFormat="1" applyFont="1" applyBorder="1" applyAlignment="1">
      <alignment horizontal="center" vertical="center"/>
    </xf>
    <xf numFmtId="1" fontId="68" fillId="0" borderId="70" xfId="0" applyNumberFormat="1" applyFont="1" applyBorder="1" applyAlignment="1">
      <alignment horizontal="center" vertical="center"/>
    </xf>
    <xf numFmtId="1" fontId="68" fillId="0" borderId="63" xfId="0" applyNumberFormat="1" applyFont="1" applyBorder="1" applyAlignment="1">
      <alignment horizontal="center" vertical="center"/>
    </xf>
    <xf numFmtId="1" fontId="68" fillId="0" borderId="64" xfId="0" applyNumberFormat="1" applyFont="1" applyBorder="1" applyAlignment="1">
      <alignment horizontal="center" vertical="center"/>
    </xf>
    <xf numFmtId="192" fontId="68" fillId="0" borderId="28" xfId="0" applyNumberFormat="1" applyFont="1" applyBorder="1" applyAlignment="1">
      <alignment horizontal="center" vertical="center"/>
    </xf>
    <xf numFmtId="192" fontId="68" fillId="0" borderId="18" xfId="0" applyNumberFormat="1" applyFont="1" applyBorder="1" applyAlignment="1">
      <alignment horizontal="center" vertical="center"/>
    </xf>
    <xf numFmtId="192" fontId="68" fillId="0" borderId="27" xfId="0" applyNumberFormat="1" applyFont="1" applyBorder="1" applyAlignment="1">
      <alignment horizontal="center" vertical="center"/>
    </xf>
    <xf numFmtId="192" fontId="68" fillId="0" borderId="21" xfId="0" applyNumberFormat="1" applyFont="1" applyBorder="1" applyAlignment="1">
      <alignment horizontal="center" vertical="center"/>
    </xf>
    <xf numFmtId="192" fontId="68" fillId="0" borderId="29" xfId="0" applyNumberFormat="1" applyFont="1" applyBorder="1" applyAlignment="1">
      <alignment horizontal="center" vertical="center"/>
    </xf>
    <xf numFmtId="192" fontId="68" fillId="0" borderId="14" xfId="0" applyNumberFormat="1" applyFont="1" applyBorder="1" applyAlignment="1">
      <alignment horizontal="center" vertical="center"/>
    </xf>
    <xf numFmtId="1" fontId="68" fillId="0" borderId="41" xfId="0" applyNumberFormat="1" applyFont="1" applyBorder="1" applyAlignment="1">
      <alignment horizontal="center" vertical="center"/>
    </xf>
    <xf numFmtId="191" fontId="68" fillId="2" borderId="37" xfId="0" applyNumberFormat="1" applyFont="1" applyFill="1" applyBorder="1" applyAlignment="1">
      <alignment horizontal="center" vertical="center"/>
    </xf>
    <xf numFmtId="191" fontId="68" fillId="2" borderId="24" xfId="0" applyNumberFormat="1" applyFont="1" applyFill="1" applyBorder="1" applyAlignment="1">
      <alignment horizontal="center" vertical="center"/>
    </xf>
    <xf numFmtId="191" fontId="68" fillId="2" borderId="25" xfId="0" applyNumberFormat="1" applyFont="1" applyFill="1" applyBorder="1" applyAlignment="1">
      <alignment horizontal="center" vertical="center"/>
    </xf>
    <xf numFmtId="191" fontId="68" fillId="2" borderId="33" xfId="0" applyNumberFormat="1" applyFont="1" applyFill="1" applyBorder="1" applyAlignment="1">
      <alignment horizontal="center" vertical="center"/>
    </xf>
    <xf numFmtId="191" fontId="68" fillId="2" borderId="27" xfId="0" applyNumberFormat="1" applyFont="1" applyFill="1" applyBorder="1" applyAlignment="1">
      <alignment horizontal="center" vertical="center"/>
    </xf>
    <xf numFmtId="191" fontId="68" fillId="2" borderId="21" xfId="0" applyNumberFormat="1" applyFont="1" applyFill="1" applyBorder="1" applyAlignment="1">
      <alignment horizontal="center" vertical="center"/>
    </xf>
    <xf numFmtId="191" fontId="68" fillId="2" borderId="22" xfId="0" applyNumberFormat="1" applyFont="1" applyFill="1" applyBorder="1" applyAlignment="1">
      <alignment horizontal="center" vertical="center"/>
    </xf>
    <xf numFmtId="191" fontId="68" fillId="2" borderId="41" xfId="0" applyNumberFormat="1" applyFont="1" applyFill="1" applyBorder="1" applyAlignment="1">
      <alignment horizontal="center" vertical="center"/>
    </xf>
    <xf numFmtId="1" fontId="68" fillId="0" borderId="72" xfId="0" applyNumberFormat="1" applyFont="1" applyBorder="1" applyAlignment="1">
      <alignment horizontal="center" vertical="center"/>
    </xf>
    <xf numFmtId="1" fontId="68" fillId="0" borderId="71" xfId="0" applyNumberFormat="1" applyFont="1" applyBorder="1" applyAlignment="1">
      <alignment horizontal="center" vertical="center"/>
    </xf>
    <xf numFmtId="1" fontId="68" fillId="12" borderId="18" xfId="0" applyNumberFormat="1" applyFont="1" applyFill="1" applyBorder="1" applyAlignment="1">
      <alignment horizontal="center" vertical="center"/>
    </xf>
    <xf numFmtId="1" fontId="68" fillId="0" borderId="65" xfId="0" applyNumberFormat="1" applyFont="1" applyBorder="1" applyAlignment="1">
      <alignment horizontal="center" vertical="center"/>
    </xf>
    <xf numFmtId="191" fontId="68" fillId="2" borderId="15" xfId="0" applyNumberFormat="1" applyFont="1" applyFill="1" applyBorder="1" applyAlignment="1">
      <alignment horizontal="center" vertical="center"/>
    </xf>
    <xf numFmtId="1" fontId="68" fillId="2" borderId="25" xfId="0" applyNumberFormat="1" applyFont="1" applyFill="1" applyBorder="1" applyAlignment="1">
      <alignment horizontal="center" vertical="center"/>
    </xf>
    <xf numFmtId="1" fontId="68" fillId="2" borderId="37" xfId="0" applyNumberFormat="1" applyFont="1" applyFill="1" applyBorder="1" applyAlignment="1">
      <alignment horizontal="center" vertical="center"/>
    </xf>
    <xf numFmtId="1" fontId="68" fillId="2" borderId="24" xfId="0" applyNumberFormat="1" applyFont="1" applyFill="1" applyBorder="1" applyAlignment="1">
      <alignment horizontal="center" vertical="center"/>
    </xf>
    <xf numFmtId="191" fontId="68" fillId="2" borderId="29" xfId="0" applyNumberFormat="1" applyFont="1" applyFill="1" applyBorder="1" applyAlignment="1">
      <alignment horizontal="center" vertical="center"/>
    </xf>
    <xf numFmtId="191" fontId="68" fillId="2" borderId="14" xfId="0" applyNumberFormat="1" applyFont="1" applyFill="1" applyBorder="1" applyAlignment="1">
      <alignment horizontal="center" vertical="center"/>
    </xf>
    <xf numFmtId="1" fontId="68" fillId="2" borderId="15" xfId="0" applyNumberFormat="1" applyFont="1" applyFill="1" applyBorder="1" applyAlignment="1">
      <alignment horizontal="center" vertical="center"/>
    </xf>
    <xf numFmtId="1" fontId="68" fillId="2" borderId="29" xfId="0" applyNumberFormat="1" applyFont="1" applyFill="1" applyBorder="1" applyAlignment="1">
      <alignment horizontal="center" vertical="center"/>
    </xf>
    <xf numFmtId="1" fontId="68" fillId="2" borderId="14" xfId="0" applyNumberFormat="1" applyFont="1" applyFill="1" applyBorder="1" applyAlignment="1">
      <alignment horizontal="center" vertical="center"/>
    </xf>
    <xf numFmtId="191" fontId="68" fillId="2" borderId="64" xfId="0" applyNumberFormat="1" applyFont="1" applyFill="1" applyBorder="1" applyAlignment="1">
      <alignment horizontal="center" vertical="center"/>
    </xf>
    <xf numFmtId="1" fontId="68" fillId="0" borderId="66" xfId="0" applyNumberFormat="1" applyFont="1" applyBorder="1" applyAlignment="1">
      <alignment horizontal="center" vertical="center"/>
    </xf>
    <xf numFmtId="187" fontId="7" fillId="6" borderId="30" xfId="0" applyNumberFormat="1" applyFont="1" applyFill="1" applyBorder="1" applyAlignment="1">
      <alignment horizontal="center" vertical="center"/>
    </xf>
    <xf numFmtId="187" fontId="7" fillId="6" borderId="31" xfId="0" applyNumberFormat="1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193" fontId="69" fillId="9" borderId="47" xfId="0" applyNumberFormat="1" applyFont="1" applyFill="1" applyBorder="1" applyAlignment="1">
      <alignment horizontal="center" vertical="center"/>
    </xf>
    <xf numFmtId="193" fontId="65" fillId="9" borderId="47" xfId="0" applyNumberFormat="1" applyFont="1" applyFill="1" applyBorder="1" applyAlignment="1">
      <alignment horizontal="center" vertical="center"/>
    </xf>
    <xf numFmtId="187" fontId="7" fillId="6" borderId="47" xfId="0" applyNumberFormat="1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193" fontId="69" fillId="9" borderId="48" xfId="0" applyNumberFormat="1" applyFont="1" applyFill="1" applyBorder="1" applyAlignment="1">
      <alignment horizontal="center" vertical="center"/>
    </xf>
    <xf numFmtId="193" fontId="65" fillId="9" borderId="48" xfId="0" applyNumberFormat="1" applyFont="1" applyFill="1" applyBorder="1" applyAlignment="1">
      <alignment horizontal="center" vertical="center"/>
    </xf>
    <xf numFmtId="187" fontId="7" fillId="6" borderId="48" xfId="0" applyNumberFormat="1" applyFont="1" applyFill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49" fontId="61" fillId="0" borderId="16" xfId="0" applyNumberFormat="1" applyFont="1" applyBorder="1" applyAlignment="1">
      <alignment horizontal="center" vertical="center"/>
    </xf>
    <xf numFmtId="4" fontId="61" fillId="0" borderId="26" xfId="0" applyNumberFormat="1" applyFont="1" applyBorder="1" applyAlignment="1">
      <alignment horizontal="center" vertical="center"/>
    </xf>
    <xf numFmtId="4" fontId="61" fillId="0" borderId="0" xfId="0" applyNumberFormat="1" applyFont="1" applyAlignment="1">
      <alignment horizontal="center"/>
    </xf>
    <xf numFmtId="4" fontId="61" fillId="0" borderId="20" xfId="0" applyNumberFormat="1" applyFont="1" applyBorder="1" applyAlignment="1">
      <alignment horizontal="center"/>
    </xf>
    <xf numFmtId="4" fontId="61" fillId="0" borderId="16" xfId="0" applyNumberFormat="1" applyFont="1" applyBorder="1" applyAlignment="1">
      <alignment horizontal="center"/>
    </xf>
    <xf numFmtId="10" fontId="62" fillId="0" borderId="16" xfId="0" applyNumberFormat="1" applyFont="1" applyBorder="1" applyAlignment="1">
      <alignment horizontal="center" vertical="center"/>
    </xf>
    <xf numFmtId="4" fontId="61" fillId="0" borderId="2" xfId="0" applyNumberFormat="1" applyFont="1" applyBorder="1" applyAlignment="1">
      <alignment horizontal="center" vertical="center"/>
    </xf>
    <xf numFmtId="4" fontId="61" fillId="0" borderId="47" xfId="0" applyNumberFormat="1" applyFont="1" applyBorder="1" applyAlignment="1">
      <alignment horizontal="center" vertical="center"/>
    </xf>
    <xf numFmtId="4" fontId="62" fillId="0" borderId="48" xfId="0" applyNumberFormat="1" applyFont="1" applyBorder="1" applyAlignment="1">
      <alignment horizontal="center" vertical="center"/>
    </xf>
    <xf numFmtId="4" fontId="61" fillId="0" borderId="48" xfId="0" applyNumberFormat="1" applyFont="1" applyBorder="1" applyAlignment="1">
      <alignment horizontal="center" vertical="center"/>
    </xf>
    <xf numFmtId="4" fontId="62" fillId="0" borderId="47" xfId="0" applyNumberFormat="1" applyFont="1" applyBorder="1" applyAlignment="1">
      <alignment horizontal="center" vertical="center"/>
    </xf>
    <xf numFmtId="0" fontId="63" fillId="0" borderId="16" xfId="0" applyFont="1" applyBorder="1" applyAlignment="1">
      <alignment horizontal="center" vertical="center"/>
    </xf>
    <xf numFmtId="4" fontId="61" fillId="0" borderId="48" xfId="0" applyNumberFormat="1" applyFont="1" applyBorder="1" applyAlignment="1">
      <alignment horizontal="right"/>
    </xf>
    <xf numFmtId="205" fontId="61" fillId="0" borderId="0" xfId="0" applyNumberFormat="1" applyFont="1" applyAlignment="1">
      <alignment horizontal="left"/>
    </xf>
    <xf numFmtId="49" fontId="62" fillId="0" borderId="47" xfId="0" applyNumberFormat="1" applyFont="1" applyBorder="1" applyAlignment="1">
      <alignment horizontal="center"/>
    </xf>
    <xf numFmtId="49" fontId="61" fillId="0" borderId="49" xfId="0" applyNumberFormat="1" applyFont="1" applyBorder="1" applyAlignment="1">
      <alignment horizontal="right" vertical="center"/>
    </xf>
    <xf numFmtId="49" fontId="61" fillId="0" borderId="20" xfId="0" applyNumberFormat="1" applyFont="1" applyBorder="1" applyAlignment="1">
      <alignment horizontal="right" vertical="center"/>
    </xf>
    <xf numFmtId="49" fontId="61" fillId="0" borderId="2" xfId="0" applyNumberFormat="1" applyFont="1" applyBorder="1" applyAlignment="1">
      <alignment horizontal="right" vertical="center"/>
    </xf>
    <xf numFmtId="4" fontId="61" fillId="0" borderId="3" xfId="0" applyNumberFormat="1" applyFont="1" applyBorder="1"/>
    <xf numFmtId="199" fontId="62" fillId="0" borderId="16" xfId="0" applyNumberFormat="1" applyFont="1" applyBorder="1" applyAlignment="1">
      <alignment horizontal="center" vertical="center"/>
    </xf>
    <xf numFmtId="0" fontId="62" fillId="0" borderId="48" xfId="0" applyFont="1" applyBorder="1"/>
    <xf numFmtId="199" fontId="61" fillId="0" borderId="26" xfId="0" applyNumberFormat="1" applyFont="1" applyBorder="1" applyAlignment="1">
      <alignment horizontal="center"/>
    </xf>
    <xf numFmtId="199" fontId="61" fillId="0" borderId="41" xfId="0" applyNumberFormat="1" applyFont="1" applyBorder="1" applyAlignment="1">
      <alignment horizontal="center"/>
    </xf>
    <xf numFmtId="199" fontId="61" fillId="0" borderId="26" xfId="0" applyNumberFormat="1" applyFont="1" applyBorder="1" applyAlignment="1">
      <alignment horizontal="center" vertical="center"/>
    </xf>
    <xf numFmtId="199" fontId="61" fillId="0" borderId="26" xfId="0" applyNumberFormat="1" applyFont="1" applyBorder="1"/>
    <xf numFmtId="199" fontId="62" fillId="0" borderId="16" xfId="0" applyNumberFormat="1" applyFont="1" applyBorder="1" applyAlignment="1">
      <alignment horizontal="center"/>
    </xf>
    <xf numFmtId="41" fontId="12" fillId="7" borderId="12" xfId="0" applyNumberFormat="1" applyFont="1" applyFill="1" applyBorder="1" applyAlignment="1">
      <alignment horizontal="left" vertical="center"/>
    </xf>
    <xf numFmtId="0" fontId="61" fillId="22" borderId="16" xfId="0" applyFont="1" applyFill="1" applyBorder="1" applyAlignment="1">
      <alignment horizontal="center" vertical="center"/>
    </xf>
    <xf numFmtId="4" fontId="61" fillId="22" borderId="16" xfId="0" applyNumberFormat="1" applyFont="1" applyFill="1" applyBorder="1" applyAlignment="1">
      <alignment horizontal="center" vertical="center"/>
    </xf>
    <xf numFmtId="0" fontId="61" fillId="23" borderId="16" xfId="0" applyFont="1" applyFill="1" applyBorder="1" applyAlignment="1">
      <alignment horizontal="center" vertical="center"/>
    </xf>
    <xf numFmtId="4" fontId="61" fillId="23" borderId="16" xfId="0" applyNumberFormat="1" applyFont="1" applyFill="1" applyBorder="1" applyAlignment="1">
      <alignment horizontal="center" vertical="center"/>
    </xf>
    <xf numFmtId="0" fontId="61" fillId="24" borderId="16" xfId="0" applyFont="1" applyFill="1" applyBorder="1" applyAlignment="1">
      <alignment horizontal="center" vertical="center"/>
    </xf>
    <xf numFmtId="4" fontId="61" fillId="24" borderId="16" xfId="0" applyNumberFormat="1" applyFont="1" applyFill="1" applyBorder="1" applyAlignment="1">
      <alignment horizontal="center" vertical="center"/>
    </xf>
    <xf numFmtId="10" fontId="61" fillId="0" borderId="16" xfId="0" applyNumberFormat="1" applyFont="1" applyBorder="1" applyAlignment="1">
      <alignment horizontal="center" vertical="center"/>
    </xf>
    <xf numFmtId="0" fontId="71" fillId="0" borderId="47" xfId="0" applyFont="1" applyBorder="1"/>
    <xf numFmtId="0" fontId="71" fillId="0" borderId="26" xfId="0" applyFont="1" applyBorder="1"/>
    <xf numFmtId="2" fontId="68" fillId="0" borderId="14" xfId="0" applyNumberFormat="1" applyFont="1" applyBorder="1" applyAlignment="1">
      <alignment horizontal="center" vertical="center"/>
    </xf>
    <xf numFmtId="2" fontId="52" fillId="0" borderId="16" xfId="0" applyNumberFormat="1" applyFont="1" applyBorder="1" applyAlignment="1">
      <alignment horizontal="center" vertical="center"/>
    </xf>
    <xf numFmtId="4" fontId="61" fillId="0" borderId="0" xfId="0" applyNumberFormat="1" applyFont="1" applyAlignment="1">
      <alignment horizontal="center" vertical="center"/>
    </xf>
    <xf numFmtId="0" fontId="62" fillId="0" borderId="48" xfId="0" applyFont="1" applyBorder="1" applyAlignment="1">
      <alignment horizontal="center" vertical="center" wrapText="1"/>
    </xf>
    <xf numFmtId="0" fontId="61" fillId="0" borderId="79" xfId="0" applyFont="1" applyBorder="1"/>
    <xf numFmtId="0" fontId="61" fillId="0" borderId="20" xfId="0" applyFont="1" applyBorder="1"/>
    <xf numFmtId="0" fontId="61" fillId="0" borderId="84" xfId="0" applyFont="1" applyBorder="1"/>
    <xf numFmtId="0" fontId="61" fillId="0" borderId="85" xfId="0" applyFont="1" applyBorder="1"/>
    <xf numFmtId="49" fontId="61" fillId="0" borderId="47" xfId="0" applyNumberFormat="1" applyFont="1" applyBorder="1" applyAlignment="1">
      <alignment horizontal="center"/>
    </xf>
    <xf numFmtId="0" fontId="61" fillId="0" borderId="49" xfId="0" applyFont="1" applyBorder="1"/>
    <xf numFmtId="0" fontId="61" fillId="0" borderId="80" xfId="0" applyFont="1" applyBorder="1"/>
    <xf numFmtId="4" fontId="62" fillId="0" borderId="2" xfId="0" applyNumberFormat="1" applyFont="1" applyBorder="1" applyAlignment="1">
      <alignment horizontal="center" vertical="center"/>
    </xf>
    <xf numFmtId="4" fontId="62" fillId="0" borderId="87" xfId="0" applyNumberFormat="1" applyFont="1" applyBorder="1" applyAlignment="1">
      <alignment horizontal="center"/>
    </xf>
    <xf numFmtId="4" fontId="62" fillId="0" borderId="87" xfId="0" applyNumberFormat="1" applyFont="1" applyBorder="1" applyAlignment="1">
      <alignment horizontal="center" vertical="center"/>
    </xf>
    <xf numFmtId="43" fontId="61" fillId="0" borderId="20" xfId="0" applyNumberFormat="1" applyFont="1" applyBorder="1" applyAlignment="1">
      <alignment horizontal="center"/>
    </xf>
    <xf numFmtId="43" fontId="61" fillId="0" borderId="0" xfId="0" applyNumberFormat="1" applyFont="1"/>
    <xf numFmtId="43" fontId="62" fillId="0" borderId="50" xfId="0" applyNumberFormat="1" applyFont="1" applyBorder="1" applyAlignment="1">
      <alignment horizontal="center" vertical="center" wrapText="1"/>
    </xf>
    <xf numFmtId="43" fontId="61" fillId="0" borderId="2" xfId="0" applyNumberFormat="1" applyFont="1" applyBorder="1"/>
    <xf numFmtId="43" fontId="62" fillId="0" borderId="2" xfId="0" applyNumberFormat="1" applyFont="1" applyBorder="1" applyAlignment="1">
      <alignment horizontal="center"/>
    </xf>
    <xf numFmtId="43" fontId="62" fillId="0" borderId="2" xfId="0" applyNumberFormat="1" applyFont="1" applyBorder="1" applyAlignment="1">
      <alignment horizontal="center" vertical="center"/>
    </xf>
    <xf numFmtId="43" fontId="62" fillId="0" borderId="80" xfId="0" applyNumberFormat="1" applyFont="1" applyBorder="1" applyAlignment="1">
      <alignment horizontal="center" vertical="center"/>
    </xf>
    <xf numFmtId="43" fontId="61" fillId="0" borderId="80" xfId="0" applyNumberFormat="1" applyFont="1" applyBorder="1"/>
    <xf numFmtId="206" fontId="61" fillId="0" borderId="88" xfId="0" applyNumberFormat="1" applyFont="1" applyBorder="1" applyAlignment="1">
      <alignment horizontal="center" vertical="center"/>
    </xf>
    <xf numFmtId="43" fontId="61" fillId="0" borderId="80" xfId="0" applyNumberFormat="1" applyFont="1" applyBorder="1" applyAlignment="1">
      <alignment horizontal="center"/>
    </xf>
    <xf numFmtId="0" fontId="73" fillId="0" borderId="0" xfId="22" applyFont="1"/>
    <xf numFmtId="0" fontId="74" fillId="0" borderId="0" xfId="22" applyFont="1"/>
    <xf numFmtId="0" fontId="75" fillId="6" borderId="47" xfId="23" applyFont="1" applyFill="1" applyBorder="1" applyAlignment="1">
      <alignment horizontal="center" vertical="center"/>
    </xf>
    <xf numFmtId="187" fontId="76" fillId="6" borderId="47" xfId="23" applyNumberFormat="1" applyFont="1" applyFill="1" applyBorder="1" applyAlignment="1">
      <alignment horizontal="center" vertical="center"/>
    </xf>
    <xf numFmtId="0" fontId="75" fillId="6" borderId="48" xfId="23" applyFont="1" applyFill="1" applyBorder="1" applyAlignment="1">
      <alignment horizontal="center" vertical="center"/>
    </xf>
    <xf numFmtId="187" fontId="76" fillId="6" borderId="48" xfId="23" applyNumberFormat="1" applyFont="1" applyFill="1" applyBorder="1" applyAlignment="1">
      <alignment horizontal="center" vertical="center"/>
    </xf>
    <xf numFmtId="194" fontId="77" fillId="10" borderId="47" xfId="23" applyNumberFormat="1" applyFont="1" applyFill="1" applyBorder="1" applyAlignment="1">
      <alignment horizontal="center" vertical="center"/>
    </xf>
    <xf numFmtId="193" fontId="78" fillId="10" borderId="47" xfId="23" applyNumberFormat="1" applyFont="1" applyFill="1" applyBorder="1" applyAlignment="1">
      <alignment horizontal="center" vertical="center"/>
    </xf>
    <xf numFmtId="194" fontId="77" fillId="10" borderId="26" xfId="23" applyNumberFormat="1" applyFont="1" applyFill="1" applyBorder="1" applyAlignment="1">
      <alignment horizontal="center" vertical="center"/>
    </xf>
    <xf numFmtId="193" fontId="78" fillId="10" borderId="26" xfId="23" applyNumberFormat="1" applyFont="1" applyFill="1" applyBorder="1" applyAlignment="1">
      <alignment horizontal="center" vertical="center"/>
    </xf>
    <xf numFmtId="194" fontId="77" fillId="10" borderId="9" xfId="23" applyNumberFormat="1" applyFont="1" applyFill="1" applyBorder="1" applyAlignment="1">
      <alignment horizontal="center" vertical="center"/>
    </xf>
    <xf numFmtId="193" fontId="78" fillId="10" borderId="9" xfId="23" applyNumberFormat="1" applyFont="1" applyFill="1" applyBorder="1" applyAlignment="1">
      <alignment horizontal="center" vertical="center"/>
    </xf>
    <xf numFmtId="0" fontId="82" fillId="26" borderId="16" xfId="22" applyFont="1" applyFill="1" applyBorder="1"/>
    <xf numFmtId="0" fontId="82" fillId="12" borderId="16" xfId="22" applyFont="1" applyFill="1" applyBorder="1"/>
    <xf numFmtId="0" fontId="82" fillId="0" borderId="16" xfId="22" applyFont="1" applyBorder="1"/>
    <xf numFmtId="0" fontId="82" fillId="0" borderId="16" xfId="22" applyFont="1" applyBorder="1" applyAlignment="1">
      <alignment horizontal="center" vertical="center"/>
    </xf>
    <xf numFmtId="0" fontId="82" fillId="0" borderId="0" xfId="22" applyFont="1"/>
    <xf numFmtId="4" fontId="82" fillId="0" borderId="16" xfId="22" applyNumberFormat="1" applyFont="1" applyBorder="1" applyAlignment="1">
      <alignment horizontal="center" vertical="center"/>
    </xf>
    <xf numFmtId="0" fontId="73" fillId="0" borderId="0" xfId="22" applyFont="1" applyAlignment="1">
      <alignment horizontal="center" vertical="center"/>
    </xf>
    <xf numFmtId="0" fontId="82" fillId="26" borderId="16" xfId="22" applyFont="1" applyFill="1" applyBorder="1" applyAlignment="1">
      <alignment horizontal="center" vertical="center"/>
    </xf>
    <xf numFmtId="0" fontId="82" fillId="12" borderId="16" xfId="22" applyFont="1" applyFill="1" applyBorder="1" applyAlignment="1">
      <alignment horizontal="center" vertical="center"/>
    </xf>
    <xf numFmtId="0" fontId="82" fillId="0" borderId="0" xfId="22" applyFont="1" applyAlignment="1">
      <alignment horizontal="center" vertical="center"/>
    </xf>
    <xf numFmtId="2" fontId="82" fillId="0" borderId="16" xfId="22" applyNumberFormat="1" applyFont="1" applyBorder="1"/>
    <xf numFmtId="2" fontId="82" fillId="0" borderId="16" xfId="22" applyNumberFormat="1" applyFont="1" applyBorder="1" applyAlignment="1">
      <alignment horizontal="center" vertical="center"/>
    </xf>
    <xf numFmtId="2" fontId="82" fillId="26" borderId="16" xfId="22" applyNumberFormat="1" applyFont="1" applyFill="1" applyBorder="1"/>
    <xf numFmtId="2" fontId="82" fillId="12" borderId="16" xfId="22" applyNumberFormat="1" applyFont="1" applyFill="1" applyBorder="1"/>
    <xf numFmtId="207" fontId="82" fillId="26" borderId="16" xfId="22" applyNumberFormat="1" applyFont="1" applyFill="1" applyBorder="1"/>
    <xf numFmtId="0" fontId="55" fillId="0" borderId="61" xfId="0" applyFont="1" applyBorder="1" applyAlignment="1">
      <alignment horizontal="left" vertical="center"/>
    </xf>
    <xf numFmtId="0" fontId="55" fillId="0" borderId="61" xfId="0" applyFont="1" applyBorder="1" applyAlignment="1">
      <alignment horizontal="center" vertical="center"/>
    </xf>
    <xf numFmtId="0" fontId="89" fillId="0" borderId="0" xfId="22" applyFont="1"/>
    <xf numFmtId="0" fontId="90" fillId="0" borderId="0" xfId="22" applyFont="1"/>
    <xf numFmtId="0" fontId="90" fillId="0" borderId="0" xfId="22" applyFont="1" applyAlignment="1">
      <alignment horizontal="center" vertical="center"/>
    </xf>
    <xf numFmtId="0" fontId="88" fillId="0" borderId="59" xfId="0" applyFont="1" applyBorder="1" applyAlignment="1">
      <alignment horizontal="center" vertical="center"/>
    </xf>
    <xf numFmtId="0" fontId="83" fillId="0" borderId="0" xfId="22" applyFont="1" applyAlignment="1">
      <alignment horizontal="right"/>
    </xf>
    <xf numFmtId="43" fontId="92" fillId="28" borderId="58" xfId="1" applyFont="1" applyFill="1" applyBorder="1" applyAlignment="1">
      <alignment horizontal="center" vertical="center"/>
    </xf>
    <xf numFmtId="43" fontId="92" fillId="28" borderId="89" xfId="1" applyFont="1" applyFill="1" applyBorder="1" applyAlignment="1">
      <alignment horizontal="center" vertical="center" wrapText="1"/>
    </xf>
    <xf numFmtId="43" fontId="92" fillId="28" borderId="59" xfId="1" applyFont="1" applyFill="1" applyBorder="1" applyAlignment="1">
      <alignment horizontal="center" vertical="center"/>
    </xf>
    <xf numFmtId="43" fontId="92" fillId="28" borderId="61" xfId="1" applyFont="1" applyFill="1" applyBorder="1" applyAlignment="1">
      <alignment horizontal="center" vertical="center" wrapText="1"/>
    </xf>
    <xf numFmtId="43" fontId="92" fillId="28" borderId="61" xfId="1" applyFont="1" applyFill="1" applyBorder="1" applyAlignment="1">
      <alignment horizontal="center" vertical="center"/>
    </xf>
    <xf numFmtId="43" fontId="92" fillId="0" borderId="61" xfId="1" applyFont="1" applyBorder="1" applyAlignment="1">
      <alignment horizontal="left" vertical="center"/>
    </xf>
    <xf numFmtId="43" fontId="92" fillId="0" borderId="61" xfId="1" applyFont="1" applyBorder="1" applyAlignment="1">
      <alignment horizontal="center" vertical="center"/>
    </xf>
    <xf numFmtId="43" fontId="73" fillId="0" borderId="16" xfId="1" applyFont="1" applyBorder="1" applyAlignment="1">
      <alignment horizontal="center"/>
    </xf>
    <xf numFmtId="0" fontId="55" fillId="30" borderId="90" xfId="0" applyFont="1" applyFill="1" applyBorder="1" applyAlignment="1">
      <alignment horizontal="left" vertical="center"/>
    </xf>
    <xf numFmtId="0" fontId="55" fillId="30" borderId="61" xfId="0" applyFont="1" applyFill="1" applyBorder="1" applyAlignment="1">
      <alignment horizontal="left" vertical="center"/>
    </xf>
    <xf numFmtId="0" fontId="55" fillId="30" borderId="61" xfId="0" applyFont="1" applyFill="1" applyBorder="1" applyAlignment="1">
      <alignment horizontal="center" vertical="center"/>
    </xf>
    <xf numFmtId="0" fontId="55" fillId="30" borderId="60" xfId="0" applyFont="1" applyFill="1" applyBorder="1" applyAlignment="1">
      <alignment horizontal="left" vertical="center"/>
    </xf>
    <xf numFmtId="0" fontId="55" fillId="0" borderId="61" xfId="0" applyFont="1" applyBorder="1" applyAlignment="1">
      <alignment horizontal="left" vertical="center" wrapText="1"/>
    </xf>
    <xf numFmtId="0" fontId="54" fillId="30" borderId="61" xfId="0" applyFont="1" applyFill="1" applyBorder="1" applyAlignment="1">
      <alignment horizontal="center" vertical="center"/>
    </xf>
    <xf numFmtId="0" fontId="56" fillId="0" borderId="0" xfId="0" applyFont="1"/>
    <xf numFmtId="49" fontId="55" fillId="30" borderId="59" xfId="0" applyNumberFormat="1" applyFont="1" applyFill="1" applyBorder="1" applyAlignment="1">
      <alignment horizontal="center" vertical="center"/>
    </xf>
    <xf numFmtId="49" fontId="55" fillId="0" borderId="59" xfId="0" applyNumberFormat="1" applyFont="1" applyBorder="1" applyAlignment="1">
      <alignment horizontal="center" vertical="center"/>
    </xf>
    <xf numFmtId="49" fontId="55" fillId="30" borderId="57" xfId="0" applyNumberFormat="1" applyFont="1" applyFill="1" applyBorder="1" applyAlignment="1">
      <alignment horizontal="center" vertical="center"/>
    </xf>
    <xf numFmtId="49" fontId="55" fillId="30" borderId="59" xfId="0" applyNumberFormat="1" applyFont="1" applyFill="1" applyBorder="1" applyAlignment="1">
      <alignment horizontal="left" vertical="center"/>
    </xf>
    <xf numFmtId="208" fontId="55" fillId="30" borderId="61" xfId="0" applyNumberFormat="1" applyFont="1" applyFill="1" applyBorder="1" applyAlignment="1">
      <alignment horizontal="left" vertical="center"/>
    </xf>
    <xf numFmtId="4" fontId="55" fillId="30" borderId="61" xfId="0" applyNumberFormat="1" applyFont="1" applyFill="1" applyBorder="1" applyAlignment="1">
      <alignment horizontal="center" vertical="center"/>
    </xf>
    <xf numFmtId="2" fontId="55" fillId="0" borderId="61" xfId="0" applyNumberFormat="1" applyFont="1" applyBorder="1" applyAlignment="1">
      <alignment horizontal="center" vertical="center"/>
    </xf>
    <xf numFmtId="191" fontId="55" fillId="0" borderId="61" xfId="0" applyNumberFormat="1" applyFont="1" applyBorder="1" applyAlignment="1">
      <alignment horizontal="center" vertical="center"/>
    </xf>
    <xf numFmtId="2" fontId="55" fillId="30" borderId="61" xfId="0" applyNumberFormat="1" applyFont="1" applyFill="1" applyBorder="1" applyAlignment="1">
      <alignment horizontal="center" vertical="center"/>
    </xf>
    <xf numFmtId="0" fontId="93" fillId="0" borderId="0" xfId="22" applyFont="1"/>
    <xf numFmtId="2" fontId="68" fillId="0" borderId="29" xfId="0" applyNumberFormat="1" applyFont="1" applyBorder="1" applyAlignment="1">
      <alignment horizontal="center" vertical="center"/>
    </xf>
    <xf numFmtId="2" fontId="68" fillId="0" borderId="14" xfId="0" applyNumberFormat="1" applyFont="1" applyBorder="1" applyAlignment="1">
      <alignment horizontal="center" vertical="top"/>
    </xf>
    <xf numFmtId="2" fontId="68" fillId="0" borderId="15" xfId="0" applyNumberFormat="1" applyFont="1" applyBorder="1" applyAlignment="1">
      <alignment horizontal="center" vertical="center"/>
    </xf>
    <xf numFmtId="43" fontId="29" fillId="0" borderId="61" xfId="0" applyNumberFormat="1" applyFont="1" applyBorder="1" applyAlignment="1">
      <alignment horizontal="center" vertical="center" wrapText="1"/>
    </xf>
    <xf numFmtId="191" fontId="55" fillId="0" borderId="61" xfId="0" applyNumberFormat="1" applyFont="1" applyBorder="1" applyAlignment="1">
      <alignment horizontal="center" vertical="center" wrapText="1"/>
    </xf>
    <xf numFmtId="43" fontId="29" fillId="0" borderId="61" xfId="0" applyNumberFormat="1" applyFont="1" applyBorder="1" applyAlignment="1">
      <alignment horizontal="center" wrapText="1"/>
    </xf>
    <xf numFmtId="0" fontId="53" fillId="0" borderId="60" xfId="0" applyFont="1" applyBorder="1" applyAlignment="1">
      <alignment horizontal="center" vertical="center" wrapText="1"/>
    </xf>
    <xf numFmtId="0" fontId="53" fillId="0" borderId="57" xfId="0" applyFont="1" applyBorder="1" applyAlignment="1">
      <alignment horizontal="center" vertical="center" wrapText="1"/>
    </xf>
    <xf numFmtId="17" fontId="56" fillId="0" borderId="59" xfId="0" applyNumberFormat="1" applyFont="1" applyBorder="1" applyAlignment="1">
      <alignment horizontal="center" vertical="center" wrapText="1"/>
    </xf>
    <xf numFmtId="0" fontId="56" fillId="0" borderId="61" xfId="0" applyFont="1" applyBorder="1" applyAlignment="1">
      <alignment horizontal="center" vertical="center" wrapText="1"/>
    </xf>
    <xf numFmtId="4" fontId="0" fillId="0" borderId="0" xfId="0" applyNumberFormat="1"/>
    <xf numFmtId="4" fontId="56" fillId="0" borderId="61" xfId="0" applyNumberFormat="1" applyFont="1" applyBorder="1" applyAlignment="1">
      <alignment horizontal="center" vertical="center" wrapText="1"/>
    </xf>
    <xf numFmtId="4" fontId="53" fillId="0" borderId="61" xfId="0" applyNumberFormat="1" applyFont="1" applyBorder="1" applyAlignment="1">
      <alignment horizontal="center" vertical="center" wrapText="1"/>
    </xf>
    <xf numFmtId="3" fontId="0" fillId="0" borderId="0" xfId="0" applyNumberFormat="1"/>
    <xf numFmtId="2" fontId="68" fillId="0" borderId="21" xfId="0" applyNumberFormat="1" applyFont="1" applyBorder="1" applyAlignment="1">
      <alignment horizontal="center" vertical="center"/>
    </xf>
    <xf numFmtId="2" fontId="68" fillId="0" borderId="27" xfId="0" applyNumberFormat="1" applyFont="1" applyBorder="1" applyAlignment="1">
      <alignment horizontal="center" vertical="center"/>
    </xf>
    <xf numFmtId="191" fontId="73" fillId="0" borderId="0" xfId="22" applyNumberFormat="1" applyFont="1"/>
    <xf numFmtId="203" fontId="50" fillId="12" borderId="16" xfId="0" applyNumberFormat="1" applyFont="1" applyFill="1" applyBorder="1" applyAlignment="1">
      <alignment horizontal="center" vertical="center"/>
    </xf>
    <xf numFmtId="193" fontId="23" fillId="11" borderId="17" xfId="0" applyNumberFormat="1" applyFont="1" applyFill="1" applyBorder="1" applyAlignment="1">
      <alignment horizontal="center" vertical="center"/>
    </xf>
    <xf numFmtId="193" fontId="23" fillId="11" borderId="9" xfId="0" applyNumberFormat="1" applyFont="1" applyFill="1" applyBorder="1" applyAlignment="1">
      <alignment horizontal="center" vertical="center"/>
    </xf>
    <xf numFmtId="194" fontId="22" fillId="11" borderId="17" xfId="0" applyNumberFormat="1" applyFont="1" applyFill="1" applyBorder="1" applyAlignment="1">
      <alignment vertical="center"/>
    </xf>
    <xf numFmtId="194" fontId="22" fillId="11" borderId="9" xfId="0" applyNumberFormat="1" applyFont="1" applyFill="1" applyBorder="1" applyAlignment="1">
      <alignment vertical="center"/>
    </xf>
    <xf numFmtId="0" fontId="27" fillId="13" borderId="40" xfId="0" applyFont="1" applyFill="1" applyBorder="1" applyAlignment="1">
      <alignment horizontal="center" vertical="center"/>
    </xf>
    <xf numFmtId="0" fontId="27" fillId="13" borderId="33" xfId="0" applyFont="1" applyFill="1" applyBorder="1" applyAlignment="1">
      <alignment horizontal="center" vertical="center"/>
    </xf>
    <xf numFmtId="0" fontId="27" fillId="13" borderId="34" xfId="0" applyFont="1" applyFill="1" applyBorder="1" applyAlignment="1">
      <alignment horizontal="center" vertical="center"/>
    </xf>
    <xf numFmtId="0" fontId="27" fillId="13" borderId="42" xfId="0" applyFont="1" applyFill="1" applyBorder="1" applyAlignment="1">
      <alignment horizontal="center" vertical="center"/>
    </xf>
    <xf numFmtId="191" fontId="7" fillId="5" borderId="48" xfId="0" applyNumberFormat="1" applyFont="1" applyFill="1" applyBorder="1" applyAlignment="1">
      <alignment horizontal="center" vertical="center"/>
    </xf>
    <xf numFmtId="191" fontId="7" fillId="5" borderId="16" xfId="0" applyNumberFormat="1" applyFont="1" applyFill="1" applyBorder="1" applyAlignment="1">
      <alignment horizontal="center" vertical="center"/>
    </xf>
    <xf numFmtId="191" fontId="7" fillId="7" borderId="16" xfId="0" applyNumberFormat="1" applyFont="1" applyFill="1" applyBorder="1" applyAlignment="1">
      <alignment horizontal="center" vertical="center"/>
    </xf>
    <xf numFmtId="191" fontId="7" fillId="4" borderId="16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188" fontId="70" fillId="6" borderId="47" xfId="0" applyNumberFormat="1" applyFont="1" applyFill="1" applyBorder="1" applyAlignment="1">
      <alignment horizontal="center" vertical="center"/>
    </xf>
    <xf numFmtId="188" fontId="70" fillId="6" borderId="26" xfId="0" applyNumberFormat="1" applyFont="1" applyFill="1" applyBorder="1" applyAlignment="1">
      <alignment horizontal="center" vertical="center"/>
    </xf>
    <xf numFmtId="188" fontId="70" fillId="6" borderId="48" xfId="0" applyNumberFormat="1" applyFont="1" applyFill="1" applyBorder="1" applyAlignment="1">
      <alignment horizontal="center" vertical="center"/>
    </xf>
    <xf numFmtId="191" fontId="70" fillId="6" borderId="47" xfId="0" applyNumberFormat="1" applyFont="1" applyFill="1" applyBorder="1" applyAlignment="1">
      <alignment horizontal="center" vertical="center"/>
    </xf>
    <xf numFmtId="191" fontId="70" fillId="6" borderId="26" xfId="0" applyNumberFormat="1" applyFont="1" applyFill="1" applyBorder="1" applyAlignment="1">
      <alignment horizontal="center" vertical="center"/>
    </xf>
    <xf numFmtId="191" fontId="70" fillId="6" borderId="48" xfId="0" applyNumberFormat="1" applyFont="1" applyFill="1" applyBorder="1" applyAlignment="1">
      <alignment horizontal="center" vertical="center"/>
    </xf>
    <xf numFmtId="0" fontId="64" fillId="7" borderId="16" xfId="0" applyFont="1" applyFill="1" applyBorder="1" applyAlignment="1">
      <alignment horizontal="center" vertical="center"/>
    </xf>
    <xf numFmtId="0" fontId="64" fillId="4" borderId="16" xfId="0" applyFont="1" applyFill="1" applyBorder="1" applyAlignment="1">
      <alignment horizontal="center" vertical="center"/>
    </xf>
    <xf numFmtId="0" fontId="11" fillId="5" borderId="76" xfId="0" applyFont="1" applyFill="1" applyBorder="1" applyAlignment="1">
      <alignment horizontal="center" vertical="center"/>
    </xf>
    <xf numFmtId="0" fontId="11" fillId="5" borderId="77" xfId="0" applyFont="1" applyFill="1" applyBorder="1" applyAlignment="1">
      <alignment horizontal="center" vertical="center"/>
    </xf>
    <xf numFmtId="0" fontId="11" fillId="5" borderId="78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194" fontId="21" fillId="0" borderId="17" xfId="0" applyNumberFormat="1" applyFont="1" applyBorder="1" applyAlignment="1">
      <alignment horizontal="right" vertical="center"/>
    </xf>
    <xf numFmtId="194" fontId="21" fillId="0" borderId="9" xfId="0" applyNumberFormat="1" applyFont="1" applyBorder="1" applyAlignment="1">
      <alignment horizontal="right" vertical="center"/>
    </xf>
    <xf numFmtId="191" fontId="21" fillId="0" borderId="45" xfId="0" applyNumberFormat="1" applyFont="1" applyBorder="1" applyAlignment="1">
      <alignment horizontal="center" vertical="center"/>
    </xf>
    <xf numFmtId="191" fontId="21" fillId="0" borderId="44" xfId="0" applyNumberFormat="1" applyFont="1" applyBorder="1" applyAlignment="1">
      <alignment horizontal="center" vertical="center"/>
    </xf>
    <xf numFmtId="0" fontId="10" fillId="6" borderId="36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27" fillId="6" borderId="2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91" fontId="21" fillId="0" borderId="20" xfId="0" applyNumberFormat="1" applyFont="1" applyBorder="1" applyAlignment="1">
      <alignment horizontal="center" vertical="center"/>
    </xf>
    <xf numFmtId="191" fontId="21" fillId="0" borderId="50" xfId="0" applyNumberFormat="1" applyFont="1" applyBorder="1" applyAlignment="1">
      <alignment horizontal="center" vertical="center"/>
    </xf>
    <xf numFmtId="189" fontId="21" fillId="0" borderId="17" xfId="0" applyNumberFormat="1" applyFont="1" applyBorder="1" applyAlignment="1">
      <alignment horizontal="center" vertical="center"/>
    </xf>
    <xf numFmtId="189" fontId="21" fillId="0" borderId="9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21" fillId="0" borderId="17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95" fontId="21" fillId="0" borderId="17" xfId="1" applyNumberFormat="1" applyFont="1" applyFill="1" applyBorder="1" applyAlignment="1" applyProtection="1">
      <alignment horizontal="right" vertical="center"/>
    </xf>
    <xf numFmtId="195" fontId="21" fillId="0" borderId="9" xfId="1" applyNumberFormat="1" applyFont="1" applyFill="1" applyBorder="1" applyAlignment="1" applyProtection="1">
      <alignment horizontal="right" vertical="center"/>
    </xf>
    <xf numFmtId="188" fontId="21" fillId="0" borderId="17" xfId="0" applyNumberFormat="1" applyFont="1" applyBorder="1" applyAlignment="1">
      <alignment horizontal="center" vertical="center"/>
    </xf>
    <xf numFmtId="188" fontId="21" fillId="0" borderId="9" xfId="0" applyNumberFormat="1" applyFont="1" applyBorder="1" applyAlignment="1">
      <alignment horizontal="center" vertical="center"/>
    </xf>
    <xf numFmtId="190" fontId="19" fillId="2" borderId="30" xfId="0" applyNumberFormat="1" applyFont="1" applyFill="1" applyBorder="1" applyAlignment="1">
      <alignment horizontal="center" vertical="center"/>
    </xf>
    <xf numFmtId="190" fontId="19" fillId="2" borderId="9" xfId="0" applyNumberFormat="1" applyFont="1" applyFill="1" applyBorder="1" applyAlignment="1">
      <alignment horizontal="center" vertical="center"/>
    </xf>
    <xf numFmtId="0" fontId="19" fillId="2" borderId="49" xfId="0" applyFont="1" applyFill="1" applyBorder="1" applyAlignment="1">
      <alignment horizontal="left" vertical="center"/>
    </xf>
    <xf numFmtId="0" fontId="19" fillId="2" borderId="44" xfId="0" applyFont="1" applyFill="1" applyBorder="1" applyAlignment="1">
      <alignment horizontal="left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195" fontId="21" fillId="2" borderId="47" xfId="1" applyNumberFormat="1" applyFont="1" applyFill="1" applyBorder="1" applyAlignment="1" applyProtection="1">
      <alignment horizontal="right" vertical="center"/>
    </xf>
    <xf numFmtId="195" fontId="21" fillId="2" borderId="9" xfId="1" applyNumberFormat="1" applyFont="1" applyFill="1" applyBorder="1" applyAlignment="1" applyProtection="1">
      <alignment horizontal="right" vertical="center"/>
    </xf>
    <xf numFmtId="195" fontId="21" fillId="2" borderId="26" xfId="1" applyNumberFormat="1" applyFont="1" applyFill="1" applyBorder="1" applyAlignment="1" applyProtection="1">
      <alignment horizontal="right" vertical="center"/>
    </xf>
    <xf numFmtId="191" fontId="20" fillId="2" borderId="49" xfId="0" applyNumberFormat="1" applyFont="1" applyFill="1" applyBorder="1" applyAlignment="1">
      <alignment horizontal="center" vertical="center"/>
    </xf>
    <xf numFmtId="191" fontId="20" fillId="2" borderId="44" xfId="0" applyNumberFormat="1" applyFont="1" applyFill="1" applyBorder="1" applyAlignment="1">
      <alignment horizontal="center" vertical="center"/>
    </xf>
    <xf numFmtId="196" fontId="22" fillId="11" borderId="17" xfId="0" applyNumberFormat="1" applyFont="1" applyFill="1" applyBorder="1" applyAlignment="1">
      <alignment vertical="center"/>
    </xf>
    <xf numFmtId="196" fontId="22" fillId="11" borderId="9" xfId="0" applyNumberFormat="1" applyFont="1" applyFill="1" applyBorder="1" applyAlignment="1">
      <alignment vertical="center"/>
    </xf>
    <xf numFmtId="190" fontId="19" fillId="2" borderId="2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center" vertical="center"/>
    </xf>
    <xf numFmtId="198" fontId="21" fillId="0" borderId="17" xfId="0" applyNumberFormat="1" applyFont="1" applyBorder="1" applyAlignment="1">
      <alignment horizontal="center" vertical="center"/>
    </xf>
    <xf numFmtId="198" fontId="21" fillId="0" borderId="9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left" vertical="center" wrapText="1"/>
    </xf>
    <xf numFmtId="194" fontId="22" fillId="11" borderId="26" xfId="0" applyNumberFormat="1" applyFont="1" applyFill="1" applyBorder="1" applyAlignment="1">
      <alignment vertical="center"/>
    </xf>
    <xf numFmtId="194" fontId="22" fillId="11" borderId="48" xfId="0" applyNumberFormat="1" applyFont="1" applyFill="1" applyBorder="1" applyAlignment="1">
      <alignment vertical="center"/>
    </xf>
    <xf numFmtId="195" fontId="21" fillId="0" borderId="26" xfId="1" applyNumberFormat="1" applyFont="1" applyFill="1" applyBorder="1" applyAlignment="1" applyProtection="1">
      <alignment horizontal="right" vertical="center"/>
    </xf>
    <xf numFmtId="188" fontId="21" fillId="0" borderId="26" xfId="0" applyNumberFormat="1" applyFont="1" applyBorder="1" applyAlignment="1">
      <alignment horizontal="center" vertical="center"/>
    </xf>
    <xf numFmtId="190" fontId="21" fillId="0" borderId="17" xfId="0" applyNumberFormat="1" applyFont="1" applyBorder="1" applyAlignment="1">
      <alignment horizontal="center" vertical="center"/>
    </xf>
    <xf numFmtId="190" fontId="21" fillId="0" borderId="9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/>
    </xf>
    <xf numFmtId="195" fontId="7" fillId="6" borderId="47" xfId="0" applyNumberFormat="1" applyFont="1" applyFill="1" applyBorder="1" applyAlignment="1">
      <alignment horizontal="center" vertical="center"/>
    </xf>
    <xf numFmtId="195" fontId="7" fillId="6" borderId="48" xfId="0" applyNumberFormat="1" applyFont="1" applyFill="1" applyBorder="1" applyAlignment="1">
      <alignment horizontal="center" vertical="center"/>
    </xf>
    <xf numFmtId="194" fontId="20" fillId="2" borderId="17" xfId="0" applyNumberFormat="1" applyFont="1" applyFill="1" applyBorder="1" applyAlignment="1">
      <alignment horizontal="right" vertical="center"/>
    </xf>
    <xf numFmtId="194" fontId="20" fillId="2" borderId="9" xfId="0" applyNumberFormat="1" applyFont="1" applyFill="1" applyBorder="1" applyAlignment="1">
      <alignment horizontal="right" vertical="center"/>
    </xf>
    <xf numFmtId="0" fontId="70" fillId="6" borderId="49" xfId="0" applyFont="1" applyFill="1" applyBorder="1" applyAlignment="1">
      <alignment horizontal="center" vertical="center"/>
    </xf>
    <xf numFmtId="0" fontId="70" fillId="6" borderId="40" xfId="0" applyFont="1" applyFill="1" applyBorder="1" applyAlignment="1">
      <alignment horizontal="center" vertical="center"/>
    </xf>
    <xf numFmtId="0" fontId="70" fillId="6" borderId="33" xfId="0" applyFont="1" applyFill="1" applyBorder="1" applyAlignment="1">
      <alignment horizontal="center" vertical="center"/>
    </xf>
    <xf numFmtId="0" fontId="70" fillId="6" borderId="20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0" fillId="6" borderId="41" xfId="0" applyFont="1" applyFill="1" applyBorder="1" applyAlignment="1">
      <alignment horizontal="center" vertical="center"/>
    </xf>
    <xf numFmtId="0" fontId="70" fillId="6" borderId="50" xfId="0" applyFont="1" applyFill="1" applyBorder="1" applyAlignment="1">
      <alignment horizontal="center" vertical="center"/>
    </xf>
    <xf numFmtId="0" fontId="70" fillId="6" borderId="34" xfId="0" applyFont="1" applyFill="1" applyBorder="1" applyAlignment="1">
      <alignment horizontal="center" vertical="center"/>
    </xf>
    <xf numFmtId="0" fontId="70" fillId="6" borderId="4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/>
    </xf>
    <xf numFmtId="0" fontId="5" fillId="15" borderId="16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9" fillId="2" borderId="47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1" fontId="20" fillId="2" borderId="45" xfId="0" applyNumberFormat="1" applyFont="1" applyFill="1" applyBorder="1" applyAlignment="1">
      <alignment horizontal="center" vertical="center"/>
    </xf>
    <xf numFmtId="1" fontId="20" fillId="2" borderId="44" xfId="0" applyNumberFormat="1" applyFont="1" applyFill="1" applyBorder="1" applyAlignment="1">
      <alignment horizontal="center" vertical="center"/>
    </xf>
    <xf numFmtId="191" fontId="7" fillId="6" borderId="49" xfId="0" applyNumberFormat="1" applyFont="1" applyFill="1" applyBorder="1" applyAlignment="1">
      <alignment horizontal="center" vertical="center"/>
    </xf>
    <xf numFmtId="191" fontId="7" fillId="6" borderId="50" xfId="0" applyNumberFormat="1" applyFont="1" applyFill="1" applyBorder="1" applyAlignment="1">
      <alignment horizontal="center" vertical="center"/>
    </xf>
    <xf numFmtId="0" fontId="7" fillId="6" borderId="47" xfId="0" applyFont="1" applyFill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34" xfId="0" applyFont="1" applyBorder="1" applyAlignment="1">
      <alignment horizontal="center" vertical="center"/>
    </xf>
    <xf numFmtId="0" fontId="50" fillId="4" borderId="16" xfId="0" applyFont="1" applyFill="1" applyBorder="1" applyAlignment="1">
      <alignment horizontal="center" vertical="center"/>
    </xf>
    <xf numFmtId="0" fontId="72" fillId="17" borderId="16" xfId="0" applyFont="1" applyFill="1" applyBorder="1" applyAlignment="1">
      <alignment horizontal="center" vertical="center"/>
    </xf>
    <xf numFmtId="0" fontId="72" fillId="4" borderId="2" xfId="0" applyFont="1" applyFill="1" applyBorder="1" applyAlignment="1">
      <alignment horizontal="center" vertical="center"/>
    </xf>
    <xf numFmtId="0" fontId="72" fillId="4" borderId="3" xfId="0" applyFont="1" applyFill="1" applyBorder="1" applyAlignment="1">
      <alignment horizontal="center" vertical="center"/>
    </xf>
    <xf numFmtId="0" fontId="72" fillId="4" borderId="4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4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9" fillId="5" borderId="16" xfId="0" applyFont="1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2" fontId="83" fillId="0" borderId="2" xfId="22" applyNumberFormat="1" applyFont="1" applyBorder="1" applyAlignment="1">
      <alignment horizontal="center" vertical="center"/>
    </xf>
    <xf numFmtId="2" fontId="83" fillId="0" borderId="3" xfId="22" applyNumberFormat="1" applyFont="1" applyBorder="1" applyAlignment="1">
      <alignment horizontal="center" vertical="center"/>
    </xf>
    <xf numFmtId="2" fontId="83" fillId="0" borderId="4" xfId="22" applyNumberFormat="1" applyFont="1" applyBorder="1" applyAlignment="1">
      <alignment horizontal="center" vertical="center"/>
    </xf>
    <xf numFmtId="0" fontId="79" fillId="18" borderId="2" xfId="22" applyFont="1" applyFill="1" applyBorder="1" applyAlignment="1">
      <alignment horizontal="center" vertical="center"/>
    </xf>
    <xf numFmtId="0" fontId="79" fillId="18" borderId="3" xfId="22" applyFont="1" applyFill="1" applyBorder="1" applyAlignment="1">
      <alignment horizontal="center" vertical="center"/>
    </xf>
    <xf numFmtId="0" fontId="79" fillId="18" borderId="4" xfId="22" applyFont="1" applyFill="1" applyBorder="1" applyAlignment="1">
      <alignment horizontal="center" vertical="center"/>
    </xf>
    <xf numFmtId="0" fontId="75" fillId="2" borderId="47" xfId="23" applyFont="1" applyFill="1" applyBorder="1" applyAlignment="1">
      <alignment horizontal="center" vertical="center"/>
    </xf>
    <xf numFmtId="0" fontId="75" fillId="2" borderId="9" xfId="23" applyFont="1" applyFill="1" applyBorder="1" applyAlignment="1">
      <alignment horizontal="center" vertical="center"/>
    </xf>
    <xf numFmtId="0" fontId="76" fillId="2" borderId="49" xfId="23" applyFont="1" applyFill="1" applyBorder="1" applyAlignment="1">
      <alignment horizontal="left" vertical="center"/>
    </xf>
    <xf numFmtId="0" fontId="76" fillId="2" borderId="44" xfId="23" applyFont="1" applyFill="1" applyBorder="1" applyAlignment="1">
      <alignment horizontal="left" vertical="center"/>
    </xf>
    <xf numFmtId="194" fontId="80" fillId="2" borderId="17" xfId="23" applyNumberFormat="1" applyFont="1" applyFill="1" applyBorder="1" applyAlignment="1">
      <alignment horizontal="right" vertical="center"/>
    </xf>
    <xf numFmtId="194" fontId="80" fillId="2" borderId="9" xfId="23" applyNumberFormat="1" applyFont="1" applyFill="1" applyBorder="1" applyAlignment="1">
      <alignment horizontal="right" vertical="center"/>
    </xf>
    <xf numFmtId="194" fontId="80" fillId="2" borderId="17" xfId="23" applyNumberFormat="1" applyFont="1" applyFill="1" applyBorder="1" applyAlignment="1">
      <alignment horizontal="center" vertical="center"/>
    </xf>
    <xf numFmtId="194" fontId="80" fillId="2" borderId="9" xfId="23" applyNumberFormat="1" applyFont="1" applyFill="1" applyBorder="1" applyAlignment="1">
      <alignment horizontal="center" vertical="center"/>
    </xf>
    <xf numFmtId="1" fontId="80" fillId="2" borderId="17" xfId="23" applyNumberFormat="1" applyFont="1" applyFill="1" applyBorder="1" applyAlignment="1">
      <alignment horizontal="center" vertical="center"/>
    </xf>
    <xf numFmtId="1" fontId="80" fillId="2" borderId="9" xfId="23" applyNumberFormat="1" applyFont="1" applyFill="1" applyBorder="1" applyAlignment="1">
      <alignment horizontal="center" vertical="center"/>
    </xf>
    <xf numFmtId="0" fontId="85" fillId="6" borderId="47" xfId="23" applyFont="1" applyFill="1" applyBorder="1" applyAlignment="1">
      <alignment horizontal="center" vertical="center"/>
    </xf>
    <xf numFmtId="0" fontId="85" fillId="6" borderId="48" xfId="23" applyFont="1" applyFill="1" applyBorder="1" applyAlignment="1">
      <alignment horizontal="center" vertical="center"/>
    </xf>
    <xf numFmtId="0" fontId="86" fillId="25" borderId="2" xfId="22" applyFont="1" applyFill="1" applyBorder="1" applyAlignment="1">
      <alignment horizontal="center"/>
    </xf>
    <xf numFmtId="0" fontId="86" fillId="25" borderId="3" xfId="22" applyFont="1" applyFill="1" applyBorder="1" applyAlignment="1">
      <alignment horizontal="center"/>
    </xf>
    <xf numFmtId="0" fontId="86" fillId="25" borderId="4" xfId="22" applyFont="1" applyFill="1" applyBorder="1" applyAlignment="1">
      <alignment horizontal="center"/>
    </xf>
    <xf numFmtId="0" fontId="87" fillId="25" borderId="16" xfId="22" applyFont="1" applyFill="1" applyBorder="1" applyAlignment="1">
      <alignment horizontal="center"/>
    </xf>
    <xf numFmtId="17" fontId="86" fillId="18" borderId="2" xfId="22" applyNumberFormat="1" applyFont="1" applyFill="1" applyBorder="1" applyAlignment="1">
      <alignment horizontal="center" vertical="center"/>
    </xf>
    <xf numFmtId="0" fontId="86" fillId="18" borderId="3" xfId="22" applyFont="1" applyFill="1" applyBorder="1" applyAlignment="1">
      <alignment horizontal="center" vertical="center"/>
    </xf>
    <xf numFmtId="0" fontId="86" fillId="18" borderId="4" xfId="22" applyFont="1" applyFill="1" applyBorder="1" applyAlignment="1">
      <alignment horizontal="center" vertical="center"/>
    </xf>
    <xf numFmtId="0" fontId="86" fillId="18" borderId="2" xfId="22" applyFont="1" applyFill="1" applyBorder="1" applyAlignment="1">
      <alignment horizontal="center" vertical="center"/>
    </xf>
    <xf numFmtId="0" fontId="76" fillId="6" borderId="47" xfId="23" applyFont="1" applyFill="1" applyBorder="1" applyAlignment="1">
      <alignment horizontal="center" vertical="center"/>
    </xf>
    <xf numFmtId="0" fontId="76" fillId="6" borderId="48" xfId="23" applyFont="1" applyFill="1" applyBorder="1" applyAlignment="1">
      <alignment horizontal="center" vertical="center"/>
    </xf>
    <xf numFmtId="195" fontId="76" fillId="6" borderId="47" xfId="23" applyNumberFormat="1" applyFont="1" applyFill="1" applyBorder="1" applyAlignment="1">
      <alignment horizontal="center" vertical="center"/>
    </xf>
    <xf numFmtId="195" fontId="76" fillId="6" borderId="48" xfId="23" applyNumberFormat="1" applyFont="1" applyFill="1" applyBorder="1" applyAlignment="1">
      <alignment horizontal="center" vertical="center"/>
    </xf>
    <xf numFmtId="0" fontId="84" fillId="0" borderId="16" xfId="22" applyFont="1" applyBorder="1" applyAlignment="1">
      <alignment horizontal="center" vertical="center"/>
    </xf>
    <xf numFmtId="49" fontId="84" fillId="0" borderId="16" xfId="22" applyNumberFormat="1" applyFont="1" applyBorder="1" applyAlignment="1">
      <alignment horizontal="center" vertical="center"/>
    </xf>
    <xf numFmtId="189" fontId="12" fillId="0" borderId="17" xfId="23" applyNumberFormat="1" applyFont="1" applyBorder="1" applyAlignment="1">
      <alignment horizontal="center" vertical="center"/>
    </xf>
    <xf numFmtId="189" fontId="12" fillId="0" borderId="9" xfId="23" applyNumberFormat="1" applyFont="1" applyBorder="1" applyAlignment="1">
      <alignment horizontal="center" vertical="center"/>
    </xf>
    <xf numFmtId="0" fontId="81" fillId="0" borderId="45" xfId="23" applyFont="1" applyBorder="1" applyAlignment="1">
      <alignment horizontal="left" vertical="center" wrapText="1"/>
    </xf>
    <xf numFmtId="0" fontId="81" fillId="0" borderId="44" xfId="23" applyFont="1" applyBorder="1" applyAlignment="1">
      <alignment horizontal="left" vertical="center" wrapText="1"/>
    </xf>
    <xf numFmtId="0" fontId="81" fillId="0" borderId="17" xfId="23" applyFont="1" applyBorder="1" applyAlignment="1">
      <alignment horizontal="center" vertical="center"/>
    </xf>
    <xf numFmtId="0" fontId="81" fillId="0" borderId="9" xfId="23" applyFont="1" applyBorder="1" applyAlignment="1">
      <alignment horizontal="center" vertical="center"/>
    </xf>
    <xf numFmtId="195" fontId="81" fillId="0" borderId="17" xfId="24" applyNumberFormat="1" applyFont="1" applyFill="1" applyBorder="1" applyAlignment="1" applyProtection="1">
      <alignment horizontal="right" vertical="center"/>
    </xf>
    <xf numFmtId="195" fontId="81" fillId="0" borderId="9" xfId="24" applyNumberFormat="1" applyFont="1" applyFill="1" applyBorder="1" applyAlignment="1" applyProtection="1">
      <alignment horizontal="right" vertical="center"/>
    </xf>
    <xf numFmtId="194" fontId="77" fillId="11" borderId="17" xfId="23" applyNumberFormat="1" applyFont="1" applyFill="1" applyBorder="1" applyAlignment="1">
      <alignment horizontal="center" vertical="center"/>
    </xf>
    <xf numFmtId="194" fontId="77" fillId="11" borderId="9" xfId="23" applyNumberFormat="1" applyFont="1" applyFill="1" applyBorder="1" applyAlignment="1">
      <alignment horizontal="center" vertical="center"/>
    </xf>
    <xf numFmtId="193" fontId="78" fillId="11" borderId="17" xfId="23" applyNumberFormat="1" applyFont="1" applyFill="1" applyBorder="1" applyAlignment="1">
      <alignment horizontal="center" vertical="center"/>
    </xf>
    <xf numFmtId="193" fontId="78" fillId="11" borderId="9" xfId="23" applyNumberFormat="1" applyFont="1" applyFill="1" applyBorder="1" applyAlignment="1">
      <alignment horizontal="center" vertical="center"/>
    </xf>
    <xf numFmtId="188" fontId="81" fillId="0" borderId="17" xfId="23" applyNumberFormat="1" applyFont="1" applyBorder="1" applyAlignment="1">
      <alignment horizontal="center" vertical="center"/>
    </xf>
    <xf numFmtId="188" fontId="81" fillId="0" borderId="9" xfId="23" applyNumberFormat="1" applyFont="1" applyBorder="1" applyAlignment="1">
      <alignment horizontal="center" vertical="center"/>
    </xf>
    <xf numFmtId="194" fontId="81" fillId="0" borderId="17" xfId="23" applyNumberFormat="1" applyFont="1" applyBorder="1" applyAlignment="1">
      <alignment horizontal="right" vertical="center"/>
    </xf>
    <xf numFmtId="194" fontId="81" fillId="0" borderId="9" xfId="23" applyNumberFormat="1" applyFont="1" applyBorder="1" applyAlignment="1">
      <alignment horizontal="right" vertical="center"/>
    </xf>
    <xf numFmtId="191" fontId="81" fillId="0" borderId="17" xfId="23" applyNumberFormat="1" applyFont="1" applyBorder="1" applyAlignment="1">
      <alignment horizontal="center" vertical="center"/>
    </xf>
    <xf numFmtId="191" fontId="81" fillId="0" borderId="9" xfId="23" applyNumberFormat="1" applyFont="1" applyBorder="1" applyAlignment="1">
      <alignment horizontal="center" vertical="center"/>
    </xf>
    <xf numFmtId="193" fontId="77" fillId="9" borderId="47" xfId="23" applyNumberFormat="1" applyFont="1" applyFill="1" applyBorder="1" applyAlignment="1">
      <alignment horizontal="center" vertical="center"/>
    </xf>
    <xf numFmtId="193" fontId="77" fillId="9" borderId="48" xfId="23" applyNumberFormat="1" applyFont="1" applyFill="1" applyBorder="1" applyAlignment="1">
      <alignment horizontal="center" vertical="center"/>
    </xf>
    <xf numFmtId="193" fontId="78" fillId="9" borderId="47" xfId="23" applyNumberFormat="1" applyFont="1" applyFill="1" applyBorder="1" applyAlignment="1">
      <alignment horizontal="center" vertical="center"/>
    </xf>
    <xf numFmtId="193" fontId="78" fillId="9" borderId="48" xfId="23" applyNumberFormat="1" applyFont="1" applyFill="1" applyBorder="1" applyAlignment="1">
      <alignment horizontal="center" vertical="center"/>
    </xf>
    <xf numFmtId="191" fontId="76" fillId="6" borderId="47" xfId="23" applyNumberFormat="1" applyFont="1" applyFill="1" applyBorder="1" applyAlignment="1">
      <alignment horizontal="center" vertical="center"/>
    </xf>
    <xf numFmtId="191" fontId="76" fillId="6" borderId="48" xfId="23" applyNumberFormat="1" applyFont="1" applyFill="1" applyBorder="1" applyAlignment="1">
      <alignment horizontal="center" vertical="center"/>
    </xf>
    <xf numFmtId="190" fontId="12" fillId="0" borderId="17" xfId="23" applyNumberFormat="1" applyFont="1" applyBorder="1" applyAlignment="1">
      <alignment horizontal="center" vertical="center"/>
    </xf>
    <xf numFmtId="190" fontId="12" fillId="0" borderId="9" xfId="23" applyNumberFormat="1" applyFont="1" applyBorder="1" applyAlignment="1">
      <alignment horizontal="center" vertical="center"/>
    </xf>
    <xf numFmtId="0" fontId="81" fillId="0" borderId="17" xfId="23" applyFont="1" applyBorder="1" applyAlignment="1">
      <alignment horizontal="left" vertical="center" wrapText="1"/>
    </xf>
    <xf numFmtId="0" fontId="81" fillId="0" borderId="9" xfId="23" applyFont="1" applyBorder="1" applyAlignment="1">
      <alignment horizontal="left" vertical="center" wrapText="1"/>
    </xf>
    <xf numFmtId="0" fontId="81" fillId="0" borderId="20" xfId="23" applyFont="1" applyBorder="1" applyAlignment="1">
      <alignment horizontal="left" vertical="center" wrapText="1"/>
    </xf>
    <xf numFmtId="195" fontId="81" fillId="0" borderId="26" xfId="24" applyNumberFormat="1" applyFont="1" applyFill="1" applyBorder="1" applyAlignment="1" applyProtection="1">
      <alignment horizontal="right" vertical="center"/>
    </xf>
    <xf numFmtId="188" fontId="81" fillId="0" borderId="26" xfId="23" applyNumberFormat="1" applyFont="1" applyBorder="1" applyAlignment="1">
      <alignment horizontal="center" vertical="center"/>
    </xf>
    <xf numFmtId="194" fontId="77" fillId="11" borderId="48" xfId="23" applyNumberFormat="1" applyFont="1" applyFill="1" applyBorder="1" applyAlignment="1">
      <alignment horizontal="center" vertical="center"/>
    </xf>
    <xf numFmtId="193" fontId="78" fillId="11" borderId="48" xfId="23" applyNumberFormat="1" applyFont="1" applyFill="1" applyBorder="1" applyAlignment="1">
      <alignment horizontal="center" vertical="center"/>
    </xf>
    <xf numFmtId="194" fontId="77" fillId="11" borderId="47" xfId="23" applyNumberFormat="1" applyFont="1" applyFill="1" applyBorder="1" applyAlignment="1">
      <alignment horizontal="center" vertical="center"/>
    </xf>
    <xf numFmtId="193" fontId="78" fillId="11" borderId="47" xfId="23" applyNumberFormat="1" applyFont="1" applyFill="1" applyBorder="1" applyAlignment="1">
      <alignment horizontal="center" vertical="center"/>
    </xf>
    <xf numFmtId="198" fontId="12" fillId="0" borderId="17" xfId="23" applyNumberFormat="1" applyFont="1" applyBorder="1" applyAlignment="1">
      <alignment horizontal="center" vertical="center"/>
    </xf>
    <xf numFmtId="198" fontId="12" fillId="0" borderId="9" xfId="23" applyNumberFormat="1" applyFont="1" applyBorder="1" applyAlignment="1">
      <alignment horizontal="center" vertical="center"/>
    </xf>
    <xf numFmtId="190" fontId="75" fillId="2" borderId="47" xfId="23" applyNumberFormat="1" applyFont="1" applyFill="1" applyBorder="1" applyAlignment="1">
      <alignment horizontal="center" vertical="center"/>
    </xf>
    <xf numFmtId="190" fontId="75" fillId="2" borderId="26" xfId="23" applyNumberFormat="1" applyFont="1" applyFill="1" applyBorder="1" applyAlignment="1">
      <alignment horizontal="center" vertical="center"/>
    </xf>
    <xf numFmtId="0" fontId="76" fillId="2" borderId="20" xfId="23" applyFont="1" applyFill="1" applyBorder="1" applyAlignment="1">
      <alignment horizontal="left" vertical="center"/>
    </xf>
    <xf numFmtId="0" fontId="81" fillId="2" borderId="47" xfId="23" applyFont="1" applyFill="1" applyBorder="1" applyAlignment="1">
      <alignment horizontal="center" vertical="center"/>
    </xf>
    <xf numFmtId="0" fontId="81" fillId="2" borderId="26" xfId="23" applyFont="1" applyFill="1" applyBorder="1" applyAlignment="1">
      <alignment horizontal="center" vertical="center"/>
    </xf>
    <xf numFmtId="195" fontId="81" fillId="2" borderId="47" xfId="24" applyNumberFormat="1" applyFont="1" applyFill="1" applyBorder="1" applyAlignment="1" applyProtection="1">
      <alignment horizontal="right" vertical="center"/>
    </xf>
    <xf numFmtId="195" fontId="81" fillId="2" borderId="26" xfId="24" applyNumberFormat="1" applyFont="1" applyFill="1" applyBorder="1" applyAlignment="1" applyProtection="1">
      <alignment horizontal="right" vertical="center"/>
    </xf>
    <xf numFmtId="191" fontId="80" fillId="2" borderId="47" xfId="23" applyNumberFormat="1" applyFont="1" applyFill="1" applyBorder="1" applyAlignment="1">
      <alignment horizontal="center" vertical="center"/>
    </xf>
    <xf numFmtId="191" fontId="80" fillId="2" borderId="9" xfId="23" applyNumberFormat="1" applyFont="1" applyFill="1" applyBorder="1" applyAlignment="1">
      <alignment horizontal="center" vertical="center"/>
    </xf>
    <xf numFmtId="191" fontId="81" fillId="0" borderId="48" xfId="23" applyNumberFormat="1" applyFont="1" applyBorder="1" applyAlignment="1">
      <alignment horizontal="center" vertical="center"/>
    </xf>
    <xf numFmtId="0" fontId="81" fillId="0" borderId="45" xfId="23" applyFont="1" applyBorder="1" applyAlignment="1">
      <alignment horizontal="left" vertical="center"/>
    </xf>
    <xf numFmtId="0" fontId="81" fillId="0" borderId="44" xfId="23" applyFont="1" applyBorder="1" applyAlignment="1">
      <alignment horizontal="left" vertical="center"/>
    </xf>
    <xf numFmtId="190" fontId="75" fillId="2" borderId="9" xfId="23" applyNumberFormat="1" applyFont="1" applyFill="1" applyBorder="1" applyAlignment="1">
      <alignment horizontal="center" vertical="center"/>
    </xf>
    <xf numFmtId="0" fontId="81" fillId="2" borderId="9" xfId="23" applyFont="1" applyFill="1" applyBorder="1" applyAlignment="1">
      <alignment horizontal="center" vertical="center"/>
    </xf>
    <xf numFmtId="195" fontId="81" fillId="2" borderId="9" xfId="24" applyNumberFormat="1" applyFont="1" applyFill="1" applyBorder="1" applyAlignment="1" applyProtection="1">
      <alignment horizontal="right" vertical="center"/>
    </xf>
    <xf numFmtId="196" fontId="77" fillId="11" borderId="17" xfId="23" applyNumberFormat="1" applyFont="1" applyFill="1" applyBorder="1" applyAlignment="1">
      <alignment horizontal="center" vertical="center"/>
    </xf>
    <xf numFmtId="196" fontId="77" fillId="11" borderId="48" xfId="23" applyNumberFormat="1" applyFont="1" applyFill="1" applyBorder="1" applyAlignment="1">
      <alignment horizontal="center" vertical="center"/>
    </xf>
    <xf numFmtId="0" fontId="82" fillId="27" borderId="49" xfId="22" applyFont="1" applyFill="1" applyBorder="1" applyAlignment="1">
      <alignment horizontal="center"/>
    </xf>
    <xf numFmtId="0" fontId="82" fillId="27" borderId="40" xfId="22" applyFont="1" applyFill="1" applyBorder="1" applyAlignment="1">
      <alignment horizontal="center"/>
    </xf>
    <xf numFmtId="0" fontId="82" fillId="27" borderId="33" xfId="22" applyFont="1" applyFill="1" applyBorder="1" applyAlignment="1">
      <alignment horizontal="center"/>
    </xf>
    <xf numFmtId="0" fontId="82" fillId="27" borderId="20" xfId="22" applyFont="1" applyFill="1" applyBorder="1" applyAlignment="1">
      <alignment horizontal="center"/>
    </xf>
    <xf numFmtId="0" fontId="82" fillId="27" borderId="0" xfId="22" applyFont="1" applyFill="1" applyAlignment="1">
      <alignment horizontal="center"/>
    </xf>
    <xf numFmtId="0" fontId="82" fillId="27" borderId="41" xfId="22" applyFont="1" applyFill="1" applyBorder="1" applyAlignment="1">
      <alignment horizontal="center"/>
    </xf>
    <xf numFmtId="0" fontId="82" fillId="27" borderId="50" xfId="22" applyFont="1" applyFill="1" applyBorder="1" applyAlignment="1">
      <alignment horizontal="center"/>
    </xf>
    <xf numFmtId="0" fontId="82" fillId="27" borderId="34" xfId="22" applyFont="1" applyFill="1" applyBorder="1" applyAlignment="1">
      <alignment horizontal="center"/>
    </xf>
    <xf numFmtId="0" fontId="82" fillId="27" borderId="42" xfId="22" applyFont="1" applyFill="1" applyBorder="1" applyAlignment="1">
      <alignment horizontal="center"/>
    </xf>
    <xf numFmtId="0" fontId="91" fillId="29" borderId="47" xfId="22" applyFont="1" applyFill="1" applyBorder="1" applyAlignment="1">
      <alignment horizontal="center" vertical="center" wrapText="1"/>
    </xf>
    <xf numFmtId="0" fontId="91" fillId="29" borderId="26" xfId="22" applyFont="1" applyFill="1" applyBorder="1" applyAlignment="1">
      <alignment horizontal="center" vertical="center"/>
    </xf>
    <xf numFmtId="0" fontId="91" fillId="29" borderId="48" xfId="22" applyFont="1" applyFill="1" applyBorder="1" applyAlignment="1">
      <alignment horizontal="center" vertical="center"/>
    </xf>
    <xf numFmtId="0" fontId="88" fillId="28" borderId="58" xfId="0" applyFont="1" applyFill="1" applyBorder="1" applyAlignment="1">
      <alignment horizontal="center" vertical="center"/>
    </xf>
    <xf numFmtId="0" fontId="88" fillId="28" borderId="59" xfId="0" applyFont="1" applyFill="1" applyBorder="1" applyAlignment="1">
      <alignment horizontal="center" vertical="center"/>
    </xf>
    <xf numFmtId="43" fontId="92" fillId="28" borderId="58" xfId="1" applyFont="1" applyFill="1" applyBorder="1" applyAlignment="1">
      <alignment horizontal="center" vertical="center"/>
    </xf>
    <xf numFmtId="43" fontId="92" fillId="28" borderId="59" xfId="1" applyFont="1" applyFill="1" applyBorder="1" applyAlignment="1">
      <alignment horizontal="center" vertical="center"/>
    </xf>
    <xf numFmtId="43" fontId="92" fillId="28" borderId="62" xfId="1" applyFont="1" applyFill="1" applyBorder="1" applyAlignment="1">
      <alignment horizontal="center" vertical="center"/>
    </xf>
    <xf numFmtId="43" fontId="92" fillId="28" borderId="60" xfId="1" applyFont="1" applyFill="1" applyBorder="1" applyAlignment="1">
      <alignment horizontal="center" vertical="center"/>
    </xf>
    <xf numFmtId="191" fontId="81" fillId="0" borderId="26" xfId="23" applyNumberFormat="1" applyFont="1" applyBorder="1" applyAlignment="1">
      <alignment horizontal="center" vertical="center"/>
    </xf>
    <xf numFmtId="0" fontId="75" fillId="6" borderId="49" xfId="23" applyFont="1" applyFill="1" applyBorder="1" applyAlignment="1">
      <alignment horizontal="center" vertical="center"/>
    </xf>
    <xf numFmtId="0" fontId="75" fillId="6" borderId="40" xfId="23" applyFont="1" applyFill="1" applyBorder="1" applyAlignment="1">
      <alignment horizontal="center" vertical="center"/>
    </xf>
    <xf numFmtId="0" fontId="75" fillId="6" borderId="33" xfId="23" applyFont="1" applyFill="1" applyBorder="1" applyAlignment="1">
      <alignment horizontal="center" vertical="center"/>
    </xf>
    <xf numFmtId="0" fontId="75" fillId="6" borderId="20" xfId="23" applyFont="1" applyFill="1" applyBorder="1" applyAlignment="1">
      <alignment horizontal="center" vertical="center"/>
    </xf>
    <xf numFmtId="0" fontId="75" fillId="6" borderId="0" xfId="23" applyFont="1" applyFill="1" applyAlignment="1">
      <alignment horizontal="center" vertical="center"/>
    </xf>
    <xf numFmtId="0" fontId="75" fillId="6" borderId="41" xfId="23" applyFont="1" applyFill="1" applyBorder="1" applyAlignment="1">
      <alignment horizontal="center" vertical="center"/>
    </xf>
    <xf numFmtId="0" fontId="75" fillId="6" borderId="50" xfId="23" applyFont="1" applyFill="1" applyBorder="1" applyAlignment="1">
      <alignment horizontal="center" vertical="center"/>
    </xf>
    <xf numFmtId="0" fontId="75" fillId="6" borderId="34" xfId="23" applyFont="1" applyFill="1" applyBorder="1" applyAlignment="1">
      <alignment horizontal="center" vertical="center"/>
    </xf>
    <xf numFmtId="0" fontId="75" fillId="6" borderId="42" xfId="23" applyFont="1" applyFill="1" applyBorder="1" applyAlignment="1">
      <alignment horizontal="center" vertical="center"/>
    </xf>
    <xf numFmtId="188" fontId="76" fillId="6" borderId="47" xfId="23" applyNumberFormat="1" applyFont="1" applyFill="1" applyBorder="1" applyAlignment="1">
      <alignment horizontal="center" vertical="center"/>
    </xf>
    <xf numFmtId="188" fontId="76" fillId="6" borderId="26" xfId="23" applyNumberFormat="1" applyFont="1" applyFill="1" applyBorder="1" applyAlignment="1">
      <alignment horizontal="center" vertical="center"/>
    </xf>
    <xf numFmtId="188" fontId="76" fillId="6" borderId="48" xfId="23" applyNumberFormat="1" applyFont="1" applyFill="1" applyBorder="1" applyAlignment="1">
      <alignment horizontal="center" vertical="center"/>
    </xf>
    <xf numFmtId="191" fontId="76" fillId="6" borderId="26" xfId="23" applyNumberFormat="1" applyFont="1" applyFill="1" applyBorder="1" applyAlignment="1">
      <alignment horizontal="center" vertical="center"/>
    </xf>
    <xf numFmtId="0" fontId="83" fillId="0" borderId="2" xfId="22" applyFont="1" applyBorder="1" applyAlignment="1">
      <alignment horizontal="center" vertical="center"/>
    </xf>
    <xf numFmtId="0" fontId="83" fillId="0" borderId="3" xfId="22" applyFont="1" applyBorder="1" applyAlignment="1">
      <alignment horizontal="center" vertical="center"/>
    </xf>
    <xf numFmtId="0" fontId="83" fillId="0" borderId="4" xfId="22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0" fontId="61" fillId="0" borderId="16" xfId="0" applyFont="1" applyBorder="1" applyAlignment="1">
      <alignment horizontal="center" vertical="center" wrapText="1"/>
    </xf>
    <xf numFmtId="0" fontId="62" fillId="0" borderId="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61" fillId="23" borderId="16" xfId="0" applyFont="1" applyFill="1" applyBorder="1" applyAlignment="1">
      <alignment horizontal="center" vertical="center"/>
    </xf>
    <xf numFmtId="0" fontId="61" fillId="23" borderId="49" xfId="0" applyFont="1" applyFill="1" applyBorder="1" applyAlignment="1">
      <alignment horizontal="center" vertical="center"/>
    </xf>
    <xf numFmtId="0" fontId="61" fillId="23" borderId="33" xfId="0" applyFont="1" applyFill="1" applyBorder="1" applyAlignment="1">
      <alignment horizontal="center" vertical="center"/>
    </xf>
    <xf numFmtId="0" fontId="61" fillId="23" borderId="50" xfId="0" applyFont="1" applyFill="1" applyBorder="1" applyAlignment="1">
      <alignment horizontal="center" vertical="center"/>
    </xf>
    <xf numFmtId="0" fontId="61" fillId="23" borderId="42" xfId="0" applyFont="1" applyFill="1" applyBorder="1" applyAlignment="1">
      <alignment horizontal="center" vertical="center"/>
    </xf>
    <xf numFmtId="205" fontId="61" fillId="0" borderId="2" xfId="0" applyNumberFormat="1" applyFont="1" applyBorder="1" applyAlignment="1">
      <alignment horizontal="center"/>
    </xf>
    <xf numFmtId="205" fontId="61" fillId="0" borderId="4" xfId="0" applyNumberFormat="1" applyFont="1" applyBorder="1" applyAlignment="1">
      <alignment horizontal="center"/>
    </xf>
    <xf numFmtId="49" fontId="61" fillId="0" borderId="16" xfId="0" applyNumberFormat="1" applyFont="1" applyBorder="1" applyAlignment="1">
      <alignment horizontal="center" vertical="center" wrapText="1"/>
    </xf>
    <xf numFmtId="4" fontId="61" fillId="0" borderId="16" xfId="0" applyNumberFormat="1" applyFont="1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/>
    </xf>
    <xf numFmtId="0" fontId="61" fillId="0" borderId="4" xfId="0" applyFont="1" applyBorder="1" applyAlignment="1">
      <alignment horizontal="center"/>
    </xf>
    <xf numFmtId="205" fontId="61" fillId="0" borderId="2" xfId="0" applyNumberFormat="1" applyFont="1" applyBorder="1" applyAlignment="1">
      <alignment horizontal="left"/>
    </xf>
    <xf numFmtId="205" fontId="61" fillId="0" borderId="4" xfId="0" applyNumberFormat="1" applyFont="1" applyBorder="1" applyAlignment="1">
      <alignment horizontal="left"/>
    </xf>
    <xf numFmtId="0" fontId="61" fillId="0" borderId="16" xfId="0" applyFont="1" applyBorder="1" applyAlignment="1">
      <alignment horizontal="center"/>
    </xf>
    <xf numFmtId="205" fontId="61" fillId="0" borderId="2" xfId="0" applyNumberFormat="1" applyFont="1" applyBorder="1"/>
    <xf numFmtId="205" fontId="61" fillId="0" borderId="4" xfId="0" applyNumberFormat="1" applyFont="1" applyBorder="1"/>
    <xf numFmtId="49" fontId="62" fillId="0" borderId="2" xfId="0" applyNumberFormat="1" applyFont="1" applyBorder="1" applyAlignment="1">
      <alignment horizontal="left"/>
    </xf>
    <xf numFmtId="49" fontId="61" fillId="0" borderId="4" xfId="0" applyNumberFormat="1" applyFont="1" applyBorder="1" applyAlignment="1">
      <alignment horizontal="left"/>
    </xf>
    <xf numFmtId="0" fontId="87" fillId="25" borderId="16" xfId="22" applyFont="1" applyFill="1" applyBorder="1" applyAlignment="1">
      <alignment horizontal="center" vertical="center"/>
    </xf>
    <xf numFmtId="0" fontId="95" fillId="18" borderId="2" xfId="22" applyFont="1" applyFill="1" applyBorder="1" applyAlignment="1">
      <alignment horizontal="center" vertical="center"/>
    </xf>
    <xf numFmtId="0" fontId="95" fillId="18" borderId="3" xfId="22" applyFont="1" applyFill="1" applyBorder="1" applyAlignment="1">
      <alignment horizontal="center" vertical="center"/>
    </xf>
    <xf numFmtId="0" fontId="95" fillId="18" borderId="4" xfId="22" applyFont="1" applyFill="1" applyBorder="1" applyAlignment="1">
      <alignment horizontal="center" vertical="center"/>
    </xf>
    <xf numFmtId="0" fontId="91" fillId="29" borderId="47" xfId="22" applyFont="1" applyFill="1" applyBorder="1" applyAlignment="1">
      <alignment horizontal="center" vertical="center"/>
    </xf>
    <xf numFmtId="0" fontId="82" fillId="27" borderId="49" xfId="22" applyFont="1" applyFill="1" applyBorder="1" applyAlignment="1">
      <alignment horizontal="center" vertical="center"/>
    </xf>
    <xf numFmtId="0" fontId="82" fillId="27" borderId="40" xfId="22" applyFont="1" applyFill="1" applyBorder="1" applyAlignment="1">
      <alignment horizontal="center" vertical="center"/>
    </xf>
    <xf numFmtId="0" fontId="82" fillId="27" borderId="33" xfId="22" applyFont="1" applyFill="1" applyBorder="1" applyAlignment="1">
      <alignment horizontal="center" vertical="center"/>
    </xf>
    <xf numFmtId="0" fontId="82" fillId="27" borderId="20" xfId="22" applyFont="1" applyFill="1" applyBorder="1" applyAlignment="1">
      <alignment horizontal="center" vertical="center"/>
    </xf>
    <xf numFmtId="0" fontId="82" fillId="27" borderId="0" xfId="22" applyFont="1" applyFill="1" applyAlignment="1">
      <alignment horizontal="center" vertical="center"/>
    </xf>
    <xf numFmtId="0" fontId="82" fillId="27" borderId="41" xfId="22" applyFont="1" applyFill="1" applyBorder="1" applyAlignment="1">
      <alignment horizontal="center" vertical="center"/>
    </xf>
    <xf numFmtId="0" fontId="82" fillId="27" borderId="50" xfId="22" applyFont="1" applyFill="1" applyBorder="1" applyAlignment="1">
      <alignment horizontal="center" vertical="center"/>
    </xf>
    <xf numFmtId="0" fontId="82" fillId="27" borderId="34" xfId="22" applyFont="1" applyFill="1" applyBorder="1" applyAlignment="1">
      <alignment horizontal="center" vertical="center"/>
    </xf>
    <xf numFmtId="0" fontId="82" fillId="27" borderId="42" xfId="22" applyFont="1" applyFill="1" applyBorder="1" applyAlignment="1">
      <alignment horizontal="center" vertical="center"/>
    </xf>
    <xf numFmtId="0" fontId="86" fillId="25" borderId="2" xfId="22" applyFont="1" applyFill="1" applyBorder="1" applyAlignment="1">
      <alignment horizontal="center" vertical="center"/>
    </xf>
    <xf numFmtId="0" fontId="86" fillId="25" borderId="3" xfId="22" applyFont="1" applyFill="1" applyBorder="1" applyAlignment="1">
      <alignment horizontal="center" vertical="center"/>
    </xf>
    <xf numFmtId="0" fontId="86" fillId="25" borderId="4" xfId="22" applyFont="1" applyFill="1" applyBorder="1" applyAlignment="1">
      <alignment horizontal="center" vertical="center"/>
    </xf>
    <xf numFmtId="0" fontId="61" fillId="22" borderId="16" xfId="0" applyFont="1" applyFill="1" applyBorder="1" applyAlignment="1">
      <alignment horizontal="center" vertical="center"/>
    </xf>
    <xf numFmtId="205" fontId="61" fillId="12" borderId="2" xfId="0" applyNumberFormat="1" applyFont="1" applyFill="1" applyBorder="1" applyAlignment="1">
      <alignment horizontal="center"/>
    </xf>
    <xf numFmtId="205" fontId="61" fillId="12" borderId="4" xfId="0" applyNumberFormat="1" applyFont="1" applyFill="1" applyBorder="1" applyAlignment="1">
      <alignment horizontal="center"/>
    </xf>
    <xf numFmtId="0" fontId="61" fillId="0" borderId="81" xfId="0" applyFont="1" applyBorder="1" applyAlignment="1">
      <alignment horizontal="center"/>
    </xf>
    <xf numFmtId="0" fontId="61" fillId="0" borderId="86" xfId="0" applyFont="1" applyBorder="1" applyAlignment="1">
      <alignment horizontal="center"/>
    </xf>
    <xf numFmtId="0" fontId="61" fillId="0" borderId="82" xfId="0" applyFont="1" applyBorder="1" applyAlignment="1">
      <alignment horizontal="center"/>
    </xf>
    <xf numFmtId="0" fontId="61" fillId="0" borderId="83" xfId="0" applyFont="1" applyBorder="1" applyAlignment="1">
      <alignment horizontal="center"/>
    </xf>
    <xf numFmtId="0" fontId="61" fillId="24" borderId="16" xfId="0" applyFont="1" applyFill="1" applyBorder="1" applyAlignment="1">
      <alignment horizontal="center" vertical="center"/>
    </xf>
    <xf numFmtId="0" fontId="55" fillId="0" borderId="58" xfId="0" applyFont="1" applyBorder="1" applyAlignment="1">
      <alignment horizontal="center" vertical="center"/>
    </xf>
    <xf numFmtId="0" fontId="55" fillId="0" borderId="59" xfId="0" applyFont="1" applyBorder="1" applyAlignment="1">
      <alignment horizontal="center" vertical="center"/>
    </xf>
    <xf numFmtId="0" fontId="55" fillId="0" borderId="62" xfId="0" applyFont="1" applyBorder="1" applyAlignment="1">
      <alignment horizontal="center" vertical="center"/>
    </xf>
    <xf numFmtId="0" fontId="55" fillId="0" borderId="60" xfId="0" applyFont="1" applyBorder="1" applyAlignment="1">
      <alignment horizontal="center" vertical="center"/>
    </xf>
    <xf numFmtId="0" fontId="55" fillId="0" borderId="58" xfId="0" applyFont="1" applyBorder="1" applyAlignment="1">
      <alignment horizontal="center" vertical="center" wrapText="1"/>
    </xf>
    <xf numFmtId="0" fontId="55" fillId="0" borderId="59" xfId="0" applyFont="1" applyBorder="1" applyAlignment="1">
      <alignment horizontal="center" vertical="center" wrapText="1"/>
    </xf>
    <xf numFmtId="0" fontId="30" fillId="0" borderId="2" xfId="16" applyFont="1" applyBorder="1" applyAlignment="1">
      <alignment horizontal="center" vertical="center"/>
    </xf>
    <xf numFmtId="0" fontId="30" fillId="0" borderId="3" xfId="16" applyFont="1" applyBorder="1" applyAlignment="1">
      <alignment horizontal="center" vertical="center"/>
    </xf>
    <xf numFmtId="0" fontId="30" fillId="0" borderId="4" xfId="16" applyFont="1" applyBorder="1" applyAlignment="1">
      <alignment horizontal="center" vertical="center"/>
    </xf>
    <xf numFmtId="0" fontId="29" fillId="0" borderId="51" xfId="16" applyFont="1" applyBorder="1" applyAlignment="1">
      <alignment horizontal="left" vertical="center" wrapText="1"/>
    </xf>
    <xf numFmtId="0" fontId="29" fillId="0" borderId="52" xfId="16" applyFont="1" applyBorder="1" applyAlignment="1">
      <alignment horizontal="left" vertical="center" wrapText="1"/>
    </xf>
    <xf numFmtId="0" fontId="29" fillId="0" borderId="35" xfId="16" applyFont="1" applyBorder="1" applyAlignment="1">
      <alignment horizontal="left" vertical="center" wrapText="1"/>
    </xf>
    <xf numFmtId="0" fontId="29" fillId="0" borderId="54" xfId="16" applyFont="1" applyBorder="1" applyAlignment="1">
      <alignment horizontal="left" vertical="center" wrapText="1"/>
    </xf>
    <xf numFmtId="0" fontId="29" fillId="0" borderId="55" xfId="16" applyFont="1" applyBorder="1" applyAlignment="1">
      <alignment horizontal="left" vertical="center" wrapText="1"/>
    </xf>
    <xf numFmtId="0" fontId="29" fillId="0" borderId="56" xfId="16" applyFont="1" applyBorder="1" applyAlignment="1">
      <alignment horizontal="left" vertical="center" wrapText="1"/>
    </xf>
    <xf numFmtId="0" fontId="46" fillId="0" borderId="0" xfId="16" applyFont="1" applyAlignment="1">
      <alignment horizontal="center" vertical="center"/>
    </xf>
    <xf numFmtId="0" fontId="30" fillId="0" borderId="47" xfId="16" applyFont="1" applyBorder="1" applyAlignment="1">
      <alignment horizontal="center" vertical="center"/>
    </xf>
    <xf numFmtId="0" fontId="30" fillId="0" borderId="48" xfId="16" applyFont="1" applyBorder="1" applyAlignment="1">
      <alignment horizontal="center" vertical="center"/>
    </xf>
    <xf numFmtId="0" fontId="30" fillId="0" borderId="49" xfId="16" applyFont="1" applyBorder="1" applyAlignment="1">
      <alignment horizontal="center" vertical="center"/>
    </xf>
    <xf numFmtId="0" fontId="30" fillId="0" borderId="40" xfId="16" applyFont="1" applyBorder="1" applyAlignment="1">
      <alignment horizontal="center" vertical="center"/>
    </xf>
    <xf numFmtId="0" fontId="30" fillId="0" borderId="33" xfId="16" applyFont="1" applyBorder="1" applyAlignment="1">
      <alignment horizontal="center" vertical="center"/>
    </xf>
    <xf numFmtId="0" fontId="30" fillId="0" borderId="50" xfId="16" applyFont="1" applyBorder="1" applyAlignment="1">
      <alignment horizontal="center" vertical="center"/>
    </xf>
    <xf numFmtId="0" fontId="30" fillId="0" borderId="34" xfId="16" applyFont="1" applyBorder="1" applyAlignment="1">
      <alignment horizontal="center" vertical="center"/>
    </xf>
    <xf numFmtId="0" fontId="30" fillId="0" borderId="42" xfId="16" applyFont="1" applyBorder="1" applyAlignment="1">
      <alignment horizontal="center" vertical="center"/>
    </xf>
    <xf numFmtId="0" fontId="30" fillId="0" borderId="47" xfId="16" applyFont="1" applyBorder="1" applyAlignment="1">
      <alignment horizontal="center" vertical="center" wrapText="1"/>
    </xf>
    <xf numFmtId="0" fontId="30" fillId="0" borderId="48" xfId="16" applyFont="1" applyBorder="1" applyAlignment="1">
      <alignment horizontal="center" vertical="center" wrapText="1"/>
    </xf>
    <xf numFmtId="0" fontId="31" fillId="0" borderId="47" xfId="16" applyFont="1" applyBorder="1" applyAlignment="1">
      <alignment horizontal="center" vertical="center" wrapText="1"/>
    </xf>
    <xf numFmtId="0" fontId="31" fillId="0" borderId="48" xfId="16" applyFont="1" applyBorder="1" applyAlignment="1">
      <alignment horizontal="center" vertical="center" wrapText="1"/>
    </xf>
    <xf numFmtId="0" fontId="54" fillId="0" borderId="62" xfId="0" applyFont="1" applyBorder="1" applyAlignment="1">
      <alignment horizontal="center" vertical="center" wrapText="1"/>
    </xf>
    <xf numFmtId="0" fontId="54" fillId="0" borderId="60" xfId="0" applyFont="1" applyBorder="1" applyAlignment="1">
      <alignment horizontal="center" vertical="center" wrapText="1"/>
    </xf>
    <xf numFmtId="0" fontId="53" fillId="0" borderId="62" xfId="0" applyFont="1" applyBorder="1" applyAlignment="1">
      <alignment horizontal="center" vertical="center" wrapText="1"/>
    </xf>
    <xf numFmtId="0" fontId="53" fillId="0" borderId="60" xfId="0" applyFont="1" applyBorder="1" applyAlignment="1">
      <alignment horizontal="center" vertical="center" wrapText="1"/>
    </xf>
    <xf numFmtId="0" fontId="94" fillId="0" borderId="90" xfId="0" applyFont="1" applyBorder="1" applyAlignment="1">
      <alignment horizontal="center"/>
    </xf>
    <xf numFmtId="0" fontId="0" fillId="0" borderId="90" xfId="0" applyBorder="1" applyAlignment="1">
      <alignment horizontal="center"/>
    </xf>
    <xf numFmtId="0" fontId="29" fillId="0" borderId="62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96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0" fillId="0" borderId="16" xfId="0" applyFont="1" applyFill="1" applyBorder="1" applyAlignment="1">
      <alignment horizontal="center" vertical="center"/>
    </xf>
    <xf numFmtId="191" fontId="50" fillId="0" borderId="16" xfId="0" applyNumberFormat="1" applyFont="1" applyFill="1" applyBorder="1" applyAlignment="1">
      <alignment horizontal="center" vertical="center"/>
    </xf>
    <xf numFmtId="191" fontId="50" fillId="0" borderId="4" xfId="0" applyNumberFormat="1" applyFont="1" applyFill="1" applyBorder="1" applyAlignment="1">
      <alignment horizontal="center" vertical="center"/>
    </xf>
    <xf numFmtId="0" fontId="50" fillId="0" borderId="4" xfId="0" applyFont="1" applyFill="1" applyBorder="1" applyAlignment="1">
      <alignment horizontal="center" vertical="center"/>
    </xf>
    <xf numFmtId="10" fontId="50" fillId="0" borderId="16" xfId="0" applyNumberFormat="1" applyFont="1" applyFill="1" applyBorder="1" applyAlignment="1">
      <alignment horizontal="center" vertical="center"/>
    </xf>
    <xf numFmtId="0" fontId="50" fillId="0" borderId="26" xfId="0" applyFont="1" applyFill="1" applyBorder="1" applyAlignment="1">
      <alignment horizontal="center" vertical="center"/>
    </xf>
  </cellXfs>
  <cellStyles count="25">
    <cellStyle name="Comma 2" xfId="3" xr:uid="{00000000-0005-0000-0000-000001000000}"/>
    <cellStyle name="Comma 3 2 5" xfId="4" xr:uid="{F3302807-5613-4448-92B3-97355FE69505}"/>
    <cellStyle name="Comma 4" xfId="14" xr:uid="{71A1A56D-A35D-43AE-B748-8344CD7647CA}"/>
    <cellStyle name="Comma 79" xfId="8" xr:uid="{02742581-D29C-4590-A0C6-60BAB285ADB5}"/>
    <cellStyle name="Hyperlink 2" xfId="20" xr:uid="{D088B1AC-3BDB-4534-BA3A-FB51B4DF438E}"/>
    <cellStyle name="Normal 10 2 2" xfId="21" xr:uid="{F3E05209-7D3E-42D4-8656-255E41ADF41A}"/>
    <cellStyle name="Normal 13" xfId="11" xr:uid="{3A63E6EA-F872-4F99-BEA5-6DEBFD18D974}"/>
    <cellStyle name="Normal 2" xfId="2" xr:uid="{00000000-0005-0000-0000-000003000000}"/>
    <cellStyle name="Normal 2 10 2" xfId="7" xr:uid="{F37C2946-E20D-4A6A-A590-06E180B39953}"/>
    <cellStyle name="Normal 2 10 2 2" xfId="10" xr:uid="{C411C55D-9C71-4DA5-9FE0-6DDA19A5357E}"/>
    <cellStyle name="Normal 8" xfId="13" xr:uid="{96DC9879-E874-43CC-8CFA-82C61F397AC9}"/>
    <cellStyle name="Normal_pumping" xfId="5" xr:uid="{5E9FCDAC-C61A-46F2-8DA1-C868DBA0D28A}"/>
    <cellStyle name="Percent 10" xfId="9" xr:uid="{2150F81C-8687-44E1-962A-5B3E0E8024AF}"/>
    <cellStyle name="เครื่องหมายจุลภาค 6 2 2" xfId="6" xr:uid="{CD6DE14F-9ABE-41AA-9D9A-1997AAC42B85}"/>
    <cellStyle name="เครื่องหมายจุลภาค_ระยอง แยกทางหลวง36 -  บ้านทุ่งสระแก้ว อำเภอปลวกแดง-แก้ไข2" xfId="15" xr:uid="{92F8CA33-DE8D-44CF-8BC3-0A5653F0B96D}"/>
    <cellStyle name="จุลภาค" xfId="1" builtinId="3"/>
    <cellStyle name="จุลภาค 2" xfId="19" xr:uid="{F6F17C4C-695F-4216-B07E-E3E77520660E}"/>
    <cellStyle name="จุลภาค 3" xfId="24" xr:uid="{402B8841-D995-445F-8139-DC8F5F410BE1}"/>
    <cellStyle name="ปกติ" xfId="0" builtinId="0"/>
    <cellStyle name="ปกติ 2" xfId="18" xr:uid="{1D78E60A-CA8C-492A-9E3B-096AB0313EBC}"/>
    <cellStyle name="ปกติ 3" xfId="22" xr:uid="{510D82A1-277D-4A24-BF80-3FD9A4CCBD13}"/>
    <cellStyle name="ปกติ 3 2" xfId="16" xr:uid="{E41C6BFF-045D-48B4-997E-861E214BDADF}"/>
    <cellStyle name="ปกติ 3 3" xfId="23" xr:uid="{BB4C8AE2-243C-4CE6-9CD1-481EA1985479}"/>
    <cellStyle name="เปอร์เซ็นต์" xfId="12" builtinId="5"/>
    <cellStyle name="เปอร์เซ็นต์ 2" xfId="17" xr:uid="{2BF2A39A-D4F8-4590-A7BF-1A79591B8CCF}"/>
  </cellStyles>
  <dxfs count="7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ill>
        <patternFill>
          <bgColor rgb="FFADDB7B"/>
        </patternFill>
      </fill>
    </dxf>
    <dxf>
      <numFmt numFmtId="209" formatCode="0.000;0.000;"/>
      <fill>
        <patternFill>
          <bgColor rgb="FFFF9966"/>
        </patternFill>
      </fill>
    </dxf>
    <dxf>
      <numFmt numFmtId="210" formatCode=";;;"/>
    </dxf>
  </dxfs>
  <tableStyles count="0" defaultTableStyle="TableStyleMedium2" defaultPivotStyle="PivotStyleLight16"/>
  <colors>
    <mruColors>
      <color rgb="FF0000FF"/>
      <color rgb="FF33CC33"/>
      <color rgb="FF00FFFF"/>
      <color rgb="FFEAEAEA"/>
      <color rgb="FFF6FA44"/>
      <color rgb="FFFFFF00"/>
      <color rgb="FF00FF00"/>
      <color rgb="FF66FF66"/>
      <color rgb="FF0066CC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520339673897238E-2"/>
          <c:y val="8.839194152842865E-3"/>
          <c:w val="0.98210853650774255"/>
          <c:h val="0.97646466600042181"/>
        </c:manualLayout>
      </c:layout>
      <c:lineChart>
        <c:grouping val="standard"/>
        <c:varyColors val="0"/>
        <c:ser>
          <c:idx val="1"/>
          <c:order val="1"/>
          <c:tx>
            <c:strRef>
              <c:f>แผนการก่อสร้าง!$J$123</c:f>
              <c:strCache>
                <c:ptCount val="1"/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9FDE7">
                  <a:alpha val="99000"/>
                </a:srgbClr>
              </a:solidFill>
              <a:ln w="9525">
                <a:solidFill>
                  <a:schemeClr val="tx2"/>
                </a:solidFill>
              </a:ln>
              <a:effectLst/>
            </c:spPr>
          </c:marker>
          <c:val>
            <c:numRef>
              <c:f>แผนการก่อสร้าง!$BM$119:$CI$119</c:f>
              <c:numCache>
                <c:formatCode>0.00</c:formatCode>
                <c:ptCount val="23"/>
                <c:pt idx="0" formatCode="0.0">
                  <c:v>0</c:v>
                </c:pt>
                <c:pt idx="1">
                  <c:v>0</c:v>
                </c:pt>
                <c:pt idx="2">
                  <c:v>0.1717601749843308</c:v>
                </c:pt>
                <c:pt idx="3">
                  <c:v>0.1717601749843308</c:v>
                </c:pt>
                <c:pt idx="4">
                  <c:v>0.1717601749843308</c:v>
                </c:pt>
                <c:pt idx="5">
                  <c:v>0.1717601749843308</c:v>
                </c:pt>
                <c:pt idx="6">
                  <c:v>0.1717601749843308</c:v>
                </c:pt>
                <c:pt idx="7">
                  <c:v>0.1717601749843308</c:v>
                </c:pt>
                <c:pt idx="8">
                  <c:v>0.1717601749843308</c:v>
                </c:pt>
                <c:pt idx="9">
                  <c:v>0.1717601749843308</c:v>
                </c:pt>
                <c:pt idx="10">
                  <c:v>0.1717601749843308</c:v>
                </c:pt>
                <c:pt idx="11">
                  <c:v>0.1717601749843308</c:v>
                </c:pt>
                <c:pt idx="12">
                  <c:v>0.1717601749843308</c:v>
                </c:pt>
                <c:pt idx="13">
                  <c:v>0.1717601749843308</c:v>
                </c:pt>
                <c:pt idx="14">
                  <c:v>0.1717601749843308</c:v>
                </c:pt>
                <c:pt idx="15">
                  <c:v>13.199144375083668</c:v>
                </c:pt>
                <c:pt idx="16">
                  <c:v>20.360395997457104</c:v>
                </c:pt>
                <c:pt idx="17">
                  <c:v>20.360395997457104</c:v>
                </c:pt>
                <c:pt idx="18">
                  <c:v>20.360395997457104</c:v>
                </c:pt>
                <c:pt idx="19">
                  <c:v>20.360395997457104</c:v>
                </c:pt>
                <c:pt idx="20">
                  <c:v>20.360395997457104</c:v>
                </c:pt>
                <c:pt idx="21">
                  <c:v>23.144105457203299</c:v>
                </c:pt>
                <c:pt idx="22">
                  <c:v>23.144105457203299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34-4DDA-8AE1-D070C92A1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946799"/>
        <c:axId val="1352948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แผนการก่อสร้าง!$J$119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solidFill>
                      <a:srgbClr val="C00000"/>
                    </a:solidFill>
                    <a:prstDash val="solid"/>
                    <a:round/>
                  </a:ln>
                  <a:effectLst/>
                </c:spPr>
                <c:marker>
                  <c:symbol val="triangle"/>
                  <c:size val="7"/>
                  <c:spPr>
                    <a:solidFill>
                      <a:srgbClr val="FFFF00"/>
                    </a:solidFill>
                    <a:ln w="6350" cap="rnd">
                      <a:solidFill>
                        <a:srgbClr val="004800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แผนการก่อสร้าง!$BM$117:$CX$117</c15:sqref>
                        </c15:formulaRef>
                      </c:ext>
                    </c:extLst>
                    <c:numCache>
                      <c:formatCode>0.00</c:formatCode>
                      <c:ptCount val="38"/>
                      <c:pt idx="0" formatCode="0.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0.36514640633224021</c:v>
                      </c:pt>
                      <c:pt idx="16">
                        <c:v>0.73029281266448043</c:v>
                      </c:pt>
                      <c:pt idx="17">
                        <c:v>2.2920596220176068</c:v>
                      </c:pt>
                      <c:pt idx="18">
                        <c:v>3.9140153828599544</c:v>
                      </c:pt>
                      <c:pt idx="19">
                        <c:v>5.4713648870635678</c:v>
                      </c:pt>
                      <c:pt idx="20">
                        <c:v>7.0738245057133913</c:v>
                      </c:pt>
                      <c:pt idx="21">
                        <c:v>11.190412973665802</c:v>
                      </c:pt>
                      <c:pt idx="22">
                        <c:v>14.749815743658015</c:v>
                      </c:pt>
                      <c:pt idx="23">
                        <c:v>17.948770311222592</c:v>
                      </c:pt>
                      <c:pt idx="24">
                        <c:v>22.052964352743338</c:v>
                      </c:pt>
                      <c:pt idx="25">
                        <c:v>27.062728822493657</c:v>
                      </c:pt>
                      <c:pt idx="26">
                        <c:v>32.321672664558591</c:v>
                      </c:pt>
                      <c:pt idx="27">
                        <c:v>38.084452431058111</c:v>
                      </c:pt>
                      <c:pt idx="28">
                        <c:v>45.341307446867802</c:v>
                      </c:pt>
                      <c:pt idx="29">
                        <c:v>50.823842165399206</c:v>
                      </c:pt>
                      <c:pt idx="30">
                        <c:v>57.441865435915325</c:v>
                      </c:pt>
                      <c:pt idx="31">
                        <c:v>63.942919761192833</c:v>
                      </c:pt>
                      <c:pt idx="32">
                        <c:v>70.279617643262853</c:v>
                      </c:pt>
                      <c:pt idx="33">
                        <c:v>76.795249575334196</c:v>
                      </c:pt>
                      <c:pt idx="34">
                        <c:v>84.358944520066061</c:v>
                      </c:pt>
                      <c:pt idx="35">
                        <c:v>89.407229352720307</c:v>
                      </c:pt>
                      <c:pt idx="36">
                        <c:v>95.069637720942993</c:v>
                      </c:pt>
                      <c:pt idx="37">
                        <c:v>100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B434-4DDA-8AE1-D070C92A1A63}"/>
                  </c:ext>
                </c:extLst>
              </c15:ser>
            </c15:filteredLineSeries>
          </c:ext>
        </c:extLst>
      </c:lineChart>
      <c:catAx>
        <c:axId val="1352946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52948719"/>
        <c:crosses val="autoZero"/>
        <c:auto val="1"/>
        <c:lblAlgn val="ctr"/>
        <c:lblOffset val="100"/>
        <c:noMultiLvlLbl val="0"/>
      </c:catAx>
      <c:valAx>
        <c:axId val="1352948719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352946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185339872175559E-2"/>
          <c:y val="1.3962002569564883E-2"/>
          <c:w val="0.95315212311297104"/>
          <c:h val="0.94094187467500301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004800"/>
              </a:solidFill>
              <a:round/>
              <a:headEnd type="diamond"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20000"/>
                  <a:lumOff val="80000"/>
                  <a:alpha val="99000"/>
                </a:schemeClr>
              </a:solidFill>
              <a:ln w="12700" cap="flat">
                <a:solidFill>
                  <a:schemeClr val="tx2"/>
                </a:solidFill>
                <a:headEnd w="med" len="med"/>
              </a:ln>
              <a:effectLst/>
            </c:spPr>
          </c:marker>
          <c:dPt>
            <c:idx val="8"/>
            <c:marker>
              <c:symbol val="circle"/>
              <c:size val="7"/>
              <c:spPr>
                <a:solidFill>
                  <a:schemeClr val="accent5">
                    <a:lumMod val="20000"/>
                    <a:lumOff val="80000"/>
                    <a:alpha val="99000"/>
                  </a:schemeClr>
                </a:solidFill>
                <a:ln w="12700" cap="flat">
                  <a:solidFill>
                    <a:schemeClr val="tx2"/>
                  </a:solidFill>
                  <a:headEnd w="med" len="med"/>
                </a:ln>
                <a:effectLst/>
              </c:spPr>
            </c:marker>
            <c:bubble3D val="0"/>
            <c:spPr>
              <a:ln w="28575" cap="rnd">
                <a:solidFill>
                  <a:srgbClr val="0048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8D-40BA-86EE-91BB2F0977A3}"/>
              </c:ext>
            </c:extLst>
          </c:dPt>
          <c:val>
            <c:numRef>
              <c:f>แผนการก่อสร้าง!$L$119:$AW$119</c:f>
              <c:numCache>
                <c:formatCode>0.00</c:formatCode>
                <c:ptCount val="38"/>
                <c:pt idx="15">
                  <c:v>0.36514640633224021</c:v>
                </c:pt>
                <c:pt idx="16">
                  <c:v>0.73029281266448043</c:v>
                </c:pt>
                <c:pt idx="17">
                  <c:v>2.2920596220176068</c:v>
                </c:pt>
                <c:pt idx="18">
                  <c:v>3.9140153828599544</c:v>
                </c:pt>
                <c:pt idx="19">
                  <c:v>5.4713648870635678</c:v>
                </c:pt>
                <c:pt idx="20">
                  <c:v>7.0738245057133913</c:v>
                </c:pt>
                <c:pt idx="21">
                  <c:v>11.190412973665802</c:v>
                </c:pt>
                <c:pt idx="22">
                  <c:v>14.749815743658015</c:v>
                </c:pt>
                <c:pt idx="23">
                  <c:v>17.948770311222592</c:v>
                </c:pt>
                <c:pt idx="24">
                  <c:v>22.052964352743338</c:v>
                </c:pt>
                <c:pt idx="25">
                  <c:v>27.062728822493657</c:v>
                </c:pt>
                <c:pt idx="26">
                  <c:v>32.321672664558591</c:v>
                </c:pt>
                <c:pt idx="27">
                  <c:v>38.084452431058111</c:v>
                </c:pt>
                <c:pt idx="28">
                  <c:v>45.341307446867802</c:v>
                </c:pt>
                <c:pt idx="29">
                  <c:v>50.823842165399206</c:v>
                </c:pt>
                <c:pt idx="30">
                  <c:v>57.441865435915325</c:v>
                </c:pt>
                <c:pt idx="31">
                  <c:v>63.942919761192833</c:v>
                </c:pt>
                <c:pt idx="32">
                  <c:v>70.279617643262853</c:v>
                </c:pt>
                <c:pt idx="33">
                  <c:v>76.795249575334196</c:v>
                </c:pt>
                <c:pt idx="34">
                  <c:v>84.358944520066061</c:v>
                </c:pt>
                <c:pt idx="35">
                  <c:v>89.407229352720307</c:v>
                </c:pt>
                <c:pt idx="36">
                  <c:v>95.069637720942993</c:v>
                </c:pt>
                <c:pt idx="3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8D-40BA-86EE-91BB2F097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814672"/>
        <c:axId val="1419816112"/>
      </c:lineChart>
      <c:catAx>
        <c:axId val="141981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19816112"/>
        <c:crosses val="autoZero"/>
        <c:auto val="1"/>
        <c:lblAlgn val="ctr"/>
        <c:lblOffset val="100"/>
        <c:noMultiLvlLbl val="0"/>
      </c:catAx>
      <c:valAx>
        <c:axId val="14198161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noFill/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19814672"/>
        <c:crosses val="autoZero"/>
        <c:crossBetween val="between"/>
      </c:valAx>
      <c:spPr>
        <a:noFill/>
        <a:ln cmpd="sng"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579525530840079E-2"/>
          <c:y val="8.8392014779753794E-3"/>
          <c:w val="0.98210853650774255"/>
          <c:h val="0.97646466600042181"/>
        </c:manualLayout>
      </c:layout>
      <c:lineChart>
        <c:grouping val="standard"/>
        <c:varyColors val="0"/>
        <c:ser>
          <c:idx val="0"/>
          <c:order val="0"/>
          <c:tx>
            <c:strRef>
              <c:f>แผนการก่อสร้าง!$J$119</c:f>
              <c:strCache>
                <c:ptCount val="1"/>
              </c:strCache>
            </c:strRef>
          </c:tx>
          <c:spPr>
            <a:ln w="25400" cap="rnd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FFFF00"/>
              </a:solidFill>
              <a:ln w="6350" cap="rnd">
                <a:solidFill>
                  <a:srgbClr val="004800"/>
                </a:solidFill>
              </a:ln>
              <a:effectLst/>
            </c:spPr>
          </c:marker>
          <c:val>
            <c:numRef>
              <c:f>แผนการก่อสร้าง!$CA$117:$CX$117</c:f>
              <c:numCache>
                <c:formatCode>0.00</c:formatCode>
                <c:ptCount val="24"/>
                <c:pt idx="0">
                  <c:v>0</c:v>
                </c:pt>
                <c:pt idx="1">
                  <c:v>0.36514640633224021</c:v>
                </c:pt>
                <c:pt idx="2">
                  <c:v>0.73029281266448043</c:v>
                </c:pt>
                <c:pt idx="3">
                  <c:v>2.2920596220176068</c:v>
                </c:pt>
                <c:pt idx="4">
                  <c:v>3.9140153828599544</c:v>
                </c:pt>
                <c:pt idx="5">
                  <c:v>5.4713648870635678</c:v>
                </c:pt>
                <c:pt idx="6">
                  <c:v>7.0738245057133913</c:v>
                </c:pt>
                <c:pt idx="7">
                  <c:v>11.190412973665802</c:v>
                </c:pt>
                <c:pt idx="8">
                  <c:v>14.749815743658015</c:v>
                </c:pt>
                <c:pt idx="9">
                  <c:v>17.948770311222592</c:v>
                </c:pt>
                <c:pt idx="10">
                  <c:v>22.052964352743338</c:v>
                </c:pt>
                <c:pt idx="11">
                  <c:v>27.062728822493657</c:v>
                </c:pt>
                <c:pt idx="12">
                  <c:v>32.321672664558591</c:v>
                </c:pt>
                <c:pt idx="13">
                  <c:v>38.084452431058111</c:v>
                </c:pt>
                <c:pt idx="14">
                  <c:v>45.341307446867802</c:v>
                </c:pt>
                <c:pt idx="15">
                  <c:v>50.823842165399206</c:v>
                </c:pt>
                <c:pt idx="16">
                  <c:v>57.441865435915325</c:v>
                </c:pt>
                <c:pt idx="17">
                  <c:v>63.942919761192833</c:v>
                </c:pt>
                <c:pt idx="18">
                  <c:v>70.279617643262853</c:v>
                </c:pt>
                <c:pt idx="19">
                  <c:v>76.795249575334196</c:v>
                </c:pt>
                <c:pt idx="20">
                  <c:v>84.358944520066061</c:v>
                </c:pt>
                <c:pt idx="21">
                  <c:v>89.407229352720307</c:v>
                </c:pt>
                <c:pt idx="22">
                  <c:v>95.069637720942993</c:v>
                </c:pt>
                <c:pt idx="23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52-4E2E-9565-1A06429CE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946799"/>
        <c:axId val="1352948719"/>
        <c:extLst/>
      </c:lineChart>
      <c:catAx>
        <c:axId val="1352946799"/>
        <c:scaling>
          <c:orientation val="minMax"/>
        </c:scaling>
        <c:delete val="1"/>
        <c:axPos val="b"/>
        <c:majorTickMark val="none"/>
        <c:minorTickMark val="none"/>
        <c:tickLblPos val="nextTo"/>
        <c:crossAx val="1352948719"/>
        <c:crosses val="autoZero"/>
        <c:auto val="1"/>
        <c:lblAlgn val="ctr"/>
        <c:lblOffset val="100"/>
        <c:noMultiLvlLbl val="0"/>
      </c:catAx>
      <c:valAx>
        <c:axId val="1352948719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352946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แผนภูมิแสดงความก้าวหน้าสะสมถึงวันที่ </a:t>
            </a:r>
            <a:r>
              <a:rPr lang="en-US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30 </a:t>
            </a: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เมษายน 2566</a:t>
            </a:r>
          </a:p>
          <a:p>
            <a:pPr>
              <a:defRPr sz="1600">
                <a:latin typeface="TH SarabunIT๙" panose="020B0500040200020003" pitchFamily="34" charset="-34"/>
                <a:cs typeface="TH SarabunIT๙" panose="020B0500040200020003" pitchFamily="34" charset="-34"/>
              </a:defRPr>
            </a:pP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แยกตามหมวดงาน</a:t>
            </a:r>
            <a:endParaRPr lang="en-US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6985562857564531E-2"/>
          <c:y val="0.15142187226596676"/>
          <c:w val="0.94602883072640098"/>
          <c:h val="0.75025336518888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4.2599999999999999E-3</c:v>
              </c:pt>
              <c:pt idx="1">
                <c:v>0.20724999999999999</c:v>
              </c:pt>
              <c:pt idx="2">
                <c:v>8.1860000000000002E-2</c:v>
              </c:pt>
              <c:pt idx="3">
                <c:v>0.13109999999999999</c:v>
              </c:pt>
              <c:pt idx="4">
                <c:v>0.41139000000000003</c:v>
              </c:pt>
              <c:pt idx="5">
                <c:v>0.14150000000000001</c:v>
              </c:pt>
              <c:pt idx="6">
                <c:v>2.8500000000000001E-3</c:v>
              </c:pt>
              <c:pt idx="7">
                <c:v>1.9799999999999998E-2</c:v>
              </c:pt>
              <c:pt idx="8">
                <c:v>1.0000100000000001</c:v>
              </c:pt>
            </c:numLit>
          </c:val>
          <c:extLst>
            <c:ext xmlns:c16="http://schemas.microsoft.com/office/drawing/2014/chart" uri="{C3380CC4-5D6E-409C-BE32-E72D297353CC}">
              <c16:uniqueId val="{00000000-875F-4D66-93DE-503ACCD7B3E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5.9999999999999995E-4</c:v>
              </c:pt>
              <c:pt idx="1">
                <c:v>0.12349</c:v>
              </c:pt>
              <c:pt idx="2">
                <c:v>3.3169999999999998E-2</c:v>
              </c:pt>
              <c:pt idx="3">
                <c:v>2.3700000000000001E-3</c:v>
              </c:pt>
              <c:pt idx="4">
                <c:v>0.11476</c:v>
              </c:pt>
              <c:pt idx="5">
                <c:v>2.3810000000000001E-2</c:v>
              </c:pt>
              <c:pt idx="6">
                <c:v>1.3699999999999999E-3</c:v>
              </c:pt>
              <c:pt idx="7">
                <c:v>1.085E-2</c:v>
              </c:pt>
              <c:pt idx="8">
                <c:v>0.31042000000000003</c:v>
              </c:pt>
            </c:numLit>
          </c:val>
          <c:extLst>
            <c:ext xmlns:c16="http://schemas.microsoft.com/office/drawing/2014/chart" uri="{C3380CC4-5D6E-409C-BE32-E72D297353CC}">
              <c16:uniqueId val="{00000001-875F-4D66-93DE-503ACCD7B3E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0.18099000000000001</c:v>
              </c:pt>
              <c:pt idx="2">
                <c:v>1.8950000000000002E-2</c:v>
              </c:pt>
              <c:pt idx="3">
                <c:v>0</c:v>
              </c:pt>
              <c:pt idx="4">
                <c:v>0.16586999999999999</c:v>
              </c:pt>
              <c:pt idx="5">
                <c:v>2.792E-2</c:v>
              </c:pt>
              <c:pt idx="6">
                <c:v>1.3699999999999999E-3</c:v>
              </c:pt>
              <c:pt idx="7">
                <c:v>1.085E-2</c:v>
              </c:pt>
              <c:pt idx="8">
                <c:v>0.40594999999999998</c:v>
              </c:pt>
            </c:numLit>
          </c:val>
          <c:extLst>
            <c:ext xmlns:c16="http://schemas.microsoft.com/office/drawing/2014/chart" uri="{C3380CC4-5D6E-409C-BE32-E72D297353CC}">
              <c16:uniqueId val="{00000002-875F-4D66-93DE-503ACCD7B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10"/>
        <c:axId val="412611888"/>
        <c:axId val="410899056"/>
      </c:barChart>
      <c:catAx>
        <c:axId val="4126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NiramitIT๙" panose="02000506000000020004" pitchFamily="2" charset="-34"/>
                <a:ea typeface="+mn-ea"/>
                <a:cs typeface="TH NiramitIT๙" panose="02000506000000020004" pitchFamily="2" charset="-34"/>
              </a:defRPr>
            </a:pPr>
            <a:endParaRPr lang="th-TH"/>
          </a:p>
        </c:txPr>
        <c:crossAx val="410899056"/>
        <c:crosses val="autoZero"/>
        <c:auto val="1"/>
        <c:lblAlgn val="ctr"/>
        <c:lblOffset val="100"/>
        <c:noMultiLvlLbl val="0"/>
      </c:catAx>
      <c:valAx>
        <c:axId val="410899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 sz="10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แผนภูมิแสดงความก้าวหน้าสะสมถึงวันที่ </a:t>
            </a:r>
            <a:r>
              <a:rPr lang="en-US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30 </a:t>
            </a: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เมษายน 2566</a:t>
            </a:r>
          </a:p>
          <a:p>
            <a:pPr>
              <a:defRPr sz="1600">
                <a:latin typeface="TH SarabunIT๙" panose="020B0500040200020003" pitchFamily="34" charset="-34"/>
                <a:cs typeface="TH SarabunIT๙" panose="020B0500040200020003" pitchFamily="34" charset="-34"/>
              </a:defRPr>
            </a:pPr>
            <a:r>
              <a:rPr lang="th-TH" sz="1600">
                <a:solidFill>
                  <a:sysClr val="windowText" lastClr="000000"/>
                </a:solidFill>
                <a:latin typeface="TH SarabunIT๙" panose="020B0500040200020003" pitchFamily="34" charset="-34"/>
                <a:cs typeface="TH SarabunIT๙" panose="020B0500040200020003" pitchFamily="34" charset="-34"/>
              </a:rPr>
              <a:t>แยกตามหมวดงาน</a:t>
            </a:r>
            <a:endParaRPr lang="en-US" sz="1600">
              <a:solidFill>
                <a:sysClr val="windowText" lastClr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6985562857564531E-2"/>
          <c:y val="0.15142187226596676"/>
          <c:w val="0.94602883072640098"/>
          <c:h val="0.75025336518888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4.2599999999999999E-3</c:v>
              </c:pt>
              <c:pt idx="1">
                <c:v>0.20724999999999999</c:v>
              </c:pt>
              <c:pt idx="2">
                <c:v>8.1860000000000002E-2</c:v>
              </c:pt>
              <c:pt idx="3">
                <c:v>0.13109999999999999</c:v>
              </c:pt>
              <c:pt idx="4">
                <c:v>0.41139000000000003</c:v>
              </c:pt>
              <c:pt idx="5">
                <c:v>0.14150000000000001</c:v>
              </c:pt>
              <c:pt idx="6">
                <c:v>2.8500000000000001E-3</c:v>
              </c:pt>
              <c:pt idx="7">
                <c:v>1.9799999999999998E-2</c:v>
              </c:pt>
              <c:pt idx="8">
                <c:v>1.0000100000000001</c:v>
              </c:pt>
            </c:numLit>
          </c:val>
          <c:extLst>
            <c:ext xmlns:c16="http://schemas.microsoft.com/office/drawing/2014/chart" uri="{C3380CC4-5D6E-409C-BE32-E72D297353CC}">
              <c16:uniqueId val="{00000000-970D-4D08-9DC5-9234BD8CDFB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5.9999999999999995E-4</c:v>
              </c:pt>
              <c:pt idx="1">
                <c:v>0.12349</c:v>
              </c:pt>
              <c:pt idx="2">
                <c:v>3.3169999999999998E-2</c:v>
              </c:pt>
              <c:pt idx="3">
                <c:v>2.3700000000000001E-3</c:v>
              </c:pt>
              <c:pt idx="4">
                <c:v>0.11476</c:v>
              </c:pt>
              <c:pt idx="5">
                <c:v>2.3810000000000001E-2</c:v>
              </c:pt>
              <c:pt idx="6">
                <c:v>1.3699999999999999E-3</c:v>
              </c:pt>
              <c:pt idx="7">
                <c:v>1.085E-2</c:v>
              </c:pt>
              <c:pt idx="8">
                <c:v>0.31042000000000003</c:v>
              </c:pt>
            </c:numLit>
          </c:val>
          <c:extLst>
            <c:ext xmlns:c16="http://schemas.microsoft.com/office/drawing/2014/chart" uri="{C3380CC4-5D6E-409C-BE32-E72D297353CC}">
              <c16:uniqueId val="{00000001-970D-4D08-9DC5-9234BD8CDFB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NiramitIT๙" panose="02000506000000020004" pitchFamily="2" charset="-34"/>
                    <a:ea typeface="+mn-ea"/>
                    <a:cs typeface="TH NiramitIT๙" panose="02000506000000020004" pitchFamily="2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หมวดที่ 1</c:v>
              </c:pt>
              <c:pt idx="1">
                <c:v>หมวดที่ 2</c:v>
              </c:pt>
              <c:pt idx="2">
                <c:v>หมวดที่ 3</c:v>
              </c:pt>
              <c:pt idx="3">
                <c:v>หมวดที่ 4</c:v>
              </c:pt>
              <c:pt idx="4">
                <c:v>หมวดที่ 5</c:v>
              </c:pt>
              <c:pt idx="5">
                <c:v>หมวดที่ 6</c:v>
              </c:pt>
              <c:pt idx="6">
                <c:v>หมวดที่ 7</c:v>
              </c:pt>
              <c:pt idx="7">
                <c:v>หมวดที่ 8</c:v>
              </c:pt>
              <c:pt idx="8">
                <c:v>ทั้งโครงการ</c:v>
              </c:pt>
            </c:strLit>
          </c:cat>
          <c:val>
            <c:numLit>
              <c:formatCode>General</c:formatCode>
              <c:ptCount val="9"/>
              <c:pt idx="0">
                <c:v>0</c:v>
              </c:pt>
              <c:pt idx="1">
                <c:v>0.18099000000000001</c:v>
              </c:pt>
              <c:pt idx="2">
                <c:v>1.8950000000000002E-2</c:v>
              </c:pt>
              <c:pt idx="3">
                <c:v>0</c:v>
              </c:pt>
              <c:pt idx="4">
                <c:v>0.16586999999999999</c:v>
              </c:pt>
              <c:pt idx="5">
                <c:v>2.792E-2</c:v>
              </c:pt>
              <c:pt idx="6">
                <c:v>1.3699999999999999E-3</c:v>
              </c:pt>
              <c:pt idx="7">
                <c:v>1.085E-2</c:v>
              </c:pt>
              <c:pt idx="8">
                <c:v>0.40594999999999998</c:v>
              </c:pt>
            </c:numLit>
          </c:val>
          <c:extLst>
            <c:ext xmlns:c16="http://schemas.microsoft.com/office/drawing/2014/chart" uri="{C3380CC4-5D6E-409C-BE32-E72D297353CC}">
              <c16:uniqueId val="{00000002-970D-4D08-9DC5-9234BD8CD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10"/>
        <c:axId val="412611888"/>
        <c:axId val="410899056"/>
      </c:barChart>
      <c:catAx>
        <c:axId val="41261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NiramitIT๙" panose="02000506000000020004" pitchFamily="2" charset="-34"/>
                <a:ea typeface="+mn-ea"/>
                <a:cs typeface="TH NiramitIT๙" panose="02000506000000020004" pitchFamily="2" charset="-34"/>
              </a:defRPr>
            </a:pPr>
            <a:endParaRPr lang="th-TH"/>
          </a:p>
        </c:txPr>
        <c:crossAx val="410899056"/>
        <c:crosses val="autoZero"/>
        <c:auto val="1"/>
        <c:lblAlgn val="ctr"/>
        <c:lblOffset val="100"/>
        <c:noMultiLvlLbl val="0"/>
      </c:catAx>
      <c:valAx>
        <c:axId val="410899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1261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 sz="1000" b="1">
          <a:latin typeface="TH SarabunPSK" panose="020B0500040200020003" pitchFamily="34" charset="-34"/>
          <a:cs typeface="TH SarabunPSK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การเบิกจ่ายงบประมาณ!$C$4</c:f>
              <c:strCache>
                <c:ptCount val="1"/>
                <c:pt idx="0">
                  <c:v>เงินงบประมาณ</c:v>
                </c:pt>
              </c:strCache>
            </c:strRef>
          </c:tx>
          <c:spPr>
            <a:solidFill>
              <a:srgbClr val="0066CC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A65-491C-9A23-C728E74E3362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8A65-491C-9A23-C728E74E3362}"/>
              </c:ext>
            </c:extLst>
          </c:dPt>
          <c:cat>
            <c:strRef>
              <c:f>การเบิกจ่ายงบประมาณ!$B$6:$B$12</c:f>
              <c:strCache>
                <c:ptCount val="7"/>
                <c:pt idx="0">
                  <c:v>พ.ศ. 2566</c:v>
                </c:pt>
                <c:pt idx="1">
                  <c:v>ตกพับ</c:v>
                </c:pt>
                <c:pt idx="2">
                  <c:v>พ.ศ. 2567</c:v>
                </c:pt>
                <c:pt idx="3">
                  <c:v>ตกพับ</c:v>
                </c:pt>
                <c:pt idx="4">
                  <c:v>พ.ศ. 2568</c:v>
                </c:pt>
                <c:pt idx="5">
                  <c:v>พ.ศ. 2569</c:v>
                </c:pt>
                <c:pt idx="6">
                  <c:v>พ.ศ. 2570</c:v>
                </c:pt>
              </c:strCache>
            </c:strRef>
          </c:cat>
          <c:val>
            <c:numRef>
              <c:f>การเบิกจ่ายงบประมาณ!$C$6:$C$12</c:f>
              <c:numCache>
                <c:formatCode>#,##0</c:formatCode>
                <c:ptCount val="7"/>
                <c:pt idx="0">
                  <c:v>50000000</c:v>
                </c:pt>
                <c:pt idx="1">
                  <c:v>4362000</c:v>
                </c:pt>
                <c:pt idx="2">
                  <c:v>41666500</c:v>
                </c:pt>
                <c:pt idx="3">
                  <c:v>19322500</c:v>
                </c:pt>
                <c:pt idx="4">
                  <c:v>62500000</c:v>
                </c:pt>
                <c:pt idx="5">
                  <c:v>0</c:v>
                </c:pt>
                <c:pt idx="6">
                  <c:v>93163500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D356-48F1-BB68-2E645327C3AA}"/>
            </c:ext>
          </c:extLst>
        </c:ser>
        <c:ser>
          <c:idx val="1"/>
          <c:order val="1"/>
          <c:tx>
            <c:strRef>
              <c:f>การเบิกจ่ายงบประมาณ!$E$4</c:f>
              <c:strCache>
                <c:ptCount val="1"/>
                <c:pt idx="0">
                  <c:v>เบิกจ่ายแล้ว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การเบิกจ่ายงบประมาณ!$B$6:$B$12</c:f>
              <c:strCache>
                <c:ptCount val="7"/>
                <c:pt idx="0">
                  <c:v>พ.ศ. 2566</c:v>
                </c:pt>
                <c:pt idx="1">
                  <c:v>ตกพับ</c:v>
                </c:pt>
                <c:pt idx="2">
                  <c:v>พ.ศ. 2567</c:v>
                </c:pt>
                <c:pt idx="3">
                  <c:v>ตกพับ</c:v>
                </c:pt>
                <c:pt idx="4">
                  <c:v>พ.ศ. 2568</c:v>
                </c:pt>
                <c:pt idx="5">
                  <c:v>พ.ศ. 2569</c:v>
                </c:pt>
                <c:pt idx="6">
                  <c:v>พ.ศ. 2570</c:v>
                </c:pt>
              </c:strCache>
            </c:strRef>
          </c:cat>
          <c:val>
            <c:numRef>
              <c:f>การเบิกจ่ายงบประมาณ!$E$6:$E$12</c:f>
              <c:numCache>
                <c:formatCode>#,##0_ ;\-#,##0\ </c:formatCode>
                <c:ptCount val="7"/>
                <c:pt idx="0">
                  <c:v>37099500</c:v>
                </c:pt>
                <c:pt idx="1">
                  <c:v>0</c:v>
                </c:pt>
                <c:pt idx="2">
                  <c:v>22344000</c:v>
                </c:pt>
                <c:pt idx="3">
                  <c:v>0</c:v>
                </c:pt>
                <c:pt idx="4">
                  <c:v>21392000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D356-48F1-BB68-2E645327C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1146336"/>
        <c:axId val="721145376"/>
        <c:axId val="0"/>
      </c:bar3DChart>
      <c:catAx>
        <c:axId val="7211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endParaRPr lang="th-TH"/>
          </a:p>
        </c:txPr>
        <c:crossAx val="721145376"/>
        <c:crosses val="autoZero"/>
        <c:auto val="1"/>
        <c:lblAlgn val="ctr"/>
        <c:lblOffset val="100"/>
        <c:noMultiLvlLbl val="0"/>
      </c:catAx>
      <c:valAx>
        <c:axId val="7211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endParaRPr lang="th-TH"/>
          </a:p>
        </c:txPr>
        <c:crossAx val="7211463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IT๙" panose="020B0500040200020003" pitchFamily="34" charset="-34"/>
                    <a:ea typeface="+mn-ea"/>
                    <a:cs typeface="TH SarabunIT๙" panose="020B0500040200020003" pitchFamily="34" charset="-34"/>
                  </a:defRPr>
                </a:pPr>
                <a:endParaRPr lang="th-TH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การเบิกจ่ายควบคุมงาน!$C$5</c:f>
              <c:strCache>
                <c:ptCount val="1"/>
                <c:pt idx="0">
                  <c:v>เงินงบประมาณ</c:v>
                </c:pt>
              </c:strCache>
            </c:strRef>
          </c:tx>
          <c:spPr>
            <a:solidFill>
              <a:srgbClr val="0066CC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E221-4A3E-9411-6370F0434352}"/>
              </c:ext>
            </c:extLst>
          </c:dPt>
          <c:cat>
            <c:strRef>
              <c:f>การเบิกจ่ายควบคุมงาน!$B$7:$B$11</c:f>
              <c:strCache>
                <c:ptCount val="5"/>
                <c:pt idx="0">
                  <c:v>พ.ศ. 2566</c:v>
                </c:pt>
                <c:pt idx="1">
                  <c:v>โอนออก</c:v>
                </c:pt>
                <c:pt idx="2">
                  <c:v>พ.ศ. 2567</c:v>
                </c:pt>
                <c:pt idx="3">
                  <c:v>โอนออก</c:v>
                </c:pt>
                <c:pt idx="4">
                  <c:v>พ.ศ. 2568</c:v>
                </c:pt>
              </c:strCache>
            </c:strRef>
          </c:cat>
          <c:val>
            <c:numRef>
              <c:f>การเบิกจ่ายควบคุมงาน!$C$7:$C$11</c:f>
              <c:numCache>
                <c:formatCode>#,##0</c:formatCode>
                <c:ptCount val="5"/>
                <c:pt idx="0">
                  <c:v>1750000</c:v>
                </c:pt>
                <c:pt idx="1">
                  <c:v>1459086</c:v>
                </c:pt>
                <c:pt idx="2">
                  <c:v>3500000</c:v>
                </c:pt>
                <c:pt idx="3">
                  <c:v>1754516</c:v>
                </c:pt>
                <c:pt idx="4">
                  <c:v>4919086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1423-4F20-8A83-61E0BBF2ABD1}"/>
            </c:ext>
          </c:extLst>
        </c:ser>
        <c:ser>
          <c:idx val="1"/>
          <c:order val="1"/>
          <c:tx>
            <c:strRef>
              <c:f>การเบิกจ่ายควบคุมงาน!$E$5</c:f>
              <c:strCache>
                <c:ptCount val="1"/>
                <c:pt idx="0">
                  <c:v>เบิกจ่ายแล้ว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cat>
            <c:strRef>
              <c:f>การเบิกจ่ายควบคุมงาน!$B$7:$B$11</c:f>
              <c:strCache>
                <c:ptCount val="5"/>
                <c:pt idx="0">
                  <c:v>พ.ศ. 2566</c:v>
                </c:pt>
                <c:pt idx="1">
                  <c:v>โอนออก</c:v>
                </c:pt>
                <c:pt idx="2">
                  <c:v>พ.ศ. 2567</c:v>
                </c:pt>
                <c:pt idx="3">
                  <c:v>โอนออก</c:v>
                </c:pt>
                <c:pt idx="4">
                  <c:v>พ.ศ. 2568</c:v>
                </c:pt>
              </c:strCache>
            </c:strRef>
          </c:cat>
          <c:val>
            <c:numRef>
              <c:f>การเบิกจ่ายควบคุมงาน!$E$7:$E$11</c:f>
              <c:numCache>
                <c:formatCode>_(* #,##0.00_);_(* \(#,##0.00\);_(* "-"??_);_(@_)</c:formatCode>
                <c:ptCount val="5"/>
                <c:pt idx="0">
                  <c:v>290914</c:v>
                </c:pt>
                <c:pt idx="1">
                  <c:v>0</c:v>
                </c:pt>
                <c:pt idx="2">
                  <c:v>1745484</c:v>
                </c:pt>
                <c:pt idx="3">
                  <c:v>0</c:v>
                </c:pt>
                <c:pt idx="4">
                  <c:v>828321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1-1423-4F20-8A83-61E0BBF2A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1146336"/>
        <c:axId val="721145376"/>
        <c:axId val="0"/>
      </c:bar3DChart>
      <c:catAx>
        <c:axId val="7211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endParaRPr lang="th-TH"/>
          </a:p>
        </c:txPr>
        <c:crossAx val="721145376"/>
        <c:crosses val="autoZero"/>
        <c:auto val="1"/>
        <c:lblAlgn val="ctr"/>
        <c:lblOffset val="100"/>
        <c:noMultiLvlLbl val="0"/>
      </c:catAx>
      <c:valAx>
        <c:axId val="7211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IT๙" panose="020B0500040200020003" pitchFamily="34" charset="-34"/>
                <a:ea typeface="+mn-ea"/>
                <a:cs typeface="TH SarabunIT๙" panose="020B0500040200020003" pitchFamily="34" charset="-34"/>
              </a:defRPr>
            </a:pPr>
            <a:endParaRPr lang="th-TH"/>
          </a:p>
        </c:txPr>
        <c:crossAx val="7211463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IT๙" panose="020B0500040200020003" pitchFamily="34" charset="-34"/>
                    <a:ea typeface="+mn-ea"/>
                    <a:cs typeface="TH SarabunIT๙" panose="020B0500040200020003" pitchFamily="34" charset="-34"/>
                  </a:defRPr>
                </a:pPr>
                <a:endParaRPr lang="th-TH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microsoft.com/office/2007/relationships/hdphoto" Target="../media/hdphoto1.wdp"/><Relationship Id="rId2" Type="http://schemas.openxmlformats.org/officeDocument/2006/relationships/image" Target="../media/image1.wmf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microsoft.com/office/2007/relationships/hdphoto" Target="../media/hdphoto2.wdp"/><Relationship Id="rId5" Type="http://schemas.openxmlformats.org/officeDocument/2006/relationships/image" Target="../media/image2.png"/><Relationship Id="rId10" Type="http://schemas.openxmlformats.org/officeDocument/2006/relationships/image" Target="../media/image6.png"/><Relationship Id="rId4" Type="http://schemas.openxmlformats.org/officeDocument/2006/relationships/chart" Target="../charts/chart3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594633</xdr:colOff>
      <xdr:row>7</xdr:row>
      <xdr:rowOff>10119</xdr:rowOff>
    </xdr:from>
    <xdr:to>
      <xdr:col>34</xdr:col>
      <xdr:colOff>318654</xdr:colOff>
      <xdr:row>111</xdr:row>
      <xdr:rowOff>85360</xdr:rowOff>
    </xdr:to>
    <xdr:graphicFrame macro="">
      <xdr:nvGraphicFramePr>
        <xdr:cNvPr id="19" name="แผนภูมิ 18">
          <a:extLst>
            <a:ext uri="{FF2B5EF4-FFF2-40B4-BE49-F238E27FC236}">
              <a16:creationId xmlns:a16="http://schemas.microsoft.com/office/drawing/2014/main" id="{41167612-6C41-4409-8797-99F0C4F5B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39120</xdr:colOff>
      <xdr:row>0</xdr:row>
      <xdr:rowOff>81643</xdr:rowOff>
    </xdr:from>
    <xdr:to>
      <xdr:col>32</xdr:col>
      <xdr:colOff>322730</xdr:colOff>
      <xdr:row>5</xdr:row>
      <xdr:rowOff>98612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BA518F4B-BD3A-17D4-46D1-44D2CB2401A3}"/>
            </a:ext>
          </a:extLst>
        </xdr:cNvPr>
        <xdr:cNvSpPr txBox="1">
          <a:spLocks noChangeArrowheads="1"/>
        </xdr:cNvSpPr>
      </xdr:nvSpPr>
      <xdr:spPr bwMode="auto">
        <a:xfrm>
          <a:off x="9559638" y="81643"/>
          <a:ext cx="9992386" cy="994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ctr" upright="1"/>
        <a:lstStyle/>
        <a:p>
          <a:pPr algn="ctr" rtl="0">
            <a:defRPr sz="1000"/>
          </a:pPr>
          <a:r>
            <a:rPr lang="th-TH" sz="20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แผนปฏิบัติงานก่อสร้าง (แก้ไขสัญญาครั้งที่ </a:t>
          </a:r>
          <a:r>
            <a:rPr lang="en-US" sz="20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1)</a:t>
          </a:r>
        </a:p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โครงการพัฒนาพื้นที่ชุมชนหัวรอและพื้นที่ต่อเนื่อง ตำบลหัวรอ อำเภอเมืองพิษณุโลก จังหวัดพิษณุโลก</a:t>
          </a:r>
        </a:p>
        <a:p>
          <a:pPr algn="ctr" rtl="0">
            <a:defRPr sz="1000"/>
          </a:pPr>
          <a:r>
            <a:rPr lang="th-TH" sz="18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ระยะเวลาก่อสร้าง </a:t>
          </a:r>
          <a:r>
            <a:rPr lang="en-US" sz="18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840 </a:t>
          </a:r>
          <a:r>
            <a:rPr lang="th-TH" sz="18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 ขยายระยะเวลา 248 วัน</a:t>
          </a:r>
        </a:p>
      </xdr:txBody>
    </xdr:sp>
    <xdr:clientData/>
  </xdr:twoCellAnchor>
  <xdr:twoCellAnchor editAs="oneCell">
    <xdr:from>
      <xdr:col>49</xdr:col>
      <xdr:colOff>297180</xdr:colOff>
      <xdr:row>7</xdr:row>
      <xdr:rowOff>213360</xdr:rowOff>
    </xdr:from>
    <xdr:to>
      <xdr:col>51</xdr:col>
      <xdr:colOff>76201</xdr:colOff>
      <xdr:row>112</xdr:row>
      <xdr:rowOff>32658</xdr:rowOff>
    </xdr:to>
    <xdr:pic>
      <xdr:nvPicPr>
        <xdr:cNvPr id="14" name="Picture 1" descr="bar">
          <a:extLst>
            <a:ext uri="{FF2B5EF4-FFF2-40B4-BE49-F238E27FC236}">
              <a16:creationId xmlns:a16="http://schemas.microsoft.com/office/drawing/2014/main" id="{AB7F52BB-150B-49B7-B285-DFE9C08A72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400" t="4945" r="51247" b="6631"/>
        <a:stretch>
          <a:fillRect/>
        </a:stretch>
      </xdr:blipFill>
      <xdr:spPr bwMode="auto">
        <a:xfrm>
          <a:off x="27808428" y="1798320"/>
          <a:ext cx="437388" cy="11136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502919</xdr:colOff>
      <xdr:row>8</xdr:row>
      <xdr:rowOff>5022</xdr:rowOff>
    </xdr:from>
    <xdr:to>
      <xdr:col>49</xdr:col>
      <xdr:colOff>326569</xdr:colOff>
      <xdr:row>112</xdr:row>
      <xdr:rowOff>0</xdr:rowOff>
    </xdr:to>
    <xdr:sp macro="" textlink="">
      <xdr:nvSpPr>
        <xdr:cNvPr id="27" name="Text Box 6">
          <a:extLst>
            <a:ext uri="{FF2B5EF4-FFF2-40B4-BE49-F238E27FC236}">
              <a16:creationId xmlns:a16="http://schemas.microsoft.com/office/drawing/2014/main" id="{095A321D-32CB-4026-9DA1-7303708F09EF}"/>
            </a:ext>
          </a:extLst>
        </xdr:cNvPr>
        <xdr:cNvSpPr txBox="1">
          <a:spLocks noChangeArrowheads="1"/>
        </xdr:cNvSpPr>
      </xdr:nvSpPr>
      <xdr:spPr bwMode="auto">
        <a:xfrm rot="16200000">
          <a:off x="21987300" y="7302470"/>
          <a:ext cx="11316120" cy="33528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vertOverflow="clip" vert="vert270" wrap="square" lIns="27432" tIns="41148" rIns="0" bIns="0" anchor="ctr" upright="1"/>
        <a:lstStyle/>
        <a:p>
          <a:pPr algn="ctr" rtl="0">
            <a:defRPr sz="1000"/>
          </a:pPr>
          <a:r>
            <a:rPr lang="th-TH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สิ้นสุดสัญญา(แก้ไขครั้งที่ </a:t>
          </a:r>
          <a:r>
            <a:rPr lang="en-US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1</a:t>
          </a:r>
          <a:r>
            <a:rPr lang="th-TH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)</a:t>
          </a:r>
          <a:r>
            <a:rPr lang="en-US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th-TH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วันที่ 10</a:t>
          </a:r>
          <a:r>
            <a:rPr lang="en-US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th-TH" sz="1800" b="1" i="1" u="none" strike="noStrike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กรกฎาคม 2570</a:t>
          </a:r>
        </a:p>
      </xdr:txBody>
    </xdr:sp>
    <xdr:clientData/>
  </xdr:twoCellAnchor>
  <xdr:twoCellAnchor>
    <xdr:from>
      <xdr:col>123</xdr:col>
      <xdr:colOff>162791</xdr:colOff>
      <xdr:row>9</xdr:row>
      <xdr:rowOff>32378</xdr:rowOff>
    </xdr:from>
    <xdr:to>
      <xdr:col>149</xdr:col>
      <xdr:colOff>174988</xdr:colOff>
      <xdr:row>118</xdr:row>
      <xdr:rowOff>37497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3ABC0C8F-7557-ED9D-0B9C-C709879ED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74</xdr:col>
      <xdr:colOff>92641</xdr:colOff>
      <xdr:row>149</xdr:row>
      <xdr:rowOff>25751</xdr:rowOff>
    </xdr:from>
    <xdr:to>
      <xdr:col>87</xdr:col>
      <xdr:colOff>139338</xdr:colOff>
      <xdr:row>157</xdr:row>
      <xdr:rowOff>44950</xdr:rowOff>
    </xdr:to>
    <xdr:sp macro="" textlink="">
      <xdr:nvSpPr>
        <xdr:cNvPr id="28" name="Text Box 6">
          <a:extLst>
            <a:ext uri="{FF2B5EF4-FFF2-40B4-BE49-F238E27FC236}">
              <a16:creationId xmlns:a16="http://schemas.microsoft.com/office/drawing/2014/main" id="{5406E0FB-14CD-A278-6A0F-C6653598E33B}"/>
            </a:ext>
          </a:extLst>
        </xdr:cNvPr>
        <xdr:cNvSpPr txBox="1">
          <a:spLocks noChangeArrowheads="1"/>
        </xdr:cNvSpPr>
      </xdr:nvSpPr>
      <xdr:spPr bwMode="auto">
        <a:xfrm>
          <a:off x="38588881" y="18008951"/>
          <a:ext cx="5197817" cy="994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สัญญาจ้างเลขที่ : 233/25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6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7 ลงวันที่ 3 กรกฎาคม 2567</a:t>
          </a:r>
          <a:endParaRPr lang="en-US" sz="1600" b="1" i="0" u="none" strike="noStrike" baseline="0">
            <a:solidFill>
              <a:srgbClr val="00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วันเริ่มสัญญา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วันที่ 18 กรกฎาคม 2567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กำหนดแล้วเสร็จ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วันที่ 4 พฤศจิกายน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2569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รวมระยะเวลา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840 วัน</a:t>
          </a:r>
        </a:p>
        <a:p>
          <a:pPr algn="l" rtl="0">
            <a:defRPr sz="1000"/>
          </a:pPr>
          <a:endParaRPr lang="th-TH" sz="1600" b="1" i="0" u="none" strike="noStrike" baseline="0">
            <a:solidFill>
              <a:srgbClr val="00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0</xdr:col>
      <xdr:colOff>221486</xdr:colOff>
      <xdr:row>0</xdr:row>
      <xdr:rowOff>63018</xdr:rowOff>
    </xdr:from>
    <xdr:to>
      <xdr:col>8</xdr:col>
      <xdr:colOff>806976</xdr:colOff>
      <xdr:row>6</xdr:row>
      <xdr:rowOff>92364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9F01622C-83D5-4446-AEEE-9A49C9D4DB73}"/>
            </a:ext>
          </a:extLst>
        </xdr:cNvPr>
        <xdr:cNvSpPr txBox="1">
          <a:spLocks noChangeArrowheads="1"/>
        </xdr:cNvSpPr>
      </xdr:nvSpPr>
      <xdr:spPr bwMode="auto">
        <a:xfrm>
          <a:off x="221486" y="63018"/>
          <a:ext cx="5793984" cy="1123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ผู้ว่าจ้าง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 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กรมโยธาธิการและผังเมือง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ผู้รับจ้าง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 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กิจการค้าร่วม เอเอ็มทีเอส สัญญาค้าร่วมเลขที่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AMTS.001/2566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ค่างานก่อสร้าง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  247,330,000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.00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บาท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ค่างานก่อสร้าง ( แก้ไขสัญญาครั้งที่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1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)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  238,495,183.00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บาท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ค่าปรับวันละ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: 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2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38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,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49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5.183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บาท</a:t>
          </a:r>
        </a:p>
      </xdr:txBody>
    </xdr:sp>
    <xdr:clientData/>
  </xdr:twoCellAnchor>
  <xdr:twoCellAnchor editAs="absolute">
    <xdr:from>
      <xdr:col>45</xdr:col>
      <xdr:colOff>142956</xdr:colOff>
      <xdr:row>127</xdr:row>
      <xdr:rowOff>2449</xdr:rowOff>
    </xdr:from>
    <xdr:to>
      <xdr:col>51</xdr:col>
      <xdr:colOff>170326</xdr:colOff>
      <xdr:row>140</xdr:row>
      <xdr:rowOff>97886</xdr:rowOff>
    </xdr:to>
    <xdr:grpSp>
      <xdr:nvGrpSpPr>
        <xdr:cNvPr id="5" name="กลุ่ม 14">
          <a:extLst>
            <a:ext uri="{FF2B5EF4-FFF2-40B4-BE49-F238E27FC236}">
              <a16:creationId xmlns:a16="http://schemas.microsoft.com/office/drawing/2014/main" id="{D14653E9-9600-4D91-8FB1-6844C2CCEA72}"/>
            </a:ext>
          </a:extLst>
        </xdr:cNvPr>
        <xdr:cNvGrpSpPr/>
      </xdr:nvGrpSpPr>
      <xdr:grpSpPr>
        <a:xfrm>
          <a:off x="25635320" y="16918849"/>
          <a:ext cx="2729006" cy="1647146"/>
          <a:chOff x="341792" y="12512858"/>
          <a:chExt cx="1383102" cy="1135445"/>
        </a:xfrm>
      </xdr:grpSpPr>
      <xdr:grpSp>
        <xdr:nvGrpSpPr>
          <xdr:cNvPr id="6" name="กลุ่ม 15">
            <a:extLst>
              <a:ext uri="{FF2B5EF4-FFF2-40B4-BE49-F238E27FC236}">
                <a16:creationId xmlns:a16="http://schemas.microsoft.com/office/drawing/2014/main" id="{F9D9190A-821A-6DF8-0618-9A46E3790FDC}"/>
              </a:ext>
            </a:extLst>
          </xdr:cNvPr>
          <xdr:cNvGrpSpPr/>
        </xdr:nvGrpSpPr>
        <xdr:grpSpPr>
          <a:xfrm>
            <a:off x="341792" y="12512858"/>
            <a:ext cx="1383102" cy="1135445"/>
            <a:chOff x="637067" y="12465233"/>
            <a:chExt cx="1383102" cy="1135445"/>
          </a:xfrm>
        </xdr:grpSpPr>
        <xdr:grpSp>
          <xdr:nvGrpSpPr>
            <xdr:cNvPr id="9" name="กลุ่ม 18">
              <a:extLst>
                <a:ext uri="{FF2B5EF4-FFF2-40B4-BE49-F238E27FC236}">
                  <a16:creationId xmlns:a16="http://schemas.microsoft.com/office/drawing/2014/main" id="{47B10625-91B9-043D-51E7-843A9F4B00CD}"/>
                </a:ext>
              </a:extLst>
            </xdr:cNvPr>
            <xdr:cNvGrpSpPr/>
          </xdr:nvGrpSpPr>
          <xdr:grpSpPr>
            <a:xfrm>
              <a:off x="637067" y="12465233"/>
              <a:ext cx="1383102" cy="1135445"/>
              <a:chOff x="65145" y="254183"/>
              <a:chExt cx="83608" cy="1135445"/>
            </a:xfrm>
          </xdr:grpSpPr>
          <xdr:sp macro="" textlink="">
            <xdr:nvSpPr>
              <xdr:cNvPr id="25" name="Text Box 6">
                <a:extLst>
                  <a:ext uri="{FF2B5EF4-FFF2-40B4-BE49-F238E27FC236}">
                    <a16:creationId xmlns:a16="http://schemas.microsoft.com/office/drawing/2014/main" id="{FE699255-E594-5D63-B490-7DA09235C267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72174" y="818128"/>
                <a:ext cx="76579" cy="571500"/>
              </a:xfrm>
              <a:prstGeom prst="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rgbClr val="0070C0"/>
                </a:solidFill>
                <a:miter lim="800000"/>
                <a:headEnd/>
                <a:tailE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txBody>
              <a:bodyPr vertOverflow="clip" wrap="square" lIns="27432" tIns="41148" rIns="0" bIns="0" anchor="ctr" upright="1"/>
              <a:lstStyle/>
              <a:p>
                <a:pPr algn="ctr" rtl="0">
                  <a:defRPr sz="1000"/>
                </a:pPr>
                <a:r>
                  <a:rPr lang="th-TH" sz="2000" b="1" i="1" u="sng" strike="noStrike" baseline="0">
                    <a:solidFill>
                      <a:srgbClr val="000000"/>
                    </a:solidFill>
                    <a:latin typeface="TH SarabunPSK" pitchFamily="34" charset="-34"/>
                    <a:cs typeface="TH SarabunPSK" pitchFamily="34" charset="-34"/>
                  </a:rPr>
                  <a:t>สัญญลักษณ์</a:t>
                </a:r>
              </a:p>
            </xdr:txBody>
          </xdr:sp>
          <xdr:sp macro="" textlink="">
            <xdr:nvSpPr>
              <xdr:cNvPr id="26" name="Text Box 6">
                <a:extLst>
                  <a:ext uri="{FF2B5EF4-FFF2-40B4-BE49-F238E27FC236}">
                    <a16:creationId xmlns:a16="http://schemas.microsoft.com/office/drawing/2014/main" id="{D5794802-2FB3-00FF-9302-27779B66CE66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712" y="254183"/>
                <a:ext cx="34656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41148" rIns="0" bIns="0" anchor="ctr" upright="1"/>
              <a:lstStyle/>
              <a:p>
                <a:pPr algn="ctr" rtl="0">
                  <a:defRPr sz="1000"/>
                </a:pPr>
                <a:r>
                  <a:rPr lang="th-TH" sz="1800" b="1" i="0" u="none" strike="noStrike" baseline="0">
                    <a:solidFill>
                      <a:srgbClr val="000000"/>
                    </a:solidFill>
                    <a:latin typeface="TH SarabunPSK" pitchFamily="34" charset="-34"/>
                    <a:cs typeface="TH SarabunPSK" pitchFamily="34" charset="-34"/>
                  </a:rPr>
                  <a:t>แผนงาน</a:t>
                </a:r>
              </a:p>
            </xdr:txBody>
          </xdr:sp>
          <xdr:sp macro="" textlink="">
            <xdr:nvSpPr>
              <xdr:cNvPr id="29" name="Text Box 6">
                <a:extLst>
                  <a:ext uri="{FF2B5EF4-FFF2-40B4-BE49-F238E27FC236}">
                    <a16:creationId xmlns:a16="http://schemas.microsoft.com/office/drawing/2014/main" id="{DAE7628D-1492-FCC2-E9BB-FE9359209A4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145" y="512608"/>
                <a:ext cx="36390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65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xmlns:mc="http://schemas.openxmlformats.org/markup-compatibility/2006"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41148" rIns="0" bIns="0" anchor="ctr" upright="1"/>
              <a:lstStyle/>
              <a:p>
                <a:pPr algn="ctr" rtl="0">
                  <a:defRPr sz="1000"/>
                </a:pPr>
                <a:r>
                  <a:rPr lang="th-TH" sz="1800" b="1" i="0" u="none" strike="noStrike" baseline="0">
                    <a:solidFill>
                      <a:srgbClr val="000000"/>
                    </a:solidFill>
                    <a:latin typeface="TH SarabunPSK" pitchFamily="34" charset="-34"/>
                    <a:cs typeface="TH SarabunPSK" pitchFamily="34" charset="-34"/>
                  </a:rPr>
                  <a:t>ผลงาน</a:t>
                </a:r>
              </a:p>
            </xdr:txBody>
          </xdr:sp>
        </xdr:grpSp>
        <xdr:cxnSp macro="">
          <xdr:nvCxnSpPr>
            <xdr:cNvPr id="11" name="ตัวเชื่อมต่อตรง 19">
              <a:extLst>
                <a:ext uri="{FF2B5EF4-FFF2-40B4-BE49-F238E27FC236}">
                  <a16:creationId xmlns:a16="http://schemas.microsoft.com/office/drawing/2014/main" id="{40603840-1F4D-6CF5-84B3-96962DD23E11}"/>
                </a:ext>
              </a:extLst>
            </xdr:cNvPr>
            <xdr:cNvCxnSpPr/>
          </xdr:nvCxnSpPr>
          <xdr:spPr>
            <a:xfrm>
              <a:off x="1260852" y="12871492"/>
              <a:ext cx="671299" cy="0"/>
            </a:xfrm>
            <a:prstGeom prst="line">
              <a:avLst/>
            </a:prstGeom>
            <a:ln w="19050">
              <a:solidFill>
                <a:srgbClr val="C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" name="ตัวเชื่อมต่อตรง 20">
              <a:extLst>
                <a:ext uri="{FF2B5EF4-FFF2-40B4-BE49-F238E27FC236}">
                  <a16:creationId xmlns:a16="http://schemas.microsoft.com/office/drawing/2014/main" id="{22034005-4E2A-6D6B-5512-1BE7401AE930}"/>
                </a:ext>
              </a:extLst>
            </xdr:cNvPr>
            <xdr:cNvCxnSpPr/>
          </xdr:nvCxnSpPr>
          <xdr:spPr>
            <a:xfrm>
              <a:off x="1251303" y="12608883"/>
              <a:ext cx="668388" cy="0"/>
            </a:xfrm>
            <a:prstGeom prst="line">
              <a:avLst/>
            </a:prstGeom>
            <a:ln w="19050"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" name="วงรี 16">
            <a:extLst>
              <a:ext uri="{FF2B5EF4-FFF2-40B4-BE49-F238E27FC236}">
                <a16:creationId xmlns:a16="http://schemas.microsoft.com/office/drawing/2014/main" id="{B2D722C2-8BF7-1C86-B109-ABDC4F078B3F}"/>
              </a:ext>
            </a:extLst>
          </xdr:cNvPr>
          <xdr:cNvSpPr/>
        </xdr:nvSpPr>
        <xdr:spPr>
          <a:xfrm>
            <a:off x="1266582" y="12863173"/>
            <a:ext cx="76435" cy="101728"/>
          </a:xfrm>
          <a:prstGeom prst="ellipse">
            <a:avLst/>
          </a:prstGeom>
          <a:solidFill>
            <a:schemeClr val="bg1"/>
          </a:solidFill>
          <a:ln w="9525">
            <a:solidFill>
              <a:srgbClr val="0048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8" name="สามเหลี่ยมหน้าจั่ว 17">
            <a:extLst>
              <a:ext uri="{FF2B5EF4-FFF2-40B4-BE49-F238E27FC236}">
                <a16:creationId xmlns:a16="http://schemas.microsoft.com/office/drawing/2014/main" id="{2B62E6AC-876F-1325-AC38-942FAA148E28}"/>
              </a:ext>
            </a:extLst>
          </xdr:cNvPr>
          <xdr:cNvSpPr/>
        </xdr:nvSpPr>
        <xdr:spPr>
          <a:xfrm>
            <a:off x="1257876" y="12585199"/>
            <a:ext cx="85960" cy="114402"/>
          </a:xfrm>
          <a:prstGeom prst="triangle">
            <a:avLst/>
          </a:prstGeom>
          <a:solidFill>
            <a:srgbClr val="FFFF00"/>
          </a:solidFill>
          <a:ln w="6350">
            <a:solidFill>
              <a:srgbClr val="0048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29</xdr:col>
      <xdr:colOff>435430</xdr:colOff>
      <xdr:row>126</xdr:row>
      <xdr:rowOff>95498</xdr:rowOff>
    </xdr:from>
    <xdr:to>
      <xdr:col>44</xdr:col>
      <xdr:colOff>457200</xdr:colOff>
      <xdr:row>142</xdr:row>
      <xdr:rowOff>43716</xdr:rowOff>
    </xdr:to>
    <xdr:sp macro="" textlink="">
      <xdr:nvSpPr>
        <xdr:cNvPr id="10" name="กล่องข้อความ 9">
          <a:extLst>
            <a:ext uri="{FF2B5EF4-FFF2-40B4-BE49-F238E27FC236}">
              <a16:creationId xmlns:a16="http://schemas.microsoft.com/office/drawing/2014/main" id="{09BA9C39-A658-E6B1-E771-E229B51231FB}"/>
            </a:ext>
          </a:extLst>
        </xdr:cNvPr>
        <xdr:cNvSpPr txBox="1"/>
      </xdr:nvSpPr>
      <xdr:spPr>
        <a:xfrm>
          <a:off x="17674559" y="16554698"/>
          <a:ext cx="7686594" cy="19114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th-TH" sz="2400" b="1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l"/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      ลงชื่อ 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.........................................................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      </a:t>
          </a:r>
        </a:p>
        <a:p>
          <a:pPr algn="l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               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( นายโชคพิพัฒน์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เลิศพงศ์อารยะ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)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</a:t>
          </a:r>
        </a:p>
        <a:p>
          <a:pPr algn="l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ผู้ควบคุมงาน </a:t>
          </a:r>
          <a:r>
            <a:rPr lang="en-US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/ 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ผู้ตรวจสอบบริษัท  กรุงเทพเอ็นยิเนียริ่งคอนซัลแตนท์ จำกัด</a:t>
          </a:r>
          <a:b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</a:br>
          <a:endParaRPr lang="en-US" sz="24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25</xdr:col>
      <xdr:colOff>445208</xdr:colOff>
      <xdr:row>8</xdr:row>
      <xdr:rowOff>8965</xdr:rowOff>
    </xdr:from>
    <xdr:to>
      <xdr:col>25</xdr:col>
      <xdr:colOff>445208</xdr:colOff>
      <xdr:row>114</xdr:row>
      <xdr:rowOff>331305</xdr:rowOff>
    </xdr:to>
    <xdr:cxnSp macro="">
      <xdr:nvCxnSpPr>
        <xdr:cNvPr id="17" name="ตัวเชื่อมต่อตรง 16">
          <a:extLst>
            <a:ext uri="{FF2B5EF4-FFF2-40B4-BE49-F238E27FC236}">
              <a16:creationId xmlns:a16="http://schemas.microsoft.com/office/drawing/2014/main" id="{E03ECC76-393E-C6D5-46A4-08AAD9EA6DD0}"/>
            </a:ext>
          </a:extLst>
        </xdr:cNvPr>
        <xdr:cNvCxnSpPr/>
      </xdr:nvCxnSpPr>
      <xdr:spPr>
        <a:xfrm>
          <a:off x="16096025" y="1798008"/>
          <a:ext cx="0" cy="10519888"/>
        </a:xfrm>
        <a:prstGeom prst="line">
          <a:avLst/>
        </a:prstGeom>
        <a:ln w="28575" cap="flat" cmpd="sng" algn="ctr">
          <a:solidFill>
            <a:srgbClr val="0000FF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433754</xdr:colOff>
      <xdr:row>30</xdr:row>
      <xdr:rowOff>76200</xdr:rowOff>
    </xdr:from>
    <xdr:to>
      <xdr:col>25</xdr:col>
      <xdr:colOff>382088</xdr:colOff>
      <xdr:row>70</xdr:row>
      <xdr:rowOff>76200</xdr:rowOff>
    </xdr:to>
    <xdr:sp macro="" textlink="">
      <xdr:nvSpPr>
        <xdr:cNvPr id="22" name="กล่องข้อความ 21">
          <a:extLst>
            <a:ext uri="{FF2B5EF4-FFF2-40B4-BE49-F238E27FC236}">
              <a16:creationId xmlns:a16="http://schemas.microsoft.com/office/drawing/2014/main" id="{14AF3999-B56C-75CB-5304-E8466E456331}"/>
            </a:ext>
          </a:extLst>
        </xdr:cNvPr>
        <xdr:cNvSpPr txBox="1"/>
      </xdr:nvSpPr>
      <xdr:spPr>
        <a:xfrm>
          <a:off x="15122769" y="4208585"/>
          <a:ext cx="458288" cy="4220307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pPr algn="ctr"/>
          <a:r>
            <a:rPr lang="th-TH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วันส่งมอบแบบแก้ไขให้ผู้รับจ้าง 29 สิงหาคม 2568</a:t>
          </a:r>
          <a:endParaRPr lang="th-TH" sz="18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20</xdr:col>
      <xdr:colOff>398697</xdr:colOff>
      <xdr:row>8</xdr:row>
      <xdr:rowOff>0</xdr:rowOff>
    </xdr:from>
    <xdr:to>
      <xdr:col>20</xdr:col>
      <xdr:colOff>398697</xdr:colOff>
      <xdr:row>115</xdr:row>
      <xdr:rowOff>0</xdr:rowOff>
    </xdr:to>
    <xdr:cxnSp macro="">
      <xdr:nvCxnSpPr>
        <xdr:cNvPr id="18" name="ตัวเชื่อมต่อตรง 17">
          <a:extLst>
            <a:ext uri="{FF2B5EF4-FFF2-40B4-BE49-F238E27FC236}">
              <a16:creationId xmlns:a16="http://schemas.microsoft.com/office/drawing/2014/main" id="{599F585C-3523-430F-BBA8-84E2FDBEC7F3}"/>
            </a:ext>
          </a:extLst>
        </xdr:cNvPr>
        <xdr:cNvCxnSpPr/>
      </xdr:nvCxnSpPr>
      <xdr:spPr>
        <a:xfrm>
          <a:off x="13496132" y="1810871"/>
          <a:ext cx="0" cy="9995647"/>
        </a:xfrm>
        <a:prstGeom prst="line">
          <a:avLst/>
        </a:prstGeom>
        <a:ln w="28575" cap="flat" cmpd="sng" algn="ctr">
          <a:solidFill>
            <a:srgbClr val="33CC3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351692</xdr:colOff>
      <xdr:row>32</xdr:row>
      <xdr:rowOff>7620</xdr:rowOff>
    </xdr:from>
    <xdr:to>
      <xdr:col>20</xdr:col>
      <xdr:colOff>281941</xdr:colOff>
      <xdr:row>70</xdr:row>
      <xdr:rowOff>0</xdr:rowOff>
    </xdr:to>
    <xdr:sp macro="" textlink="">
      <xdr:nvSpPr>
        <xdr:cNvPr id="20" name="กล่องข้อความ 19">
          <a:extLst>
            <a:ext uri="{FF2B5EF4-FFF2-40B4-BE49-F238E27FC236}">
              <a16:creationId xmlns:a16="http://schemas.microsoft.com/office/drawing/2014/main" id="{5332BA07-1628-4A5F-A89A-849D9E885742}"/>
            </a:ext>
          </a:extLst>
        </xdr:cNvPr>
        <xdr:cNvSpPr txBox="1"/>
      </xdr:nvSpPr>
      <xdr:spPr>
        <a:xfrm>
          <a:off x="12490938" y="4351020"/>
          <a:ext cx="440203" cy="4001672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pPr algn="ctr"/>
          <a:r>
            <a:rPr lang="th-TH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พักงานก่อสร้างบางส่วนชั่วคราว วันที่ 24 มีนาคม 2568</a:t>
          </a:r>
          <a:endParaRPr lang="th-TH" sz="18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40</xdr:col>
      <xdr:colOff>98844</xdr:colOff>
      <xdr:row>8</xdr:row>
      <xdr:rowOff>0</xdr:rowOff>
    </xdr:from>
    <xdr:to>
      <xdr:col>40</xdr:col>
      <xdr:colOff>98844</xdr:colOff>
      <xdr:row>115</xdr:row>
      <xdr:rowOff>30480</xdr:rowOff>
    </xdr:to>
    <xdr:cxnSp macro="">
      <xdr:nvCxnSpPr>
        <xdr:cNvPr id="21" name="ตัวเชื่อมต่อตรง 20">
          <a:extLst>
            <a:ext uri="{FF2B5EF4-FFF2-40B4-BE49-F238E27FC236}">
              <a16:creationId xmlns:a16="http://schemas.microsoft.com/office/drawing/2014/main" id="{AC49F575-AB4E-4D69-A938-F2751C2DD360}"/>
            </a:ext>
          </a:extLst>
        </xdr:cNvPr>
        <xdr:cNvCxnSpPr/>
      </xdr:nvCxnSpPr>
      <xdr:spPr>
        <a:xfrm>
          <a:off x="23408424" y="1798320"/>
          <a:ext cx="0" cy="10203180"/>
        </a:xfrm>
        <a:prstGeom prst="line">
          <a:avLst/>
        </a:prstGeom>
        <a:ln w="2857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33130</xdr:colOff>
      <xdr:row>44</xdr:row>
      <xdr:rowOff>64400</xdr:rowOff>
    </xdr:from>
    <xdr:to>
      <xdr:col>39</xdr:col>
      <xdr:colOff>241657</xdr:colOff>
      <xdr:row>48</xdr:row>
      <xdr:rowOff>15364</xdr:rowOff>
    </xdr:to>
    <xdr:sp macro="" textlink="">
      <xdr:nvSpPr>
        <xdr:cNvPr id="23" name="กล่องข้อความ 22">
          <a:extLst>
            <a:ext uri="{FF2B5EF4-FFF2-40B4-BE49-F238E27FC236}">
              <a16:creationId xmlns:a16="http://schemas.microsoft.com/office/drawing/2014/main" id="{CF0C17CC-E53C-403D-9A56-8B279459734F}"/>
            </a:ext>
          </a:extLst>
        </xdr:cNvPr>
        <xdr:cNvSpPr txBox="1"/>
      </xdr:nvSpPr>
      <xdr:spPr>
        <a:xfrm rot="5400000">
          <a:off x="21037398" y="3974219"/>
          <a:ext cx="322025" cy="2759570"/>
        </a:xfrm>
        <a:prstGeom prst="rect">
          <a:avLst/>
        </a:prstGeom>
        <a:solidFill>
          <a:sysClr val="window" lastClr="FFFFFF"/>
        </a:solidFill>
        <a:ln w="127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th-TH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สิ้นสุดสัญญา </a:t>
          </a:r>
          <a:r>
            <a:rPr lang="en-US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4 </a:t>
          </a:r>
          <a:r>
            <a:rPr lang="th-TH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พฤศจิกายน </a:t>
          </a:r>
          <a:r>
            <a:rPr lang="en-US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2569</a:t>
          </a:r>
          <a:endParaRPr lang="th-TH" sz="18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39</xdr:col>
      <xdr:colOff>182495</xdr:colOff>
      <xdr:row>46</xdr:row>
      <xdr:rowOff>46383</xdr:rowOff>
    </xdr:from>
    <xdr:to>
      <xdr:col>40</xdr:col>
      <xdr:colOff>73359</xdr:colOff>
      <xdr:row>46</xdr:row>
      <xdr:rowOff>46508</xdr:rowOff>
    </xdr:to>
    <xdr:cxnSp macro="">
      <xdr:nvCxnSpPr>
        <xdr:cNvPr id="30" name="ตัวเชื่อมต่อตรง 29">
          <a:extLst>
            <a:ext uri="{FF2B5EF4-FFF2-40B4-BE49-F238E27FC236}">
              <a16:creationId xmlns:a16="http://schemas.microsoft.com/office/drawing/2014/main" id="{67D54AEA-9E98-592B-5E46-930E429AC9B4}"/>
            </a:ext>
          </a:extLst>
        </xdr:cNvPr>
        <xdr:cNvCxnSpPr/>
      </xdr:nvCxnSpPr>
      <xdr:spPr>
        <a:xfrm flipH="1">
          <a:off x="23009838" y="4890526"/>
          <a:ext cx="402492" cy="125"/>
        </a:xfrm>
        <a:prstGeom prst="lin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176461</xdr:colOff>
      <xdr:row>0</xdr:row>
      <xdr:rowOff>125065</xdr:rowOff>
    </xdr:from>
    <xdr:to>
      <xdr:col>52</xdr:col>
      <xdr:colOff>22860</xdr:colOff>
      <xdr:row>6</xdr:row>
      <xdr:rowOff>4927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7511D7D0-380D-4EE3-A37B-6B5F12C723A4}"/>
            </a:ext>
          </a:extLst>
        </xdr:cNvPr>
        <xdr:cNvSpPr txBox="1">
          <a:spLocks noChangeArrowheads="1"/>
        </xdr:cNvSpPr>
      </xdr:nvSpPr>
      <xdr:spPr bwMode="auto">
        <a:xfrm>
          <a:off x="25017661" y="125065"/>
          <a:ext cx="3793559" cy="1236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1148" rIns="0" bIns="0" anchor="t" upright="1"/>
        <a:lstStyle/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สัญญาเลขที่ :  233/2567  ลงวันที่  3  กรกฏาคม  2567 </a:t>
          </a:r>
          <a:endParaRPr lang="en-US" sz="1600" b="1" i="0" u="none" strike="noStrike" baseline="0">
            <a:solidFill>
              <a:srgbClr val="00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เริ่มต้นสัญญา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วันที่ 18 กรกฎาคม 2567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สิ้นสุดสัญญา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วันที่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4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พฤศจิกายน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2569</a:t>
          </a:r>
        </a:p>
        <a:p>
          <a:pPr algn="l" rtl="0">
            <a:defRPr sz="1000"/>
          </a:pP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สิ้นสุดสัญญาใหม่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: 10 </a:t>
          </a:r>
          <a:r>
            <a:rPr lang="th-TH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กรกฎาคม </a:t>
          </a:r>
          <a:r>
            <a:rPr lang="en-US" sz="1600" b="1" i="0" u="none" strike="noStrike" baseline="0">
              <a:solidFill>
                <a:srgbClr val="00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2570</a:t>
          </a:r>
        </a:p>
        <a:p>
          <a:pPr algn="l" rtl="0">
            <a:defRPr sz="1000"/>
          </a:pPr>
          <a:endParaRPr lang="th-TH" sz="1600" b="1" i="0" u="none" strike="noStrike" baseline="0">
            <a:solidFill>
              <a:srgbClr val="00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12</xdr:col>
      <xdr:colOff>25910</xdr:colOff>
      <xdr:row>8</xdr:row>
      <xdr:rowOff>2689</xdr:rowOff>
    </xdr:from>
    <xdr:to>
      <xdr:col>12</xdr:col>
      <xdr:colOff>25910</xdr:colOff>
      <xdr:row>115</xdr:row>
      <xdr:rowOff>33130</xdr:rowOff>
    </xdr:to>
    <xdr:cxnSp macro="">
      <xdr:nvCxnSpPr>
        <xdr:cNvPr id="44" name="ตัวเชื่อมต่อตรง 43">
          <a:extLst>
            <a:ext uri="{FF2B5EF4-FFF2-40B4-BE49-F238E27FC236}">
              <a16:creationId xmlns:a16="http://schemas.microsoft.com/office/drawing/2014/main" id="{C4E8B481-F152-4E39-92B4-0AFB6A42DDB3}"/>
            </a:ext>
          </a:extLst>
        </xdr:cNvPr>
        <xdr:cNvCxnSpPr/>
      </xdr:nvCxnSpPr>
      <xdr:spPr>
        <a:xfrm>
          <a:off x="8586814" y="1791732"/>
          <a:ext cx="0" cy="11950772"/>
        </a:xfrm>
        <a:prstGeom prst="line">
          <a:avLst/>
        </a:prstGeom>
        <a:ln w="28575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89124</xdr:colOff>
      <xdr:row>35</xdr:row>
      <xdr:rowOff>83820</xdr:rowOff>
    </xdr:from>
    <xdr:to>
      <xdr:col>12</xdr:col>
      <xdr:colOff>474785</xdr:colOff>
      <xdr:row>68</xdr:row>
      <xdr:rowOff>42125</xdr:rowOff>
    </xdr:to>
    <xdr:sp macro="" textlink="">
      <xdr:nvSpPr>
        <xdr:cNvPr id="45" name="กล่องข้อความ 44">
          <a:extLst>
            <a:ext uri="{FF2B5EF4-FFF2-40B4-BE49-F238E27FC236}">
              <a16:creationId xmlns:a16="http://schemas.microsoft.com/office/drawing/2014/main" id="{3582E248-39EC-4A56-A7F9-1859A36D0011}"/>
            </a:ext>
          </a:extLst>
        </xdr:cNvPr>
        <xdr:cNvSpPr txBox="1"/>
      </xdr:nvSpPr>
      <xdr:spPr>
        <a:xfrm>
          <a:off x="8658693" y="4743743"/>
          <a:ext cx="385661" cy="3440059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th-TH" sz="18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เริ่มต้นสัญญา 18 กรกฎาคม 2567</a:t>
          </a:r>
          <a:endParaRPr lang="th-TH" sz="18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12</xdr:col>
      <xdr:colOff>43543</xdr:colOff>
      <xdr:row>113</xdr:row>
      <xdr:rowOff>264764</xdr:rowOff>
    </xdr:from>
    <xdr:to>
      <xdr:col>40</xdr:col>
      <xdr:colOff>87086</xdr:colOff>
      <xdr:row>113</xdr:row>
      <xdr:rowOff>264764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E2A0104E-C0A9-D01D-AE7A-7FB30CF0C0C7}"/>
            </a:ext>
          </a:extLst>
        </xdr:cNvPr>
        <xdr:cNvCxnSpPr/>
      </xdr:nvCxnSpPr>
      <xdr:spPr>
        <a:xfrm>
          <a:off x="8595872" y="11605117"/>
          <a:ext cx="14351214" cy="0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297180</xdr:colOff>
      <xdr:row>113</xdr:row>
      <xdr:rowOff>8282</xdr:rowOff>
    </xdr:from>
    <xdr:to>
      <xdr:col>35</xdr:col>
      <xdr:colOff>176253</xdr:colOff>
      <xdr:row>113</xdr:row>
      <xdr:rowOff>274319</xdr:rowOff>
    </xdr:to>
    <xdr:sp macro="" textlink="">
      <xdr:nvSpPr>
        <xdr:cNvPr id="48" name="กล่องข้อความ 47">
          <a:extLst>
            <a:ext uri="{FF2B5EF4-FFF2-40B4-BE49-F238E27FC236}">
              <a16:creationId xmlns:a16="http://schemas.microsoft.com/office/drawing/2014/main" id="{67ADD571-BE4F-A99B-6BF1-03C8043BFD9C}"/>
            </a:ext>
          </a:extLst>
        </xdr:cNvPr>
        <xdr:cNvSpPr txBox="1"/>
      </xdr:nvSpPr>
      <xdr:spPr>
        <a:xfrm>
          <a:off x="18044160" y="11522102"/>
          <a:ext cx="2431773" cy="266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ระยะเวลาก่อสร้างเดิม </a:t>
          </a:r>
          <a:r>
            <a:rPr lang="en-US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840 </a:t>
          </a:r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วัน</a:t>
          </a:r>
        </a:p>
      </xdr:txBody>
    </xdr:sp>
    <xdr:clientData/>
  </xdr:twoCellAnchor>
  <xdr:twoCellAnchor>
    <xdr:from>
      <xdr:col>20</xdr:col>
      <xdr:colOff>390939</xdr:colOff>
      <xdr:row>114</xdr:row>
      <xdr:rowOff>218660</xdr:rowOff>
    </xdr:from>
    <xdr:to>
      <xdr:col>25</xdr:col>
      <xdr:colOff>421088</xdr:colOff>
      <xdr:row>114</xdr:row>
      <xdr:rowOff>218660</xdr:rowOff>
    </xdr:to>
    <xdr:cxnSp macro="">
      <xdr:nvCxnSpPr>
        <xdr:cNvPr id="50" name="ลูกศรเชื่อมต่อแบบตรง 49">
          <a:extLst>
            <a:ext uri="{FF2B5EF4-FFF2-40B4-BE49-F238E27FC236}">
              <a16:creationId xmlns:a16="http://schemas.microsoft.com/office/drawing/2014/main" id="{A48CA966-2E47-7340-9B9F-E3F2781C4633}"/>
            </a:ext>
          </a:extLst>
        </xdr:cNvPr>
        <xdr:cNvCxnSpPr/>
      </xdr:nvCxnSpPr>
      <xdr:spPr>
        <a:xfrm>
          <a:off x="13490713" y="12205251"/>
          <a:ext cx="2581192" cy="0"/>
        </a:xfrm>
        <a:prstGeom prst="straightConnector1">
          <a:avLst/>
        </a:prstGeom>
        <a:ln w="19050">
          <a:solidFill>
            <a:srgbClr val="33CC33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379343</xdr:colOff>
      <xdr:row>113</xdr:row>
      <xdr:rowOff>254773</xdr:rowOff>
    </xdr:from>
    <xdr:to>
      <xdr:col>26</xdr:col>
      <xdr:colOff>435003</xdr:colOff>
      <xdr:row>115</xdr:row>
      <xdr:rowOff>87463</xdr:rowOff>
    </xdr:to>
    <xdr:sp macro="" textlink="">
      <xdr:nvSpPr>
        <xdr:cNvPr id="51" name="กล่องข้อความ 50">
          <a:extLst>
            <a:ext uri="{FF2B5EF4-FFF2-40B4-BE49-F238E27FC236}">
              <a16:creationId xmlns:a16="http://schemas.microsoft.com/office/drawing/2014/main" id="{111E562D-ECDC-4863-A5CC-F4A655A306F1}"/>
            </a:ext>
          </a:extLst>
        </xdr:cNvPr>
        <xdr:cNvSpPr txBox="1"/>
      </xdr:nvSpPr>
      <xdr:spPr>
        <a:xfrm>
          <a:off x="13021917" y="13275034"/>
          <a:ext cx="3116912" cy="521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พักงานก่อสร้างบางส่วนชั่วคราว</a:t>
          </a:r>
          <a:r>
            <a:rPr lang="th-TH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158 วัน</a:t>
          </a:r>
          <a:endParaRPr lang="th-TH" sz="16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25</xdr:col>
      <xdr:colOff>449580</xdr:colOff>
      <xdr:row>114</xdr:row>
      <xdr:rowOff>220201</xdr:rowOff>
    </xdr:from>
    <xdr:to>
      <xdr:col>49</xdr:col>
      <xdr:colOff>11304</xdr:colOff>
      <xdr:row>114</xdr:row>
      <xdr:rowOff>220201</xdr:rowOff>
    </xdr:to>
    <xdr:cxnSp macro="">
      <xdr:nvCxnSpPr>
        <xdr:cNvPr id="53" name="ลูกศรเชื่อมต่อแบบตรง 52">
          <a:extLst>
            <a:ext uri="{FF2B5EF4-FFF2-40B4-BE49-F238E27FC236}">
              <a16:creationId xmlns:a16="http://schemas.microsoft.com/office/drawing/2014/main" id="{429E2338-DC8A-F2E9-E492-5E3F5DE664FD}"/>
            </a:ext>
          </a:extLst>
        </xdr:cNvPr>
        <xdr:cNvCxnSpPr/>
      </xdr:nvCxnSpPr>
      <xdr:spPr>
        <a:xfrm>
          <a:off x="15643860" y="13661881"/>
          <a:ext cx="11814684" cy="0"/>
        </a:xfrm>
        <a:prstGeom prst="straightConnector1">
          <a:avLst/>
        </a:prstGeom>
        <a:ln w="19050">
          <a:solidFill>
            <a:srgbClr val="0000FF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216672</xdr:colOff>
      <xdr:row>113</xdr:row>
      <xdr:rowOff>274320</xdr:rowOff>
    </xdr:from>
    <xdr:to>
      <xdr:col>37</xdr:col>
      <xdr:colOff>324677</xdr:colOff>
      <xdr:row>114</xdr:row>
      <xdr:rowOff>298505</xdr:rowOff>
    </xdr:to>
    <xdr:sp macro="" textlink="">
      <xdr:nvSpPr>
        <xdr:cNvPr id="54" name="กล่องข้อความ 53">
          <a:extLst>
            <a:ext uri="{FF2B5EF4-FFF2-40B4-BE49-F238E27FC236}">
              <a16:creationId xmlns:a16="http://schemas.microsoft.com/office/drawing/2014/main" id="{B4650987-CA5B-4C28-BFC2-6137AC939B6C}"/>
            </a:ext>
          </a:extLst>
        </xdr:cNvPr>
        <xdr:cNvSpPr txBox="1"/>
      </xdr:nvSpPr>
      <xdr:spPr>
        <a:xfrm>
          <a:off x="17451124" y="13294581"/>
          <a:ext cx="4189675" cy="368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ระยะเวลาก่อสร้างตามแบบแก้ไขสัญญาครั้งที่</a:t>
          </a:r>
          <a:r>
            <a:rPr lang="th-TH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en-US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1 </a:t>
          </a:r>
          <a:r>
            <a:rPr lang="th-TH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จำนวน </a:t>
          </a:r>
          <a:r>
            <a:rPr lang="en-US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6</a:t>
          </a:r>
          <a:r>
            <a:rPr lang="th-TH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8</a:t>
          </a:r>
          <a:r>
            <a:rPr lang="en-US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0 </a:t>
          </a:r>
          <a:r>
            <a:rPr lang="th-TH" sz="16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วัน</a:t>
          </a:r>
          <a:endParaRPr lang="th-TH" sz="16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40</xdr:col>
      <xdr:colOff>101048</xdr:colOff>
      <xdr:row>114</xdr:row>
      <xdr:rowOff>83488</xdr:rowOff>
    </xdr:from>
    <xdr:to>
      <xdr:col>49</xdr:col>
      <xdr:colOff>1988</xdr:colOff>
      <xdr:row>114</xdr:row>
      <xdr:rowOff>83488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C70FC1BC-B06A-05AA-2BD6-A2D02A132542}"/>
            </a:ext>
          </a:extLst>
        </xdr:cNvPr>
        <xdr:cNvCxnSpPr/>
      </xdr:nvCxnSpPr>
      <xdr:spPr>
        <a:xfrm>
          <a:off x="23404996" y="12070079"/>
          <a:ext cx="4492818" cy="0"/>
        </a:xfrm>
        <a:prstGeom prst="straightConnector1">
          <a:avLst/>
        </a:prstGeom>
        <a:ln w="190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232381</xdr:colOff>
      <xdr:row>113</xdr:row>
      <xdr:rowOff>129500</xdr:rowOff>
    </xdr:from>
    <xdr:to>
      <xdr:col>47</xdr:col>
      <xdr:colOff>49500</xdr:colOff>
      <xdr:row>114</xdr:row>
      <xdr:rowOff>141096</xdr:rowOff>
    </xdr:to>
    <xdr:sp macro="" textlink="">
      <xdr:nvSpPr>
        <xdr:cNvPr id="58" name="กล่องข้อความ 57">
          <a:extLst>
            <a:ext uri="{FF2B5EF4-FFF2-40B4-BE49-F238E27FC236}">
              <a16:creationId xmlns:a16="http://schemas.microsoft.com/office/drawing/2014/main" id="{354B365B-8124-4B3C-872D-C0B89194A8AA}"/>
            </a:ext>
          </a:extLst>
        </xdr:cNvPr>
        <xdr:cNvSpPr txBox="1"/>
      </xdr:nvSpPr>
      <xdr:spPr>
        <a:xfrm>
          <a:off x="24616381" y="11643320"/>
          <a:ext cx="1859279" cy="3544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ขยายระยะเวลา </a:t>
          </a:r>
          <a:r>
            <a:rPr lang="en-US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248 </a:t>
          </a:r>
          <a:r>
            <a:rPr lang="th-TH" sz="1600" b="1">
              <a:latin typeface="TH SarabunIT๙" panose="020B0500040200020003" pitchFamily="34" charset="-34"/>
              <a:cs typeface="TH SarabunIT๙" panose="020B0500040200020003" pitchFamily="34" charset="-34"/>
            </a:rPr>
            <a:t>วัน</a:t>
          </a:r>
        </a:p>
      </xdr:txBody>
    </xdr:sp>
    <xdr:clientData/>
  </xdr:twoCellAnchor>
  <xdr:twoCellAnchor>
    <xdr:from>
      <xdr:col>20</xdr:col>
      <xdr:colOff>270661</xdr:colOff>
      <xdr:row>126</xdr:row>
      <xdr:rowOff>88089</xdr:rowOff>
    </xdr:from>
    <xdr:to>
      <xdr:col>29</xdr:col>
      <xdr:colOff>461272</xdr:colOff>
      <xdr:row>141</xdr:row>
      <xdr:rowOff>20158</xdr:rowOff>
    </xdr:to>
    <xdr:sp macro="" textlink="">
      <xdr:nvSpPr>
        <xdr:cNvPr id="24" name="กล่องข้อความ 23">
          <a:extLst>
            <a:ext uri="{FF2B5EF4-FFF2-40B4-BE49-F238E27FC236}">
              <a16:creationId xmlns:a16="http://schemas.microsoft.com/office/drawing/2014/main" id="{88FDF3DC-BF1D-7DA1-4104-1BACDA4AC2D2}"/>
            </a:ext>
          </a:extLst>
        </xdr:cNvPr>
        <xdr:cNvSpPr txBox="1"/>
      </xdr:nvSpPr>
      <xdr:spPr>
        <a:xfrm>
          <a:off x="12947570" y="15452780"/>
          <a:ext cx="4804175" cy="1705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th-TH" sz="2400" b="1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l"/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ลงชื่อ 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.........................................................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      </a:t>
          </a:r>
        </a:p>
        <a:p>
          <a:pPr algn="l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( นายเอกชัย นาคเสน ) สย.14942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      	        วิศวกรผู้วางแผน</a:t>
          </a:r>
          <a:b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</a:br>
          <a:endParaRPr lang="en-US" sz="24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9</xdr:col>
      <xdr:colOff>512618</xdr:colOff>
      <xdr:row>127</xdr:row>
      <xdr:rowOff>17729</xdr:rowOff>
    </xdr:from>
    <xdr:to>
      <xdr:col>18</xdr:col>
      <xdr:colOff>221672</xdr:colOff>
      <xdr:row>141</xdr:row>
      <xdr:rowOff>74778</xdr:rowOff>
    </xdr:to>
    <xdr:sp macro="" textlink="">
      <xdr:nvSpPr>
        <xdr:cNvPr id="33" name="กล่องข้อความ 32">
          <a:extLst>
            <a:ext uri="{FF2B5EF4-FFF2-40B4-BE49-F238E27FC236}">
              <a16:creationId xmlns:a16="http://schemas.microsoft.com/office/drawing/2014/main" id="{C5B7447F-83BC-4A33-A150-EC49FF1547FE}"/>
            </a:ext>
          </a:extLst>
        </xdr:cNvPr>
        <xdr:cNvSpPr txBox="1"/>
      </xdr:nvSpPr>
      <xdr:spPr>
        <a:xfrm>
          <a:off x="6858000" y="15493256"/>
          <a:ext cx="5015345" cy="1719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th-TH" sz="2000" b="1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l"/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ลงชื่อ 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.........................................................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     </a:t>
          </a:r>
        </a:p>
        <a:p>
          <a:pPr algn="l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     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( นางปิ่นเพชร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พูลสวัสดิ์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) </a:t>
          </a:r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	</a:t>
          </a:r>
        </a:p>
        <a:p>
          <a:pPr algn="l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        กรรมการผู้มีอำนาจลงนาม  ผู้รับจ้าง</a:t>
          </a:r>
          <a:br>
            <a:rPr lang="th-TH" sz="2000" b="1" baseline="0">
              <a:latin typeface="TH SarabunIT๙" panose="020B0500040200020003" pitchFamily="34" charset="-34"/>
              <a:cs typeface="TH SarabunIT๙" panose="020B0500040200020003" pitchFamily="34" charset="-34"/>
            </a:rPr>
          </a:br>
          <a:endParaRPr lang="en-US" sz="20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1</xdr:col>
      <xdr:colOff>126232</xdr:colOff>
      <xdr:row>126</xdr:row>
      <xdr:rowOff>72158</xdr:rowOff>
    </xdr:from>
    <xdr:to>
      <xdr:col>8</xdr:col>
      <xdr:colOff>817417</xdr:colOff>
      <xdr:row>141</xdr:row>
      <xdr:rowOff>16566</xdr:rowOff>
    </xdr:to>
    <xdr:sp macro="" textlink="">
      <xdr:nvSpPr>
        <xdr:cNvPr id="34" name="กล่องข้อความ 33">
          <a:extLst>
            <a:ext uri="{FF2B5EF4-FFF2-40B4-BE49-F238E27FC236}">
              <a16:creationId xmlns:a16="http://schemas.microsoft.com/office/drawing/2014/main" id="{DCF94899-827C-4DD3-9B1B-21B3944832E1}"/>
            </a:ext>
          </a:extLst>
        </xdr:cNvPr>
        <xdr:cNvSpPr txBox="1"/>
      </xdr:nvSpPr>
      <xdr:spPr>
        <a:xfrm>
          <a:off x="673079" y="16531358"/>
          <a:ext cx="5352832" cy="1791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th-TH" sz="2000" b="1"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algn="ctr"/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ลงชื่อ 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.........................................................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...........</a:t>
          </a:r>
          <a:r>
            <a:rPr lang="en-US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      </a:t>
          </a:r>
        </a:p>
        <a:p>
          <a:pPr algn="ctr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</a:t>
          </a:r>
          <a:r>
            <a:rPr lang="th-TH" sz="2400" b="1">
              <a:latin typeface="TH SarabunIT๙" panose="020B0500040200020003" pitchFamily="34" charset="-34"/>
              <a:cs typeface="TH SarabunIT๙" panose="020B0500040200020003" pitchFamily="34" charset="-34"/>
            </a:rPr>
            <a:t>( นายธนิตพงศ์ ยศสิริพัฒน์ )</a:t>
          </a:r>
        </a:p>
        <a:p>
          <a:pPr algn="ctr"/>
          <a:r>
            <a:rPr lang="th-TH" sz="2400" b="1" baseline="0">
              <a:latin typeface="TH SarabunIT๙" panose="020B0500040200020003" pitchFamily="34" charset="-34"/>
              <a:cs typeface="TH SarabunIT๙" panose="020B0500040200020003" pitchFamily="34" charset="-34"/>
            </a:rPr>
            <a:t>  กรรมการผู้มีอำนาจลงนาม ผู้รับจ้าง</a:t>
          </a:r>
          <a:br>
            <a:rPr lang="th-TH" sz="2000" b="1" baseline="0">
              <a:latin typeface="TH SarabunIT๙" panose="020B0500040200020003" pitchFamily="34" charset="-34"/>
              <a:cs typeface="TH SarabunIT๙" panose="020B0500040200020003" pitchFamily="34" charset="-34"/>
            </a:rPr>
          </a:br>
          <a:endParaRPr lang="en-US" sz="2000" b="1"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25</xdr:col>
      <xdr:colOff>40842</xdr:colOff>
      <xdr:row>7</xdr:row>
      <xdr:rowOff>166254</xdr:rowOff>
    </xdr:from>
    <xdr:to>
      <xdr:col>49</xdr:col>
      <xdr:colOff>268378</xdr:colOff>
      <xdr:row>112</xdr:row>
      <xdr:rowOff>131091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99983770-3B88-08E6-CF27-F2F6FDE7E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275356</xdr:colOff>
      <xdr:row>66</xdr:row>
      <xdr:rowOff>104050</xdr:rowOff>
    </xdr:from>
    <xdr:to>
      <xdr:col>39</xdr:col>
      <xdr:colOff>170276</xdr:colOff>
      <xdr:row>80</xdr:row>
      <xdr:rowOff>105090</xdr:rowOff>
    </xdr:to>
    <xdr:sp macro="" textlink="">
      <xdr:nvSpPr>
        <xdr:cNvPr id="3" name="คำบรรยายภาพ: สี่เหลี่ยม 2">
          <a:extLst>
            <a:ext uri="{FF2B5EF4-FFF2-40B4-BE49-F238E27FC236}">
              <a16:creationId xmlns:a16="http://schemas.microsoft.com/office/drawing/2014/main" id="{BAAF8F92-E2B9-635B-A43C-5AF5405CC2EB}"/>
            </a:ext>
          </a:extLst>
        </xdr:cNvPr>
        <xdr:cNvSpPr/>
      </xdr:nvSpPr>
      <xdr:spPr>
        <a:xfrm>
          <a:off x="20069427" y="8154356"/>
          <a:ext cx="2449861" cy="1507110"/>
        </a:xfrm>
        <a:prstGeom prst="wedgeRectCallout">
          <a:avLst>
            <a:gd name="adj1" fmla="val -59609"/>
            <a:gd name="adj2" fmla="val 86101"/>
          </a:avLst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วันที่ 23 เมษายน</a:t>
          </a:r>
          <a:r>
            <a:rPr lang="th-TH" sz="2000" b="1" baseline="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2569</a:t>
          </a:r>
          <a:b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แผนงานสะสม = 13.91</a:t>
          </a:r>
          <a:r>
            <a:rPr lang="th-TH" sz="2000" b="1" baseline="0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</a:t>
          </a:r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%</a:t>
          </a:r>
          <a:b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ผลงานสะสม =</a:t>
          </a:r>
          <a:r>
            <a:rPr lang="en-US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 23</a:t>
          </a:r>
          <a: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.14 %</a:t>
          </a:r>
          <a:br>
            <a:rPr lang="th-TH" sz="2000" b="1">
              <a:solidFill>
                <a:sysClr val="windowText" lastClr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</a:br>
          <a:r>
            <a:rPr lang="th-TH" sz="2000" b="1">
              <a:solidFill>
                <a:srgbClr val="00B05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เร็วกว่าแผน = 9.25%</a:t>
          </a:r>
        </a:p>
      </xdr:txBody>
    </xdr:sp>
    <xdr:clientData/>
  </xdr:twoCellAnchor>
  <xdr:twoCellAnchor editAs="oneCell">
    <xdr:from>
      <xdr:col>1</xdr:col>
      <xdr:colOff>1489508</xdr:colOff>
      <xdr:row>124</xdr:row>
      <xdr:rowOff>6844</xdr:rowOff>
    </xdr:from>
    <xdr:to>
      <xdr:col>3</xdr:col>
      <xdr:colOff>491982</xdr:colOff>
      <xdr:row>130</xdr:row>
      <xdr:rowOff>110654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B0FF4767-9424-462D-A4A1-2D1D469AD6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42" t="9987" r="17369" b="12557"/>
        <a:stretch>
          <a:fillRect/>
        </a:stretch>
      </xdr:blipFill>
      <xdr:spPr bwMode="auto">
        <a:xfrm>
          <a:off x="2033794" y="16389844"/>
          <a:ext cx="3117274" cy="873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150564</xdr:colOff>
      <xdr:row>124</xdr:row>
      <xdr:rowOff>6843</xdr:rowOff>
    </xdr:from>
    <xdr:to>
      <xdr:col>9</xdr:col>
      <xdr:colOff>960083</xdr:colOff>
      <xdr:row>142</xdr:row>
      <xdr:rowOff>98626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3C3C4158-F3B6-4F38-BD59-D4044F92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544" b="89933" l="9553" r="89985">
                      <a14:foregroundMark x1="49153" y1="35235" x2="46995" y2="35235"/>
                      <a14:foregroundMark x1="64253" y1="31040" x2="38521" y2="29698"/>
                      <a14:foregroundMark x1="38521" y1="29698" x2="24037" y2="52685"/>
                      <a14:foregroundMark x1="24037" y1="52685" x2="36210" y2="70805"/>
                      <a14:foregroundMark x1="36210" y1="70805" x2="61479" y2="70805"/>
                      <a14:foregroundMark x1="61479" y1="70805" x2="72111" y2="35906"/>
                      <a14:foregroundMark x1="72111" y1="35906" x2="60555" y2="28020"/>
                      <a14:foregroundMark x1="58860" y1="32718" x2="52388" y2="63758"/>
                      <a14:foregroundMark x1="38367" y1="34060" x2="44838" y2="61913"/>
                      <a14:foregroundMark x1="42065" y1="45470" x2="59476" y2="46812"/>
                      <a14:foregroundMark x1="37288" y1="46812" x2="60555" y2="46812"/>
                      <a14:foregroundMark x1="39445" y1="51007" x2="59476" y2="51007"/>
                      <a14:foregroundMark x1="32974" y1="57047" x2="63790" y2="57047"/>
                      <a14:foregroundMark x1="36210" y1="57047" x2="57319" y2="57047"/>
                      <a14:foregroundMark x1="33436" y1="57047" x2="44838" y2="54698"/>
                      <a14:foregroundMark x1="34052" y1="54698" x2="34052" y2="54698"/>
                      <a14:foregroundMark x1="25424" y1="52852" x2="31895" y2="41946"/>
                      <a14:foregroundMark x1="30817" y1="51007" x2="33436" y2="44295"/>
                      <a14:foregroundMark x1="31895" y1="44295" x2="35593" y2="52852"/>
                      <a14:foregroundMark x1="34515" y1="49161" x2="40986" y2="56544"/>
                      <a14:foregroundMark x1="50847" y1="41275" x2="56703" y2="56544"/>
                      <a14:foregroundMark x1="60555" y1="46812" x2="62096" y2="57718"/>
                      <a14:foregroundMark x1="62712" y1="45470" x2="65948" y2="54698"/>
                      <a14:foregroundMark x1="64253" y1="43121" x2="66410" y2="52181"/>
                      <a14:foregroundMark x1="67026" y1="44966" x2="71341" y2="53523"/>
                      <a14:foregroundMark x1="65331" y1="42450" x2="67488" y2="52852"/>
                      <a14:foregroundMark x1="77812" y1="26678" x2="53467" y2="12919"/>
                      <a14:foregroundMark x1="53467" y1="12919" x2="24191" y2="15268"/>
                      <a14:foregroundMark x1="24191" y1="15268" x2="17103" y2="69463"/>
                      <a14:foregroundMark x1="17103" y1="69463" x2="40524" y2="86409"/>
                      <a14:foregroundMark x1="40524" y1="86409" x2="66102" y2="82718"/>
                      <a14:foregroundMark x1="66102" y1="82718" x2="78891" y2="65604"/>
                      <a14:foregroundMark x1="78891" y1="65604" x2="84900" y2="40772"/>
                      <a14:foregroundMark x1="84900" y1="40772" x2="77196" y2="21812"/>
                      <a14:foregroundMark x1="73960" y1="23154" x2="50539" y2="12584"/>
                      <a14:foregroundMark x1="50539" y1="12584" x2="30971" y2="17450"/>
                      <a14:foregroundMark x1="30971" y1="17450" x2="14330" y2="39262"/>
                      <a14:foregroundMark x1="14330" y1="39262" x2="13405" y2="61242"/>
                      <a14:foregroundMark x1="13405" y1="61242" x2="22188" y2="81208"/>
                      <a14:foregroundMark x1="22188" y1="81208" x2="46225" y2="88591"/>
                      <a14:foregroundMark x1="46225" y1="88591" x2="70108" y2="82886"/>
                      <a14:foregroundMark x1="70108" y1="82886" x2="82126" y2="60738"/>
                      <a14:foregroundMark x1="82126" y1="60738" x2="83667" y2="33221"/>
                      <a14:foregroundMark x1="83667" y1="33221" x2="61325" y2="12919"/>
                      <a14:foregroundMark x1="61325" y1="12919" x2="34669" y2="10738"/>
                      <a14:foregroundMark x1="34669" y1="10738" x2="20031" y2="23658"/>
                      <a14:foregroundMark x1="38829" y1="12752" x2="61171" y2="8557"/>
                      <a14:foregroundMark x1="61171" y1="8557" x2="77504" y2="20134"/>
                      <a14:foregroundMark x1="77504" y1="20134" x2="81048" y2="27349"/>
                      <a14:foregroundMark x1="18028" y1="73154" x2="31433" y2="87248"/>
                      <a14:foregroundMark x1="31433" y1="87248" x2="51156" y2="89765"/>
                      <a14:foregroundMark x1="51156" y1="89765" x2="69183" y2="81544"/>
                      <a14:foregroundMark x1="69183" y1="81544" x2="80431" y2="63255"/>
                      <a14:foregroundMark x1="80431" y1="63255" x2="81356" y2="37584"/>
                      <a14:foregroundMark x1="81356" y1="37584" x2="74730" y2="17785"/>
                      <a14:foregroundMark x1="74730" y1="17785" x2="57011" y2="8221"/>
                      <a14:foregroundMark x1="57011" y1="8221" x2="35901" y2="12081"/>
                      <a14:foregroundMark x1="35901" y1="12081" x2="19877" y2="27685"/>
                      <a14:foregroundMark x1="19877" y1="27685" x2="11864" y2="50503"/>
                      <a14:foregroundMark x1="11864" y1="50503" x2="19723" y2="75839"/>
                      <a14:foregroundMark x1="19723" y1="75839" x2="36672" y2="89430"/>
                      <a14:foregroundMark x1="38367" y1="89430" x2="57627" y2="88758"/>
                      <a14:foregroundMark x1="57627" y1="88758" x2="77658" y2="76174"/>
                      <a14:foregroundMark x1="77658" y1="76174" x2="77966" y2="71141"/>
                      <a14:foregroundMark x1="71032" y1="13255" x2="69954" y2="12081"/>
                      <a14:foregroundMark x1="58089" y1="7550" x2="56703" y2="6544"/>
                      <a14:foregroundMark x1="70724" y1="11409" x2="72419" y2="11409"/>
                      <a14:foregroundMark x1="57627" y1="6544" x2="57627" y2="6544"/>
                      <a14:foregroundMark x1="51772" y1="9060" x2="39753" y2="956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9650" y="16389843"/>
          <a:ext cx="2465989" cy="233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261257</xdr:colOff>
      <xdr:row>124</xdr:row>
      <xdr:rowOff>46428</xdr:rowOff>
    </xdr:from>
    <xdr:to>
      <xdr:col>16</xdr:col>
      <xdr:colOff>178130</xdr:colOff>
      <xdr:row>131</xdr:row>
      <xdr:rowOff>57019</xdr:rowOff>
    </xdr:to>
    <xdr:pic>
      <xdr:nvPicPr>
        <xdr:cNvPr id="31" name="รูปภาพ 30">
          <a:extLst>
            <a:ext uri="{FF2B5EF4-FFF2-40B4-BE49-F238E27FC236}">
              <a16:creationId xmlns:a16="http://schemas.microsoft.com/office/drawing/2014/main" id="{B349B382-57A7-4AE0-961E-CE315C2C3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16429428"/>
          <a:ext cx="2932216" cy="892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-1</xdr:colOff>
      <xdr:row>126</xdr:row>
      <xdr:rowOff>54427</xdr:rowOff>
    </xdr:from>
    <xdr:to>
      <xdr:col>26</xdr:col>
      <xdr:colOff>263079</xdr:colOff>
      <xdr:row>131</xdr:row>
      <xdr:rowOff>41724</xdr:rowOff>
    </xdr:to>
    <xdr:pic>
      <xdr:nvPicPr>
        <xdr:cNvPr id="35" name="รูปภาพ 34">
          <a:extLst>
            <a:ext uri="{FF2B5EF4-FFF2-40B4-BE49-F238E27FC236}">
              <a16:creationId xmlns:a16="http://schemas.microsoft.com/office/drawing/2014/main" id="{9C3FC015-6DF6-42F8-A555-F9360EE860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2" t="17094" r="34952"/>
        <a:stretch>
          <a:fillRect/>
        </a:stretch>
      </xdr:blipFill>
      <xdr:spPr bwMode="auto">
        <a:xfrm>
          <a:off x="14184085" y="16676913"/>
          <a:ext cx="1797961" cy="6295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35</xdr:col>
      <xdr:colOff>32656</xdr:colOff>
      <xdr:row>127</xdr:row>
      <xdr:rowOff>21771</xdr:rowOff>
    </xdr:from>
    <xdr:to>
      <xdr:col>39</xdr:col>
      <xdr:colOff>347745</xdr:colOff>
      <xdr:row>133</xdr:row>
      <xdr:rowOff>4673</xdr:rowOff>
    </xdr:to>
    <xdr:pic>
      <xdr:nvPicPr>
        <xdr:cNvPr id="36" name="รูปภาพ 35">
          <a:extLst>
            <a:ext uri="{FF2B5EF4-FFF2-40B4-BE49-F238E27FC236}">
              <a16:creationId xmlns:a16="http://schemas.microsoft.com/office/drawing/2014/main" id="{2D901658-7BCA-44A1-8767-0C0EE9C456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39748" b="82650" l="25860" r="80799">
                      <a14:foregroundMark x1="25971" y1="68770" x2="34961" y2="42902"/>
                      <a14:foregroundMark x1="34961" y1="42902" x2="62930" y2="40063"/>
                      <a14:foregroundMark x1="62930" y1="40063" x2="63374" y2="40063"/>
                      <a14:foregroundMark x1="36626" y1="58675" x2="44062" y2="62145"/>
                      <a14:foregroundMark x1="49057" y1="51104" x2="47836" y2="66246"/>
                      <a14:foregroundMark x1="51609" y1="66246" x2="76027" y2="61199"/>
                      <a14:foregroundMark x1="76027" y1="61199" x2="80799" y2="61199"/>
                      <a14:foregroundMark x1="62930" y1="39748" x2="47725" y2="42902"/>
                      <a14:foregroundMark x1="47725" y1="42902" x2="59156" y2="41009"/>
                      <a14:foregroundMark x1="52164" y1="63091" x2="39956" y2="66246"/>
                      <a14:foregroundMark x1="39956" y1="66246" x2="30855" y2="58675"/>
                      <a14:foregroundMark x1="25971" y1="69716" x2="29301" y2="43849"/>
                      <a14:foregroundMark x1="33740" y1="58044" x2="35405" y2="58991"/>
                      <a14:foregroundMark x1="37070" y1="58675" x2="45505" y2="53312"/>
                      <a14:foregroundMark x1="49057" y1="66246" x2="45727" y2="64038"/>
                      <a14:foregroundMark x1="51498" y1="67192" x2="54162" y2="668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824" t="34402" r="17137" b="11953"/>
        <a:stretch>
          <a:fillRect/>
        </a:stretch>
      </xdr:blipFill>
      <xdr:spPr bwMode="auto">
        <a:xfrm>
          <a:off x="20356285" y="16764000"/>
          <a:ext cx="2361604" cy="777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1110503</xdr:colOff>
      <xdr:row>36</xdr:row>
      <xdr:rowOff>17929</xdr:rowOff>
    </xdr:from>
    <xdr:to>
      <xdr:col>15</xdr:col>
      <xdr:colOff>90395</xdr:colOff>
      <xdr:row>47</xdr:row>
      <xdr:rowOff>229129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28DFF9B-8482-4DC1-924F-12B74C9D9C2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386603</xdr:colOff>
      <xdr:row>35</xdr:row>
      <xdr:rowOff>265579</xdr:rowOff>
    </xdr:from>
    <xdr:to>
      <xdr:col>9</xdr:col>
      <xdr:colOff>938120</xdr:colOff>
      <xdr:row>47</xdr:row>
      <xdr:rowOff>171979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6F606D99-D6DE-4E0F-ABA7-87D36386F21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417636</xdr:colOff>
      <xdr:row>17</xdr:row>
      <xdr:rowOff>64403</xdr:rowOff>
    </xdr:from>
    <xdr:to>
      <xdr:col>7</xdr:col>
      <xdr:colOff>1102179</xdr:colOff>
      <xdr:row>44</xdr:row>
      <xdr:rowOff>81643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4FEEE2C3-6BD8-44E2-A2BC-AD442C730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519073</xdr:colOff>
      <xdr:row>12</xdr:row>
      <xdr:rowOff>120066</xdr:rowOff>
    </xdr:from>
    <xdr:to>
      <xdr:col>7</xdr:col>
      <xdr:colOff>1074964</xdr:colOff>
      <xdr:row>40</xdr:row>
      <xdr:rowOff>40821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4B25830B-D0A7-48B7-BA66-6176B8238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irror\&#3614;&#3636;&#3625;&#3603;&#3640;&#3650;&#3621;&#3585;\&#3619;&#3634;&#3618;&#3591;&#3634;&#3609;\&#3619;&#3634;&#3618;&#3591;&#3634;&#3609;&#3611;&#3619;&#3632;&#3592;&#3635;&#3626;&#3633;&#3611;&#3604;&#3634;&#3627;&#3660;\&#3626;&#3633;&#3611;&#3604;&#3634;&#3627;&#3660;&#3607;&#3637;&#3656;%2061%20%20(16%20-%2023%20&#3585;.&#3618;.%2068)\&#3619;&#3634;&#3618;&#3621;&#3632;&#3648;&#3629;&#3637;&#3618;&#3604;&#3650;&#3588;&#3619;&#3591;&#3585;&#3634;&#3619;%20%20&#3605;&#3634;&#3619;&#3634;&#3591;%20&#3612;&#3621;&#3585;&#3634;&#3619;&#3604;&#3635;&#3648;&#3609;&#3636;&#3609;&#3591;&#3634;&#3609;&#3585;&#3656;&#3629;&#3626;&#3619;&#3657;&#3634;&#3591;.xlsx" TargetMode="External"/><Relationship Id="rId1" Type="http://schemas.openxmlformats.org/officeDocument/2006/relationships/externalLinkPath" Target="file:///D:\Mirror\&#3614;&#3636;&#3625;&#3603;&#3640;&#3650;&#3621;&#3585;\&#3619;&#3634;&#3618;&#3591;&#3634;&#3609;\&#3619;&#3634;&#3618;&#3591;&#3634;&#3609;&#3611;&#3619;&#3632;&#3592;&#3635;&#3626;&#3633;&#3611;&#3604;&#3634;&#3627;&#3660;\&#3626;&#3633;&#3611;&#3604;&#3634;&#3627;&#3660;&#3607;&#3637;&#3656;%2061%20%20(16%20-%2023%20&#3585;.&#3618;.%2068)\&#3619;&#3634;&#3618;&#3621;&#3632;&#3648;&#3629;&#3637;&#3618;&#3604;&#3650;&#3588;&#3619;&#3591;&#3585;&#3634;&#3619;%20%20&#3605;&#3634;&#3619;&#3634;&#3591;%20&#3612;&#3621;&#3585;&#3634;&#3619;&#3604;&#3635;&#3648;&#3609;&#3636;&#3609;&#3591;&#3634;&#3609;&#3585;&#3656;&#3629;&#3626;&#3619;&#3657;&#3634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แผนการก่อสร้าง"/>
      <sheetName val="ผลงานรายสัปดาห์"/>
      <sheetName val="บุคลากร-เครื่องจักร"/>
      <sheetName val="บันทึกการปฏิบัติงาน"/>
      <sheetName val="สภาพอากาศ"/>
    </sheetNames>
    <sheetDataSet>
      <sheetData sheetId="0">
        <row r="9">
          <cell r="E9"/>
          <cell r="F9"/>
        </row>
      </sheetData>
      <sheetData sheetId="1"/>
      <sheetData sheetId="2"/>
      <sheetData sheetId="3"/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FED8-7447-4650-9FE3-9D0EEE345E1E}">
  <dimension ref="A1:BL187"/>
  <sheetViews>
    <sheetView zoomScale="40" zoomScaleNormal="40" workbookViewId="0">
      <pane ySplit="4" topLeftCell="A76" activePane="bottomLeft" state="frozen"/>
      <selection pane="bottomLeft" activeCell="E93" sqref="E93:H93"/>
    </sheetView>
  </sheetViews>
  <sheetFormatPr defaultColWidth="9.33203125" defaultRowHeight="33" x14ac:dyDescent="0.25"/>
  <cols>
    <col min="1" max="2" width="9.33203125" style="180"/>
    <col min="3" max="3" width="13" style="180" customWidth="1"/>
    <col min="4" max="4" width="23.33203125" style="180" customWidth="1"/>
    <col min="5" max="5" width="23" style="180" customWidth="1"/>
    <col min="6" max="6" width="21" style="180" customWidth="1"/>
    <col min="7" max="7" width="20.33203125" style="180" customWidth="1"/>
    <col min="8" max="8" width="24.33203125" style="180" bestFit="1" customWidth="1"/>
    <col min="9" max="9" width="21.109375" style="180" customWidth="1"/>
    <col min="10" max="10" width="24.44140625" style="180" customWidth="1"/>
    <col min="11" max="11" width="25.77734375" style="180" customWidth="1"/>
    <col min="12" max="12" width="33.44140625" style="180" bestFit="1" customWidth="1"/>
    <col min="13" max="13" width="24" style="180" customWidth="1"/>
    <col min="14" max="14" width="33.33203125" style="180" customWidth="1"/>
    <col min="15" max="18" width="32.109375" style="180" customWidth="1"/>
    <col min="19" max="19" width="30.6640625" style="180" customWidth="1"/>
    <col min="20" max="20" width="32.109375" style="180" customWidth="1"/>
    <col min="21" max="21" width="77.6640625" style="180" customWidth="1"/>
    <col min="22" max="22" width="23.109375" style="180" customWidth="1"/>
    <col min="23" max="23" width="26.33203125" style="180" customWidth="1"/>
    <col min="24" max="24" width="28.6640625" style="180" customWidth="1"/>
    <col min="25" max="25" width="37.44140625" style="180" customWidth="1"/>
    <col min="26" max="26" width="25.6640625" style="180" customWidth="1"/>
    <col min="27" max="64" width="20.5546875" style="180" customWidth="1"/>
    <col min="65" max="16384" width="9.33203125" style="180"/>
  </cols>
  <sheetData>
    <row r="1" spans="3:64" ht="33" customHeight="1" x14ac:dyDescent="0.25">
      <c r="E1" s="230"/>
      <c r="F1" s="230"/>
      <c r="G1" s="230"/>
      <c r="H1" s="672" t="s">
        <v>189</v>
      </c>
      <c r="I1" s="672"/>
      <c r="J1" s="672"/>
      <c r="K1" s="230"/>
      <c r="L1" s="230"/>
      <c r="M1" s="230"/>
      <c r="N1" s="203" t="s">
        <v>295</v>
      </c>
      <c r="O1" s="203"/>
      <c r="P1" s="203"/>
      <c r="Q1" s="182" t="s">
        <v>296</v>
      </c>
      <c r="R1" s="182" t="s">
        <v>20</v>
      </c>
    </row>
    <row r="2" spans="3:64" ht="33" customHeight="1" x14ac:dyDescent="1.1499999999999999">
      <c r="E2" s="682"/>
      <c r="F2" s="682"/>
      <c r="G2" s="230"/>
      <c r="H2" s="684" t="s">
        <v>264</v>
      </c>
      <c r="I2" s="684"/>
      <c r="J2" s="684"/>
      <c r="K2" s="230"/>
      <c r="L2" s="230"/>
      <c r="M2" s="230"/>
      <c r="N2" s="203">
        <f>M42</f>
        <v>257</v>
      </c>
      <c r="O2" s="203"/>
      <c r="P2" s="203"/>
      <c r="Q2" s="182">
        <f>840-N2</f>
        <v>583</v>
      </c>
      <c r="R2" s="222">
        <f>Q2*100/840</f>
        <v>69.404761904761898</v>
      </c>
    </row>
    <row r="3" spans="3:64" ht="42" x14ac:dyDescent="0.25">
      <c r="E3" s="230"/>
      <c r="F3" s="673" t="s">
        <v>170</v>
      </c>
      <c r="G3" s="673"/>
      <c r="H3" s="673"/>
      <c r="I3" s="673"/>
      <c r="J3" s="673"/>
      <c r="K3" s="673"/>
      <c r="L3" s="673"/>
      <c r="M3" s="230"/>
      <c r="N3" s="230"/>
      <c r="O3" s="230"/>
      <c r="P3" s="230"/>
      <c r="AA3" s="674">
        <v>2567</v>
      </c>
      <c r="AB3" s="674"/>
      <c r="AC3" s="674"/>
      <c r="AD3" s="674"/>
      <c r="AE3" s="674"/>
      <c r="AF3" s="674"/>
      <c r="AG3" s="674"/>
      <c r="AH3" s="675">
        <v>2568</v>
      </c>
      <c r="AI3" s="675"/>
      <c r="AJ3" s="675"/>
      <c r="AK3" s="675"/>
      <c r="AL3" s="675"/>
      <c r="AM3" s="675"/>
      <c r="AN3" s="675"/>
      <c r="AO3" s="675"/>
      <c r="AP3" s="675"/>
      <c r="AQ3" s="675"/>
      <c r="AR3" s="675"/>
      <c r="AS3" s="675"/>
      <c r="AT3" s="675">
        <v>2569</v>
      </c>
      <c r="AU3" s="675"/>
      <c r="AV3" s="675"/>
      <c r="AW3" s="675"/>
      <c r="AX3" s="675"/>
      <c r="AY3" s="675"/>
      <c r="AZ3" s="675"/>
      <c r="BA3" s="675"/>
      <c r="BB3" s="675"/>
      <c r="BC3" s="675"/>
      <c r="BD3" s="675"/>
      <c r="BE3" s="675"/>
      <c r="BF3" s="676">
        <v>2570</v>
      </c>
      <c r="BG3" s="677"/>
      <c r="BH3" s="677"/>
      <c r="BI3" s="677"/>
      <c r="BJ3" s="677"/>
      <c r="BK3" s="677"/>
      <c r="BL3" s="678"/>
    </row>
    <row r="4" spans="3:64" ht="66" x14ac:dyDescent="0.25">
      <c r="D4" s="181" t="s">
        <v>186</v>
      </c>
      <c r="E4" s="181" t="s">
        <v>187</v>
      </c>
      <c r="F4" s="181" t="s">
        <v>179</v>
      </c>
      <c r="G4" s="181" t="s">
        <v>182</v>
      </c>
      <c r="H4" s="181" t="s">
        <v>191</v>
      </c>
      <c r="I4" s="181" t="s">
        <v>184</v>
      </c>
      <c r="J4" s="209" t="s">
        <v>141</v>
      </c>
      <c r="K4" s="181" t="s">
        <v>185</v>
      </c>
      <c r="L4" s="181" t="s">
        <v>192</v>
      </c>
      <c r="M4" s="181" t="s">
        <v>193</v>
      </c>
      <c r="N4" s="181" t="s">
        <v>188</v>
      </c>
      <c r="O4" s="181" t="s">
        <v>297</v>
      </c>
      <c r="P4" s="181" t="s">
        <v>298</v>
      </c>
      <c r="Q4" s="210" t="s">
        <v>284</v>
      </c>
      <c r="R4" s="210" t="s">
        <v>285</v>
      </c>
      <c r="S4" s="181" t="s">
        <v>290</v>
      </c>
      <c r="T4" s="181" t="s">
        <v>291</v>
      </c>
      <c r="U4" s="181" t="s">
        <v>49</v>
      </c>
      <c r="X4" s="211"/>
      <c r="Y4" s="212" t="s">
        <v>21</v>
      </c>
      <c r="Z4" s="213" t="s">
        <v>190</v>
      </c>
      <c r="AA4" s="683" t="s">
        <v>9</v>
      </c>
      <c r="AB4" s="683"/>
      <c r="AC4" s="214" t="s">
        <v>10</v>
      </c>
      <c r="AD4" s="214" t="s">
        <v>11</v>
      </c>
      <c r="AE4" s="214" t="s">
        <v>12</v>
      </c>
      <c r="AF4" s="214" t="s">
        <v>13</v>
      </c>
      <c r="AG4" s="214" t="s">
        <v>14</v>
      </c>
      <c r="AH4" s="214" t="s">
        <v>15</v>
      </c>
      <c r="AI4" s="214" t="s">
        <v>16</v>
      </c>
      <c r="AJ4" s="214" t="s">
        <v>17</v>
      </c>
      <c r="AK4" s="214" t="s">
        <v>18</v>
      </c>
      <c r="AL4" s="214" t="s">
        <v>19</v>
      </c>
      <c r="AM4" s="214" t="s">
        <v>8</v>
      </c>
      <c r="AN4" s="214" t="s">
        <v>9</v>
      </c>
      <c r="AO4" s="214" t="s">
        <v>10</v>
      </c>
      <c r="AP4" s="214" t="s">
        <v>11</v>
      </c>
      <c r="AQ4" s="214" t="s">
        <v>12</v>
      </c>
      <c r="AR4" s="214" t="s">
        <v>13</v>
      </c>
      <c r="AS4" s="214" t="s">
        <v>14</v>
      </c>
      <c r="AT4" s="214" t="s">
        <v>15</v>
      </c>
      <c r="AU4" s="214" t="s">
        <v>16</v>
      </c>
      <c r="AV4" s="214" t="s">
        <v>17</v>
      </c>
      <c r="AW4" s="214" t="s">
        <v>18</v>
      </c>
      <c r="AX4" s="214" t="s">
        <v>19</v>
      </c>
      <c r="AY4" s="214" t="s">
        <v>8</v>
      </c>
      <c r="AZ4" s="214" t="s">
        <v>130</v>
      </c>
      <c r="BA4" s="214" t="s">
        <v>131</v>
      </c>
      <c r="BB4" s="214" t="s">
        <v>132</v>
      </c>
      <c r="BC4" s="214" t="s">
        <v>133</v>
      </c>
      <c r="BD4" s="214" t="s">
        <v>134</v>
      </c>
      <c r="BE4" s="214" t="s">
        <v>14</v>
      </c>
      <c r="BF4" s="214" t="s">
        <v>15</v>
      </c>
      <c r="BG4" s="214" t="s">
        <v>16</v>
      </c>
      <c r="BH4" s="214" t="s">
        <v>17</v>
      </c>
      <c r="BI4" s="214" t="s">
        <v>18</v>
      </c>
      <c r="BJ4" s="214" t="s">
        <v>19</v>
      </c>
      <c r="BK4" s="214" t="s">
        <v>8</v>
      </c>
      <c r="BL4" s="214" t="s">
        <v>9</v>
      </c>
    </row>
    <row r="5" spans="3:64" ht="38.4" x14ac:dyDescent="0.25">
      <c r="C5" s="215" t="b">
        <v>1</v>
      </c>
      <c r="D5" s="183">
        <v>45464</v>
      </c>
      <c r="E5" s="183">
        <v>45470</v>
      </c>
      <c r="F5" s="182">
        <v>1</v>
      </c>
      <c r="G5" s="188">
        <v>0</v>
      </c>
      <c r="H5" s="188">
        <v>0</v>
      </c>
      <c r="I5" s="188">
        <v>0</v>
      </c>
      <c r="J5" s="188">
        <v>0</v>
      </c>
      <c r="K5" s="188">
        <v>0</v>
      </c>
      <c r="L5" s="231">
        <f>J5-H5</f>
        <v>0</v>
      </c>
      <c r="M5" s="232">
        <v>0</v>
      </c>
      <c r="N5" s="184">
        <f>M5/1088</f>
        <v>0</v>
      </c>
      <c r="O5" s="182">
        <f>1088-M5</f>
        <v>1088</v>
      </c>
      <c r="P5" s="184">
        <f>O5/1088</f>
        <v>1</v>
      </c>
      <c r="Q5" s="182">
        <f>E5-$D$5+1</f>
        <v>7</v>
      </c>
      <c r="R5" s="184">
        <f>Q5/1118</f>
        <v>6.2611806797853312E-3</v>
      </c>
      <c r="S5" s="182">
        <f>1118-Q5</f>
        <v>1111</v>
      </c>
      <c r="T5" s="184">
        <f>S5/1118</f>
        <v>0.99373881932021468</v>
      </c>
      <c r="U5" s="216"/>
      <c r="W5" s="182" t="s">
        <v>23</v>
      </c>
      <c r="X5" s="217"/>
      <c r="Y5" s="217"/>
      <c r="Z5" s="218"/>
      <c r="AA5" s="218">
        <v>0</v>
      </c>
      <c r="AB5" s="457">
        <f>แผนการก่อสร้าง!L117</f>
        <v>0</v>
      </c>
      <c r="AC5" s="457"/>
      <c r="AD5" s="457"/>
      <c r="AE5" s="457"/>
      <c r="AF5" s="457"/>
      <c r="AG5" s="457"/>
      <c r="AH5" s="457"/>
      <c r="AI5" s="457"/>
      <c r="AJ5" s="457"/>
      <c r="AK5" s="457"/>
      <c r="AL5" s="457"/>
      <c r="AM5" s="457"/>
      <c r="AN5" s="457"/>
      <c r="AO5" s="457"/>
      <c r="AP5" s="457">
        <v>0.36514640633224021</v>
      </c>
      <c r="AQ5" s="457">
        <v>0.36514640633224021</v>
      </c>
      <c r="AR5" s="457">
        <v>1.5617668093531263</v>
      </c>
      <c r="AS5" s="457">
        <v>1.6219557608423478</v>
      </c>
      <c r="AT5" s="457">
        <v>1.5573495042036132</v>
      </c>
      <c r="AU5" s="457">
        <v>1.6024596186498239</v>
      </c>
      <c r="AV5" s="457">
        <v>4.1165884679524112</v>
      </c>
      <c r="AW5" s="457">
        <v>3.5594027699922135</v>
      </c>
      <c r="AX5" s="457">
        <v>3.1989545675645785</v>
      </c>
      <c r="AY5" s="457">
        <v>4.1041940415207465</v>
      </c>
      <c r="AZ5" s="457">
        <v>5.0097644697503183</v>
      </c>
      <c r="BA5" s="457">
        <v>5.2589438420649364</v>
      </c>
      <c r="BB5" s="457">
        <v>5.7627797664995191</v>
      </c>
      <c r="BC5" s="457">
        <v>7.2568550158096894</v>
      </c>
      <c r="BD5" s="457">
        <v>5.4825347185314017</v>
      </c>
      <c r="BE5" s="457">
        <v>6.6180232705161179</v>
      </c>
      <c r="BF5" s="457">
        <v>6.5010543252775053</v>
      </c>
      <c r="BG5" s="457">
        <v>6.3366978820700135</v>
      </c>
      <c r="BH5" s="457">
        <v>6.5156319320713507</v>
      </c>
      <c r="BI5" s="457">
        <v>7.5636949447318607</v>
      </c>
      <c r="BJ5" s="457">
        <v>5.048284832654252</v>
      </c>
      <c r="BK5" s="457">
        <v>5.6624083682226818</v>
      </c>
      <c r="BL5" s="457">
        <v>4.9303622790570145</v>
      </c>
    </row>
    <row r="6" spans="3:64" ht="38.4" x14ac:dyDescent="0.25">
      <c r="C6" s="215" t="b">
        <v>1</v>
      </c>
      <c r="D6" s="183">
        <f>D5+7</f>
        <v>45471</v>
      </c>
      <c r="E6" s="183">
        <f>E5+7</f>
        <v>45477</v>
      </c>
      <c r="F6" s="182">
        <v>2</v>
      </c>
      <c r="G6" s="188">
        <v>0</v>
      </c>
      <c r="H6" s="188">
        <f>G6+H5</f>
        <v>0</v>
      </c>
      <c r="I6" s="188">
        <v>0</v>
      </c>
      <c r="J6" s="188">
        <f>I6+J5</f>
        <v>0</v>
      </c>
      <c r="K6" s="188">
        <v>0</v>
      </c>
      <c r="L6" s="231">
        <f t="shared" ref="L6:L69" si="0">J6-H6</f>
        <v>0</v>
      </c>
      <c r="M6" s="232">
        <v>0</v>
      </c>
      <c r="N6" s="184">
        <f t="shared" ref="N6:N69" si="1">M6/1088</f>
        <v>0</v>
      </c>
      <c r="O6" s="182">
        <f t="shared" ref="O6:O69" si="2">1088-M6</f>
        <v>1088</v>
      </c>
      <c r="P6" s="184">
        <f t="shared" ref="P6:P69" si="3">O6/1088</f>
        <v>1</v>
      </c>
      <c r="Q6" s="182">
        <f t="shared" ref="Q6:Q69" si="4">E6-$D$5+1</f>
        <v>14</v>
      </c>
      <c r="R6" s="184">
        <f t="shared" ref="R6:R69" si="5">Q6/1118</f>
        <v>1.2522361359570662E-2</v>
      </c>
      <c r="S6" s="182">
        <f t="shared" ref="S6:S69" si="6">1118-Q6</f>
        <v>1104</v>
      </c>
      <c r="T6" s="184">
        <f t="shared" ref="T6:T69" si="7">S6/1118</f>
        <v>0.98747763864042937</v>
      </c>
      <c r="U6" s="216"/>
      <c r="W6" s="182" t="s">
        <v>22</v>
      </c>
      <c r="X6" s="217"/>
      <c r="Y6" s="217"/>
      <c r="Z6" s="218"/>
      <c r="AA6" s="218">
        <v>0</v>
      </c>
      <c r="AB6" s="457">
        <f>แผนการก่อสร้าง!M119</f>
        <v>0</v>
      </c>
      <c r="AC6" s="457"/>
      <c r="AD6" s="457"/>
      <c r="AE6" s="457"/>
      <c r="AF6" s="457"/>
      <c r="AG6" s="457"/>
      <c r="AH6" s="457"/>
      <c r="AI6" s="457"/>
      <c r="AJ6" s="457"/>
      <c r="AK6" s="457"/>
      <c r="AL6" s="457"/>
      <c r="AM6" s="457"/>
      <c r="AN6" s="457"/>
      <c r="AO6" s="457"/>
      <c r="AP6" s="457">
        <f>แผนการก่อสร้าง!AA119</f>
        <v>0.36514640633224021</v>
      </c>
      <c r="AQ6" s="457">
        <f>แผนการก่อสร้าง!AB119</f>
        <v>0.73029281266448043</v>
      </c>
      <c r="AR6" s="457">
        <f>แผนการก่อสร้าง!AC119</f>
        <v>2.2920596220176068</v>
      </c>
      <c r="AS6" s="457">
        <f>แผนการก่อสร้าง!AD119</f>
        <v>3.9140153828599544</v>
      </c>
      <c r="AT6" s="457">
        <f>แผนการก่อสร้าง!AE119</f>
        <v>5.4713648870635678</v>
      </c>
      <c r="AU6" s="457">
        <f>แผนการก่อสร้าง!AF119</f>
        <v>7.0738245057133913</v>
      </c>
      <c r="AV6" s="457">
        <f>แผนการก่อสร้าง!AG119</f>
        <v>11.190412973665802</v>
      </c>
      <c r="AW6" s="457">
        <f>แผนการก่อสร้าง!AH119</f>
        <v>14.749815743658015</v>
      </c>
      <c r="AX6" s="457">
        <f>แผนการก่อสร้าง!AI119</f>
        <v>17.948770311222592</v>
      </c>
      <c r="AY6" s="457">
        <f>แผนการก่อสร้าง!AJ119</f>
        <v>22.052964352743338</v>
      </c>
      <c r="AZ6" s="457">
        <f>แผนการก่อสร้าง!AK119</f>
        <v>27.062728822493657</v>
      </c>
      <c r="BA6" s="457">
        <f>แผนการก่อสร้าง!AL119</f>
        <v>32.321672664558591</v>
      </c>
      <c r="BB6" s="457">
        <f>แผนการก่อสร้าง!AM119</f>
        <v>38.084452431058111</v>
      </c>
      <c r="BC6" s="457">
        <f>แผนการก่อสร้าง!AN119</f>
        <v>45.341307446867802</v>
      </c>
      <c r="BD6" s="457">
        <f>แผนการก่อสร้าง!AO119</f>
        <v>50.823842165399206</v>
      </c>
      <c r="BE6" s="457">
        <f>แผนการก่อสร้าง!AP119</f>
        <v>57.441865435915325</v>
      </c>
      <c r="BF6" s="457">
        <f>แผนการก่อสร้าง!AQ119</f>
        <v>63.942919761192833</v>
      </c>
      <c r="BG6" s="457">
        <f>แผนการก่อสร้าง!AR119</f>
        <v>70.279617643262853</v>
      </c>
      <c r="BH6" s="457">
        <f>แผนการก่อสร้าง!AS119</f>
        <v>76.795249575334196</v>
      </c>
      <c r="BI6" s="457">
        <f>แผนการก่อสร้าง!AT119</f>
        <v>84.358944520066061</v>
      </c>
      <c r="BJ6" s="457">
        <f>แผนการก่อสร้าง!AU119</f>
        <v>89.407229352720307</v>
      </c>
      <c r="BK6" s="457">
        <f>แผนการก่อสร้าง!AV119</f>
        <v>95.069637720942993</v>
      </c>
      <c r="BL6" s="457">
        <f>แผนการก่อสร้าง!AW119</f>
        <v>100</v>
      </c>
    </row>
    <row r="7" spans="3:64" ht="38.4" x14ac:dyDescent="0.25">
      <c r="C7" s="215" t="b">
        <v>1</v>
      </c>
      <c r="D7" s="183">
        <f t="shared" ref="D7:D44" si="8">D6+7</f>
        <v>45478</v>
      </c>
      <c r="E7" s="183">
        <f t="shared" ref="E7:E43" si="9">E6+7</f>
        <v>45484</v>
      </c>
      <c r="F7" s="182">
        <v>3</v>
      </c>
      <c r="G7" s="188">
        <v>0</v>
      </c>
      <c r="H7" s="188">
        <f t="shared" ref="H7:H23" si="10">G7+H6</f>
        <v>0</v>
      </c>
      <c r="I7" s="188">
        <v>0</v>
      </c>
      <c r="J7" s="188">
        <f t="shared" ref="J7:J23" si="11">I7+J6</f>
        <v>0</v>
      </c>
      <c r="K7" s="188">
        <v>0</v>
      </c>
      <c r="L7" s="231">
        <f t="shared" si="0"/>
        <v>0</v>
      </c>
      <c r="M7" s="232">
        <v>0</v>
      </c>
      <c r="N7" s="184">
        <f t="shared" si="1"/>
        <v>0</v>
      </c>
      <c r="O7" s="182">
        <f t="shared" si="2"/>
        <v>1088</v>
      </c>
      <c r="P7" s="184">
        <f t="shared" si="3"/>
        <v>1</v>
      </c>
      <c r="Q7" s="182">
        <f t="shared" si="4"/>
        <v>21</v>
      </c>
      <c r="R7" s="184">
        <f t="shared" si="5"/>
        <v>1.8783542039355994E-2</v>
      </c>
      <c r="S7" s="182">
        <f t="shared" si="6"/>
        <v>1097</v>
      </c>
      <c r="T7" s="184">
        <f t="shared" si="7"/>
        <v>0.98121645796064405</v>
      </c>
      <c r="U7" s="216"/>
      <c r="W7" s="182" t="s">
        <v>26</v>
      </c>
      <c r="X7" s="217"/>
      <c r="Y7" s="217"/>
      <c r="Z7" s="218"/>
      <c r="AA7" s="218">
        <v>0</v>
      </c>
      <c r="AB7" s="457">
        <f>แผนการก่อสร้าง!M121</f>
        <v>0</v>
      </c>
      <c r="AC7" s="457">
        <f>แผนการก่อสร้าง!N121</f>
        <v>0.1717601749843308</v>
      </c>
      <c r="AD7" s="457">
        <f>แผนการก่อสร้าง!O121</f>
        <v>0</v>
      </c>
      <c r="AE7" s="457">
        <f>แผนการก่อสร้าง!P121</f>
        <v>0</v>
      </c>
      <c r="AF7" s="457">
        <f>แผนการก่อสร้าง!Q121</f>
        <v>0</v>
      </c>
      <c r="AG7" s="457">
        <f>แผนการก่อสร้าง!R121</f>
        <v>0</v>
      </c>
      <c r="AH7" s="457">
        <f>แผนการก่อสร้าง!S121</f>
        <v>0</v>
      </c>
      <c r="AI7" s="457">
        <f>แผนการก่อสร้าง!T121</f>
        <v>0</v>
      </c>
      <c r="AJ7" s="457">
        <f>แผนการก่อสร้าง!U121</f>
        <v>0</v>
      </c>
      <c r="AK7" s="457">
        <f>แผนการก่อสร้าง!V121</f>
        <v>0</v>
      </c>
      <c r="AL7" s="457">
        <f>แผนการก่อสร้าง!W121</f>
        <v>0</v>
      </c>
      <c r="AM7" s="457">
        <f>แผนการก่อสร้าง!X121</f>
        <v>0</v>
      </c>
      <c r="AN7" s="457">
        <f>แผนการก่อสร้าง!Y121</f>
        <v>0</v>
      </c>
      <c r="AO7" s="457">
        <f>แผนการก่อสร้าง!Z121</f>
        <v>0</v>
      </c>
      <c r="AP7" s="457">
        <f>แผนการก่อสร้าง!AA121</f>
        <v>13.027384200099338</v>
      </c>
      <c r="AQ7" s="457">
        <f>แผนการก่อสร้าง!AB121</f>
        <v>7.1612516223734382</v>
      </c>
      <c r="AR7" s="457">
        <f>แผนการก่อสร้าง!AC121</f>
        <v>0</v>
      </c>
      <c r="AS7" s="457">
        <f>แผนการก่อสร้าง!AD121</f>
        <v>0</v>
      </c>
      <c r="AT7" s="457">
        <f>แผนการก่อสร้าง!AE121</f>
        <v>0</v>
      </c>
      <c r="AU7" s="457">
        <f>แผนการก่อสร้าง!AF121</f>
        <v>0</v>
      </c>
      <c r="AV7" s="457">
        <f>แผนการก่อสร้าง!AG121</f>
        <v>2.7837094597461953</v>
      </c>
      <c r="AW7" s="457">
        <f>แผนการก่อสร้าง!AH121</f>
        <v>0</v>
      </c>
      <c r="AX7" s="457">
        <f>แผนการก่อสร้าง!AI121</f>
        <v>0</v>
      </c>
      <c r="AY7" s="457">
        <f>แผนการก่อสร้าง!AJ121</f>
        <v>0</v>
      </c>
      <c r="AZ7" s="457">
        <f>แผนการก่อสร้าง!AK121</f>
        <v>0</v>
      </c>
      <c r="BA7" s="457">
        <f>แผนการก่อสร้าง!AL121</f>
        <v>0</v>
      </c>
      <c r="BB7" s="457">
        <f>แผนการก่อสร้าง!AM121</f>
        <v>0</v>
      </c>
      <c r="BC7" s="457">
        <f>แผนการก่อสร้าง!AN121</f>
        <v>0</v>
      </c>
      <c r="BD7" s="457">
        <f>แผนการก่อสร้าง!AO121</f>
        <v>0</v>
      </c>
      <c r="BE7" s="457">
        <f>แผนการก่อสร้าง!AP121</f>
        <v>0</v>
      </c>
      <c r="BF7" s="457">
        <f>แผนการก่อสร้าง!AQ121</f>
        <v>0</v>
      </c>
      <c r="BG7" s="457">
        <f>แผนการก่อสร้าง!AR121</f>
        <v>0</v>
      </c>
      <c r="BH7" s="457">
        <f>แผนการก่อสร้าง!AS121</f>
        <v>0</v>
      </c>
      <c r="BI7" s="457">
        <f>แผนการก่อสร้าง!AT121</f>
        <v>0</v>
      </c>
      <c r="BJ7" s="457">
        <f>แผนการก่อสร้าง!AU121</f>
        <v>0</v>
      </c>
      <c r="BK7" s="457">
        <f>แผนการก่อสร้าง!AV121</f>
        <v>0</v>
      </c>
      <c r="BL7" s="457">
        <f>แผนการก่อสร้าง!AW121</f>
        <v>0</v>
      </c>
    </row>
    <row r="8" spans="3:64" ht="38.4" x14ac:dyDescent="0.25">
      <c r="C8" s="215" t="b">
        <v>1</v>
      </c>
      <c r="D8" s="183">
        <f t="shared" si="8"/>
        <v>45485</v>
      </c>
      <c r="E8" s="183">
        <f t="shared" si="9"/>
        <v>45491</v>
      </c>
      <c r="F8" s="182">
        <v>4</v>
      </c>
      <c r="G8" s="188">
        <v>0</v>
      </c>
      <c r="H8" s="188">
        <f t="shared" si="10"/>
        <v>0</v>
      </c>
      <c r="I8" s="188">
        <v>0</v>
      </c>
      <c r="J8" s="188">
        <f t="shared" si="11"/>
        <v>0</v>
      </c>
      <c r="K8" s="188">
        <v>0</v>
      </c>
      <c r="L8" s="231">
        <f t="shared" si="0"/>
        <v>0</v>
      </c>
      <c r="M8" s="232">
        <f t="shared" ref="M8:M14" si="12">E8-$E$8+1</f>
        <v>1</v>
      </c>
      <c r="N8" s="184">
        <f t="shared" si="1"/>
        <v>9.1911764705882352E-4</v>
      </c>
      <c r="O8" s="182">
        <f t="shared" si="2"/>
        <v>1087</v>
      </c>
      <c r="P8" s="184">
        <f t="shared" si="3"/>
        <v>0.99908088235294112</v>
      </c>
      <c r="Q8" s="182">
        <f t="shared" si="4"/>
        <v>28</v>
      </c>
      <c r="R8" s="184">
        <f t="shared" si="5"/>
        <v>2.5044722719141325E-2</v>
      </c>
      <c r="S8" s="182">
        <f t="shared" si="6"/>
        <v>1090</v>
      </c>
      <c r="T8" s="184">
        <f t="shared" si="7"/>
        <v>0.97495527728085862</v>
      </c>
      <c r="U8" s="216"/>
      <c r="W8" s="182" t="s">
        <v>27</v>
      </c>
      <c r="X8" s="217"/>
      <c r="Y8" s="217"/>
      <c r="Z8" s="218"/>
      <c r="AA8" s="218">
        <v>0</v>
      </c>
      <c r="AB8" s="457">
        <f>แผนการก่อสร้าง!M123</f>
        <v>0</v>
      </c>
      <c r="AC8" s="457">
        <f>แผนการก่อสร้าง!N123</f>
        <v>0.1717601749843308</v>
      </c>
      <c r="AD8" s="457">
        <f>แผนการก่อสร้าง!O123</f>
        <v>0.1717601749843308</v>
      </c>
      <c r="AE8" s="457">
        <f>แผนการก่อสร้าง!P123</f>
        <v>0.1717601749843308</v>
      </c>
      <c r="AF8" s="457">
        <f>แผนการก่อสร้าง!Q123</f>
        <v>0.1717601749843308</v>
      </c>
      <c r="AG8" s="457">
        <f>แผนการก่อสร้าง!R123</f>
        <v>0.1717601749843308</v>
      </c>
      <c r="AH8" s="457">
        <f>แผนการก่อสร้าง!S123</f>
        <v>0.1717601749843308</v>
      </c>
      <c r="AI8" s="457">
        <f>แผนการก่อสร้าง!T123</f>
        <v>0.1717601749843308</v>
      </c>
      <c r="AJ8" s="457">
        <f>แผนการก่อสร้าง!U123</f>
        <v>0.1717601749843308</v>
      </c>
      <c r="AK8" s="457">
        <f>แผนการก่อสร้าง!V123</f>
        <v>0.1717601749843308</v>
      </c>
      <c r="AL8" s="457">
        <f>แผนการก่อสร้าง!W123</f>
        <v>0.1717601749843308</v>
      </c>
      <c r="AM8" s="457">
        <f>แผนการก่อสร้าง!X123</f>
        <v>0.1717601749843308</v>
      </c>
      <c r="AN8" s="457">
        <f>แผนการก่อสร้าง!Y123</f>
        <v>0.1717601749843308</v>
      </c>
      <c r="AO8" s="457">
        <f>แผนการก่อสร้าง!Z123</f>
        <v>0.1717601749843308</v>
      </c>
      <c r="AP8" s="457">
        <f>แผนการก่อสร้าง!AA123</f>
        <v>13.199144375083668</v>
      </c>
      <c r="AQ8" s="457">
        <f>แผนการก่อสร้าง!AB123</f>
        <v>20.360395997457104</v>
      </c>
      <c r="AR8" s="457">
        <f>แผนการก่อสร้าง!AC123</f>
        <v>20.360395997457104</v>
      </c>
      <c r="AS8" s="457">
        <f>แผนการก่อสร้าง!AD123</f>
        <v>20.360395997457104</v>
      </c>
      <c r="AT8" s="457">
        <f>แผนการก่อสร้าง!AE123</f>
        <v>20.360395997457104</v>
      </c>
      <c r="AU8" s="457">
        <f>แผนการก่อสร้าง!AF123</f>
        <v>20.360395997457104</v>
      </c>
      <c r="AV8" s="457">
        <f>แผนการก่อสร้าง!AG123</f>
        <v>23.144105457203299</v>
      </c>
      <c r="AW8" s="457">
        <f>แผนการก่อสร้าง!AH123</f>
        <v>0</v>
      </c>
      <c r="AX8" s="457">
        <f>แผนการก่อสร้าง!AI123</f>
        <v>0</v>
      </c>
      <c r="AY8" s="457">
        <f>แผนการก่อสร้าง!AJ123</f>
        <v>0</v>
      </c>
      <c r="AZ8" s="457">
        <f>แผนการก่อสร้าง!AK123</f>
        <v>0</v>
      </c>
      <c r="BA8" s="457">
        <f>แผนการก่อสร้าง!AL123</f>
        <v>0</v>
      </c>
      <c r="BB8" s="457">
        <f>แผนการก่อสร้าง!AM123</f>
        <v>0</v>
      </c>
      <c r="BC8" s="457">
        <f>แผนการก่อสร้าง!AN123</f>
        <v>0</v>
      </c>
      <c r="BD8" s="457">
        <f>แผนการก่อสร้าง!AO123</f>
        <v>0</v>
      </c>
      <c r="BE8" s="457">
        <f>แผนการก่อสร้าง!AP123</f>
        <v>0</v>
      </c>
      <c r="BF8" s="457">
        <f>แผนการก่อสร้าง!AQ123</f>
        <v>0</v>
      </c>
      <c r="BG8" s="457">
        <f>แผนการก่อสร้าง!AR123</f>
        <v>0</v>
      </c>
      <c r="BH8" s="457">
        <f>แผนการก่อสร้าง!AS123</f>
        <v>0</v>
      </c>
      <c r="BI8" s="457">
        <f>แผนการก่อสร้าง!AT123</f>
        <v>0</v>
      </c>
      <c r="BJ8" s="457">
        <f>แผนการก่อสร้าง!AU123</f>
        <v>0</v>
      </c>
      <c r="BK8" s="457">
        <f>แผนการก่อสร้าง!AV123</f>
        <v>0</v>
      </c>
      <c r="BL8" s="457">
        <f>แผนการก่อสร้าง!AW123</f>
        <v>0</v>
      </c>
    </row>
    <row r="9" spans="3:64" ht="38.4" x14ac:dyDescent="0.25">
      <c r="C9" s="215" t="b">
        <v>1</v>
      </c>
      <c r="D9" s="183">
        <f t="shared" si="8"/>
        <v>45492</v>
      </c>
      <c r="E9" s="183">
        <f t="shared" si="9"/>
        <v>45498</v>
      </c>
      <c r="F9" s="182">
        <v>5</v>
      </c>
      <c r="G9" s="188">
        <f>7*AB5/AB9</f>
        <v>0</v>
      </c>
      <c r="H9" s="188">
        <f t="shared" si="10"/>
        <v>0</v>
      </c>
      <c r="I9" s="188">
        <v>0</v>
      </c>
      <c r="J9" s="188">
        <f t="shared" si="11"/>
        <v>0</v>
      </c>
      <c r="K9" s="188">
        <f>I9-G9</f>
        <v>0</v>
      </c>
      <c r="L9" s="231">
        <f t="shared" si="0"/>
        <v>0</v>
      </c>
      <c r="M9" s="232">
        <f t="shared" si="12"/>
        <v>8</v>
      </c>
      <c r="N9" s="184">
        <f t="shared" si="1"/>
        <v>7.3529411764705881E-3</v>
      </c>
      <c r="O9" s="182">
        <f t="shared" si="2"/>
        <v>1080</v>
      </c>
      <c r="P9" s="184">
        <f t="shared" si="3"/>
        <v>0.99264705882352944</v>
      </c>
      <c r="Q9" s="182">
        <f t="shared" si="4"/>
        <v>35</v>
      </c>
      <c r="R9" s="184">
        <f t="shared" si="5"/>
        <v>3.1305903398926652E-2</v>
      </c>
      <c r="S9" s="182">
        <f t="shared" si="6"/>
        <v>1083</v>
      </c>
      <c r="T9" s="184">
        <f t="shared" si="7"/>
        <v>0.96869409660107331</v>
      </c>
      <c r="U9" s="219" t="s">
        <v>294</v>
      </c>
      <c r="W9" s="182"/>
      <c r="X9" s="189" t="s">
        <v>183</v>
      </c>
      <c r="Y9" s="189"/>
      <c r="Z9" s="189">
        <v>0</v>
      </c>
      <c r="AA9" s="189">
        <v>18</v>
      </c>
      <c r="AB9" s="189">
        <v>13</v>
      </c>
      <c r="AC9" s="189">
        <v>31</v>
      </c>
      <c r="AD9" s="189">
        <v>30</v>
      </c>
      <c r="AE9" s="189">
        <v>31</v>
      </c>
      <c r="AF9" s="189">
        <v>30</v>
      </c>
      <c r="AG9" s="189">
        <v>31</v>
      </c>
      <c r="AH9" s="189">
        <v>31</v>
      </c>
      <c r="AI9" s="189">
        <v>28</v>
      </c>
      <c r="AJ9" s="189">
        <v>31</v>
      </c>
      <c r="AK9" s="189">
        <v>30</v>
      </c>
      <c r="AL9" s="189">
        <v>31</v>
      </c>
      <c r="AM9" s="189">
        <v>30</v>
      </c>
      <c r="AN9" s="189">
        <v>31</v>
      </c>
      <c r="AO9" s="189">
        <v>31</v>
      </c>
      <c r="AP9" s="189">
        <v>30</v>
      </c>
      <c r="AQ9" s="189">
        <v>31</v>
      </c>
      <c r="AR9" s="189">
        <v>30</v>
      </c>
      <c r="AS9" s="189">
        <v>31</v>
      </c>
      <c r="AT9" s="189">
        <v>31</v>
      </c>
      <c r="AU9" s="189">
        <v>28</v>
      </c>
      <c r="AV9" s="189">
        <v>31</v>
      </c>
      <c r="AW9" s="189">
        <v>30</v>
      </c>
      <c r="AX9" s="189">
        <v>31</v>
      </c>
      <c r="AY9" s="189">
        <v>30</v>
      </c>
      <c r="AZ9" s="189">
        <v>31</v>
      </c>
      <c r="BA9" s="189">
        <v>31</v>
      </c>
      <c r="BB9" s="189">
        <v>30</v>
      </c>
      <c r="BC9" s="189">
        <v>31</v>
      </c>
      <c r="BD9" s="189">
        <v>30</v>
      </c>
      <c r="BE9" s="189">
        <v>31</v>
      </c>
      <c r="BF9" s="189">
        <v>31</v>
      </c>
      <c r="BG9" s="189">
        <v>28</v>
      </c>
      <c r="BH9" s="189">
        <v>31</v>
      </c>
      <c r="BI9" s="189">
        <v>30</v>
      </c>
      <c r="BJ9" s="189">
        <v>31</v>
      </c>
      <c r="BK9" s="189">
        <v>30</v>
      </c>
      <c r="BL9" s="189">
        <v>10</v>
      </c>
    </row>
    <row r="10" spans="3:64" x14ac:dyDescent="0.25">
      <c r="C10" s="215" t="b">
        <v>1</v>
      </c>
      <c r="D10" s="183">
        <f t="shared" si="8"/>
        <v>45499</v>
      </c>
      <c r="E10" s="199">
        <f t="shared" si="9"/>
        <v>45505</v>
      </c>
      <c r="F10" s="182">
        <v>6</v>
      </c>
      <c r="G10" s="188">
        <f>(6*AB5/AB9)+(1*AC5/AC9)</f>
        <v>0</v>
      </c>
      <c r="H10" s="188">
        <f t="shared" si="10"/>
        <v>0</v>
      </c>
      <c r="I10" s="188">
        <v>0</v>
      </c>
      <c r="J10" s="188">
        <f t="shared" si="11"/>
        <v>0</v>
      </c>
      <c r="K10" s="188">
        <f>I10-G10</f>
        <v>0</v>
      </c>
      <c r="L10" s="231">
        <f t="shared" si="0"/>
        <v>0</v>
      </c>
      <c r="M10" s="232">
        <f t="shared" si="12"/>
        <v>15</v>
      </c>
      <c r="N10" s="184">
        <f t="shared" si="1"/>
        <v>1.3786764705882353E-2</v>
      </c>
      <c r="O10" s="182">
        <f t="shared" si="2"/>
        <v>1073</v>
      </c>
      <c r="P10" s="184">
        <f t="shared" si="3"/>
        <v>0.98621323529411764</v>
      </c>
      <c r="Q10" s="182">
        <f t="shared" si="4"/>
        <v>42</v>
      </c>
      <c r="R10" s="184">
        <f t="shared" si="5"/>
        <v>3.7567084078711989E-2</v>
      </c>
      <c r="S10" s="182">
        <f t="shared" si="6"/>
        <v>1076</v>
      </c>
      <c r="T10" s="184">
        <f t="shared" si="7"/>
        <v>0.96243291592128799</v>
      </c>
      <c r="U10" s="219"/>
    </row>
    <row r="11" spans="3:64" x14ac:dyDescent="0.25">
      <c r="C11" s="215" t="b">
        <v>1</v>
      </c>
      <c r="D11" s="199">
        <v>45505</v>
      </c>
      <c r="E11" s="183">
        <f>D11+6</f>
        <v>45511</v>
      </c>
      <c r="F11" s="182">
        <v>7</v>
      </c>
      <c r="G11" s="188">
        <f>(E11-D11)*$AC$5/$AC$9</f>
        <v>0</v>
      </c>
      <c r="H11" s="188">
        <f t="shared" si="10"/>
        <v>0</v>
      </c>
      <c r="I11" s="188">
        <f>((E11-D11+1)*$AC$7/$AC$9)</f>
        <v>3.8784555641623086E-2</v>
      </c>
      <c r="J11" s="188">
        <f t="shared" si="11"/>
        <v>3.8784555641623086E-2</v>
      </c>
      <c r="K11" s="188">
        <f t="shared" ref="K11:L74" si="13">I11-G11</f>
        <v>3.8784555641623086E-2</v>
      </c>
      <c r="L11" s="231">
        <f t="shared" si="0"/>
        <v>3.8784555641623086E-2</v>
      </c>
      <c r="M11" s="232">
        <f t="shared" si="12"/>
        <v>21</v>
      </c>
      <c r="N11" s="184">
        <f t="shared" si="1"/>
        <v>1.9301470588235295E-2</v>
      </c>
      <c r="O11" s="182">
        <f t="shared" si="2"/>
        <v>1067</v>
      </c>
      <c r="P11" s="184">
        <f t="shared" si="3"/>
        <v>0.98069852941176472</v>
      </c>
      <c r="Q11" s="182">
        <f t="shared" si="4"/>
        <v>48</v>
      </c>
      <c r="R11" s="184">
        <f t="shared" si="5"/>
        <v>4.2933810375670838E-2</v>
      </c>
      <c r="S11" s="182">
        <f t="shared" si="6"/>
        <v>1070</v>
      </c>
      <c r="T11" s="184">
        <f t="shared" si="7"/>
        <v>0.95706618962432921</v>
      </c>
      <c r="U11" s="219"/>
    </row>
    <row r="12" spans="3:64" x14ac:dyDescent="0.25">
      <c r="C12" s="215" t="b">
        <v>1</v>
      </c>
      <c r="D12" s="183">
        <f t="shared" si="8"/>
        <v>45512</v>
      </c>
      <c r="E12" s="183">
        <f>D12+7</f>
        <v>45519</v>
      </c>
      <c r="F12" s="182">
        <v>8</v>
      </c>
      <c r="G12" s="188">
        <f>(E12-D12+1)*$AC$5/$AC$9</f>
        <v>0</v>
      </c>
      <c r="H12" s="188">
        <f t="shared" si="10"/>
        <v>0</v>
      </c>
      <c r="I12" s="188">
        <f t="shared" ref="I12:I14" si="14">((E12-D12+1)*$AC$7/$AC$9)</f>
        <v>4.4325206447569238E-2</v>
      </c>
      <c r="J12" s="188">
        <f t="shared" si="11"/>
        <v>8.3109762089192324E-2</v>
      </c>
      <c r="K12" s="188">
        <f t="shared" si="13"/>
        <v>4.4325206447569238E-2</v>
      </c>
      <c r="L12" s="231">
        <f t="shared" si="0"/>
        <v>8.3109762089192324E-2</v>
      </c>
      <c r="M12" s="232">
        <f t="shared" si="12"/>
        <v>29</v>
      </c>
      <c r="N12" s="184">
        <f t="shared" si="1"/>
        <v>2.6654411764705881E-2</v>
      </c>
      <c r="O12" s="182">
        <f t="shared" si="2"/>
        <v>1059</v>
      </c>
      <c r="P12" s="184">
        <f t="shared" si="3"/>
        <v>0.97334558823529416</v>
      </c>
      <c r="Q12" s="182">
        <f t="shared" si="4"/>
        <v>56</v>
      </c>
      <c r="R12" s="184">
        <f t="shared" si="5"/>
        <v>5.008944543828265E-2</v>
      </c>
      <c r="S12" s="182">
        <f t="shared" si="6"/>
        <v>1062</v>
      </c>
      <c r="T12" s="184">
        <f t="shared" si="7"/>
        <v>0.94991055456171736</v>
      </c>
      <c r="U12" s="219"/>
    </row>
    <row r="13" spans="3:64" x14ac:dyDescent="0.25">
      <c r="C13" s="215" t="b">
        <v>1</v>
      </c>
      <c r="D13" s="183">
        <f>E12+1</f>
        <v>45520</v>
      </c>
      <c r="E13" s="183">
        <f>D13+7</f>
        <v>45527</v>
      </c>
      <c r="F13" s="182">
        <v>9</v>
      </c>
      <c r="G13" s="188">
        <f>(8)*$AC$5/$AC$9</f>
        <v>0</v>
      </c>
      <c r="H13" s="188">
        <f t="shared" si="10"/>
        <v>0</v>
      </c>
      <c r="I13" s="188">
        <f t="shared" si="14"/>
        <v>4.4325206447569238E-2</v>
      </c>
      <c r="J13" s="188">
        <f t="shared" si="11"/>
        <v>0.12743496853676156</v>
      </c>
      <c r="K13" s="188">
        <f t="shared" si="13"/>
        <v>4.4325206447569238E-2</v>
      </c>
      <c r="L13" s="231">
        <f t="shared" si="0"/>
        <v>0.12743496853676156</v>
      </c>
      <c r="M13" s="232">
        <f t="shared" si="12"/>
        <v>37</v>
      </c>
      <c r="N13" s="184">
        <f t="shared" si="1"/>
        <v>3.4007352941176468E-2</v>
      </c>
      <c r="O13" s="182">
        <f t="shared" si="2"/>
        <v>1051</v>
      </c>
      <c r="P13" s="184">
        <f t="shared" si="3"/>
        <v>0.96599264705882348</v>
      </c>
      <c r="Q13" s="182">
        <f t="shared" si="4"/>
        <v>64</v>
      </c>
      <c r="R13" s="184">
        <f t="shared" si="5"/>
        <v>5.7245080500894455E-2</v>
      </c>
      <c r="S13" s="182">
        <f t="shared" si="6"/>
        <v>1054</v>
      </c>
      <c r="T13" s="184">
        <f t="shared" si="7"/>
        <v>0.9427549194991055</v>
      </c>
      <c r="U13" s="219" t="s">
        <v>278</v>
      </c>
    </row>
    <row r="14" spans="3:64" x14ac:dyDescent="0.25">
      <c r="C14" s="215" t="b">
        <v>1</v>
      </c>
      <c r="D14" s="183">
        <f>E13+1</f>
        <v>45528</v>
      </c>
      <c r="E14" s="183">
        <f>D14+7</f>
        <v>45535</v>
      </c>
      <c r="F14" s="182">
        <v>10</v>
      </c>
      <c r="G14" s="188">
        <f>(8)*$AC$5/$AC$9</f>
        <v>0</v>
      </c>
      <c r="H14" s="188">
        <f t="shared" si="10"/>
        <v>0</v>
      </c>
      <c r="I14" s="188">
        <f t="shared" si="14"/>
        <v>4.4325206447569238E-2</v>
      </c>
      <c r="J14" s="188">
        <f t="shared" si="11"/>
        <v>0.1717601749843308</v>
      </c>
      <c r="K14" s="188">
        <f t="shared" si="13"/>
        <v>4.4325206447569238E-2</v>
      </c>
      <c r="L14" s="231">
        <f t="shared" si="0"/>
        <v>0.1717601749843308</v>
      </c>
      <c r="M14" s="232">
        <f t="shared" si="12"/>
        <v>45</v>
      </c>
      <c r="N14" s="184">
        <f t="shared" si="1"/>
        <v>4.1360294117647058E-2</v>
      </c>
      <c r="O14" s="182">
        <f t="shared" si="2"/>
        <v>1043</v>
      </c>
      <c r="P14" s="184">
        <f t="shared" si="3"/>
        <v>0.95863970588235292</v>
      </c>
      <c r="Q14" s="182">
        <f t="shared" si="4"/>
        <v>72</v>
      </c>
      <c r="R14" s="184">
        <f t="shared" si="5"/>
        <v>6.4400715563506267E-2</v>
      </c>
      <c r="S14" s="182">
        <f t="shared" si="6"/>
        <v>1046</v>
      </c>
      <c r="T14" s="184">
        <f t="shared" si="7"/>
        <v>0.93559928443649376</v>
      </c>
      <c r="U14" s="219" t="s">
        <v>277</v>
      </c>
    </row>
    <row r="15" spans="3:64" x14ac:dyDescent="0.25">
      <c r="C15" s="215" t="b">
        <v>1</v>
      </c>
      <c r="D15" s="183">
        <v>45536</v>
      </c>
      <c r="E15" s="183">
        <f>D15+6</f>
        <v>45542</v>
      </c>
      <c r="F15" s="182">
        <v>11</v>
      </c>
      <c r="G15" s="188">
        <f>(7*AD5/AD9)</f>
        <v>0</v>
      </c>
      <c r="H15" s="188">
        <f>G15+H14</f>
        <v>0</v>
      </c>
      <c r="I15" s="188">
        <f>(7*AD7/AD9)</f>
        <v>0</v>
      </c>
      <c r="J15" s="188">
        <f>I15+J14</f>
        <v>0.1717601749843308</v>
      </c>
      <c r="K15" s="188">
        <f t="shared" si="13"/>
        <v>0</v>
      </c>
      <c r="L15" s="231">
        <f t="shared" si="0"/>
        <v>0.1717601749843308</v>
      </c>
      <c r="M15" s="232">
        <f>E15-$E$8+1</f>
        <v>52</v>
      </c>
      <c r="N15" s="184">
        <f t="shared" si="1"/>
        <v>4.779411764705882E-2</v>
      </c>
      <c r="O15" s="182">
        <f t="shared" si="2"/>
        <v>1036</v>
      </c>
      <c r="P15" s="184">
        <f t="shared" si="3"/>
        <v>0.95220588235294112</v>
      </c>
      <c r="Q15" s="182">
        <f t="shared" si="4"/>
        <v>79</v>
      </c>
      <c r="R15" s="184">
        <f t="shared" si="5"/>
        <v>7.0661896243291597E-2</v>
      </c>
      <c r="S15" s="182">
        <f t="shared" si="6"/>
        <v>1039</v>
      </c>
      <c r="T15" s="184">
        <f t="shared" si="7"/>
        <v>0.92933810375670844</v>
      </c>
      <c r="U15" s="219" t="s">
        <v>273</v>
      </c>
    </row>
    <row r="16" spans="3:64" ht="36" x14ac:dyDescent="0.25">
      <c r="C16" s="215" t="b">
        <v>1</v>
      </c>
      <c r="D16" s="202">
        <f t="shared" si="8"/>
        <v>45543</v>
      </c>
      <c r="E16" s="202">
        <f>E15+8</f>
        <v>45550</v>
      </c>
      <c r="F16" s="203">
        <v>12</v>
      </c>
      <c r="G16" s="204">
        <f>(8*AD5/AD9)</f>
        <v>0</v>
      </c>
      <c r="H16" s="204">
        <f t="shared" si="10"/>
        <v>0</v>
      </c>
      <c r="I16" s="204">
        <f>(8*AD7/AD9)</f>
        <v>0</v>
      </c>
      <c r="J16" s="204">
        <f t="shared" si="11"/>
        <v>0.1717601749843308</v>
      </c>
      <c r="K16" s="204">
        <f t="shared" si="13"/>
        <v>0</v>
      </c>
      <c r="L16" s="233">
        <f t="shared" si="0"/>
        <v>0.1717601749843308</v>
      </c>
      <c r="M16" s="234">
        <f>E16-$E$8+1</f>
        <v>60</v>
      </c>
      <c r="N16" s="184">
        <f t="shared" si="1"/>
        <v>5.514705882352941E-2</v>
      </c>
      <c r="O16" s="182">
        <f t="shared" si="2"/>
        <v>1028</v>
      </c>
      <c r="P16" s="184">
        <f t="shared" si="3"/>
        <v>0.94485294117647056</v>
      </c>
      <c r="Q16" s="182">
        <f t="shared" si="4"/>
        <v>87</v>
      </c>
      <c r="R16" s="184">
        <f t="shared" si="5"/>
        <v>7.7817531305903395E-2</v>
      </c>
      <c r="S16" s="182">
        <f t="shared" si="6"/>
        <v>1031</v>
      </c>
      <c r="T16" s="184">
        <f t="shared" si="7"/>
        <v>0.92218246869409659</v>
      </c>
      <c r="U16" s="219" t="s">
        <v>275</v>
      </c>
      <c r="X16" s="679" t="s">
        <v>279</v>
      </c>
      <c r="Y16" s="680"/>
      <c r="Z16" s="680"/>
      <c r="AA16" s="680"/>
      <c r="AB16" s="680"/>
      <c r="AC16" s="680"/>
      <c r="AD16" s="680"/>
      <c r="AE16" s="680"/>
      <c r="AF16" s="680"/>
      <c r="AG16" s="680"/>
      <c r="AH16" s="680"/>
      <c r="AI16" s="680"/>
      <c r="AJ16" s="680"/>
      <c r="AK16" s="681"/>
    </row>
    <row r="17" spans="3:37" ht="36" x14ac:dyDescent="0.25">
      <c r="C17" s="215" t="b">
        <v>1</v>
      </c>
      <c r="D17" s="202">
        <f>D16+8</f>
        <v>45551</v>
      </c>
      <c r="E17" s="202">
        <f>E16+8</f>
        <v>45558</v>
      </c>
      <c r="F17" s="203">
        <v>13</v>
      </c>
      <c r="G17" s="204">
        <f>(8*AD5/AD9)</f>
        <v>0</v>
      </c>
      <c r="H17" s="204">
        <f t="shared" si="10"/>
        <v>0</v>
      </c>
      <c r="I17" s="204">
        <f>(8*AD7/AD9)</f>
        <v>0</v>
      </c>
      <c r="J17" s="204">
        <f t="shared" si="11"/>
        <v>0.1717601749843308</v>
      </c>
      <c r="K17" s="204">
        <f t="shared" si="13"/>
        <v>0</v>
      </c>
      <c r="L17" s="233">
        <f t="shared" si="0"/>
        <v>0.1717601749843308</v>
      </c>
      <c r="M17" s="234">
        <f t="shared" ref="M17:M80" si="15">E17-$E$8+1</f>
        <v>68</v>
      </c>
      <c r="N17" s="184">
        <f t="shared" si="1"/>
        <v>6.25E-2</v>
      </c>
      <c r="O17" s="182">
        <f t="shared" si="2"/>
        <v>1020</v>
      </c>
      <c r="P17" s="184">
        <f t="shared" si="3"/>
        <v>0.9375</v>
      </c>
      <c r="Q17" s="182">
        <f t="shared" si="4"/>
        <v>95</v>
      </c>
      <c r="R17" s="184">
        <f t="shared" si="5"/>
        <v>8.4973166368515207E-2</v>
      </c>
      <c r="S17" s="182">
        <f t="shared" si="6"/>
        <v>1023</v>
      </c>
      <c r="T17" s="184">
        <f t="shared" si="7"/>
        <v>0.91502683363148485</v>
      </c>
      <c r="U17" s="219" t="s">
        <v>274</v>
      </c>
      <c r="X17" s="205" t="s">
        <v>186</v>
      </c>
      <c r="Y17" s="205" t="s">
        <v>187</v>
      </c>
      <c r="Z17" s="205" t="s">
        <v>182</v>
      </c>
      <c r="AA17" s="205" t="s">
        <v>280</v>
      </c>
      <c r="AB17" s="205" t="s">
        <v>184</v>
      </c>
      <c r="AC17" s="205" t="s">
        <v>281</v>
      </c>
      <c r="AD17" s="205" t="s">
        <v>288</v>
      </c>
      <c r="AE17" s="205" t="s">
        <v>287</v>
      </c>
      <c r="AF17" s="205" t="s">
        <v>193</v>
      </c>
      <c r="AG17" s="205" t="s">
        <v>188</v>
      </c>
      <c r="AH17" s="205" t="s">
        <v>283</v>
      </c>
      <c r="AI17" s="205" t="s">
        <v>282</v>
      </c>
      <c r="AJ17" s="205" t="s">
        <v>272</v>
      </c>
      <c r="AK17" s="205" t="s">
        <v>286</v>
      </c>
    </row>
    <row r="18" spans="3:37" ht="36" x14ac:dyDescent="0.25">
      <c r="C18" s="220" t="b">
        <v>1</v>
      </c>
      <c r="D18" s="183">
        <f>D17+8</f>
        <v>45559</v>
      </c>
      <c r="E18" s="183">
        <f t="shared" si="9"/>
        <v>45565</v>
      </c>
      <c r="F18" s="182">
        <v>14</v>
      </c>
      <c r="G18" s="188">
        <f>(7*AD5/AD9)</f>
        <v>0</v>
      </c>
      <c r="H18" s="188">
        <f>G18+H17</f>
        <v>0</v>
      </c>
      <c r="I18" s="188">
        <f>(7*AD7/AD9)</f>
        <v>0</v>
      </c>
      <c r="J18" s="188">
        <f t="shared" si="11"/>
        <v>0.1717601749843308</v>
      </c>
      <c r="K18" s="188">
        <f t="shared" si="13"/>
        <v>0</v>
      </c>
      <c r="L18" s="231">
        <f t="shared" si="0"/>
        <v>0.1717601749843308</v>
      </c>
      <c r="M18" s="232">
        <f t="shared" si="15"/>
        <v>75</v>
      </c>
      <c r="N18" s="184">
        <f t="shared" si="1"/>
        <v>6.893382352941177E-2</v>
      </c>
      <c r="O18" s="182">
        <f t="shared" si="2"/>
        <v>1013</v>
      </c>
      <c r="P18" s="184">
        <f t="shared" si="3"/>
        <v>0.9310661764705882</v>
      </c>
      <c r="Q18" s="182">
        <f t="shared" si="4"/>
        <v>102</v>
      </c>
      <c r="R18" s="184">
        <f t="shared" si="5"/>
        <v>9.1234347048300538E-2</v>
      </c>
      <c r="S18" s="182">
        <f t="shared" si="6"/>
        <v>1016</v>
      </c>
      <c r="T18" s="184">
        <f t="shared" si="7"/>
        <v>0.90876565295169942</v>
      </c>
      <c r="U18" s="219" t="s">
        <v>276</v>
      </c>
      <c r="X18" s="207">
        <f>D20+8</f>
        <v>45581</v>
      </c>
      <c r="Y18" s="207">
        <f>E20+13</f>
        <v>45593</v>
      </c>
      <c r="Z18" s="206">
        <f>(Y18-D21+1)*$AE$5/$AE$9</f>
        <v>0</v>
      </c>
      <c r="AA18" s="206">
        <f>Z18+H20</f>
        <v>0</v>
      </c>
      <c r="AB18" s="205">
        <f>(Y18-X18+1)*$AE$7/$AE$9</f>
        <v>0</v>
      </c>
      <c r="AC18" s="206">
        <f>AB18+J20</f>
        <v>0.1717601749843308</v>
      </c>
      <c r="AD18" s="206">
        <f>AB18-Z18</f>
        <v>0</v>
      </c>
      <c r="AE18" s="206">
        <f>AC18-AA18</f>
        <v>0.1717601749843308</v>
      </c>
      <c r="AF18" s="205">
        <f>Y18-$E$8+1</f>
        <v>103</v>
      </c>
      <c r="AG18" s="208">
        <f>AF18/840</f>
        <v>0.12261904761904761</v>
      </c>
      <c r="AH18" s="205">
        <f>Y18-$D$5+1</f>
        <v>130</v>
      </c>
      <c r="AI18" s="208">
        <f>AH18/870</f>
        <v>0.14942528735632185</v>
      </c>
      <c r="AJ18" s="205">
        <f>870-AH18</f>
        <v>740</v>
      </c>
      <c r="AK18" s="208">
        <f>AJ18/870</f>
        <v>0.85057471264367812</v>
      </c>
    </row>
    <row r="19" spans="3:37" ht="36" x14ac:dyDescent="0.25">
      <c r="C19" s="215" t="b">
        <v>1</v>
      </c>
      <c r="D19" s="183">
        <f t="shared" si="8"/>
        <v>45566</v>
      </c>
      <c r="E19" s="183">
        <f t="shared" si="9"/>
        <v>45572</v>
      </c>
      <c r="F19" s="182">
        <v>15</v>
      </c>
      <c r="G19" s="188">
        <f>(E19-D19+1)*$AE$5/$AE$9</f>
        <v>0</v>
      </c>
      <c r="H19" s="188">
        <f t="shared" si="10"/>
        <v>0</v>
      </c>
      <c r="I19" s="188">
        <f>(E19-D19+1)*$AE$7/$AE$9</f>
        <v>0</v>
      </c>
      <c r="J19" s="188">
        <f t="shared" si="11"/>
        <v>0.1717601749843308</v>
      </c>
      <c r="K19" s="188">
        <f t="shared" si="13"/>
        <v>0</v>
      </c>
      <c r="L19" s="231">
        <f t="shared" si="0"/>
        <v>0.1717601749843308</v>
      </c>
      <c r="M19" s="232">
        <f t="shared" si="15"/>
        <v>82</v>
      </c>
      <c r="N19" s="184">
        <f t="shared" si="1"/>
        <v>7.5367647058823525E-2</v>
      </c>
      <c r="O19" s="182">
        <f t="shared" si="2"/>
        <v>1006</v>
      </c>
      <c r="P19" s="184">
        <f t="shared" si="3"/>
        <v>0.92463235294117652</v>
      </c>
      <c r="Q19" s="182">
        <f t="shared" si="4"/>
        <v>109</v>
      </c>
      <c r="R19" s="184">
        <f t="shared" si="5"/>
        <v>9.7495527728085868E-2</v>
      </c>
      <c r="S19" s="182">
        <f t="shared" si="6"/>
        <v>1009</v>
      </c>
      <c r="T19" s="184">
        <f t="shared" si="7"/>
        <v>0.9025044722719141</v>
      </c>
      <c r="U19" s="216"/>
      <c r="X19" s="205"/>
      <c r="Y19" s="205"/>
      <c r="Z19" s="206"/>
      <c r="AA19" s="206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</row>
    <row r="20" spans="3:37" ht="36" x14ac:dyDescent="0.25">
      <c r="C20" s="215" t="b">
        <v>1</v>
      </c>
      <c r="D20" s="183">
        <f t="shared" si="8"/>
        <v>45573</v>
      </c>
      <c r="E20" s="183">
        <f>E19+8</f>
        <v>45580</v>
      </c>
      <c r="F20" s="182">
        <v>16</v>
      </c>
      <c r="G20" s="188">
        <f t="shared" ref="G20:G22" si="16">(E20-D20+1)*$AE$5/$AE$9</f>
        <v>0</v>
      </c>
      <c r="H20" s="188">
        <f t="shared" si="10"/>
        <v>0</v>
      </c>
      <c r="I20" s="188">
        <f t="shared" ref="I20:I22" si="17">(E20-D20+1)*$AE$7/$AE$9</f>
        <v>0</v>
      </c>
      <c r="J20" s="188">
        <f t="shared" si="11"/>
        <v>0.1717601749843308</v>
      </c>
      <c r="K20" s="188">
        <f t="shared" si="13"/>
        <v>0</v>
      </c>
      <c r="L20" s="231">
        <f t="shared" si="0"/>
        <v>0.1717601749843308</v>
      </c>
      <c r="M20" s="232">
        <f t="shared" si="15"/>
        <v>90</v>
      </c>
      <c r="N20" s="184">
        <f t="shared" si="1"/>
        <v>8.2720588235294115E-2</v>
      </c>
      <c r="O20" s="182">
        <f t="shared" si="2"/>
        <v>998</v>
      </c>
      <c r="P20" s="184">
        <f t="shared" si="3"/>
        <v>0.91727941176470584</v>
      </c>
      <c r="Q20" s="182">
        <f t="shared" si="4"/>
        <v>117</v>
      </c>
      <c r="R20" s="184">
        <f t="shared" si="5"/>
        <v>0.10465116279069768</v>
      </c>
      <c r="S20" s="182">
        <f t="shared" si="6"/>
        <v>1001</v>
      </c>
      <c r="T20" s="184">
        <f t="shared" si="7"/>
        <v>0.89534883720930236</v>
      </c>
      <c r="U20" s="216" t="s">
        <v>847</v>
      </c>
      <c r="X20" s="205"/>
      <c r="Y20" s="205"/>
      <c r="Z20" s="206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</row>
    <row r="21" spans="3:37" ht="36" x14ac:dyDescent="0.25">
      <c r="C21" s="215" t="b">
        <v>1</v>
      </c>
      <c r="D21" s="183">
        <f>D20+8</f>
        <v>45581</v>
      </c>
      <c r="E21" s="183">
        <f>E20+8</f>
        <v>45588</v>
      </c>
      <c r="F21" s="182">
        <v>17</v>
      </c>
      <c r="G21" s="188">
        <f t="shared" si="16"/>
        <v>0</v>
      </c>
      <c r="H21" s="188">
        <f t="shared" si="10"/>
        <v>0</v>
      </c>
      <c r="I21" s="188">
        <f t="shared" si="17"/>
        <v>0</v>
      </c>
      <c r="J21" s="188">
        <f t="shared" si="11"/>
        <v>0.1717601749843308</v>
      </c>
      <c r="K21" s="188">
        <f t="shared" si="13"/>
        <v>0</v>
      </c>
      <c r="L21" s="231">
        <f t="shared" si="0"/>
        <v>0.1717601749843308</v>
      </c>
      <c r="M21" s="232">
        <f t="shared" si="15"/>
        <v>98</v>
      </c>
      <c r="N21" s="184">
        <f t="shared" si="1"/>
        <v>9.0073529411764705E-2</v>
      </c>
      <c r="O21" s="182">
        <f t="shared" si="2"/>
        <v>990</v>
      </c>
      <c r="P21" s="184">
        <f t="shared" si="3"/>
        <v>0.90992647058823528</v>
      </c>
      <c r="Q21" s="182">
        <f t="shared" si="4"/>
        <v>125</v>
      </c>
      <c r="R21" s="184">
        <f t="shared" si="5"/>
        <v>0.11180679785330948</v>
      </c>
      <c r="S21" s="182">
        <f t="shared" si="6"/>
        <v>993</v>
      </c>
      <c r="T21" s="184">
        <f t="shared" si="7"/>
        <v>0.88819320214669051</v>
      </c>
      <c r="U21" s="216" t="s">
        <v>848</v>
      </c>
      <c r="X21" s="205"/>
      <c r="Y21" s="205"/>
      <c r="Z21" s="206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</row>
    <row r="22" spans="3:37" ht="36" x14ac:dyDescent="0.25">
      <c r="C22" s="215" t="b">
        <v>1</v>
      </c>
      <c r="D22" s="183">
        <f>D21+8</f>
        <v>45589</v>
      </c>
      <c r="E22" s="183">
        <f>E21+8</f>
        <v>45596</v>
      </c>
      <c r="F22" s="182">
        <v>18</v>
      </c>
      <c r="G22" s="188">
        <f t="shared" si="16"/>
        <v>0</v>
      </c>
      <c r="H22" s="188">
        <f t="shared" si="10"/>
        <v>0</v>
      </c>
      <c r="I22" s="188">
        <f t="shared" si="17"/>
        <v>0</v>
      </c>
      <c r="J22" s="188">
        <f t="shared" si="11"/>
        <v>0.1717601749843308</v>
      </c>
      <c r="K22" s="188">
        <f t="shared" si="13"/>
        <v>0</v>
      </c>
      <c r="L22" s="231">
        <f t="shared" si="0"/>
        <v>0.1717601749843308</v>
      </c>
      <c r="M22" s="232">
        <f t="shared" si="15"/>
        <v>106</v>
      </c>
      <c r="N22" s="184">
        <f t="shared" si="1"/>
        <v>9.7426470588235295E-2</v>
      </c>
      <c r="O22" s="182">
        <f t="shared" si="2"/>
        <v>982</v>
      </c>
      <c r="P22" s="184">
        <f t="shared" si="3"/>
        <v>0.90257352941176472</v>
      </c>
      <c r="Q22" s="182">
        <f t="shared" si="4"/>
        <v>133</v>
      </c>
      <c r="R22" s="184">
        <f t="shared" si="5"/>
        <v>0.11896243291592129</v>
      </c>
      <c r="S22" s="182">
        <f t="shared" si="6"/>
        <v>985</v>
      </c>
      <c r="T22" s="184">
        <f t="shared" si="7"/>
        <v>0.88103756708407877</v>
      </c>
      <c r="U22" s="216"/>
      <c r="X22" s="205"/>
      <c r="Y22" s="205"/>
      <c r="Z22" s="206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</row>
    <row r="23" spans="3:37" ht="36" x14ac:dyDescent="0.25">
      <c r="C23" s="215" t="b">
        <v>1</v>
      </c>
      <c r="D23" s="183">
        <f>D22+8</f>
        <v>45597</v>
      </c>
      <c r="E23" s="183">
        <f t="shared" si="9"/>
        <v>45603</v>
      </c>
      <c r="F23" s="182">
        <v>19</v>
      </c>
      <c r="G23" s="188">
        <f>(E23-D23+1)*$AF$5/$AF$9</f>
        <v>0</v>
      </c>
      <c r="H23" s="188">
        <f t="shared" si="10"/>
        <v>0</v>
      </c>
      <c r="I23" s="188">
        <f>(E23-D23+1)*$AF$7/$AF$9</f>
        <v>0</v>
      </c>
      <c r="J23" s="188">
        <f t="shared" si="11"/>
        <v>0.1717601749843308</v>
      </c>
      <c r="K23" s="188">
        <f t="shared" si="13"/>
        <v>0</v>
      </c>
      <c r="L23" s="231">
        <f t="shared" si="0"/>
        <v>0.1717601749843308</v>
      </c>
      <c r="M23" s="232">
        <f t="shared" si="15"/>
        <v>113</v>
      </c>
      <c r="N23" s="184">
        <f t="shared" si="1"/>
        <v>0.10386029411764706</v>
      </c>
      <c r="O23" s="182">
        <f t="shared" si="2"/>
        <v>975</v>
      </c>
      <c r="P23" s="184">
        <f t="shared" si="3"/>
        <v>0.89613970588235292</v>
      </c>
      <c r="Q23" s="182">
        <f t="shared" si="4"/>
        <v>140</v>
      </c>
      <c r="R23" s="184">
        <f t="shared" si="5"/>
        <v>0.12522361359570661</v>
      </c>
      <c r="S23" s="182">
        <f t="shared" si="6"/>
        <v>978</v>
      </c>
      <c r="T23" s="184">
        <f t="shared" si="7"/>
        <v>0.87477638640429334</v>
      </c>
      <c r="U23" s="216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</row>
    <row r="24" spans="3:37" x14ac:dyDescent="0.25">
      <c r="C24" s="215" t="b">
        <v>1</v>
      </c>
      <c r="D24" s="183">
        <f t="shared" si="8"/>
        <v>45604</v>
      </c>
      <c r="E24" s="183">
        <f>E23+8</f>
        <v>45611</v>
      </c>
      <c r="F24" s="182">
        <v>20</v>
      </c>
      <c r="G24" s="188">
        <f t="shared" ref="G24:G26" si="18">(E24-D24+1)*$AF$5/$AF$9</f>
        <v>0</v>
      </c>
      <c r="H24" s="188">
        <f t="shared" ref="H24:H26" si="19">G24+H23</f>
        <v>0</v>
      </c>
      <c r="I24" s="188">
        <f t="shared" ref="I24:I26" si="20">(E24-D24+1)*$AF$7/$AF$9</f>
        <v>0</v>
      </c>
      <c r="J24" s="188">
        <f t="shared" ref="J24:J26" si="21">I24+J23</f>
        <v>0.1717601749843308</v>
      </c>
      <c r="K24" s="188">
        <f t="shared" si="13"/>
        <v>0</v>
      </c>
      <c r="L24" s="231">
        <f t="shared" si="0"/>
        <v>0.1717601749843308</v>
      </c>
      <c r="M24" s="232">
        <f t="shared" si="15"/>
        <v>121</v>
      </c>
      <c r="N24" s="184">
        <f t="shared" si="1"/>
        <v>0.11121323529411764</v>
      </c>
      <c r="O24" s="182">
        <f t="shared" si="2"/>
        <v>967</v>
      </c>
      <c r="P24" s="184">
        <f t="shared" si="3"/>
        <v>0.88878676470588236</v>
      </c>
      <c r="Q24" s="182">
        <f t="shared" si="4"/>
        <v>148</v>
      </c>
      <c r="R24" s="184">
        <f t="shared" si="5"/>
        <v>0.13237924865831843</v>
      </c>
      <c r="S24" s="182">
        <f t="shared" si="6"/>
        <v>970</v>
      </c>
      <c r="T24" s="184">
        <f t="shared" si="7"/>
        <v>0.8676207513416816</v>
      </c>
      <c r="U24" s="216"/>
      <c r="AE24" s="181" t="s">
        <v>289</v>
      </c>
      <c r="AF24" s="181">
        <f>840-AF18</f>
        <v>737</v>
      </c>
    </row>
    <row r="25" spans="3:37" x14ac:dyDescent="0.25">
      <c r="C25" s="215" t="b">
        <v>1</v>
      </c>
      <c r="D25" s="183">
        <f>D24+8</f>
        <v>45612</v>
      </c>
      <c r="E25" s="183">
        <f>E24+8</f>
        <v>45619</v>
      </c>
      <c r="F25" s="182">
        <v>21</v>
      </c>
      <c r="G25" s="188">
        <f t="shared" si="18"/>
        <v>0</v>
      </c>
      <c r="H25" s="188">
        <f t="shared" si="19"/>
        <v>0</v>
      </c>
      <c r="I25" s="188">
        <f t="shared" si="20"/>
        <v>0</v>
      </c>
      <c r="J25" s="188">
        <f t="shared" si="21"/>
        <v>0.1717601749843308</v>
      </c>
      <c r="K25" s="188">
        <f t="shared" si="13"/>
        <v>0</v>
      </c>
      <c r="L25" s="231">
        <f t="shared" si="0"/>
        <v>0.1717601749843308</v>
      </c>
      <c r="M25" s="232">
        <f t="shared" si="15"/>
        <v>129</v>
      </c>
      <c r="N25" s="184">
        <f t="shared" si="1"/>
        <v>0.11856617647058823</v>
      </c>
      <c r="O25" s="182">
        <f t="shared" si="2"/>
        <v>959</v>
      </c>
      <c r="P25" s="184">
        <f t="shared" si="3"/>
        <v>0.8814338235294118</v>
      </c>
      <c r="Q25" s="182">
        <f t="shared" si="4"/>
        <v>156</v>
      </c>
      <c r="R25" s="184">
        <f t="shared" si="5"/>
        <v>0.13953488372093023</v>
      </c>
      <c r="S25" s="182">
        <f t="shared" si="6"/>
        <v>962</v>
      </c>
      <c r="T25" s="184">
        <f t="shared" si="7"/>
        <v>0.86046511627906974</v>
      </c>
      <c r="U25" s="216"/>
    </row>
    <row r="26" spans="3:37" x14ac:dyDescent="0.25">
      <c r="C26" s="215" t="b">
        <v>1</v>
      </c>
      <c r="D26" s="183">
        <f>D25+8</f>
        <v>45620</v>
      </c>
      <c r="E26" s="183">
        <f t="shared" si="9"/>
        <v>45626</v>
      </c>
      <c r="F26" s="182">
        <v>22</v>
      </c>
      <c r="G26" s="188">
        <f t="shared" si="18"/>
        <v>0</v>
      </c>
      <c r="H26" s="188">
        <f t="shared" si="19"/>
        <v>0</v>
      </c>
      <c r="I26" s="188">
        <f t="shared" si="20"/>
        <v>0</v>
      </c>
      <c r="J26" s="188">
        <f t="shared" si="21"/>
        <v>0.1717601749843308</v>
      </c>
      <c r="K26" s="188">
        <f t="shared" si="13"/>
        <v>0</v>
      </c>
      <c r="L26" s="231">
        <f t="shared" si="0"/>
        <v>0.1717601749843308</v>
      </c>
      <c r="M26" s="232">
        <f t="shared" si="15"/>
        <v>136</v>
      </c>
      <c r="N26" s="184">
        <f t="shared" si="1"/>
        <v>0.125</v>
      </c>
      <c r="O26" s="182">
        <f t="shared" si="2"/>
        <v>952</v>
      </c>
      <c r="P26" s="184">
        <f t="shared" si="3"/>
        <v>0.875</v>
      </c>
      <c r="Q26" s="182">
        <f t="shared" si="4"/>
        <v>163</v>
      </c>
      <c r="R26" s="184">
        <f t="shared" si="5"/>
        <v>0.14579606440071557</v>
      </c>
      <c r="S26" s="182">
        <f t="shared" si="6"/>
        <v>955</v>
      </c>
      <c r="T26" s="184">
        <f t="shared" si="7"/>
        <v>0.85420393559928443</v>
      </c>
      <c r="U26" s="216"/>
    </row>
    <row r="27" spans="3:37" x14ac:dyDescent="0.25">
      <c r="C27" s="215" t="b">
        <v>1</v>
      </c>
      <c r="D27" s="183">
        <f>D26+7</f>
        <v>45627</v>
      </c>
      <c r="E27" s="183">
        <f>E26+7</f>
        <v>45633</v>
      </c>
      <c r="F27" s="182">
        <v>23</v>
      </c>
      <c r="G27" s="188">
        <f>(E27-D27+1)*$AG$5/$AG$9</f>
        <v>0</v>
      </c>
      <c r="H27" s="188">
        <f t="shared" ref="H27" si="22">G27+H26</f>
        <v>0</v>
      </c>
      <c r="I27" s="188">
        <f>(E27-D27+1)*$AG$7/$AG$9</f>
        <v>0</v>
      </c>
      <c r="J27" s="188">
        <f t="shared" ref="J27" si="23">I27+J26</f>
        <v>0.1717601749843308</v>
      </c>
      <c r="K27" s="188">
        <f t="shared" si="13"/>
        <v>0</v>
      </c>
      <c r="L27" s="231">
        <f t="shared" si="0"/>
        <v>0.1717601749843308</v>
      </c>
      <c r="M27" s="232">
        <f t="shared" si="15"/>
        <v>143</v>
      </c>
      <c r="N27" s="184">
        <f t="shared" si="1"/>
        <v>0.13143382352941177</v>
      </c>
      <c r="O27" s="182">
        <f t="shared" si="2"/>
        <v>945</v>
      </c>
      <c r="P27" s="184">
        <f t="shared" si="3"/>
        <v>0.8685661764705882</v>
      </c>
      <c r="Q27" s="182">
        <f t="shared" si="4"/>
        <v>170</v>
      </c>
      <c r="R27" s="184">
        <f t="shared" si="5"/>
        <v>0.15205724508050089</v>
      </c>
      <c r="S27" s="182">
        <f t="shared" si="6"/>
        <v>948</v>
      </c>
      <c r="T27" s="184">
        <f t="shared" si="7"/>
        <v>0.84794275491949911</v>
      </c>
      <c r="U27" s="216"/>
    </row>
    <row r="28" spans="3:37" x14ac:dyDescent="0.25">
      <c r="C28" s="215" t="b">
        <v>1</v>
      </c>
      <c r="D28" s="183">
        <f t="shared" si="8"/>
        <v>45634</v>
      </c>
      <c r="E28" s="183">
        <f>E27+8</f>
        <v>45641</v>
      </c>
      <c r="F28" s="182">
        <v>24</v>
      </c>
      <c r="G28" s="188">
        <f t="shared" ref="G28:G30" si="24">(E28-D28+1)*$AG$5/$AG$9</f>
        <v>0</v>
      </c>
      <c r="H28" s="188">
        <f t="shared" ref="H28:H30" si="25">G28+H27</f>
        <v>0</v>
      </c>
      <c r="I28" s="188">
        <f t="shared" ref="I28:I30" si="26">(E28-D28+1)*$AG$7/$AG$9</f>
        <v>0</v>
      </c>
      <c r="J28" s="188">
        <f t="shared" ref="J28:J30" si="27">I28+J27</f>
        <v>0.1717601749843308</v>
      </c>
      <c r="K28" s="188">
        <f t="shared" si="13"/>
        <v>0</v>
      </c>
      <c r="L28" s="231">
        <f t="shared" si="0"/>
        <v>0.1717601749843308</v>
      </c>
      <c r="M28" s="232">
        <f t="shared" si="15"/>
        <v>151</v>
      </c>
      <c r="N28" s="184">
        <f t="shared" si="1"/>
        <v>0.13878676470588236</v>
      </c>
      <c r="O28" s="182">
        <f t="shared" si="2"/>
        <v>937</v>
      </c>
      <c r="P28" s="184">
        <f t="shared" si="3"/>
        <v>0.86121323529411764</v>
      </c>
      <c r="Q28" s="182">
        <f t="shared" si="4"/>
        <v>178</v>
      </c>
      <c r="R28" s="184">
        <f t="shared" si="5"/>
        <v>0.15921288014311269</v>
      </c>
      <c r="S28" s="182">
        <f t="shared" si="6"/>
        <v>940</v>
      </c>
      <c r="T28" s="184">
        <f t="shared" si="7"/>
        <v>0.84078711985688726</v>
      </c>
      <c r="U28" s="216"/>
    </row>
    <row r="29" spans="3:37" x14ac:dyDescent="0.25">
      <c r="C29" s="215" t="b">
        <v>1</v>
      </c>
      <c r="D29" s="183">
        <f>D28+8</f>
        <v>45642</v>
      </c>
      <c r="E29" s="183">
        <f>E28+8</f>
        <v>45649</v>
      </c>
      <c r="F29" s="182">
        <v>25</v>
      </c>
      <c r="G29" s="188">
        <f t="shared" si="24"/>
        <v>0</v>
      </c>
      <c r="H29" s="188">
        <f t="shared" si="25"/>
        <v>0</v>
      </c>
      <c r="I29" s="188">
        <f t="shared" si="26"/>
        <v>0</v>
      </c>
      <c r="J29" s="188">
        <f t="shared" si="27"/>
        <v>0.1717601749843308</v>
      </c>
      <c r="K29" s="188">
        <f t="shared" si="13"/>
        <v>0</v>
      </c>
      <c r="L29" s="231">
        <f t="shared" si="0"/>
        <v>0.1717601749843308</v>
      </c>
      <c r="M29" s="232">
        <f t="shared" si="15"/>
        <v>159</v>
      </c>
      <c r="N29" s="184">
        <f t="shared" si="1"/>
        <v>0.14613970588235295</v>
      </c>
      <c r="O29" s="182">
        <f t="shared" si="2"/>
        <v>929</v>
      </c>
      <c r="P29" s="184">
        <f t="shared" si="3"/>
        <v>0.85386029411764708</v>
      </c>
      <c r="Q29" s="182">
        <f t="shared" si="4"/>
        <v>186</v>
      </c>
      <c r="R29" s="184">
        <f t="shared" si="5"/>
        <v>0.16636851520572452</v>
      </c>
      <c r="S29" s="182">
        <f t="shared" si="6"/>
        <v>932</v>
      </c>
      <c r="T29" s="184">
        <f t="shared" si="7"/>
        <v>0.83363148479427551</v>
      </c>
      <c r="U29" s="216"/>
    </row>
    <row r="30" spans="3:37" x14ac:dyDescent="0.25">
      <c r="C30" s="215" t="b">
        <v>1</v>
      </c>
      <c r="D30" s="183">
        <f>D29+8</f>
        <v>45650</v>
      </c>
      <c r="E30" s="183">
        <f>E29+8</f>
        <v>45657</v>
      </c>
      <c r="F30" s="182">
        <v>26</v>
      </c>
      <c r="G30" s="188">
        <f t="shared" si="24"/>
        <v>0</v>
      </c>
      <c r="H30" s="188">
        <f t="shared" si="25"/>
        <v>0</v>
      </c>
      <c r="I30" s="188">
        <f t="shared" si="26"/>
        <v>0</v>
      </c>
      <c r="J30" s="188">
        <f t="shared" si="27"/>
        <v>0.1717601749843308</v>
      </c>
      <c r="K30" s="188">
        <f t="shared" si="13"/>
        <v>0</v>
      </c>
      <c r="L30" s="231">
        <f t="shared" si="0"/>
        <v>0.1717601749843308</v>
      </c>
      <c r="M30" s="232">
        <f t="shared" si="15"/>
        <v>167</v>
      </c>
      <c r="N30" s="184">
        <f t="shared" si="1"/>
        <v>0.15349264705882354</v>
      </c>
      <c r="O30" s="182">
        <f t="shared" si="2"/>
        <v>921</v>
      </c>
      <c r="P30" s="184">
        <f t="shared" si="3"/>
        <v>0.84650735294117652</v>
      </c>
      <c r="Q30" s="182">
        <f t="shared" si="4"/>
        <v>194</v>
      </c>
      <c r="R30" s="184">
        <f t="shared" si="5"/>
        <v>0.17352415026833631</v>
      </c>
      <c r="S30" s="182">
        <f t="shared" si="6"/>
        <v>924</v>
      </c>
      <c r="T30" s="184">
        <f t="shared" si="7"/>
        <v>0.82647584973166366</v>
      </c>
      <c r="U30" s="216"/>
    </row>
    <row r="31" spans="3:37" x14ac:dyDescent="0.25">
      <c r="C31" s="215" t="b">
        <v>1</v>
      </c>
      <c r="D31" s="183">
        <f>D30+8</f>
        <v>45658</v>
      </c>
      <c r="E31" s="183">
        <f>E30+7</f>
        <v>45664</v>
      </c>
      <c r="F31" s="182">
        <v>27</v>
      </c>
      <c r="G31" s="188">
        <f>(E31-D31+1)*$AH$5/$AH$9</f>
        <v>0</v>
      </c>
      <c r="H31" s="188">
        <f t="shared" ref="H31" si="28">G31+H30</f>
        <v>0</v>
      </c>
      <c r="I31" s="188">
        <f>(E31-D31+1)*$AH$7/$AH$9</f>
        <v>0</v>
      </c>
      <c r="J31" s="188">
        <f t="shared" ref="J31" si="29">I31+J30</f>
        <v>0.1717601749843308</v>
      </c>
      <c r="K31" s="188">
        <f t="shared" si="13"/>
        <v>0</v>
      </c>
      <c r="L31" s="231">
        <f t="shared" si="0"/>
        <v>0.1717601749843308</v>
      </c>
      <c r="M31" s="232">
        <f t="shared" si="15"/>
        <v>174</v>
      </c>
      <c r="N31" s="184">
        <f t="shared" si="1"/>
        <v>0.15992647058823528</v>
      </c>
      <c r="O31" s="182">
        <f t="shared" si="2"/>
        <v>914</v>
      </c>
      <c r="P31" s="184">
        <f t="shared" si="3"/>
        <v>0.84007352941176472</v>
      </c>
      <c r="Q31" s="182">
        <f t="shared" si="4"/>
        <v>201</v>
      </c>
      <c r="R31" s="184">
        <f t="shared" si="5"/>
        <v>0.17978533094812166</v>
      </c>
      <c r="S31" s="182">
        <f t="shared" si="6"/>
        <v>917</v>
      </c>
      <c r="T31" s="184">
        <f t="shared" si="7"/>
        <v>0.82021466905187834</v>
      </c>
      <c r="U31" s="216"/>
    </row>
    <row r="32" spans="3:37" x14ac:dyDescent="0.25">
      <c r="C32" s="215" t="b">
        <v>1</v>
      </c>
      <c r="D32" s="183">
        <f t="shared" si="8"/>
        <v>45665</v>
      </c>
      <c r="E32" s="183">
        <f>E31+8</f>
        <v>45672</v>
      </c>
      <c r="F32" s="182">
        <v>28</v>
      </c>
      <c r="G32" s="188">
        <f t="shared" ref="G32:G34" si="30">(E32-D32+1)*$AH$5/$AH$9</f>
        <v>0</v>
      </c>
      <c r="H32" s="188">
        <f t="shared" ref="H32:H34" si="31">G32+H31</f>
        <v>0</v>
      </c>
      <c r="I32" s="188">
        <f t="shared" ref="I32:I34" si="32">(E32-D32+1)*$AH$7/$AH$9</f>
        <v>0</v>
      </c>
      <c r="J32" s="188">
        <f t="shared" ref="J32:J34" si="33">I32+J31</f>
        <v>0.1717601749843308</v>
      </c>
      <c r="K32" s="188">
        <f t="shared" si="13"/>
        <v>0</v>
      </c>
      <c r="L32" s="231">
        <f t="shared" si="0"/>
        <v>0.1717601749843308</v>
      </c>
      <c r="M32" s="232">
        <f t="shared" si="15"/>
        <v>182</v>
      </c>
      <c r="N32" s="184">
        <f t="shared" si="1"/>
        <v>0.16727941176470587</v>
      </c>
      <c r="O32" s="182">
        <f t="shared" si="2"/>
        <v>906</v>
      </c>
      <c r="P32" s="184">
        <f t="shared" si="3"/>
        <v>0.83272058823529416</v>
      </c>
      <c r="Q32" s="182">
        <f t="shared" si="4"/>
        <v>209</v>
      </c>
      <c r="R32" s="184">
        <f t="shared" si="5"/>
        <v>0.18694096601073346</v>
      </c>
      <c r="S32" s="182">
        <f t="shared" si="6"/>
        <v>909</v>
      </c>
      <c r="T32" s="184">
        <f t="shared" si="7"/>
        <v>0.8130590339892666</v>
      </c>
      <c r="U32" s="216"/>
    </row>
    <row r="33" spans="3:21" x14ac:dyDescent="0.25">
      <c r="C33" s="215" t="b">
        <v>1</v>
      </c>
      <c r="D33" s="183">
        <f>D32+8</f>
        <v>45673</v>
      </c>
      <c r="E33" s="183">
        <f>E32+8</f>
        <v>45680</v>
      </c>
      <c r="F33" s="182">
        <v>29</v>
      </c>
      <c r="G33" s="188">
        <f t="shared" si="30"/>
        <v>0</v>
      </c>
      <c r="H33" s="188">
        <f t="shared" si="31"/>
        <v>0</v>
      </c>
      <c r="I33" s="188">
        <f t="shared" si="32"/>
        <v>0</v>
      </c>
      <c r="J33" s="188">
        <f t="shared" si="33"/>
        <v>0.1717601749843308</v>
      </c>
      <c r="K33" s="188">
        <f t="shared" si="13"/>
        <v>0</v>
      </c>
      <c r="L33" s="231">
        <f t="shared" si="0"/>
        <v>0.1717601749843308</v>
      </c>
      <c r="M33" s="232">
        <f t="shared" si="15"/>
        <v>190</v>
      </c>
      <c r="N33" s="184">
        <f t="shared" si="1"/>
        <v>0.17463235294117646</v>
      </c>
      <c r="O33" s="182">
        <f t="shared" si="2"/>
        <v>898</v>
      </c>
      <c r="P33" s="184">
        <f t="shared" si="3"/>
        <v>0.82536764705882348</v>
      </c>
      <c r="Q33" s="182">
        <f t="shared" si="4"/>
        <v>217</v>
      </c>
      <c r="R33" s="184">
        <f t="shared" si="5"/>
        <v>0.19409660107334525</v>
      </c>
      <c r="S33" s="182">
        <f t="shared" si="6"/>
        <v>901</v>
      </c>
      <c r="T33" s="184">
        <f t="shared" si="7"/>
        <v>0.80590339892665475</v>
      </c>
      <c r="U33" s="216"/>
    </row>
    <row r="34" spans="3:21" x14ac:dyDescent="0.25">
      <c r="C34" s="215" t="b">
        <v>1</v>
      </c>
      <c r="D34" s="183">
        <f>D33+8</f>
        <v>45681</v>
      </c>
      <c r="E34" s="183">
        <f>E33+8</f>
        <v>45688</v>
      </c>
      <c r="F34" s="182">
        <v>30</v>
      </c>
      <c r="G34" s="188">
        <f t="shared" si="30"/>
        <v>0</v>
      </c>
      <c r="H34" s="188">
        <f t="shared" si="31"/>
        <v>0</v>
      </c>
      <c r="I34" s="188">
        <f t="shared" si="32"/>
        <v>0</v>
      </c>
      <c r="J34" s="188">
        <f t="shared" si="33"/>
        <v>0.1717601749843308</v>
      </c>
      <c r="K34" s="188">
        <f t="shared" si="13"/>
        <v>0</v>
      </c>
      <c r="L34" s="231">
        <f t="shared" si="0"/>
        <v>0.1717601749843308</v>
      </c>
      <c r="M34" s="232">
        <f t="shared" si="15"/>
        <v>198</v>
      </c>
      <c r="N34" s="184">
        <f t="shared" si="1"/>
        <v>0.18198529411764705</v>
      </c>
      <c r="O34" s="182">
        <f t="shared" si="2"/>
        <v>890</v>
      </c>
      <c r="P34" s="184">
        <f t="shared" si="3"/>
        <v>0.81801470588235292</v>
      </c>
      <c r="Q34" s="182">
        <f t="shared" si="4"/>
        <v>225</v>
      </c>
      <c r="R34" s="184">
        <f t="shared" si="5"/>
        <v>0.20125223613595708</v>
      </c>
      <c r="S34" s="182">
        <f t="shared" si="6"/>
        <v>893</v>
      </c>
      <c r="T34" s="184">
        <f t="shared" si="7"/>
        <v>0.79874776386404289</v>
      </c>
      <c r="U34" s="216"/>
    </row>
    <row r="35" spans="3:21" x14ac:dyDescent="0.25">
      <c r="C35" s="215" t="b">
        <v>1</v>
      </c>
      <c r="D35" s="183">
        <f>D34+8</f>
        <v>45689</v>
      </c>
      <c r="E35" s="183">
        <f t="shared" si="9"/>
        <v>45695</v>
      </c>
      <c r="F35" s="182">
        <v>31</v>
      </c>
      <c r="G35" s="188">
        <f>(E35-D35+1)*$AI$5/$AI$9</f>
        <v>0</v>
      </c>
      <c r="H35" s="188">
        <f t="shared" ref="H35" si="34">G35+H34</f>
        <v>0</v>
      </c>
      <c r="I35" s="188">
        <f>(E35-D35+1)*$AI$7/$AI$9</f>
        <v>0</v>
      </c>
      <c r="J35" s="188">
        <f t="shared" ref="J35" si="35">I35+J34</f>
        <v>0.1717601749843308</v>
      </c>
      <c r="K35" s="188">
        <f t="shared" si="13"/>
        <v>0</v>
      </c>
      <c r="L35" s="231">
        <f t="shared" si="0"/>
        <v>0.1717601749843308</v>
      </c>
      <c r="M35" s="232">
        <f t="shared" si="15"/>
        <v>205</v>
      </c>
      <c r="N35" s="184">
        <f t="shared" si="1"/>
        <v>0.18841911764705882</v>
      </c>
      <c r="O35" s="182">
        <f t="shared" si="2"/>
        <v>883</v>
      </c>
      <c r="P35" s="184">
        <f t="shared" si="3"/>
        <v>0.81158088235294112</v>
      </c>
      <c r="Q35" s="182">
        <f t="shared" si="4"/>
        <v>232</v>
      </c>
      <c r="R35" s="184">
        <f t="shared" si="5"/>
        <v>0.2075134168157424</v>
      </c>
      <c r="S35" s="182">
        <f t="shared" si="6"/>
        <v>886</v>
      </c>
      <c r="T35" s="184">
        <f t="shared" si="7"/>
        <v>0.79248658318425758</v>
      </c>
      <c r="U35" s="216"/>
    </row>
    <row r="36" spans="3:21" x14ac:dyDescent="0.25">
      <c r="C36" s="215" t="b">
        <v>1</v>
      </c>
      <c r="D36" s="183">
        <f t="shared" si="8"/>
        <v>45696</v>
      </c>
      <c r="E36" s="183">
        <f>E35+8</f>
        <v>45703</v>
      </c>
      <c r="F36" s="182">
        <v>32</v>
      </c>
      <c r="G36" s="188">
        <f t="shared" ref="G36:G38" si="36">(E36-D36+1)*$AI$5/$AI$9</f>
        <v>0</v>
      </c>
      <c r="H36" s="188">
        <f t="shared" ref="H36:H38" si="37">G36+H35</f>
        <v>0</v>
      </c>
      <c r="I36" s="188">
        <f t="shared" ref="I36:I38" si="38">(E36-D36+1)*$AI$7/$AI$9</f>
        <v>0</v>
      </c>
      <c r="J36" s="188">
        <f t="shared" ref="J36:J38" si="39">I36+J35</f>
        <v>0.1717601749843308</v>
      </c>
      <c r="K36" s="188">
        <f t="shared" si="13"/>
        <v>0</v>
      </c>
      <c r="L36" s="231">
        <f t="shared" si="0"/>
        <v>0.1717601749843308</v>
      </c>
      <c r="M36" s="232">
        <f t="shared" si="15"/>
        <v>213</v>
      </c>
      <c r="N36" s="184">
        <f t="shared" si="1"/>
        <v>0.19577205882352941</v>
      </c>
      <c r="O36" s="182">
        <f t="shared" si="2"/>
        <v>875</v>
      </c>
      <c r="P36" s="184">
        <f t="shared" si="3"/>
        <v>0.80422794117647056</v>
      </c>
      <c r="Q36" s="182">
        <f t="shared" si="4"/>
        <v>240</v>
      </c>
      <c r="R36" s="184">
        <f t="shared" si="5"/>
        <v>0.21466905187835419</v>
      </c>
      <c r="S36" s="182">
        <f t="shared" si="6"/>
        <v>878</v>
      </c>
      <c r="T36" s="184">
        <f t="shared" si="7"/>
        <v>0.78533094812164583</v>
      </c>
      <c r="U36" s="216"/>
    </row>
    <row r="37" spans="3:21" x14ac:dyDescent="0.25">
      <c r="C37" s="215" t="b">
        <v>1</v>
      </c>
      <c r="D37" s="183">
        <f>D36+8</f>
        <v>45704</v>
      </c>
      <c r="E37" s="183">
        <f>E36+8</f>
        <v>45711</v>
      </c>
      <c r="F37" s="182">
        <v>33</v>
      </c>
      <c r="G37" s="188">
        <f t="shared" si="36"/>
        <v>0</v>
      </c>
      <c r="H37" s="188">
        <f t="shared" si="37"/>
        <v>0</v>
      </c>
      <c r="I37" s="188">
        <f t="shared" si="38"/>
        <v>0</v>
      </c>
      <c r="J37" s="188">
        <f t="shared" si="39"/>
        <v>0.1717601749843308</v>
      </c>
      <c r="K37" s="188">
        <f t="shared" si="13"/>
        <v>0</v>
      </c>
      <c r="L37" s="231">
        <f t="shared" si="0"/>
        <v>0.1717601749843308</v>
      </c>
      <c r="M37" s="232">
        <f t="shared" si="15"/>
        <v>221</v>
      </c>
      <c r="N37" s="184">
        <f t="shared" si="1"/>
        <v>0.203125</v>
      </c>
      <c r="O37" s="182">
        <f t="shared" si="2"/>
        <v>867</v>
      </c>
      <c r="P37" s="184">
        <f t="shared" si="3"/>
        <v>0.796875</v>
      </c>
      <c r="Q37" s="182">
        <f t="shared" si="4"/>
        <v>248</v>
      </c>
      <c r="R37" s="184">
        <f t="shared" si="5"/>
        <v>0.22182468694096602</v>
      </c>
      <c r="S37" s="182">
        <f t="shared" si="6"/>
        <v>870</v>
      </c>
      <c r="T37" s="184">
        <f t="shared" si="7"/>
        <v>0.77817531305903398</v>
      </c>
      <c r="U37" s="216"/>
    </row>
    <row r="38" spans="3:21" x14ac:dyDescent="0.25">
      <c r="C38" s="215" t="b">
        <v>1</v>
      </c>
      <c r="D38" s="183">
        <f>D37+8</f>
        <v>45712</v>
      </c>
      <c r="E38" s="183">
        <f>E37+5</f>
        <v>45716</v>
      </c>
      <c r="F38" s="182">
        <v>34</v>
      </c>
      <c r="G38" s="188">
        <f t="shared" si="36"/>
        <v>0</v>
      </c>
      <c r="H38" s="188">
        <f t="shared" si="37"/>
        <v>0</v>
      </c>
      <c r="I38" s="188">
        <f t="shared" si="38"/>
        <v>0</v>
      </c>
      <c r="J38" s="188">
        <f t="shared" si="39"/>
        <v>0.1717601749843308</v>
      </c>
      <c r="K38" s="188">
        <f t="shared" si="13"/>
        <v>0</v>
      </c>
      <c r="L38" s="231">
        <f t="shared" si="0"/>
        <v>0.1717601749843308</v>
      </c>
      <c r="M38" s="232">
        <f t="shared" si="15"/>
        <v>226</v>
      </c>
      <c r="N38" s="184">
        <f t="shared" si="1"/>
        <v>0.20772058823529413</v>
      </c>
      <c r="O38" s="182">
        <f t="shared" si="2"/>
        <v>862</v>
      </c>
      <c r="P38" s="184">
        <f t="shared" si="3"/>
        <v>0.79227941176470584</v>
      </c>
      <c r="Q38" s="182">
        <f t="shared" si="4"/>
        <v>253</v>
      </c>
      <c r="R38" s="184">
        <f t="shared" si="5"/>
        <v>0.2262969588550984</v>
      </c>
      <c r="S38" s="182">
        <f t="shared" si="6"/>
        <v>865</v>
      </c>
      <c r="T38" s="184">
        <f t="shared" si="7"/>
        <v>0.77370304114490163</v>
      </c>
      <c r="U38" s="216"/>
    </row>
    <row r="39" spans="3:21" x14ac:dyDescent="0.25">
      <c r="C39" s="215" t="b">
        <v>1</v>
      </c>
      <c r="D39" s="183">
        <f>D38+5</f>
        <v>45717</v>
      </c>
      <c r="E39" s="183">
        <f>E38+7</f>
        <v>45723</v>
      </c>
      <c r="F39" s="182">
        <v>35</v>
      </c>
      <c r="G39" s="188">
        <f>(E39-D39+1)*$AJ$5/$AJ$9</f>
        <v>0</v>
      </c>
      <c r="H39" s="188">
        <f t="shared" ref="H39" si="40">G39+H38</f>
        <v>0</v>
      </c>
      <c r="I39" s="188">
        <f>(E39-D39+1)*$AJ$7/$AJ$9</f>
        <v>0</v>
      </c>
      <c r="J39" s="188">
        <f t="shared" ref="J39" si="41">I39+J38</f>
        <v>0.1717601749843308</v>
      </c>
      <c r="K39" s="188">
        <f t="shared" si="13"/>
        <v>0</v>
      </c>
      <c r="L39" s="231">
        <f t="shared" si="0"/>
        <v>0.1717601749843308</v>
      </c>
      <c r="M39" s="232">
        <f t="shared" si="15"/>
        <v>233</v>
      </c>
      <c r="N39" s="184">
        <f t="shared" si="1"/>
        <v>0.21415441176470587</v>
      </c>
      <c r="O39" s="182">
        <f t="shared" si="2"/>
        <v>855</v>
      </c>
      <c r="P39" s="184">
        <f t="shared" si="3"/>
        <v>0.78584558823529416</v>
      </c>
      <c r="Q39" s="182">
        <f t="shared" si="4"/>
        <v>260</v>
      </c>
      <c r="R39" s="184">
        <f t="shared" si="5"/>
        <v>0.23255813953488372</v>
      </c>
      <c r="S39" s="182">
        <f t="shared" si="6"/>
        <v>858</v>
      </c>
      <c r="T39" s="184">
        <f t="shared" si="7"/>
        <v>0.76744186046511631</v>
      </c>
      <c r="U39" s="216"/>
    </row>
    <row r="40" spans="3:21" x14ac:dyDescent="0.25">
      <c r="C40" s="215" t="b">
        <v>1</v>
      </c>
      <c r="D40" s="183">
        <f t="shared" si="8"/>
        <v>45724</v>
      </c>
      <c r="E40" s="183">
        <f>E39+8</f>
        <v>45731</v>
      </c>
      <c r="F40" s="182">
        <v>36</v>
      </c>
      <c r="G40" s="188">
        <f t="shared" ref="G40:G42" si="42">(E40-D40+1)*$AJ$5/$AJ$9</f>
        <v>0</v>
      </c>
      <c r="H40" s="188">
        <f t="shared" ref="H40:H42" si="43">G40+H39</f>
        <v>0</v>
      </c>
      <c r="I40" s="188">
        <f t="shared" ref="I40:I42" si="44">(E40-D40+1)*$AJ$7/$AJ$9</f>
        <v>0</v>
      </c>
      <c r="J40" s="188">
        <f t="shared" ref="J40:J42" si="45">I40+J39</f>
        <v>0.1717601749843308</v>
      </c>
      <c r="K40" s="188">
        <f t="shared" si="13"/>
        <v>0</v>
      </c>
      <c r="L40" s="231">
        <f t="shared" si="0"/>
        <v>0.1717601749843308</v>
      </c>
      <c r="M40" s="232">
        <f t="shared" si="15"/>
        <v>241</v>
      </c>
      <c r="N40" s="184">
        <f t="shared" si="1"/>
        <v>0.22150735294117646</v>
      </c>
      <c r="O40" s="182">
        <f t="shared" si="2"/>
        <v>847</v>
      </c>
      <c r="P40" s="184">
        <f t="shared" si="3"/>
        <v>0.77849264705882348</v>
      </c>
      <c r="Q40" s="182">
        <f t="shared" si="4"/>
        <v>268</v>
      </c>
      <c r="R40" s="184">
        <f t="shared" si="5"/>
        <v>0.23971377459749552</v>
      </c>
      <c r="S40" s="182">
        <f t="shared" si="6"/>
        <v>850</v>
      </c>
      <c r="T40" s="184">
        <f t="shared" si="7"/>
        <v>0.76028622540250446</v>
      </c>
      <c r="U40" s="216"/>
    </row>
    <row r="41" spans="3:21" x14ac:dyDescent="0.25">
      <c r="C41" s="215" t="b">
        <v>1</v>
      </c>
      <c r="D41" s="183">
        <f>D40+8</f>
        <v>45732</v>
      </c>
      <c r="E41" s="183">
        <f>E40+8</f>
        <v>45739</v>
      </c>
      <c r="F41" s="182">
        <v>37</v>
      </c>
      <c r="G41" s="188">
        <f t="shared" si="42"/>
        <v>0</v>
      </c>
      <c r="H41" s="188">
        <f t="shared" si="43"/>
        <v>0</v>
      </c>
      <c r="I41" s="188">
        <f t="shared" si="44"/>
        <v>0</v>
      </c>
      <c r="J41" s="188">
        <f t="shared" si="45"/>
        <v>0.1717601749843308</v>
      </c>
      <c r="K41" s="188">
        <f t="shared" si="13"/>
        <v>0</v>
      </c>
      <c r="L41" s="231">
        <f t="shared" si="0"/>
        <v>0.1717601749843308</v>
      </c>
      <c r="M41" s="232">
        <f t="shared" si="15"/>
        <v>249</v>
      </c>
      <c r="N41" s="184">
        <f t="shared" si="1"/>
        <v>0.22886029411764705</v>
      </c>
      <c r="O41" s="182">
        <f t="shared" si="2"/>
        <v>839</v>
      </c>
      <c r="P41" s="184">
        <f t="shared" si="3"/>
        <v>0.77113970588235292</v>
      </c>
      <c r="Q41" s="182">
        <f t="shared" si="4"/>
        <v>276</v>
      </c>
      <c r="R41" s="184">
        <f t="shared" si="5"/>
        <v>0.24686940966010734</v>
      </c>
      <c r="S41" s="182">
        <f t="shared" si="6"/>
        <v>842</v>
      </c>
      <c r="T41" s="184">
        <f t="shared" si="7"/>
        <v>0.75313059033989271</v>
      </c>
      <c r="U41" s="216"/>
    </row>
    <row r="42" spans="3:21" x14ac:dyDescent="0.25">
      <c r="C42" s="215" t="b">
        <v>1</v>
      </c>
      <c r="D42" s="183">
        <f>D41+8</f>
        <v>45740</v>
      </c>
      <c r="E42" s="183">
        <f>E41+8</f>
        <v>45747</v>
      </c>
      <c r="F42" s="182">
        <v>38</v>
      </c>
      <c r="G42" s="188">
        <f t="shared" si="42"/>
        <v>0</v>
      </c>
      <c r="H42" s="188">
        <f t="shared" si="43"/>
        <v>0</v>
      </c>
      <c r="I42" s="188">
        <f t="shared" si="44"/>
        <v>0</v>
      </c>
      <c r="J42" s="188">
        <f t="shared" si="45"/>
        <v>0.1717601749843308</v>
      </c>
      <c r="K42" s="188">
        <f t="shared" si="13"/>
        <v>0</v>
      </c>
      <c r="L42" s="231">
        <f t="shared" si="0"/>
        <v>0.1717601749843308</v>
      </c>
      <c r="M42" s="232">
        <f t="shared" si="15"/>
        <v>257</v>
      </c>
      <c r="N42" s="184">
        <f t="shared" si="1"/>
        <v>0.23621323529411764</v>
      </c>
      <c r="O42" s="182">
        <f t="shared" si="2"/>
        <v>831</v>
      </c>
      <c r="P42" s="184">
        <f t="shared" si="3"/>
        <v>0.76378676470588236</v>
      </c>
      <c r="Q42" s="182">
        <f t="shared" si="4"/>
        <v>284</v>
      </c>
      <c r="R42" s="184">
        <f t="shared" si="5"/>
        <v>0.25402504472271914</v>
      </c>
      <c r="S42" s="182">
        <f t="shared" si="6"/>
        <v>834</v>
      </c>
      <c r="T42" s="184">
        <f t="shared" si="7"/>
        <v>0.74597495527728086</v>
      </c>
      <c r="U42" s="216"/>
    </row>
    <row r="43" spans="3:21" x14ac:dyDescent="0.25">
      <c r="C43" s="215" t="b">
        <v>1</v>
      </c>
      <c r="D43" s="183">
        <f>D42+8</f>
        <v>45748</v>
      </c>
      <c r="E43" s="183">
        <f t="shared" si="9"/>
        <v>45754</v>
      </c>
      <c r="F43" s="182">
        <v>39</v>
      </c>
      <c r="G43" s="188">
        <f>(E43-D43+1)*$AK$5/$AK$9</f>
        <v>0</v>
      </c>
      <c r="H43" s="188">
        <f t="shared" ref="H43" si="46">G43+H42</f>
        <v>0</v>
      </c>
      <c r="I43" s="188">
        <f>(E43-D43+1)*$AK$7/$AK$9</f>
        <v>0</v>
      </c>
      <c r="J43" s="188">
        <f t="shared" ref="J43" si="47">I43+J42</f>
        <v>0.1717601749843308</v>
      </c>
      <c r="K43" s="188">
        <f t="shared" si="13"/>
        <v>0</v>
      </c>
      <c r="L43" s="231">
        <f t="shared" si="0"/>
        <v>0.1717601749843308</v>
      </c>
      <c r="M43" s="232">
        <f t="shared" si="15"/>
        <v>264</v>
      </c>
      <c r="N43" s="184">
        <f t="shared" si="1"/>
        <v>0.24264705882352941</v>
      </c>
      <c r="O43" s="182">
        <f t="shared" si="2"/>
        <v>824</v>
      </c>
      <c r="P43" s="184">
        <f t="shared" si="3"/>
        <v>0.75735294117647056</v>
      </c>
      <c r="Q43" s="182">
        <f t="shared" si="4"/>
        <v>291</v>
      </c>
      <c r="R43" s="184">
        <f t="shared" si="5"/>
        <v>0.26028622540250446</v>
      </c>
      <c r="S43" s="182">
        <f t="shared" si="6"/>
        <v>827</v>
      </c>
      <c r="T43" s="184">
        <f t="shared" si="7"/>
        <v>0.73971377459749554</v>
      </c>
      <c r="U43" s="216"/>
    </row>
    <row r="44" spans="3:21" x14ac:dyDescent="0.25">
      <c r="C44" s="215" t="b">
        <v>1</v>
      </c>
      <c r="D44" s="183">
        <f t="shared" si="8"/>
        <v>45755</v>
      </c>
      <c r="E44" s="183">
        <f>E43+8</f>
        <v>45762</v>
      </c>
      <c r="F44" s="182">
        <v>40</v>
      </c>
      <c r="G44" s="188">
        <f t="shared" ref="G44:G46" si="48">(E44-D44+1)*$AK$5/$AK$9</f>
        <v>0</v>
      </c>
      <c r="H44" s="188">
        <f t="shared" ref="H44:H78" si="49">G44+H43</f>
        <v>0</v>
      </c>
      <c r="I44" s="188">
        <f t="shared" ref="I44:I46" si="50">(E44-D44+1)*$AK$7/$AK$9</f>
        <v>0</v>
      </c>
      <c r="J44" s="188">
        <f t="shared" ref="J44:J78" si="51">I44+J43</f>
        <v>0.1717601749843308</v>
      </c>
      <c r="K44" s="188">
        <f t="shared" si="13"/>
        <v>0</v>
      </c>
      <c r="L44" s="231">
        <f t="shared" si="0"/>
        <v>0.1717601749843308</v>
      </c>
      <c r="M44" s="232">
        <f t="shared" si="15"/>
        <v>272</v>
      </c>
      <c r="N44" s="184">
        <f t="shared" si="1"/>
        <v>0.25</v>
      </c>
      <c r="O44" s="182">
        <f t="shared" si="2"/>
        <v>816</v>
      </c>
      <c r="P44" s="184">
        <f t="shared" si="3"/>
        <v>0.75</v>
      </c>
      <c r="Q44" s="182">
        <f t="shared" si="4"/>
        <v>299</v>
      </c>
      <c r="R44" s="184">
        <f t="shared" si="5"/>
        <v>0.26744186046511625</v>
      </c>
      <c r="S44" s="182">
        <f t="shared" si="6"/>
        <v>819</v>
      </c>
      <c r="T44" s="184">
        <f t="shared" si="7"/>
        <v>0.73255813953488369</v>
      </c>
      <c r="U44" s="216"/>
    </row>
    <row r="45" spans="3:21" x14ac:dyDescent="0.25">
      <c r="C45" s="215" t="b">
        <v>1</v>
      </c>
      <c r="D45" s="183">
        <f>D44+8</f>
        <v>45763</v>
      </c>
      <c r="E45" s="183">
        <f>E44+8</f>
        <v>45770</v>
      </c>
      <c r="F45" s="182">
        <v>41</v>
      </c>
      <c r="G45" s="188">
        <f t="shared" si="48"/>
        <v>0</v>
      </c>
      <c r="H45" s="188">
        <f t="shared" si="49"/>
        <v>0</v>
      </c>
      <c r="I45" s="188">
        <f t="shared" si="50"/>
        <v>0</v>
      </c>
      <c r="J45" s="188">
        <f t="shared" si="51"/>
        <v>0.1717601749843308</v>
      </c>
      <c r="K45" s="188">
        <f t="shared" si="13"/>
        <v>0</v>
      </c>
      <c r="L45" s="231">
        <f t="shared" si="0"/>
        <v>0.1717601749843308</v>
      </c>
      <c r="M45" s="232">
        <f t="shared" si="15"/>
        <v>280</v>
      </c>
      <c r="N45" s="184">
        <f t="shared" si="1"/>
        <v>0.25735294117647056</v>
      </c>
      <c r="O45" s="182">
        <f t="shared" si="2"/>
        <v>808</v>
      </c>
      <c r="P45" s="184">
        <f t="shared" si="3"/>
        <v>0.74264705882352944</v>
      </c>
      <c r="Q45" s="182">
        <f t="shared" si="4"/>
        <v>307</v>
      </c>
      <c r="R45" s="184">
        <f t="shared" si="5"/>
        <v>0.27459749552772811</v>
      </c>
      <c r="S45" s="182">
        <f t="shared" si="6"/>
        <v>811</v>
      </c>
      <c r="T45" s="184">
        <f t="shared" si="7"/>
        <v>0.72540250447227195</v>
      </c>
      <c r="U45" s="216"/>
    </row>
    <row r="46" spans="3:21" x14ac:dyDescent="0.25">
      <c r="C46" s="215" t="b">
        <v>1</v>
      </c>
      <c r="D46" s="183">
        <f>D45+8</f>
        <v>45771</v>
      </c>
      <c r="E46" s="183">
        <f t="shared" ref="E46:E59" si="52">E45+7</f>
        <v>45777</v>
      </c>
      <c r="F46" s="182">
        <v>42</v>
      </c>
      <c r="G46" s="188">
        <f t="shared" si="48"/>
        <v>0</v>
      </c>
      <c r="H46" s="188">
        <f t="shared" si="49"/>
        <v>0</v>
      </c>
      <c r="I46" s="188">
        <f t="shared" si="50"/>
        <v>0</v>
      </c>
      <c r="J46" s="188">
        <f t="shared" si="51"/>
        <v>0.1717601749843308</v>
      </c>
      <c r="K46" s="188">
        <f t="shared" si="13"/>
        <v>0</v>
      </c>
      <c r="L46" s="231">
        <f t="shared" si="0"/>
        <v>0.1717601749843308</v>
      </c>
      <c r="M46" s="232">
        <f t="shared" si="15"/>
        <v>287</v>
      </c>
      <c r="N46" s="184">
        <f t="shared" si="1"/>
        <v>0.26378676470588236</v>
      </c>
      <c r="O46" s="182">
        <f t="shared" si="2"/>
        <v>801</v>
      </c>
      <c r="P46" s="184">
        <f t="shared" si="3"/>
        <v>0.73621323529411764</v>
      </c>
      <c r="Q46" s="182">
        <f t="shared" si="4"/>
        <v>314</v>
      </c>
      <c r="R46" s="184">
        <f t="shared" si="5"/>
        <v>0.28085867620751342</v>
      </c>
      <c r="S46" s="182">
        <f t="shared" si="6"/>
        <v>804</v>
      </c>
      <c r="T46" s="184">
        <f t="shared" si="7"/>
        <v>0.71914132379248663</v>
      </c>
      <c r="U46" s="216"/>
    </row>
    <row r="47" spans="3:21" x14ac:dyDescent="0.25">
      <c r="C47" s="215" t="b">
        <v>1</v>
      </c>
      <c r="D47" s="183">
        <f t="shared" ref="D47:D54" si="53">D46+7</f>
        <v>45778</v>
      </c>
      <c r="E47" s="183">
        <f t="shared" si="52"/>
        <v>45784</v>
      </c>
      <c r="F47" s="182">
        <v>43</v>
      </c>
      <c r="G47" s="188">
        <f>(E47-D47+1)*$AL$5/$AL$9</f>
        <v>0</v>
      </c>
      <c r="H47" s="188">
        <f t="shared" si="49"/>
        <v>0</v>
      </c>
      <c r="I47" s="188">
        <f>(E47-D47+1)*$AL$7/$AL$9</f>
        <v>0</v>
      </c>
      <c r="J47" s="188">
        <f t="shared" si="51"/>
        <v>0.1717601749843308</v>
      </c>
      <c r="K47" s="188">
        <f t="shared" si="13"/>
        <v>0</v>
      </c>
      <c r="L47" s="231">
        <f t="shared" si="0"/>
        <v>0.1717601749843308</v>
      </c>
      <c r="M47" s="232">
        <f t="shared" si="15"/>
        <v>294</v>
      </c>
      <c r="N47" s="184">
        <f t="shared" si="1"/>
        <v>0.2702205882352941</v>
      </c>
      <c r="O47" s="182">
        <f t="shared" si="2"/>
        <v>794</v>
      </c>
      <c r="P47" s="184">
        <f t="shared" si="3"/>
        <v>0.72977941176470584</v>
      </c>
      <c r="Q47" s="182">
        <f t="shared" si="4"/>
        <v>321</v>
      </c>
      <c r="R47" s="184">
        <f t="shared" si="5"/>
        <v>0.28711985688729874</v>
      </c>
      <c r="S47" s="182">
        <f t="shared" si="6"/>
        <v>797</v>
      </c>
      <c r="T47" s="184">
        <f t="shared" si="7"/>
        <v>0.7128801431127012</v>
      </c>
      <c r="U47" s="216"/>
    </row>
    <row r="48" spans="3:21" x14ac:dyDescent="0.25">
      <c r="C48" s="215" t="b">
        <v>1</v>
      </c>
      <c r="D48" s="183">
        <f t="shared" si="53"/>
        <v>45785</v>
      </c>
      <c r="E48" s="183">
        <f>E47+8</f>
        <v>45792</v>
      </c>
      <c r="F48" s="182">
        <v>44</v>
      </c>
      <c r="G48" s="188">
        <f>(E48-D48+1)*$AL$5/$AL$9</f>
        <v>0</v>
      </c>
      <c r="H48" s="188">
        <f t="shared" si="49"/>
        <v>0</v>
      </c>
      <c r="I48" s="188">
        <f t="shared" ref="I48:I50" si="54">(E48-D48+1)*$AL$7/$AL$9</f>
        <v>0</v>
      </c>
      <c r="J48" s="188">
        <f t="shared" si="51"/>
        <v>0.1717601749843308</v>
      </c>
      <c r="K48" s="188">
        <f t="shared" si="13"/>
        <v>0</v>
      </c>
      <c r="L48" s="231">
        <f t="shared" si="0"/>
        <v>0.1717601749843308</v>
      </c>
      <c r="M48" s="232">
        <f t="shared" si="15"/>
        <v>302</v>
      </c>
      <c r="N48" s="184">
        <f t="shared" si="1"/>
        <v>0.27757352941176472</v>
      </c>
      <c r="O48" s="182">
        <f t="shared" si="2"/>
        <v>786</v>
      </c>
      <c r="P48" s="184">
        <f t="shared" si="3"/>
        <v>0.72242647058823528</v>
      </c>
      <c r="Q48" s="182">
        <f t="shared" si="4"/>
        <v>329</v>
      </c>
      <c r="R48" s="184">
        <f t="shared" si="5"/>
        <v>0.29427549194991054</v>
      </c>
      <c r="S48" s="182">
        <f t="shared" si="6"/>
        <v>789</v>
      </c>
      <c r="T48" s="184">
        <f t="shared" si="7"/>
        <v>0.70572450805008946</v>
      </c>
      <c r="U48" s="216"/>
    </row>
    <row r="49" spans="3:21" x14ac:dyDescent="0.25">
      <c r="C49" s="215" t="b">
        <v>1</v>
      </c>
      <c r="D49" s="183">
        <f>D48+8</f>
        <v>45793</v>
      </c>
      <c r="E49" s="183">
        <f>E48+8</f>
        <v>45800</v>
      </c>
      <c r="F49" s="182">
        <v>45</v>
      </c>
      <c r="G49" s="188">
        <f t="shared" ref="G49:G50" si="55">(E49-D49+1)*$AL$5/$AL$9</f>
        <v>0</v>
      </c>
      <c r="H49" s="188">
        <f t="shared" si="49"/>
        <v>0</v>
      </c>
      <c r="I49" s="188">
        <f t="shared" si="54"/>
        <v>0</v>
      </c>
      <c r="J49" s="188">
        <f t="shared" si="51"/>
        <v>0.1717601749843308</v>
      </c>
      <c r="K49" s="188">
        <f t="shared" si="13"/>
        <v>0</v>
      </c>
      <c r="L49" s="231">
        <f t="shared" si="0"/>
        <v>0.1717601749843308</v>
      </c>
      <c r="M49" s="232">
        <f t="shared" si="15"/>
        <v>310</v>
      </c>
      <c r="N49" s="184">
        <f t="shared" si="1"/>
        <v>0.28492647058823528</v>
      </c>
      <c r="O49" s="182">
        <f t="shared" si="2"/>
        <v>778</v>
      </c>
      <c r="P49" s="184">
        <f t="shared" si="3"/>
        <v>0.71507352941176472</v>
      </c>
      <c r="Q49" s="182">
        <f t="shared" si="4"/>
        <v>337</v>
      </c>
      <c r="R49" s="184">
        <f t="shared" si="5"/>
        <v>0.30143112701252234</v>
      </c>
      <c r="S49" s="182">
        <f t="shared" si="6"/>
        <v>781</v>
      </c>
      <c r="T49" s="184">
        <f t="shared" si="7"/>
        <v>0.69856887298747761</v>
      </c>
      <c r="U49" s="216"/>
    </row>
    <row r="50" spans="3:21" x14ac:dyDescent="0.25">
      <c r="C50" s="215" t="b">
        <v>1</v>
      </c>
      <c r="D50" s="183">
        <f>D49+8</f>
        <v>45801</v>
      </c>
      <c r="E50" s="183">
        <f>E49+8</f>
        <v>45808</v>
      </c>
      <c r="F50" s="182">
        <v>46</v>
      </c>
      <c r="G50" s="188">
        <f t="shared" si="55"/>
        <v>0</v>
      </c>
      <c r="H50" s="188">
        <f t="shared" si="49"/>
        <v>0</v>
      </c>
      <c r="I50" s="188">
        <f t="shared" si="54"/>
        <v>0</v>
      </c>
      <c r="J50" s="188">
        <f t="shared" si="51"/>
        <v>0.1717601749843308</v>
      </c>
      <c r="K50" s="188">
        <f t="shared" si="13"/>
        <v>0</v>
      </c>
      <c r="L50" s="231">
        <f t="shared" si="0"/>
        <v>0.1717601749843308</v>
      </c>
      <c r="M50" s="232">
        <f t="shared" si="15"/>
        <v>318</v>
      </c>
      <c r="N50" s="184">
        <f t="shared" si="1"/>
        <v>0.2922794117647059</v>
      </c>
      <c r="O50" s="182">
        <f t="shared" si="2"/>
        <v>770</v>
      </c>
      <c r="P50" s="184">
        <f t="shared" si="3"/>
        <v>0.70772058823529416</v>
      </c>
      <c r="Q50" s="182">
        <f t="shared" si="4"/>
        <v>345</v>
      </c>
      <c r="R50" s="184">
        <f t="shared" si="5"/>
        <v>0.30858676207513419</v>
      </c>
      <c r="S50" s="182">
        <f t="shared" si="6"/>
        <v>773</v>
      </c>
      <c r="T50" s="184">
        <f t="shared" si="7"/>
        <v>0.69141323792486586</v>
      </c>
      <c r="U50" s="216"/>
    </row>
    <row r="51" spans="3:21" x14ac:dyDescent="0.25">
      <c r="C51" s="215" t="b">
        <v>1</v>
      </c>
      <c r="D51" s="183">
        <f>D50+8</f>
        <v>45809</v>
      </c>
      <c r="E51" s="183">
        <f t="shared" si="52"/>
        <v>45815</v>
      </c>
      <c r="F51" s="182">
        <v>47</v>
      </c>
      <c r="G51" s="188">
        <f>(E51-D51+1)*$AM$5/$AM$9</f>
        <v>0</v>
      </c>
      <c r="H51" s="188">
        <f t="shared" si="49"/>
        <v>0</v>
      </c>
      <c r="I51" s="188">
        <f>(E51-D51+1)*$AM$7/$AM$9</f>
        <v>0</v>
      </c>
      <c r="J51" s="188">
        <f t="shared" si="51"/>
        <v>0.1717601749843308</v>
      </c>
      <c r="K51" s="188">
        <f t="shared" si="13"/>
        <v>0</v>
      </c>
      <c r="L51" s="231">
        <f t="shared" si="0"/>
        <v>0.1717601749843308</v>
      </c>
      <c r="M51" s="232">
        <f t="shared" si="15"/>
        <v>325</v>
      </c>
      <c r="N51" s="184">
        <f t="shared" si="1"/>
        <v>0.29871323529411764</v>
      </c>
      <c r="O51" s="182">
        <f t="shared" si="2"/>
        <v>763</v>
      </c>
      <c r="P51" s="184">
        <f t="shared" si="3"/>
        <v>0.70128676470588236</v>
      </c>
      <c r="Q51" s="182">
        <f t="shared" si="4"/>
        <v>352</v>
      </c>
      <c r="R51" s="184">
        <f t="shared" si="5"/>
        <v>0.31484794275491951</v>
      </c>
      <c r="S51" s="182">
        <f t="shared" si="6"/>
        <v>766</v>
      </c>
      <c r="T51" s="184">
        <f t="shared" si="7"/>
        <v>0.68515205724508055</v>
      </c>
      <c r="U51" s="216"/>
    </row>
    <row r="52" spans="3:21" x14ac:dyDescent="0.25">
      <c r="C52" s="215" t="b">
        <v>1</v>
      </c>
      <c r="D52" s="183">
        <f t="shared" si="53"/>
        <v>45816</v>
      </c>
      <c r="E52" s="183">
        <f>E51+8</f>
        <v>45823</v>
      </c>
      <c r="F52" s="182">
        <v>48</v>
      </c>
      <c r="G52" s="188">
        <f t="shared" ref="G52:G54" si="56">(E52-D52+1)*$AM$5/$AM$9</f>
        <v>0</v>
      </c>
      <c r="H52" s="188">
        <f t="shared" si="49"/>
        <v>0</v>
      </c>
      <c r="I52" s="188">
        <f t="shared" ref="I52:I54" si="57">(E52-D52+1)*$AM$7/$AM$9</f>
        <v>0</v>
      </c>
      <c r="J52" s="188">
        <f t="shared" si="51"/>
        <v>0.1717601749843308</v>
      </c>
      <c r="K52" s="188">
        <f t="shared" si="13"/>
        <v>0</v>
      </c>
      <c r="L52" s="231">
        <f t="shared" si="0"/>
        <v>0.1717601749843308</v>
      </c>
      <c r="M52" s="232">
        <f t="shared" si="15"/>
        <v>333</v>
      </c>
      <c r="N52" s="184">
        <f t="shared" si="1"/>
        <v>0.30606617647058826</v>
      </c>
      <c r="O52" s="182">
        <f t="shared" si="2"/>
        <v>755</v>
      </c>
      <c r="P52" s="184">
        <f t="shared" si="3"/>
        <v>0.6939338235294118</v>
      </c>
      <c r="Q52" s="182">
        <f t="shared" si="4"/>
        <v>360</v>
      </c>
      <c r="R52" s="184">
        <f t="shared" si="5"/>
        <v>0.32200357781753131</v>
      </c>
      <c r="S52" s="182">
        <f t="shared" si="6"/>
        <v>758</v>
      </c>
      <c r="T52" s="184">
        <f t="shared" si="7"/>
        <v>0.67799642218246869</v>
      </c>
      <c r="U52" s="216"/>
    </row>
    <row r="53" spans="3:21" x14ac:dyDescent="0.25">
      <c r="C53" s="215" t="b">
        <v>1</v>
      </c>
      <c r="D53" s="183">
        <f>D52+8</f>
        <v>45824</v>
      </c>
      <c r="E53" s="183">
        <f>E52+8</f>
        <v>45831</v>
      </c>
      <c r="F53" s="182">
        <v>49</v>
      </c>
      <c r="G53" s="188">
        <f t="shared" si="56"/>
        <v>0</v>
      </c>
      <c r="H53" s="188">
        <f t="shared" si="49"/>
        <v>0</v>
      </c>
      <c r="I53" s="188">
        <f t="shared" si="57"/>
        <v>0</v>
      </c>
      <c r="J53" s="188">
        <f t="shared" si="51"/>
        <v>0.1717601749843308</v>
      </c>
      <c r="K53" s="188">
        <f t="shared" si="13"/>
        <v>0</v>
      </c>
      <c r="L53" s="231">
        <f t="shared" si="0"/>
        <v>0.1717601749843308</v>
      </c>
      <c r="M53" s="232">
        <f t="shared" si="15"/>
        <v>341</v>
      </c>
      <c r="N53" s="184">
        <f t="shared" si="1"/>
        <v>0.31341911764705882</v>
      </c>
      <c r="O53" s="182">
        <f t="shared" si="2"/>
        <v>747</v>
      </c>
      <c r="P53" s="184">
        <f t="shared" si="3"/>
        <v>0.68658088235294112</v>
      </c>
      <c r="Q53" s="182">
        <f t="shared" si="4"/>
        <v>368</v>
      </c>
      <c r="R53" s="184">
        <f t="shared" si="5"/>
        <v>0.3291592128801431</v>
      </c>
      <c r="S53" s="182">
        <f t="shared" si="6"/>
        <v>750</v>
      </c>
      <c r="T53" s="184">
        <f t="shared" si="7"/>
        <v>0.67084078711985684</v>
      </c>
      <c r="U53" s="216"/>
    </row>
    <row r="54" spans="3:21" x14ac:dyDescent="0.25">
      <c r="C54" s="215" t="b">
        <v>1</v>
      </c>
      <c r="D54" s="183">
        <f t="shared" si="53"/>
        <v>45831</v>
      </c>
      <c r="E54" s="183">
        <f t="shared" si="52"/>
        <v>45838</v>
      </c>
      <c r="F54" s="182">
        <v>50</v>
      </c>
      <c r="G54" s="188">
        <f t="shared" si="56"/>
        <v>0</v>
      </c>
      <c r="H54" s="188">
        <f t="shared" si="49"/>
        <v>0</v>
      </c>
      <c r="I54" s="188">
        <f t="shared" si="57"/>
        <v>0</v>
      </c>
      <c r="J54" s="188">
        <f t="shared" si="51"/>
        <v>0.1717601749843308</v>
      </c>
      <c r="K54" s="188">
        <f t="shared" si="13"/>
        <v>0</v>
      </c>
      <c r="L54" s="231">
        <f t="shared" si="0"/>
        <v>0.1717601749843308</v>
      </c>
      <c r="M54" s="232">
        <f t="shared" si="15"/>
        <v>348</v>
      </c>
      <c r="N54" s="184">
        <f t="shared" si="1"/>
        <v>0.31985294117647056</v>
      </c>
      <c r="O54" s="182">
        <f t="shared" si="2"/>
        <v>740</v>
      </c>
      <c r="P54" s="184">
        <f t="shared" si="3"/>
        <v>0.68014705882352944</v>
      </c>
      <c r="Q54" s="182">
        <f t="shared" si="4"/>
        <v>375</v>
      </c>
      <c r="R54" s="184">
        <f t="shared" si="5"/>
        <v>0.33542039355992842</v>
      </c>
      <c r="S54" s="182">
        <f t="shared" si="6"/>
        <v>743</v>
      </c>
      <c r="T54" s="184">
        <f t="shared" si="7"/>
        <v>0.66457960644007152</v>
      </c>
      <c r="U54" s="216"/>
    </row>
    <row r="55" spans="3:21" x14ac:dyDescent="0.25">
      <c r="C55" s="215" t="b">
        <v>1</v>
      </c>
      <c r="D55" s="183">
        <f>D54+8</f>
        <v>45839</v>
      </c>
      <c r="E55" s="183">
        <f>E54+7</f>
        <v>45845</v>
      </c>
      <c r="F55" s="182">
        <v>51</v>
      </c>
      <c r="G55" s="188">
        <f>(E55-D55+1)*$AN$5/$AN$9</f>
        <v>0</v>
      </c>
      <c r="H55" s="188">
        <f t="shared" si="49"/>
        <v>0</v>
      </c>
      <c r="I55" s="188">
        <f>(E55-D55+1)*$AN$7/$AN$9</f>
        <v>0</v>
      </c>
      <c r="J55" s="188">
        <f t="shared" si="51"/>
        <v>0.1717601749843308</v>
      </c>
      <c r="K55" s="188">
        <f t="shared" si="13"/>
        <v>0</v>
      </c>
      <c r="L55" s="231">
        <f t="shared" si="0"/>
        <v>0.1717601749843308</v>
      </c>
      <c r="M55" s="232">
        <f t="shared" si="15"/>
        <v>355</v>
      </c>
      <c r="N55" s="184">
        <f t="shared" si="1"/>
        <v>0.32628676470588236</v>
      </c>
      <c r="O55" s="182">
        <f t="shared" si="2"/>
        <v>733</v>
      </c>
      <c r="P55" s="184">
        <f t="shared" si="3"/>
        <v>0.67371323529411764</v>
      </c>
      <c r="Q55" s="182">
        <f t="shared" si="4"/>
        <v>382</v>
      </c>
      <c r="R55" s="184">
        <f t="shared" si="5"/>
        <v>0.34168157423971379</v>
      </c>
      <c r="S55" s="182">
        <f t="shared" si="6"/>
        <v>736</v>
      </c>
      <c r="T55" s="184">
        <f t="shared" si="7"/>
        <v>0.65831842576028621</v>
      </c>
      <c r="U55" s="216"/>
    </row>
    <row r="56" spans="3:21" x14ac:dyDescent="0.25">
      <c r="C56" s="215" t="b">
        <v>1</v>
      </c>
      <c r="D56" s="183">
        <f>D55+7</f>
        <v>45846</v>
      </c>
      <c r="E56" s="183">
        <f>E55+8</f>
        <v>45853</v>
      </c>
      <c r="F56" s="182">
        <v>52</v>
      </c>
      <c r="G56" s="188">
        <f t="shared" ref="G56:G58" si="58">(E56-D56+1)*$AN$5/$AN$9</f>
        <v>0</v>
      </c>
      <c r="H56" s="188">
        <f t="shared" si="49"/>
        <v>0</v>
      </c>
      <c r="I56" s="188">
        <f t="shared" ref="I56:I58" si="59">(E56-D56+1)*$AN$7/$AN$9</f>
        <v>0</v>
      </c>
      <c r="J56" s="188">
        <f t="shared" si="51"/>
        <v>0.1717601749843308</v>
      </c>
      <c r="K56" s="188">
        <f t="shared" si="13"/>
        <v>0</v>
      </c>
      <c r="L56" s="231">
        <f t="shared" si="0"/>
        <v>0.1717601749843308</v>
      </c>
      <c r="M56" s="232">
        <f t="shared" si="15"/>
        <v>363</v>
      </c>
      <c r="N56" s="184">
        <f t="shared" si="1"/>
        <v>0.33363970588235292</v>
      </c>
      <c r="O56" s="182">
        <f t="shared" si="2"/>
        <v>725</v>
      </c>
      <c r="P56" s="184">
        <f t="shared" si="3"/>
        <v>0.66636029411764708</v>
      </c>
      <c r="Q56" s="182">
        <f t="shared" si="4"/>
        <v>390</v>
      </c>
      <c r="R56" s="184">
        <f t="shared" si="5"/>
        <v>0.34883720930232559</v>
      </c>
      <c r="S56" s="182">
        <f t="shared" si="6"/>
        <v>728</v>
      </c>
      <c r="T56" s="184">
        <f t="shared" si="7"/>
        <v>0.65116279069767447</v>
      </c>
      <c r="U56" s="216"/>
    </row>
    <row r="57" spans="3:21" x14ac:dyDescent="0.25">
      <c r="C57" s="215" t="b">
        <v>1</v>
      </c>
      <c r="D57" s="183">
        <f>D56+8</f>
        <v>45854</v>
      </c>
      <c r="E57" s="183">
        <f>E56+8</f>
        <v>45861</v>
      </c>
      <c r="F57" s="182">
        <v>53</v>
      </c>
      <c r="G57" s="188">
        <f t="shared" si="58"/>
        <v>0</v>
      </c>
      <c r="H57" s="188">
        <f t="shared" si="49"/>
        <v>0</v>
      </c>
      <c r="I57" s="188">
        <f t="shared" si="59"/>
        <v>0</v>
      </c>
      <c r="J57" s="188">
        <f t="shared" si="51"/>
        <v>0.1717601749843308</v>
      </c>
      <c r="K57" s="188">
        <f t="shared" si="13"/>
        <v>0</v>
      </c>
      <c r="L57" s="231">
        <f t="shared" si="0"/>
        <v>0.1717601749843308</v>
      </c>
      <c r="M57" s="232">
        <f t="shared" si="15"/>
        <v>371</v>
      </c>
      <c r="N57" s="184">
        <f t="shared" si="1"/>
        <v>0.34099264705882354</v>
      </c>
      <c r="O57" s="182">
        <f t="shared" si="2"/>
        <v>717</v>
      </c>
      <c r="P57" s="184">
        <f t="shared" si="3"/>
        <v>0.65900735294117652</v>
      </c>
      <c r="Q57" s="182">
        <f t="shared" si="4"/>
        <v>398</v>
      </c>
      <c r="R57" s="184">
        <f t="shared" si="5"/>
        <v>0.35599284436493739</v>
      </c>
      <c r="S57" s="182">
        <f t="shared" si="6"/>
        <v>720</v>
      </c>
      <c r="T57" s="184">
        <f t="shared" si="7"/>
        <v>0.64400715563506261</v>
      </c>
      <c r="U57" s="216"/>
    </row>
    <row r="58" spans="3:21" x14ac:dyDescent="0.25">
      <c r="C58" s="215" t="b">
        <v>1</v>
      </c>
      <c r="D58" s="183">
        <f>D57+8</f>
        <v>45862</v>
      </c>
      <c r="E58" s="183">
        <f>E57+8</f>
        <v>45869</v>
      </c>
      <c r="F58" s="182">
        <v>54</v>
      </c>
      <c r="G58" s="188">
        <f t="shared" si="58"/>
        <v>0</v>
      </c>
      <c r="H58" s="188">
        <f t="shared" si="49"/>
        <v>0</v>
      </c>
      <c r="I58" s="188">
        <f t="shared" si="59"/>
        <v>0</v>
      </c>
      <c r="J58" s="188">
        <f t="shared" si="51"/>
        <v>0.1717601749843308</v>
      </c>
      <c r="K58" s="188">
        <f t="shared" si="13"/>
        <v>0</v>
      </c>
      <c r="L58" s="231">
        <f t="shared" si="0"/>
        <v>0.1717601749843308</v>
      </c>
      <c r="M58" s="232">
        <f t="shared" si="15"/>
        <v>379</v>
      </c>
      <c r="N58" s="184">
        <f t="shared" si="1"/>
        <v>0.3483455882352941</v>
      </c>
      <c r="O58" s="182">
        <f t="shared" si="2"/>
        <v>709</v>
      </c>
      <c r="P58" s="184">
        <f t="shared" si="3"/>
        <v>0.65165441176470584</v>
      </c>
      <c r="Q58" s="182">
        <f t="shared" si="4"/>
        <v>406</v>
      </c>
      <c r="R58" s="184">
        <f t="shared" si="5"/>
        <v>0.36314847942754919</v>
      </c>
      <c r="S58" s="182">
        <f t="shared" si="6"/>
        <v>712</v>
      </c>
      <c r="T58" s="184">
        <f t="shared" si="7"/>
        <v>0.63685152057245076</v>
      </c>
      <c r="U58" s="216"/>
    </row>
    <row r="59" spans="3:21" x14ac:dyDescent="0.25">
      <c r="C59" s="215" t="b">
        <v>1</v>
      </c>
      <c r="D59" s="183">
        <f>D58+8</f>
        <v>45870</v>
      </c>
      <c r="E59" s="183">
        <f t="shared" si="52"/>
        <v>45876</v>
      </c>
      <c r="F59" s="182">
        <v>55</v>
      </c>
      <c r="G59" s="188">
        <f>(E59-D59+1)*$AO$5/$AO$9</f>
        <v>0</v>
      </c>
      <c r="H59" s="188">
        <f t="shared" si="49"/>
        <v>0</v>
      </c>
      <c r="I59" s="188">
        <f>(E59-D59+1)*$AO$7/$AO$9</f>
        <v>0</v>
      </c>
      <c r="J59" s="188">
        <f t="shared" si="51"/>
        <v>0.1717601749843308</v>
      </c>
      <c r="K59" s="188">
        <f t="shared" si="13"/>
        <v>0</v>
      </c>
      <c r="L59" s="231">
        <f t="shared" si="0"/>
        <v>0.1717601749843308</v>
      </c>
      <c r="M59" s="232">
        <f t="shared" si="15"/>
        <v>386</v>
      </c>
      <c r="N59" s="184">
        <f t="shared" si="1"/>
        <v>0.3547794117647059</v>
      </c>
      <c r="O59" s="182">
        <f t="shared" si="2"/>
        <v>702</v>
      </c>
      <c r="P59" s="184">
        <f t="shared" si="3"/>
        <v>0.64522058823529416</v>
      </c>
      <c r="Q59" s="182">
        <f t="shared" si="4"/>
        <v>413</v>
      </c>
      <c r="R59" s="184">
        <f t="shared" si="5"/>
        <v>0.3694096601073345</v>
      </c>
      <c r="S59" s="182">
        <f t="shared" si="6"/>
        <v>705</v>
      </c>
      <c r="T59" s="184">
        <f t="shared" si="7"/>
        <v>0.63059033989266544</v>
      </c>
      <c r="U59" s="216"/>
    </row>
    <row r="60" spans="3:21" x14ac:dyDescent="0.25">
      <c r="C60" s="215" t="b">
        <v>1</v>
      </c>
      <c r="D60" s="183">
        <f>D59+7</f>
        <v>45877</v>
      </c>
      <c r="E60" s="183">
        <f>E59+8</f>
        <v>45884</v>
      </c>
      <c r="F60" s="182">
        <v>56</v>
      </c>
      <c r="G60" s="188">
        <f t="shared" ref="G60:G62" si="60">(E60-D60+1)*$AO$5/$AO$9</f>
        <v>0</v>
      </c>
      <c r="H60" s="188">
        <f t="shared" si="49"/>
        <v>0</v>
      </c>
      <c r="I60" s="188">
        <f t="shared" ref="I60:I62" si="61">(E60-D60+1)*$AO$7/$AO$9</f>
        <v>0</v>
      </c>
      <c r="J60" s="188">
        <f t="shared" si="51"/>
        <v>0.1717601749843308</v>
      </c>
      <c r="K60" s="188">
        <f t="shared" si="13"/>
        <v>0</v>
      </c>
      <c r="L60" s="231">
        <f t="shared" si="0"/>
        <v>0.1717601749843308</v>
      </c>
      <c r="M60" s="232">
        <f t="shared" si="15"/>
        <v>394</v>
      </c>
      <c r="N60" s="184">
        <f t="shared" si="1"/>
        <v>0.36213235294117646</v>
      </c>
      <c r="O60" s="182">
        <f t="shared" si="2"/>
        <v>694</v>
      </c>
      <c r="P60" s="184">
        <f t="shared" si="3"/>
        <v>0.63786764705882348</v>
      </c>
      <c r="Q60" s="182">
        <f t="shared" si="4"/>
        <v>421</v>
      </c>
      <c r="R60" s="184">
        <f t="shared" si="5"/>
        <v>0.37656529516994636</v>
      </c>
      <c r="S60" s="182">
        <f t="shared" si="6"/>
        <v>697</v>
      </c>
      <c r="T60" s="184">
        <f t="shared" si="7"/>
        <v>0.6234347048300537</v>
      </c>
      <c r="U60" s="216"/>
    </row>
    <row r="61" spans="3:21" x14ac:dyDescent="0.25">
      <c r="C61" s="215" t="b">
        <v>1</v>
      </c>
      <c r="D61" s="183">
        <f>D60+8</f>
        <v>45885</v>
      </c>
      <c r="E61" s="183">
        <f>E60+8</f>
        <v>45892</v>
      </c>
      <c r="F61" s="182">
        <v>57</v>
      </c>
      <c r="G61" s="188">
        <f t="shared" si="60"/>
        <v>0</v>
      </c>
      <c r="H61" s="188">
        <f t="shared" si="49"/>
        <v>0</v>
      </c>
      <c r="I61" s="188">
        <f t="shared" si="61"/>
        <v>0</v>
      </c>
      <c r="J61" s="188">
        <f t="shared" si="51"/>
        <v>0.1717601749843308</v>
      </c>
      <c r="K61" s="188">
        <f t="shared" si="13"/>
        <v>0</v>
      </c>
      <c r="L61" s="231">
        <f t="shared" si="0"/>
        <v>0.1717601749843308</v>
      </c>
      <c r="M61" s="232">
        <f t="shared" si="15"/>
        <v>402</v>
      </c>
      <c r="N61" s="184">
        <f t="shared" si="1"/>
        <v>0.36948529411764708</v>
      </c>
      <c r="O61" s="182">
        <f t="shared" si="2"/>
        <v>686</v>
      </c>
      <c r="P61" s="184">
        <f t="shared" si="3"/>
        <v>0.63051470588235292</v>
      </c>
      <c r="Q61" s="182">
        <f t="shared" si="4"/>
        <v>429</v>
      </c>
      <c r="R61" s="184">
        <f t="shared" si="5"/>
        <v>0.38372093023255816</v>
      </c>
      <c r="S61" s="182">
        <f t="shared" si="6"/>
        <v>689</v>
      </c>
      <c r="T61" s="184">
        <f t="shared" si="7"/>
        <v>0.61627906976744184</v>
      </c>
      <c r="U61" s="216"/>
    </row>
    <row r="62" spans="3:21" x14ac:dyDescent="0.25">
      <c r="C62" s="215" t="b">
        <v>1</v>
      </c>
      <c r="D62" s="183">
        <f>D61+8</f>
        <v>45893</v>
      </c>
      <c r="E62" s="183">
        <f>E61+8</f>
        <v>45900</v>
      </c>
      <c r="F62" s="182">
        <v>58</v>
      </c>
      <c r="G62" s="188">
        <f t="shared" si="60"/>
        <v>0</v>
      </c>
      <c r="H62" s="188">
        <f t="shared" si="49"/>
        <v>0</v>
      </c>
      <c r="I62" s="188">
        <f t="shared" si="61"/>
        <v>0</v>
      </c>
      <c r="J62" s="188">
        <f t="shared" si="51"/>
        <v>0.1717601749843308</v>
      </c>
      <c r="K62" s="188">
        <f t="shared" si="13"/>
        <v>0</v>
      </c>
      <c r="L62" s="231">
        <f t="shared" si="0"/>
        <v>0.1717601749843308</v>
      </c>
      <c r="M62" s="232">
        <f t="shared" si="15"/>
        <v>410</v>
      </c>
      <c r="N62" s="184">
        <f t="shared" si="1"/>
        <v>0.37683823529411764</v>
      </c>
      <c r="O62" s="182">
        <f t="shared" si="2"/>
        <v>678</v>
      </c>
      <c r="P62" s="184">
        <f t="shared" si="3"/>
        <v>0.62316176470588236</v>
      </c>
      <c r="Q62" s="182">
        <f t="shared" si="4"/>
        <v>437</v>
      </c>
      <c r="R62" s="184">
        <f t="shared" si="5"/>
        <v>0.39087656529516995</v>
      </c>
      <c r="S62" s="182">
        <f t="shared" si="6"/>
        <v>681</v>
      </c>
      <c r="T62" s="184">
        <f t="shared" si="7"/>
        <v>0.6091234347048301</v>
      </c>
      <c r="U62" s="216"/>
    </row>
    <row r="63" spans="3:21" x14ac:dyDescent="0.25">
      <c r="C63" s="215" t="b">
        <v>1</v>
      </c>
      <c r="D63" s="183">
        <f>D62+8</f>
        <v>45901</v>
      </c>
      <c r="E63" s="183">
        <f>E62+7</f>
        <v>45907</v>
      </c>
      <c r="F63" s="182">
        <v>59</v>
      </c>
      <c r="G63" s="188">
        <f>(E63-D63+1)*$AP$5/$AP$9</f>
        <v>8.5200828144189389E-2</v>
      </c>
      <c r="H63" s="188">
        <f t="shared" si="49"/>
        <v>8.5200828144189389E-2</v>
      </c>
      <c r="I63" s="188">
        <v>0</v>
      </c>
      <c r="J63" s="188">
        <f t="shared" si="51"/>
        <v>0.1717601749843308</v>
      </c>
      <c r="K63" s="188">
        <f t="shared" si="13"/>
        <v>-8.5200828144189389E-2</v>
      </c>
      <c r="L63" s="231">
        <f t="shared" si="0"/>
        <v>8.655934684014141E-2</v>
      </c>
      <c r="M63" s="232">
        <f t="shared" si="15"/>
        <v>417</v>
      </c>
      <c r="N63" s="184">
        <f t="shared" si="1"/>
        <v>0.38327205882352944</v>
      </c>
      <c r="O63" s="182">
        <f t="shared" si="2"/>
        <v>671</v>
      </c>
      <c r="P63" s="184">
        <f t="shared" si="3"/>
        <v>0.61672794117647056</v>
      </c>
      <c r="Q63" s="182">
        <f>E63-$D$5+1</f>
        <v>444</v>
      </c>
      <c r="R63" s="184">
        <f t="shared" si="5"/>
        <v>0.39713774597495527</v>
      </c>
      <c r="S63" s="182">
        <f t="shared" si="6"/>
        <v>674</v>
      </c>
      <c r="T63" s="184">
        <f t="shared" si="7"/>
        <v>0.60286225402504467</v>
      </c>
      <c r="U63" s="216"/>
    </row>
    <row r="64" spans="3:21" x14ac:dyDescent="0.25">
      <c r="C64" s="215" t="b">
        <v>1</v>
      </c>
      <c r="D64" s="183">
        <f t="shared" ref="D64:D124" si="62">D63+7</f>
        <v>45908</v>
      </c>
      <c r="E64" s="183">
        <f>E63+8</f>
        <v>45915</v>
      </c>
      <c r="F64" s="182">
        <v>60</v>
      </c>
      <c r="G64" s="188">
        <f t="shared" ref="G64:G66" si="63">(E64-D64+1)*$AP$5/$AP$9</f>
        <v>9.7372375021930718E-2</v>
      </c>
      <c r="H64" s="188">
        <f t="shared" si="49"/>
        <v>0.18257320316612011</v>
      </c>
      <c r="I64" s="188">
        <v>2.9119999999999999</v>
      </c>
      <c r="J64" s="188">
        <f t="shared" si="51"/>
        <v>3.0837601749843309</v>
      </c>
      <c r="K64" s="188">
        <f t="shared" si="13"/>
        <v>2.8146276249780691</v>
      </c>
      <c r="L64" s="231">
        <f t="shared" si="0"/>
        <v>2.9011869718182108</v>
      </c>
      <c r="M64" s="232">
        <f t="shared" si="15"/>
        <v>425</v>
      </c>
      <c r="N64" s="184">
        <f t="shared" si="1"/>
        <v>0.390625</v>
      </c>
      <c r="O64" s="182">
        <f t="shared" si="2"/>
        <v>663</v>
      </c>
      <c r="P64" s="184">
        <f t="shared" si="3"/>
        <v>0.609375</v>
      </c>
      <c r="Q64" s="182">
        <f t="shared" si="4"/>
        <v>452</v>
      </c>
      <c r="R64" s="184">
        <f t="shared" si="5"/>
        <v>0.40429338103756707</v>
      </c>
      <c r="S64" s="182">
        <f>1118-Q64</f>
        <v>666</v>
      </c>
      <c r="T64" s="184">
        <f t="shared" si="7"/>
        <v>0.59570661896243293</v>
      </c>
      <c r="U64" s="216"/>
    </row>
    <row r="65" spans="3:21" x14ac:dyDescent="0.25">
      <c r="C65" s="215" t="b">
        <v>1</v>
      </c>
      <c r="D65" s="183">
        <f>D64+8</f>
        <v>45916</v>
      </c>
      <c r="E65" s="183">
        <f>E64+8</f>
        <v>45923</v>
      </c>
      <c r="F65" s="182">
        <v>61</v>
      </c>
      <c r="G65" s="188">
        <f t="shared" si="63"/>
        <v>9.7372375021930718E-2</v>
      </c>
      <c r="H65" s="188">
        <f t="shared" si="49"/>
        <v>0.27994557818805083</v>
      </c>
      <c r="I65" s="188">
        <f>AP7-I64</f>
        <v>10.115384200099339</v>
      </c>
      <c r="J65" s="188">
        <f t="shared" si="51"/>
        <v>13.199144375083669</v>
      </c>
      <c r="K65" s="188">
        <f t="shared" si="13"/>
        <v>10.018011825077409</v>
      </c>
      <c r="L65" s="231">
        <f t="shared" si="0"/>
        <v>12.919198796895619</v>
      </c>
      <c r="M65" s="232">
        <f t="shared" si="15"/>
        <v>433</v>
      </c>
      <c r="N65" s="184">
        <f t="shared" si="1"/>
        <v>0.39797794117647056</v>
      </c>
      <c r="O65" s="182">
        <f t="shared" si="2"/>
        <v>655</v>
      </c>
      <c r="P65" s="184">
        <f t="shared" si="3"/>
        <v>0.60202205882352944</v>
      </c>
      <c r="Q65" s="182">
        <f t="shared" si="4"/>
        <v>460</v>
      </c>
      <c r="R65" s="184">
        <f t="shared" si="5"/>
        <v>0.41144901610017887</v>
      </c>
      <c r="S65" s="182">
        <f>1118-Q65</f>
        <v>658</v>
      </c>
      <c r="T65" s="184">
        <f t="shared" si="7"/>
        <v>0.58855098389982108</v>
      </c>
      <c r="U65" s="216"/>
    </row>
    <row r="66" spans="3:21" x14ac:dyDescent="0.25">
      <c r="C66" s="215" t="b">
        <v>1</v>
      </c>
      <c r="D66" s="183">
        <f>D65+8</f>
        <v>45924</v>
      </c>
      <c r="E66" s="183">
        <f>E65+7</f>
        <v>45930</v>
      </c>
      <c r="F66" s="182">
        <v>62</v>
      </c>
      <c r="G66" s="188">
        <f t="shared" si="63"/>
        <v>8.5200828144189389E-2</v>
      </c>
      <c r="H66" s="188">
        <f t="shared" si="49"/>
        <v>0.36514640633224021</v>
      </c>
      <c r="I66" s="188">
        <v>0</v>
      </c>
      <c r="J66" s="188">
        <f t="shared" si="51"/>
        <v>13.199144375083669</v>
      </c>
      <c r="K66" s="188">
        <f t="shared" si="13"/>
        <v>-8.5200828144189389E-2</v>
      </c>
      <c r="L66" s="231">
        <f t="shared" si="0"/>
        <v>12.833997968751429</v>
      </c>
      <c r="M66" s="232">
        <f t="shared" si="15"/>
        <v>440</v>
      </c>
      <c r="N66" s="184">
        <f t="shared" si="1"/>
        <v>0.40441176470588236</v>
      </c>
      <c r="O66" s="182">
        <f>1088-M66</f>
        <v>648</v>
      </c>
      <c r="P66" s="184">
        <f t="shared" si="3"/>
        <v>0.59558823529411764</v>
      </c>
      <c r="Q66" s="182">
        <f t="shared" si="4"/>
        <v>467</v>
      </c>
      <c r="R66" s="184">
        <f>Q66/870</f>
        <v>0.5367816091954023</v>
      </c>
      <c r="S66" s="182">
        <f>870-Q66</f>
        <v>403</v>
      </c>
      <c r="T66" s="184">
        <f>S66/870</f>
        <v>0.4632183908045977</v>
      </c>
      <c r="U66" s="216"/>
    </row>
    <row r="67" spans="3:21" x14ac:dyDescent="0.25">
      <c r="C67" s="215" t="b">
        <v>1</v>
      </c>
      <c r="D67" s="183">
        <f>D66+7</f>
        <v>45931</v>
      </c>
      <c r="E67" s="183">
        <f t="shared" ref="E67:E124" si="64">E66+7</f>
        <v>45937</v>
      </c>
      <c r="F67" s="182">
        <v>63</v>
      </c>
      <c r="G67" s="188">
        <f>(E67-D67+1)*$AQ$5/$AQ$9</f>
        <v>8.2452414333086504E-2</v>
      </c>
      <c r="H67" s="188">
        <f t="shared" si="49"/>
        <v>0.44759882066532675</v>
      </c>
      <c r="I67" s="188">
        <f>(E67-D67+1)*$AQ$7/$AQ$9</f>
        <v>1.6170568179552924</v>
      </c>
      <c r="J67" s="188">
        <f t="shared" si="51"/>
        <v>14.816201193038962</v>
      </c>
      <c r="K67" s="188">
        <f t="shared" si="13"/>
        <v>1.534604403622206</v>
      </c>
      <c r="L67" s="231">
        <f t="shared" si="0"/>
        <v>14.368602372373635</v>
      </c>
      <c r="M67" s="232">
        <f t="shared" si="15"/>
        <v>447</v>
      </c>
      <c r="N67" s="184">
        <f t="shared" si="1"/>
        <v>0.4108455882352941</v>
      </c>
      <c r="O67" s="182">
        <f t="shared" si="2"/>
        <v>641</v>
      </c>
      <c r="P67" s="184">
        <f t="shared" si="3"/>
        <v>0.58915441176470584</v>
      </c>
      <c r="Q67" s="182">
        <f t="shared" si="4"/>
        <v>474</v>
      </c>
      <c r="R67" s="184">
        <f t="shared" si="5"/>
        <v>0.42397137745974955</v>
      </c>
      <c r="S67" s="182">
        <f t="shared" si="6"/>
        <v>644</v>
      </c>
      <c r="T67" s="184">
        <f t="shared" si="7"/>
        <v>0.57602862254025045</v>
      </c>
      <c r="U67" s="216"/>
    </row>
    <row r="68" spans="3:21" x14ac:dyDescent="0.25">
      <c r="C68" s="215" t="b">
        <v>1</v>
      </c>
      <c r="D68" s="183">
        <f t="shared" si="62"/>
        <v>45938</v>
      </c>
      <c r="E68" s="183">
        <f>E67+8</f>
        <v>45945</v>
      </c>
      <c r="F68" s="182">
        <v>64</v>
      </c>
      <c r="G68" s="188">
        <f t="shared" ref="G68:G70" si="65">(E68-D68+1)*$AQ$5/$AQ$9</f>
        <v>9.4231330666384575E-2</v>
      </c>
      <c r="H68" s="188">
        <f t="shared" si="49"/>
        <v>0.54183015133171131</v>
      </c>
      <c r="I68" s="188">
        <f t="shared" ref="I68:I70" si="66">(E68-D68+1)*$AQ$7/$AQ$9</f>
        <v>1.8480649348060485</v>
      </c>
      <c r="J68" s="188">
        <f t="shared" si="51"/>
        <v>16.664266127845011</v>
      </c>
      <c r="K68" s="188">
        <f t="shared" si="13"/>
        <v>1.7538336041396638</v>
      </c>
      <c r="L68" s="231">
        <f t="shared" si="0"/>
        <v>16.122435976513298</v>
      </c>
      <c r="M68" s="232">
        <f t="shared" si="15"/>
        <v>455</v>
      </c>
      <c r="N68" s="184">
        <f t="shared" si="1"/>
        <v>0.41819852941176472</v>
      </c>
      <c r="O68" s="182">
        <f t="shared" si="2"/>
        <v>633</v>
      </c>
      <c r="P68" s="184">
        <f t="shared" si="3"/>
        <v>0.58180147058823528</v>
      </c>
      <c r="Q68" s="182">
        <f t="shared" si="4"/>
        <v>482</v>
      </c>
      <c r="R68" s="184">
        <f t="shared" si="5"/>
        <v>0.43112701252236135</v>
      </c>
      <c r="S68" s="182">
        <f t="shared" si="6"/>
        <v>636</v>
      </c>
      <c r="T68" s="184">
        <f t="shared" si="7"/>
        <v>0.56887298747763859</v>
      </c>
      <c r="U68" s="216"/>
    </row>
    <row r="69" spans="3:21" x14ac:dyDescent="0.25">
      <c r="C69" s="215" t="b">
        <v>1</v>
      </c>
      <c r="D69" s="183">
        <f>D68+8</f>
        <v>45946</v>
      </c>
      <c r="E69" s="183">
        <f>E68+8</f>
        <v>45953</v>
      </c>
      <c r="F69" s="182">
        <v>65</v>
      </c>
      <c r="G69" s="188">
        <f t="shared" si="65"/>
        <v>9.4231330666384575E-2</v>
      </c>
      <c r="H69" s="188">
        <f t="shared" si="49"/>
        <v>0.63606148199809587</v>
      </c>
      <c r="I69" s="188">
        <f t="shared" si="66"/>
        <v>1.8480649348060485</v>
      </c>
      <c r="J69" s="188">
        <f t="shared" si="51"/>
        <v>18.512331062651057</v>
      </c>
      <c r="K69" s="188">
        <f t="shared" si="13"/>
        <v>1.7538336041396638</v>
      </c>
      <c r="L69" s="231">
        <f t="shared" si="0"/>
        <v>17.876269580652963</v>
      </c>
      <c r="M69" s="232">
        <f t="shared" si="15"/>
        <v>463</v>
      </c>
      <c r="N69" s="184">
        <f t="shared" si="1"/>
        <v>0.42555147058823528</v>
      </c>
      <c r="O69" s="182">
        <f t="shared" si="2"/>
        <v>625</v>
      </c>
      <c r="P69" s="184">
        <f t="shared" si="3"/>
        <v>0.57444852941176472</v>
      </c>
      <c r="Q69" s="182">
        <f t="shared" si="4"/>
        <v>490</v>
      </c>
      <c r="R69" s="184">
        <f t="shared" si="5"/>
        <v>0.43828264758497315</v>
      </c>
      <c r="S69" s="182">
        <f t="shared" si="6"/>
        <v>628</v>
      </c>
      <c r="T69" s="184">
        <f t="shared" si="7"/>
        <v>0.56171735241502685</v>
      </c>
      <c r="U69" s="216"/>
    </row>
    <row r="70" spans="3:21" x14ac:dyDescent="0.25">
      <c r="C70" s="215" t="b">
        <v>1</v>
      </c>
      <c r="D70" s="183">
        <f>D69+8</f>
        <v>45954</v>
      </c>
      <c r="E70" s="183">
        <f>E69+8</f>
        <v>45961</v>
      </c>
      <c r="F70" s="182">
        <v>66</v>
      </c>
      <c r="G70" s="188">
        <f t="shared" si="65"/>
        <v>9.4231330666384575E-2</v>
      </c>
      <c r="H70" s="188">
        <f t="shared" si="49"/>
        <v>0.73029281266448043</v>
      </c>
      <c r="I70" s="188">
        <f t="shared" si="66"/>
        <v>1.8480649348060485</v>
      </c>
      <c r="J70" s="188">
        <f t="shared" si="51"/>
        <v>20.360395997457104</v>
      </c>
      <c r="K70" s="188">
        <f t="shared" si="13"/>
        <v>1.7538336041396638</v>
      </c>
      <c r="L70" s="231">
        <f t="shared" si="13"/>
        <v>19.630103184792624</v>
      </c>
      <c r="M70" s="232">
        <f t="shared" si="15"/>
        <v>471</v>
      </c>
      <c r="N70" s="184">
        <f t="shared" ref="N70:N128" si="67">M70/1088</f>
        <v>0.4329044117647059</v>
      </c>
      <c r="O70" s="182">
        <f t="shared" ref="O70:O128" si="68">1088-M70</f>
        <v>617</v>
      </c>
      <c r="P70" s="184">
        <f t="shared" ref="P70:P128" si="69">O70/1088</f>
        <v>0.56709558823529416</v>
      </c>
      <c r="Q70" s="182">
        <f t="shared" ref="Q70:Q128" si="70">E70-$D$5+1</f>
        <v>498</v>
      </c>
      <c r="R70" s="184">
        <f t="shared" ref="R70:R128" si="71">Q70/1118</f>
        <v>0.44543828264758495</v>
      </c>
      <c r="S70" s="182">
        <f t="shared" ref="S70:S128" si="72">1118-Q70</f>
        <v>620</v>
      </c>
      <c r="T70" s="184">
        <f t="shared" ref="T70:T128" si="73">S70/1118</f>
        <v>0.554561717352415</v>
      </c>
      <c r="U70" s="216"/>
    </row>
    <row r="71" spans="3:21" x14ac:dyDescent="0.25">
      <c r="C71" s="215" t="b">
        <v>1</v>
      </c>
      <c r="D71" s="183">
        <f>D70+8</f>
        <v>45962</v>
      </c>
      <c r="E71" s="183">
        <f t="shared" si="64"/>
        <v>45968</v>
      </c>
      <c r="F71" s="182">
        <v>67</v>
      </c>
      <c r="G71" s="188">
        <f>(E71-D71+1)*$AR$5/$AR$9</f>
        <v>0.36441225551572942</v>
      </c>
      <c r="H71" s="188">
        <f t="shared" si="49"/>
        <v>1.0947050681802097</v>
      </c>
      <c r="I71" s="188">
        <f>(E71-D71+1)*$AR$7/$AR$9</f>
        <v>0</v>
      </c>
      <c r="J71" s="188">
        <f t="shared" si="51"/>
        <v>20.360395997457104</v>
      </c>
      <c r="K71" s="188">
        <f t="shared" si="13"/>
        <v>-0.36441225551572942</v>
      </c>
      <c r="L71" s="231">
        <f t="shared" si="13"/>
        <v>19.265690929276893</v>
      </c>
      <c r="M71" s="232">
        <f t="shared" si="15"/>
        <v>478</v>
      </c>
      <c r="N71" s="184">
        <f t="shared" si="67"/>
        <v>0.43933823529411764</v>
      </c>
      <c r="O71" s="182">
        <f t="shared" si="68"/>
        <v>610</v>
      </c>
      <c r="P71" s="184">
        <f t="shared" si="69"/>
        <v>0.56066176470588236</v>
      </c>
      <c r="Q71" s="182">
        <f t="shared" si="70"/>
        <v>505</v>
      </c>
      <c r="R71" s="184">
        <f t="shared" si="71"/>
        <v>0.45169946332737032</v>
      </c>
      <c r="S71" s="182">
        <f t="shared" si="72"/>
        <v>613</v>
      </c>
      <c r="T71" s="184">
        <f t="shared" si="73"/>
        <v>0.54830053667262968</v>
      </c>
      <c r="U71" s="216"/>
    </row>
    <row r="72" spans="3:21" x14ac:dyDescent="0.25">
      <c r="C72" s="215" t="b">
        <v>1</v>
      </c>
      <c r="D72" s="183">
        <f t="shared" si="62"/>
        <v>45969</v>
      </c>
      <c r="E72" s="183">
        <f>E71+8</f>
        <v>45976</v>
      </c>
      <c r="F72" s="182">
        <v>68</v>
      </c>
      <c r="G72" s="188">
        <f t="shared" ref="G72:G74" si="74">(E72-D72+1)*$AR$5/$AR$9</f>
        <v>0.41647114916083366</v>
      </c>
      <c r="H72" s="188">
        <f t="shared" si="49"/>
        <v>1.5111762173410435</v>
      </c>
      <c r="I72" s="188">
        <f t="shared" ref="I72:I74" si="75">(E72-D72+1)*$AR$7/$AR$9</f>
        <v>0</v>
      </c>
      <c r="J72" s="188">
        <f t="shared" si="51"/>
        <v>20.360395997457104</v>
      </c>
      <c r="K72" s="188">
        <f t="shared" si="13"/>
        <v>-0.41647114916083366</v>
      </c>
      <c r="L72" s="231">
        <f t="shared" si="13"/>
        <v>18.849219780116062</v>
      </c>
      <c r="M72" s="232">
        <f t="shared" si="15"/>
        <v>486</v>
      </c>
      <c r="N72" s="184">
        <f t="shared" si="67"/>
        <v>0.44669117647058826</v>
      </c>
      <c r="O72" s="182">
        <f t="shared" si="68"/>
        <v>602</v>
      </c>
      <c r="P72" s="184">
        <f t="shared" si="69"/>
        <v>0.5533088235294118</v>
      </c>
      <c r="Q72" s="182">
        <f t="shared" si="70"/>
        <v>513</v>
      </c>
      <c r="R72" s="184">
        <f t="shared" si="71"/>
        <v>0.45885509838998212</v>
      </c>
      <c r="S72" s="182">
        <f t="shared" si="72"/>
        <v>605</v>
      </c>
      <c r="T72" s="184">
        <f t="shared" si="73"/>
        <v>0.54114490161001794</v>
      </c>
      <c r="U72" s="216"/>
    </row>
    <row r="73" spans="3:21" x14ac:dyDescent="0.25">
      <c r="C73" s="215" t="b">
        <v>1</v>
      </c>
      <c r="D73" s="183">
        <f>D72+8</f>
        <v>45977</v>
      </c>
      <c r="E73" s="183">
        <f>E72+8</f>
        <v>45984</v>
      </c>
      <c r="F73" s="182">
        <v>69</v>
      </c>
      <c r="G73" s="188">
        <f t="shared" si="74"/>
        <v>0.41647114916083366</v>
      </c>
      <c r="H73" s="188">
        <f t="shared" si="49"/>
        <v>1.9276473665018772</v>
      </c>
      <c r="I73" s="188">
        <f t="shared" si="75"/>
        <v>0</v>
      </c>
      <c r="J73" s="188">
        <f t="shared" si="51"/>
        <v>20.360395997457104</v>
      </c>
      <c r="K73" s="188">
        <f t="shared" si="13"/>
        <v>-0.41647114916083366</v>
      </c>
      <c r="L73" s="231">
        <f t="shared" si="13"/>
        <v>18.432748630955228</v>
      </c>
      <c r="M73" s="232">
        <f t="shared" si="15"/>
        <v>494</v>
      </c>
      <c r="N73" s="184">
        <f t="shared" si="67"/>
        <v>0.45404411764705882</v>
      </c>
      <c r="O73" s="182">
        <f t="shared" si="68"/>
        <v>594</v>
      </c>
      <c r="P73" s="184">
        <f t="shared" si="69"/>
        <v>0.54595588235294112</v>
      </c>
      <c r="Q73" s="182">
        <f t="shared" si="70"/>
        <v>521</v>
      </c>
      <c r="R73" s="184">
        <f t="shared" si="71"/>
        <v>0.46601073345259392</v>
      </c>
      <c r="S73" s="182">
        <f t="shared" si="72"/>
        <v>597</v>
      </c>
      <c r="T73" s="184">
        <f t="shared" si="73"/>
        <v>0.53398926654740608</v>
      </c>
      <c r="U73" s="216"/>
    </row>
    <row r="74" spans="3:21" x14ac:dyDescent="0.25">
      <c r="C74" s="215" t="b">
        <v>1</v>
      </c>
      <c r="D74" s="183">
        <f>D73+8</f>
        <v>45985</v>
      </c>
      <c r="E74" s="183">
        <f>E73+7</f>
        <v>45991</v>
      </c>
      <c r="F74" s="182">
        <v>70</v>
      </c>
      <c r="G74" s="188">
        <f t="shared" si="74"/>
        <v>0.36441225551572942</v>
      </c>
      <c r="H74" s="188">
        <f t="shared" si="49"/>
        <v>2.2920596220176064</v>
      </c>
      <c r="I74" s="188">
        <f t="shared" si="75"/>
        <v>0</v>
      </c>
      <c r="J74" s="188">
        <f t="shared" si="51"/>
        <v>20.360395997457104</v>
      </c>
      <c r="K74" s="188">
        <f t="shared" si="13"/>
        <v>-0.36441225551572942</v>
      </c>
      <c r="L74" s="231">
        <f t="shared" si="13"/>
        <v>18.068336375439497</v>
      </c>
      <c r="M74" s="232">
        <f t="shared" si="15"/>
        <v>501</v>
      </c>
      <c r="N74" s="184">
        <f t="shared" si="67"/>
        <v>0.46047794117647056</v>
      </c>
      <c r="O74" s="182">
        <f t="shared" si="68"/>
        <v>587</v>
      </c>
      <c r="P74" s="184">
        <f t="shared" si="69"/>
        <v>0.53952205882352944</v>
      </c>
      <c r="Q74" s="182">
        <f t="shared" si="70"/>
        <v>528</v>
      </c>
      <c r="R74" s="184">
        <f t="shared" si="71"/>
        <v>0.47227191413237923</v>
      </c>
      <c r="S74" s="182">
        <f t="shared" si="72"/>
        <v>590</v>
      </c>
      <c r="T74" s="184">
        <f t="shared" si="73"/>
        <v>0.52772808586762077</v>
      </c>
      <c r="U74" s="216"/>
    </row>
    <row r="75" spans="3:21" x14ac:dyDescent="0.25">
      <c r="C75" s="215" t="b">
        <v>1</v>
      </c>
      <c r="D75" s="183">
        <f t="shared" si="62"/>
        <v>45992</v>
      </c>
      <c r="E75" s="183">
        <f>E74+7</f>
        <v>45998</v>
      </c>
      <c r="F75" s="182">
        <v>71</v>
      </c>
      <c r="G75" s="188">
        <f>(E75-D75+1)*$AS$5/$AS$9</f>
        <v>0.36624807502891726</v>
      </c>
      <c r="H75" s="188">
        <f t="shared" si="49"/>
        <v>2.6583076970465238</v>
      </c>
      <c r="I75" s="188">
        <f>(E75-D75+1)*$AS$7/$AS$9</f>
        <v>0</v>
      </c>
      <c r="J75" s="188">
        <f t="shared" si="51"/>
        <v>20.360395997457104</v>
      </c>
      <c r="K75" s="188">
        <f t="shared" ref="K75:L124" si="76">I75-G75</f>
        <v>-0.36624807502891726</v>
      </c>
      <c r="L75" s="231">
        <f t="shared" si="76"/>
        <v>17.70208830041058</v>
      </c>
      <c r="M75" s="232">
        <f t="shared" si="15"/>
        <v>508</v>
      </c>
      <c r="N75" s="184">
        <f t="shared" si="67"/>
        <v>0.46691176470588236</v>
      </c>
      <c r="O75" s="182">
        <f t="shared" si="68"/>
        <v>580</v>
      </c>
      <c r="P75" s="184">
        <f t="shared" si="69"/>
        <v>0.53308823529411764</v>
      </c>
      <c r="Q75" s="182">
        <f t="shared" si="70"/>
        <v>535</v>
      </c>
      <c r="R75" s="184">
        <f t="shared" si="71"/>
        <v>0.47853309481216461</v>
      </c>
      <c r="S75" s="182">
        <f t="shared" si="72"/>
        <v>583</v>
      </c>
      <c r="T75" s="184">
        <f t="shared" si="73"/>
        <v>0.52146690518783545</v>
      </c>
      <c r="U75" s="216"/>
    </row>
    <row r="76" spans="3:21" x14ac:dyDescent="0.25">
      <c r="C76" s="215" t="b">
        <v>1</v>
      </c>
      <c r="D76" s="183">
        <f t="shared" si="62"/>
        <v>45999</v>
      </c>
      <c r="E76" s="183">
        <f>E75+8</f>
        <v>46006</v>
      </c>
      <c r="F76" s="182">
        <v>72</v>
      </c>
      <c r="G76" s="188">
        <f t="shared" ref="G76:G78" si="77">(E76-D76+1)*$AS$5/$AS$9</f>
        <v>0.41856922860447687</v>
      </c>
      <c r="H76" s="188">
        <f t="shared" si="49"/>
        <v>3.0768769256510007</v>
      </c>
      <c r="I76" s="188">
        <f t="shared" ref="I76:I78" si="78">(E76-D76+1)*$AS$7/$AS$9</f>
        <v>0</v>
      </c>
      <c r="J76" s="188">
        <f t="shared" si="51"/>
        <v>20.360395997457104</v>
      </c>
      <c r="K76" s="188">
        <f t="shared" si="76"/>
        <v>-0.41856922860447687</v>
      </c>
      <c r="L76" s="231">
        <f t="shared" si="76"/>
        <v>17.283519071806104</v>
      </c>
      <c r="M76" s="232">
        <f t="shared" si="15"/>
        <v>516</v>
      </c>
      <c r="N76" s="184">
        <f t="shared" si="67"/>
        <v>0.47426470588235292</v>
      </c>
      <c r="O76" s="182">
        <f t="shared" si="68"/>
        <v>572</v>
      </c>
      <c r="P76" s="184">
        <f t="shared" si="69"/>
        <v>0.52573529411764708</v>
      </c>
      <c r="Q76" s="182">
        <f t="shared" si="70"/>
        <v>543</v>
      </c>
      <c r="R76" s="184">
        <f t="shared" si="71"/>
        <v>0.4856887298747764</v>
      </c>
      <c r="S76" s="182">
        <f t="shared" si="72"/>
        <v>575</v>
      </c>
      <c r="T76" s="184">
        <f t="shared" si="73"/>
        <v>0.5143112701252236</v>
      </c>
      <c r="U76" s="216"/>
    </row>
    <row r="77" spans="3:21" x14ac:dyDescent="0.25">
      <c r="C77" s="215" t="b">
        <v>1</v>
      </c>
      <c r="D77" s="183">
        <f>D76+8</f>
        <v>46007</v>
      </c>
      <c r="E77" s="183">
        <f>E76+8</f>
        <v>46014</v>
      </c>
      <c r="F77" s="182">
        <v>73</v>
      </c>
      <c r="G77" s="188">
        <f t="shared" si="77"/>
        <v>0.41856922860447687</v>
      </c>
      <c r="H77" s="188">
        <f t="shared" si="49"/>
        <v>3.4954461542554776</v>
      </c>
      <c r="I77" s="188">
        <f t="shared" si="78"/>
        <v>0</v>
      </c>
      <c r="J77" s="188">
        <f t="shared" si="51"/>
        <v>20.360395997457104</v>
      </c>
      <c r="K77" s="188">
        <f t="shared" si="76"/>
        <v>-0.41856922860447687</v>
      </c>
      <c r="L77" s="231">
        <f t="shared" si="76"/>
        <v>16.864949843201625</v>
      </c>
      <c r="M77" s="232">
        <f t="shared" si="15"/>
        <v>524</v>
      </c>
      <c r="N77" s="184">
        <f t="shared" si="67"/>
        <v>0.48161764705882354</v>
      </c>
      <c r="O77" s="182">
        <f t="shared" si="68"/>
        <v>564</v>
      </c>
      <c r="P77" s="184">
        <f t="shared" si="69"/>
        <v>0.51838235294117652</v>
      </c>
      <c r="Q77" s="182">
        <f t="shared" si="70"/>
        <v>551</v>
      </c>
      <c r="R77" s="184">
        <f t="shared" si="71"/>
        <v>0.4928443649373882</v>
      </c>
      <c r="S77" s="182">
        <f t="shared" si="72"/>
        <v>567</v>
      </c>
      <c r="T77" s="184">
        <f t="shared" si="73"/>
        <v>0.50715563506261185</v>
      </c>
      <c r="U77" s="216"/>
    </row>
    <row r="78" spans="3:21" x14ac:dyDescent="0.25">
      <c r="C78" s="215" t="b">
        <v>1</v>
      </c>
      <c r="D78" s="183">
        <f>D77+8</f>
        <v>46015</v>
      </c>
      <c r="E78" s="183">
        <f>E77+8</f>
        <v>46022</v>
      </c>
      <c r="F78" s="182">
        <v>74</v>
      </c>
      <c r="G78" s="188">
        <f t="shared" si="77"/>
        <v>0.41856922860447687</v>
      </c>
      <c r="H78" s="188">
        <f t="shared" si="49"/>
        <v>3.9140153828599544</v>
      </c>
      <c r="I78" s="188">
        <f t="shared" si="78"/>
        <v>0</v>
      </c>
      <c r="J78" s="188">
        <f t="shared" si="51"/>
        <v>20.360395997457104</v>
      </c>
      <c r="K78" s="188">
        <f t="shared" si="76"/>
        <v>-0.41856922860447687</v>
      </c>
      <c r="L78" s="231">
        <f t="shared" si="76"/>
        <v>16.44638061459715</v>
      </c>
      <c r="M78" s="232">
        <f t="shared" si="15"/>
        <v>532</v>
      </c>
      <c r="N78" s="184">
        <f t="shared" si="67"/>
        <v>0.4889705882352941</v>
      </c>
      <c r="O78" s="182">
        <f t="shared" si="68"/>
        <v>556</v>
      </c>
      <c r="P78" s="184">
        <f t="shared" si="69"/>
        <v>0.51102941176470584</v>
      </c>
      <c r="Q78" s="182">
        <f t="shared" si="70"/>
        <v>559</v>
      </c>
      <c r="R78" s="184">
        <f t="shared" si="71"/>
        <v>0.5</v>
      </c>
      <c r="S78" s="182">
        <f t="shared" si="72"/>
        <v>559</v>
      </c>
      <c r="T78" s="184">
        <f t="shared" si="73"/>
        <v>0.5</v>
      </c>
      <c r="U78" s="216"/>
    </row>
    <row r="79" spans="3:21" x14ac:dyDescent="0.25">
      <c r="C79" s="215" t="b">
        <v>1</v>
      </c>
      <c r="D79" s="183">
        <f>D78+8</f>
        <v>46023</v>
      </c>
      <c r="E79" s="183">
        <f t="shared" si="64"/>
        <v>46029</v>
      </c>
      <c r="F79" s="182">
        <v>75</v>
      </c>
      <c r="G79" s="188">
        <f>(E79-D79+1)*$AT$5/$AT$9</f>
        <v>0.351659565465332</v>
      </c>
      <c r="H79" s="188">
        <f t="shared" ref="H79:H94" si="79">G79+H78</f>
        <v>4.2656749483252865</v>
      </c>
      <c r="I79" s="188">
        <f>(E79-D79+1)*$AT$7/$AT$9</f>
        <v>0</v>
      </c>
      <c r="J79" s="188">
        <f t="shared" ref="J79:J94" si="80">I79+J78</f>
        <v>20.360395997457104</v>
      </c>
      <c r="K79" s="188">
        <f t="shared" si="76"/>
        <v>-0.351659565465332</v>
      </c>
      <c r="L79" s="231">
        <f t="shared" si="76"/>
        <v>16.094721049131817</v>
      </c>
      <c r="M79" s="232">
        <f t="shared" si="15"/>
        <v>539</v>
      </c>
      <c r="N79" s="184">
        <f t="shared" si="67"/>
        <v>0.4954044117647059</v>
      </c>
      <c r="O79" s="182">
        <f t="shared" si="68"/>
        <v>549</v>
      </c>
      <c r="P79" s="184">
        <f t="shared" si="69"/>
        <v>0.50459558823529416</v>
      </c>
      <c r="Q79" s="182">
        <f t="shared" si="70"/>
        <v>566</v>
      </c>
      <c r="R79" s="184">
        <f t="shared" si="71"/>
        <v>0.50626118067978532</v>
      </c>
      <c r="S79" s="182">
        <f t="shared" si="72"/>
        <v>552</v>
      </c>
      <c r="T79" s="184">
        <f t="shared" si="73"/>
        <v>0.49373881932021468</v>
      </c>
      <c r="U79" s="216"/>
    </row>
    <row r="80" spans="3:21" x14ac:dyDescent="0.25">
      <c r="C80" s="215" t="b">
        <v>1</v>
      </c>
      <c r="D80" s="183">
        <f t="shared" si="62"/>
        <v>46030</v>
      </c>
      <c r="E80" s="183">
        <f>E79+8</f>
        <v>46037</v>
      </c>
      <c r="F80" s="182">
        <v>76</v>
      </c>
      <c r="G80" s="188">
        <f t="shared" ref="G80:G82" si="81">(E80-D80+1)*$AT$5/$AT$9</f>
        <v>0.40189664624609373</v>
      </c>
      <c r="H80" s="188">
        <f t="shared" si="79"/>
        <v>4.6675715945713803</v>
      </c>
      <c r="I80" s="188">
        <f t="shared" ref="I80:I82" si="82">(E80-D80+1)*$AT$7/$AT$9</f>
        <v>0</v>
      </c>
      <c r="J80" s="188">
        <f t="shared" si="80"/>
        <v>20.360395997457104</v>
      </c>
      <c r="K80" s="188">
        <f t="shared" si="76"/>
        <v>-0.40189664624609373</v>
      </c>
      <c r="L80" s="231">
        <f t="shared" si="76"/>
        <v>15.692824402885723</v>
      </c>
      <c r="M80" s="232">
        <f t="shared" si="15"/>
        <v>547</v>
      </c>
      <c r="N80" s="184">
        <f t="shared" si="67"/>
        <v>0.50275735294117652</v>
      </c>
      <c r="O80" s="182">
        <f t="shared" si="68"/>
        <v>541</v>
      </c>
      <c r="P80" s="184">
        <f t="shared" si="69"/>
        <v>0.49724264705882354</v>
      </c>
      <c r="Q80" s="182">
        <f t="shared" si="70"/>
        <v>574</v>
      </c>
      <c r="R80" s="184">
        <f t="shared" si="71"/>
        <v>0.51341681574239717</v>
      </c>
      <c r="S80" s="182">
        <f t="shared" si="72"/>
        <v>544</v>
      </c>
      <c r="T80" s="184">
        <f t="shared" si="73"/>
        <v>0.48658318425760289</v>
      </c>
      <c r="U80" s="216"/>
    </row>
    <row r="81" spans="1:21" x14ac:dyDescent="0.25">
      <c r="C81" s="215" t="b">
        <v>1</v>
      </c>
      <c r="D81" s="183">
        <f>D80+8</f>
        <v>46038</v>
      </c>
      <c r="E81" s="183">
        <f>E80+8</f>
        <v>46045</v>
      </c>
      <c r="F81" s="182">
        <v>77</v>
      </c>
      <c r="G81" s="188">
        <f t="shared" si="81"/>
        <v>0.40189664624609373</v>
      </c>
      <c r="H81" s="188">
        <f t="shared" si="79"/>
        <v>5.069468240817474</v>
      </c>
      <c r="I81" s="188">
        <f t="shared" si="82"/>
        <v>0</v>
      </c>
      <c r="J81" s="188">
        <f t="shared" si="80"/>
        <v>20.360395997457104</v>
      </c>
      <c r="K81" s="188">
        <f t="shared" si="76"/>
        <v>-0.40189664624609373</v>
      </c>
      <c r="L81" s="231">
        <f t="shared" si="76"/>
        <v>15.290927756639629</v>
      </c>
      <c r="M81" s="232">
        <f t="shared" ref="M81:M93" si="83">E81-$E$8+1</f>
        <v>555</v>
      </c>
      <c r="N81" s="184">
        <f t="shared" si="67"/>
        <v>0.51011029411764708</v>
      </c>
      <c r="O81" s="182">
        <f t="shared" si="68"/>
        <v>533</v>
      </c>
      <c r="P81" s="184">
        <f t="shared" si="69"/>
        <v>0.48988970588235292</v>
      </c>
      <c r="Q81" s="182">
        <f t="shared" si="70"/>
        <v>582</v>
      </c>
      <c r="R81" s="184">
        <f t="shared" si="71"/>
        <v>0.52057245080500891</v>
      </c>
      <c r="S81" s="182">
        <f t="shared" si="72"/>
        <v>536</v>
      </c>
      <c r="T81" s="184">
        <f t="shared" si="73"/>
        <v>0.47942754919499103</v>
      </c>
      <c r="U81" s="216"/>
    </row>
    <row r="82" spans="1:21" x14ac:dyDescent="0.25">
      <c r="C82" s="215" t="b">
        <v>1</v>
      </c>
      <c r="D82" s="183">
        <f>D81+8</f>
        <v>46046</v>
      </c>
      <c r="E82" s="183">
        <f>E81+8</f>
        <v>46053</v>
      </c>
      <c r="F82" s="182">
        <v>78</v>
      </c>
      <c r="G82" s="188">
        <f t="shared" si="81"/>
        <v>0.40189664624609373</v>
      </c>
      <c r="H82" s="188">
        <f t="shared" si="79"/>
        <v>5.4713648870635678</v>
      </c>
      <c r="I82" s="188">
        <f t="shared" si="82"/>
        <v>0</v>
      </c>
      <c r="J82" s="188">
        <f t="shared" si="80"/>
        <v>20.360395997457104</v>
      </c>
      <c r="K82" s="188">
        <f t="shared" si="76"/>
        <v>-0.40189664624609373</v>
      </c>
      <c r="L82" s="231">
        <f t="shared" si="76"/>
        <v>14.889031110393535</v>
      </c>
      <c r="M82" s="232">
        <f t="shared" si="83"/>
        <v>563</v>
      </c>
      <c r="N82" s="184">
        <f t="shared" si="67"/>
        <v>0.51746323529411764</v>
      </c>
      <c r="O82" s="182">
        <f t="shared" si="68"/>
        <v>525</v>
      </c>
      <c r="P82" s="184">
        <f t="shared" si="69"/>
        <v>0.48253676470588236</v>
      </c>
      <c r="Q82" s="182">
        <f t="shared" si="70"/>
        <v>590</v>
      </c>
      <c r="R82" s="184">
        <f t="shared" si="71"/>
        <v>0.52772808586762077</v>
      </c>
      <c r="S82" s="182">
        <f t="shared" si="72"/>
        <v>528</v>
      </c>
      <c r="T82" s="184">
        <f t="shared" si="73"/>
        <v>0.47227191413237923</v>
      </c>
      <c r="U82" s="216"/>
    </row>
    <row r="83" spans="1:21" x14ac:dyDescent="0.25">
      <c r="C83" s="215" t="b">
        <v>1</v>
      </c>
      <c r="D83" s="183">
        <f>D82+8</f>
        <v>46054</v>
      </c>
      <c r="E83" s="183">
        <f t="shared" si="64"/>
        <v>46060</v>
      </c>
      <c r="F83" s="182">
        <v>79</v>
      </c>
      <c r="G83" s="188">
        <f>(E83-D83+1)*$AU$5/$AU$9</f>
        <v>0.40061490466245597</v>
      </c>
      <c r="H83" s="188">
        <f t="shared" si="79"/>
        <v>5.8719797917260239</v>
      </c>
      <c r="I83" s="188">
        <f>(E83-D83+1)*$AU$7/$AU$9</f>
        <v>0</v>
      </c>
      <c r="J83" s="188">
        <f t="shared" si="80"/>
        <v>20.360395997457104</v>
      </c>
      <c r="K83" s="188">
        <f t="shared" si="76"/>
        <v>-0.40061490466245597</v>
      </c>
      <c r="L83" s="231">
        <f t="shared" si="76"/>
        <v>14.488416205731081</v>
      </c>
      <c r="M83" s="232">
        <f t="shared" si="83"/>
        <v>570</v>
      </c>
      <c r="N83" s="184">
        <f t="shared" si="67"/>
        <v>0.52389705882352944</v>
      </c>
      <c r="O83" s="182">
        <f t="shared" si="68"/>
        <v>518</v>
      </c>
      <c r="P83" s="184">
        <f t="shared" si="69"/>
        <v>0.47610294117647056</v>
      </c>
      <c r="Q83" s="182">
        <f t="shared" si="70"/>
        <v>597</v>
      </c>
      <c r="R83" s="184">
        <f t="shared" si="71"/>
        <v>0.53398926654740608</v>
      </c>
      <c r="S83" s="182">
        <f t="shared" si="72"/>
        <v>521</v>
      </c>
      <c r="T83" s="184">
        <f t="shared" si="73"/>
        <v>0.46601073345259392</v>
      </c>
      <c r="U83" s="216"/>
    </row>
    <row r="84" spans="1:21" x14ac:dyDescent="0.25">
      <c r="C84" s="215" t="b">
        <v>1</v>
      </c>
      <c r="D84" s="183">
        <f t="shared" si="62"/>
        <v>46061</v>
      </c>
      <c r="E84" s="183">
        <f>E83+8</f>
        <v>46068</v>
      </c>
      <c r="F84" s="182">
        <v>80</v>
      </c>
      <c r="G84" s="188">
        <f t="shared" ref="G84:G86" si="84">(E84-D84+1)*$AU$5/$AU$9</f>
        <v>0.45784560532852109</v>
      </c>
      <c r="H84" s="188">
        <f t="shared" si="79"/>
        <v>6.3298253970545453</v>
      </c>
      <c r="I84" s="188">
        <f t="shared" ref="I84:I94" si="85">(E84-D84+1)*$AS$7/$AS$9</f>
        <v>0</v>
      </c>
      <c r="J84" s="188">
        <f t="shared" si="80"/>
        <v>20.360395997457104</v>
      </c>
      <c r="K84" s="188">
        <f t="shared" si="76"/>
        <v>-0.45784560532852109</v>
      </c>
      <c r="L84" s="231">
        <f t="shared" si="76"/>
        <v>14.030570600402559</v>
      </c>
      <c r="M84" s="232">
        <f t="shared" si="83"/>
        <v>578</v>
      </c>
      <c r="N84" s="184">
        <f t="shared" si="67"/>
        <v>0.53125</v>
      </c>
      <c r="O84" s="182">
        <f t="shared" si="68"/>
        <v>510</v>
      </c>
      <c r="P84" s="184">
        <f t="shared" si="69"/>
        <v>0.46875</v>
      </c>
      <c r="Q84" s="182">
        <f t="shared" si="70"/>
        <v>605</v>
      </c>
      <c r="R84" s="184">
        <f t="shared" si="71"/>
        <v>0.54114490161001794</v>
      </c>
      <c r="S84" s="182">
        <f t="shared" si="72"/>
        <v>513</v>
      </c>
      <c r="T84" s="184">
        <f t="shared" si="73"/>
        <v>0.45885509838998212</v>
      </c>
      <c r="U84" s="216"/>
    </row>
    <row r="85" spans="1:21" x14ac:dyDescent="0.25">
      <c r="C85" s="215" t="b">
        <v>1</v>
      </c>
      <c r="D85" s="183">
        <f>D84+8</f>
        <v>46069</v>
      </c>
      <c r="E85" s="183">
        <f>E84+8</f>
        <v>46076</v>
      </c>
      <c r="F85" s="182">
        <v>81</v>
      </c>
      <c r="G85" s="188">
        <f t="shared" si="84"/>
        <v>0.45784560532852109</v>
      </c>
      <c r="H85" s="188">
        <f t="shared" si="79"/>
        <v>6.7876710023830666</v>
      </c>
      <c r="I85" s="188">
        <f t="shared" si="85"/>
        <v>0</v>
      </c>
      <c r="J85" s="188">
        <f t="shared" si="80"/>
        <v>20.360395997457104</v>
      </c>
      <c r="K85" s="188">
        <f t="shared" si="76"/>
        <v>-0.45784560532852109</v>
      </c>
      <c r="L85" s="231">
        <f t="shared" si="76"/>
        <v>13.572724995074037</v>
      </c>
      <c r="M85" s="232">
        <f t="shared" si="83"/>
        <v>586</v>
      </c>
      <c r="N85" s="184">
        <f t="shared" si="67"/>
        <v>0.53860294117647056</v>
      </c>
      <c r="O85" s="182">
        <f t="shared" si="68"/>
        <v>502</v>
      </c>
      <c r="P85" s="184">
        <f t="shared" si="69"/>
        <v>0.46139705882352944</v>
      </c>
      <c r="Q85" s="182">
        <f t="shared" si="70"/>
        <v>613</v>
      </c>
      <c r="R85" s="184">
        <f t="shared" si="71"/>
        <v>0.54830053667262968</v>
      </c>
      <c r="S85" s="182">
        <f t="shared" si="72"/>
        <v>505</v>
      </c>
      <c r="T85" s="184">
        <f t="shared" si="73"/>
        <v>0.45169946332737032</v>
      </c>
      <c r="U85" s="216"/>
    </row>
    <row r="86" spans="1:21" x14ac:dyDescent="0.25">
      <c r="C86" s="215" t="b">
        <v>1</v>
      </c>
      <c r="D86" s="183">
        <f>D85+8</f>
        <v>46077</v>
      </c>
      <c r="E86" s="183">
        <f>E85+5</f>
        <v>46081</v>
      </c>
      <c r="F86" s="182">
        <v>82</v>
      </c>
      <c r="G86" s="188">
        <f t="shared" si="84"/>
        <v>0.28615350333032569</v>
      </c>
      <c r="H86" s="188">
        <f t="shared" si="79"/>
        <v>7.0738245057133922</v>
      </c>
      <c r="I86" s="188">
        <f t="shared" si="85"/>
        <v>0</v>
      </c>
      <c r="J86" s="188">
        <f t="shared" si="80"/>
        <v>20.360395997457104</v>
      </c>
      <c r="K86" s="188">
        <f t="shared" si="76"/>
        <v>-0.28615350333032569</v>
      </c>
      <c r="L86" s="231">
        <f t="shared" si="76"/>
        <v>13.286571491743711</v>
      </c>
      <c r="M86" s="232">
        <f t="shared" si="83"/>
        <v>591</v>
      </c>
      <c r="N86" s="184">
        <f t="shared" si="67"/>
        <v>0.54319852941176472</v>
      </c>
      <c r="O86" s="182">
        <f t="shared" si="68"/>
        <v>497</v>
      </c>
      <c r="P86" s="184">
        <f t="shared" si="69"/>
        <v>0.45680147058823528</v>
      </c>
      <c r="Q86" s="182">
        <f t="shared" si="70"/>
        <v>618</v>
      </c>
      <c r="R86" s="184">
        <f t="shared" si="71"/>
        <v>0.55277280858676203</v>
      </c>
      <c r="S86" s="182">
        <f t="shared" si="72"/>
        <v>500</v>
      </c>
      <c r="T86" s="184">
        <f t="shared" si="73"/>
        <v>0.44722719141323791</v>
      </c>
      <c r="U86" s="216"/>
    </row>
    <row r="87" spans="1:21" x14ac:dyDescent="0.25">
      <c r="C87" s="215" t="b">
        <v>1</v>
      </c>
      <c r="D87" s="183">
        <f>D86+5</f>
        <v>46082</v>
      </c>
      <c r="E87" s="183">
        <f>E86+7</f>
        <v>46088</v>
      </c>
      <c r="F87" s="182">
        <v>83</v>
      </c>
      <c r="G87" s="188">
        <f>(E87-D87+1)*$AV$5/$AV$9</f>
        <v>0.92955223469893156</v>
      </c>
      <c r="H87" s="188">
        <f t="shared" si="79"/>
        <v>8.0033767404123246</v>
      </c>
      <c r="I87" s="188">
        <v>0</v>
      </c>
      <c r="J87" s="188">
        <f t="shared" si="80"/>
        <v>20.360395997457104</v>
      </c>
      <c r="K87" s="188">
        <f t="shared" si="76"/>
        <v>-0.92955223469893156</v>
      </c>
      <c r="L87" s="231">
        <f t="shared" si="76"/>
        <v>12.357019257044779</v>
      </c>
      <c r="M87" s="232">
        <f t="shared" si="83"/>
        <v>598</v>
      </c>
      <c r="N87" s="184">
        <f t="shared" si="67"/>
        <v>0.54963235294117652</v>
      </c>
      <c r="O87" s="182">
        <f t="shared" si="68"/>
        <v>490</v>
      </c>
      <c r="P87" s="184">
        <f t="shared" si="69"/>
        <v>0.45036764705882354</v>
      </c>
      <c r="Q87" s="182">
        <f t="shared" si="70"/>
        <v>625</v>
      </c>
      <c r="R87" s="184">
        <f t="shared" si="71"/>
        <v>0.55903398926654746</v>
      </c>
      <c r="S87" s="182">
        <f t="shared" si="72"/>
        <v>493</v>
      </c>
      <c r="T87" s="184">
        <f t="shared" si="73"/>
        <v>0.4409660107334526</v>
      </c>
      <c r="U87" s="216"/>
    </row>
    <row r="88" spans="1:21" x14ac:dyDescent="0.25">
      <c r="C88" s="215" t="b">
        <v>1</v>
      </c>
      <c r="D88" s="183">
        <f>D87+7</f>
        <v>46089</v>
      </c>
      <c r="E88" s="183">
        <f>E87+8</f>
        <v>46096</v>
      </c>
      <c r="F88" s="182">
        <v>84</v>
      </c>
      <c r="G88" s="188">
        <f t="shared" ref="G88:G90" si="86">(E88-D88+1)*$AV$5/$AV$9</f>
        <v>1.0623454110844932</v>
      </c>
      <c r="H88" s="188">
        <f t="shared" si="79"/>
        <v>9.0657221514968178</v>
      </c>
      <c r="I88" s="188">
        <v>0</v>
      </c>
      <c r="J88" s="188">
        <f t="shared" si="80"/>
        <v>20.360395997457104</v>
      </c>
      <c r="K88" s="188">
        <f t="shared" si="76"/>
        <v>-1.0623454110844932</v>
      </c>
      <c r="L88" s="231">
        <f t="shared" si="76"/>
        <v>11.294673845960286</v>
      </c>
      <c r="M88" s="232">
        <f t="shared" si="83"/>
        <v>606</v>
      </c>
      <c r="N88" s="184">
        <f t="shared" si="67"/>
        <v>0.55698529411764708</v>
      </c>
      <c r="O88" s="182">
        <f t="shared" si="68"/>
        <v>482</v>
      </c>
      <c r="P88" s="184">
        <f t="shared" si="69"/>
        <v>0.44301470588235292</v>
      </c>
      <c r="Q88" s="182">
        <f t="shared" si="70"/>
        <v>633</v>
      </c>
      <c r="R88" s="184">
        <f t="shared" si="71"/>
        <v>0.5661896243291592</v>
      </c>
      <c r="S88" s="182">
        <f t="shared" si="72"/>
        <v>485</v>
      </c>
      <c r="T88" s="184">
        <f t="shared" si="73"/>
        <v>0.4338103756708408</v>
      </c>
      <c r="U88" s="216"/>
    </row>
    <row r="89" spans="1:21" s="897" customFormat="1" x14ac:dyDescent="0.25">
      <c r="A89" s="896" t="s">
        <v>913</v>
      </c>
      <c r="C89" s="898" t="b">
        <v>1</v>
      </c>
      <c r="D89" s="556">
        <f>D88+8</f>
        <v>46097</v>
      </c>
      <c r="E89" s="556">
        <f>E88+8</f>
        <v>46104</v>
      </c>
      <c r="F89" s="899">
        <v>85</v>
      </c>
      <c r="G89" s="900">
        <f t="shared" si="86"/>
        <v>1.0623454110844932</v>
      </c>
      <c r="H89" s="900">
        <f t="shared" si="79"/>
        <v>10.128067562581311</v>
      </c>
      <c r="I89" s="900">
        <v>2.7839999999999998</v>
      </c>
      <c r="J89" s="900">
        <f>I89+J88</f>
        <v>23.144395997457103</v>
      </c>
      <c r="K89" s="900">
        <f t="shared" si="76"/>
        <v>1.7216545889155066</v>
      </c>
      <c r="L89" s="901">
        <f t="shared" si="76"/>
        <v>13.016328434875792</v>
      </c>
      <c r="M89" s="902">
        <f t="shared" si="83"/>
        <v>614</v>
      </c>
      <c r="N89" s="903">
        <f t="shared" si="67"/>
        <v>0.56433823529411764</v>
      </c>
      <c r="O89" s="899">
        <f t="shared" si="68"/>
        <v>474</v>
      </c>
      <c r="P89" s="903">
        <f t="shared" si="69"/>
        <v>0.43566176470588236</v>
      </c>
      <c r="Q89" s="899">
        <f t="shared" si="70"/>
        <v>641</v>
      </c>
      <c r="R89" s="903">
        <f t="shared" si="71"/>
        <v>0.57334525939177106</v>
      </c>
      <c r="S89" s="899">
        <f t="shared" si="72"/>
        <v>477</v>
      </c>
      <c r="T89" s="903">
        <f t="shared" si="73"/>
        <v>0.426654740608229</v>
      </c>
      <c r="U89" s="904"/>
    </row>
    <row r="90" spans="1:21" x14ac:dyDescent="0.25">
      <c r="C90" s="215" t="b">
        <v>1</v>
      </c>
      <c r="D90" s="183">
        <f>D89+8</f>
        <v>46105</v>
      </c>
      <c r="E90" s="183">
        <f>E89+8</f>
        <v>46112</v>
      </c>
      <c r="F90" s="182">
        <v>86</v>
      </c>
      <c r="G90" s="188">
        <f t="shared" si="86"/>
        <v>1.0623454110844932</v>
      </c>
      <c r="H90" s="188">
        <f t="shared" si="79"/>
        <v>11.190412973665804</v>
      </c>
      <c r="I90" s="188">
        <v>0</v>
      </c>
      <c r="J90" s="188">
        <f t="shared" si="80"/>
        <v>23.144395997457103</v>
      </c>
      <c r="K90" s="188">
        <f t="shared" si="76"/>
        <v>-1.0623454110844932</v>
      </c>
      <c r="L90" s="231">
        <f t="shared" si="76"/>
        <v>11.953983023791299</v>
      </c>
      <c r="M90" s="232">
        <f t="shared" si="83"/>
        <v>622</v>
      </c>
      <c r="N90" s="184">
        <f t="shared" si="67"/>
        <v>0.5716911764705882</v>
      </c>
      <c r="O90" s="182">
        <f t="shared" si="68"/>
        <v>466</v>
      </c>
      <c r="P90" s="184">
        <f t="shared" si="69"/>
        <v>0.42830882352941174</v>
      </c>
      <c r="Q90" s="182">
        <f t="shared" si="70"/>
        <v>649</v>
      </c>
      <c r="R90" s="184">
        <f t="shared" si="71"/>
        <v>0.5805008944543828</v>
      </c>
      <c r="S90" s="182">
        <f t="shared" si="72"/>
        <v>469</v>
      </c>
      <c r="T90" s="184">
        <f t="shared" si="73"/>
        <v>0.41949910554561715</v>
      </c>
      <c r="U90" s="216"/>
    </row>
    <row r="91" spans="1:21" x14ac:dyDescent="0.25">
      <c r="C91" s="215" t="b">
        <v>1</v>
      </c>
      <c r="D91" s="183">
        <f>D90+8</f>
        <v>46113</v>
      </c>
      <c r="E91" s="183">
        <f t="shared" si="64"/>
        <v>46119</v>
      </c>
      <c r="F91" s="182">
        <v>87</v>
      </c>
      <c r="G91" s="188">
        <f>(E91-D91+1)*$AW$5/$AW$9</f>
        <v>0.83052731299818316</v>
      </c>
      <c r="H91" s="188">
        <f t="shared" si="79"/>
        <v>12.020940286663988</v>
      </c>
      <c r="I91" s="188">
        <f t="shared" si="85"/>
        <v>0</v>
      </c>
      <c r="J91" s="188">
        <f t="shared" si="80"/>
        <v>23.144395997457103</v>
      </c>
      <c r="K91" s="188">
        <f t="shared" si="76"/>
        <v>-0.83052731299818316</v>
      </c>
      <c r="L91" s="231">
        <f t="shared" si="76"/>
        <v>11.123455710793115</v>
      </c>
      <c r="M91" s="232">
        <f t="shared" si="83"/>
        <v>629</v>
      </c>
      <c r="N91" s="184">
        <f t="shared" si="67"/>
        <v>0.578125</v>
      </c>
      <c r="O91" s="182">
        <f t="shared" si="68"/>
        <v>459</v>
      </c>
      <c r="P91" s="184">
        <f t="shared" si="69"/>
        <v>0.421875</v>
      </c>
      <c r="Q91" s="182">
        <f t="shared" si="70"/>
        <v>656</v>
      </c>
      <c r="R91" s="184">
        <f t="shared" si="71"/>
        <v>0.58676207513416812</v>
      </c>
      <c r="S91" s="182">
        <f t="shared" si="72"/>
        <v>462</v>
      </c>
      <c r="T91" s="184">
        <f t="shared" si="73"/>
        <v>0.41323792486583183</v>
      </c>
      <c r="U91" s="216"/>
    </row>
    <row r="92" spans="1:21" x14ac:dyDescent="0.25">
      <c r="C92" s="215" t="b">
        <v>0</v>
      </c>
      <c r="D92" s="183">
        <f t="shared" si="62"/>
        <v>46120</v>
      </c>
      <c r="E92" s="183">
        <f>E91+8</f>
        <v>46127</v>
      </c>
      <c r="F92" s="182">
        <v>88</v>
      </c>
      <c r="G92" s="188">
        <f t="shared" ref="G92:G94" si="87">(E92-D92+1)*$AW$5/$AW$9</f>
        <v>0.94917407199792359</v>
      </c>
      <c r="H92" s="188">
        <f t="shared" si="79"/>
        <v>12.970114358661911</v>
      </c>
      <c r="I92" s="188">
        <f t="shared" si="85"/>
        <v>0</v>
      </c>
      <c r="J92" s="188">
        <f t="shared" si="80"/>
        <v>23.144395997457103</v>
      </c>
      <c r="K92" s="188">
        <f t="shared" si="76"/>
        <v>-0.94917407199792359</v>
      </c>
      <c r="L92" s="231">
        <f t="shared" si="76"/>
        <v>10.174281638795192</v>
      </c>
      <c r="M92" s="232">
        <f t="shared" si="83"/>
        <v>637</v>
      </c>
      <c r="N92" s="184">
        <f t="shared" si="67"/>
        <v>0.58547794117647056</v>
      </c>
      <c r="O92" s="182">
        <f t="shared" si="68"/>
        <v>451</v>
      </c>
      <c r="P92" s="184">
        <f t="shared" si="69"/>
        <v>0.41452205882352944</v>
      </c>
      <c r="Q92" s="182">
        <f t="shared" si="70"/>
        <v>664</v>
      </c>
      <c r="R92" s="184">
        <f t="shared" si="71"/>
        <v>0.59391771019677997</v>
      </c>
      <c r="S92" s="182">
        <f t="shared" si="72"/>
        <v>454</v>
      </c>
      <c r="T92" s="184">
        <f t="shared" si="73"/>
        <v>0.40608228980322003</v>
      </c>
      <c r="U92" s="216"/>
    </row>
    <row r="93" spans="1:21" x14ac:dyDescent="0.25">
      <c r="C93" s="215" t="b">
        <v>0</v>
      </c>
      <c r="D93" s="183">
        <f>D92+8</f>
        <v>46128</v>
      </c>
      <c r="E93" s="183">
        <f>E92+8</f>
        <v>46135</v>
      </c>
      <c r="F93" s="182">
        <v>89</v>
      </c>
      <c r="G93" s="188">
        <f t="shared" si="87"/>
        <v>0.94917407199792359</v>
      </c>
      <c r="H93" s="188">
        <f t="shared" si="79"/>
        <v>13.919288430659835</v>
      </c>
      <c r="I93" s="188">
        <f t="shared" si="85"/>
        <v>0</v>
      </c>
      <c r="J93" s="188">
        <f t="shared" si="80"/>
        <v>23.144395997457103</v>
      </c>
      <c r="K93" s="188">
        <f t="shared" si="76"/>
        <v>-0.94917407199792359</v>
      </c>
      <c r="L93" s="231">
        <f t="shared" si="76"/>
        <v>9.2251075667972682</v>
      </c>
      <c r="M93" s="232">
        <f t="shared" si="83"/>
        <v>645</v>
      </c>
      <c r="N93" s="184">
        <f t="shared" si="67"/>
        <v>0.59283088235294112</v>
      </c>
      <c r="O93" s="182">
        <f t="shared" si="68"/>
        <v>443</v>
      </c>
      <c r="P93" s="184">
        <f t="shared" si="69"/>
        <v>0.40716911764705882</v>
      </c>
      <c r="Q93" s="182">
        <f t="shared" si="70"/>
        <v>672</v>
      </c>
      <c r="R93" s="184">
        <f t="shared" si="71"/>
        <v>0.60107334525939182</v>
      </c>
      <c r="S93" s="182">
        <f t="shared" si="72"/>
        <v>446</v>
      </c>
      <c r="T93" s="184">
        <f t="shared" si="73"/>
        <v>0.39892665474060823</v>
      </c>
      <c r="U93" s="216"/>
    </row>
    <row r="94" spans="1:21" x14ac:dyDescent="0.25">
      <c r="C94" s="215" t="b">
        <v>0</v>
      </c>
      <c r="D94" s="183">
        <f>D93+8</f>
        <v>46136</v>
      </c>
      <c r="E94" s="183">
        <f>E93+7</f>
        <v>46142</v>
      </c>
      <c r="F94" s="182">
        <v>90</v>
      </c>
      <c r="G94" s="188">
        <f t="shared" si="87"/>
        <v>0.83052731299818316</v>
      </c>
      <c r="H94" s="188">
        <f t="shared" si="79"/>
        <v>14.749815743658019</v>
      </c>
      <c r="I94" s="188">
        <f t="shared" si="85"/>
        <v>0</v>
      </c>
      <c r="J94" s="188">
        <f t="shared" si="80"/>
        <v>23.144395997457103</v>
      </c>
      <c r="K94" s="188">
        <f t="shared" si="76"/>
        <v>-0.83052731299818316</v>
      </c>
      <c r="L94" s="231">
        <f t="shared" si="76"/>
        <v>8.3945802537990843</v>
      </c>
      <c r="M94" s="232">
        <f>E94-$E$8+1</f>
        <v>652</v>
      </c>
      <c r="N94" s="184">
        <f t="shared" si="67"/>
        <v>0.59926470588235292</v>
      </c>
      <c r="O94" s="182">
        <f t="shared" si="68"/>
        <v>436</v>
      </c>
      <c r="P94" s="184">
        <f t="shared" si="69"/>
        <v>0.40073529411764708</v>
      </c>
      <c r="Q94" s="182">
        <f t="shared" si="70"/>
        <v>679</v>
      </c>
      <c r="R94" s="184">
        <f t="shared" si="71"/>
        <v>0.60733452593917714</v>
      </c>
      <c r="S94" s="182">
        <f t="shared" si="72"/>
        <v>439</v>
      </c>
      <c r="T94" s="184">
        <f t="shared" si="73"/>
        <v>0.39266547406082292</v>
      </c>
      <c r="U94" s="216"/>
    </row>
    <row r="95" spans="1:21" x14ac:dyDescent="0.25">
      <c r="C95" s="215" t="b">
        <v>0</v>
      </c>
      <c r="D95" s="183">
        <f t="shared" si="62"/>
        <v>46143</v>
      </c>
      <c r="E95" s="183">
        <f t="shared" si="64"/>
        <v>46149</v>
      </c>
      <c r="F95" s="182">
        <v>91</v>
      </c>
      <c r="G95" s="188">
        <f>(E95-D95+1)*$AX$5/$AX$9</f>
        <v>0.72234457977264677</v>
      </c>
      <c r="H95" s="188">
        <f t="shared" ref="H95:H102" si="88">G95+H94</f>
        <v>15.472160323430666</v>
      </c>
      <c r="I95" s="188">
        <f t="shared" ref="I95:I102" si="89">(E95-D95+1)*$AS$7/$AS$9</f>
        <v>0</v>
      </c>
      <c r="J95" s="188">
        <f t="shared" ref="J95:J102" si="90">I95+J94</f>
        <v>23.144395997457103</v>
      </c>
      <c r="K95" s="188">
        <f t="shared" si="76"/>
        <v>-0.72234457977264677</v>
      </c>
      <c r="L95" s="231">
        <f t="shared" si="76"/>
        <v>7.672235674026437</v>
      </c>
      <c r="M95" s="232">
        <f t="shared" ref="M95:M128" si="91">E95-$E$8+1</f>
        <v>659</v>
      </c>
      <c r="N95" s="184">
        <f t="shared" si="67"/>
        <v>0.60569852941176472</v>
      </c>
      <c r="O95" s="182">
        <f t="shared" si="68"/>
        <v>429</v>
      </c>
      <c r="P95" s="184">
        <f t="shared" si="69"/>
        <v>0.39430147058823528</v>
      </c>
      <c r="Q95" s="182">
        <f t="shared" si="70"/>
        <v>686</v>
      </c>
      <c r="R95" s="184">
        <f t="shared" si="71"/>
        <v>0.61359570661896246</v>
      </c>
      <c r="S95" s="182">
        <f t="shared" si="72"/>
        <v>432</v>
      </c>
      <c r="T95" s="184">
        <f t="shared" si="73"/>
        <v>0.38640429338103754</v>
      </c>
      <c r="U95" s="216"/>
    </row>
    <row r="96" spans="1:21" x14ac:dyDescent="0.25">
      <c r="C96" s="215" t="b">
        <v>0</v>
      </c>
      <c r="D96" s="183">
        <f t="shared" si="62"/>
        <v>46150</v>
      </c>
      <c r="E96" s="183">
        <f>E95+8</f>
        <v>46157</v>
      </c>
      <c r="F96" s="182">
        <v>92</v>
      </c>
      <c r="G96" s="188">
        <f t="shared" ref="G96:G98" si="92">(E96-D96+1)*$AX$5/$AX$9</f>
        <v>0.82553666259731062</v>
      </c>
      <c r="H96" s="188">
        <f t="shared" si="88"/>
        <v>16.297696986027976</v>
      </c>
      <c r="I96" s="188">
        <f t="shared" si="89"/>
        <v>0</v>
      </c>
      <c r="J96" s="188">
        <f t="shared" si="90"/>
        <v>23.144395997457103</v>
      </c>
      <c r="K96" s="188">
        <f t="shared" si="76"/>
        <v>-0.82553666259731062</v>
      </c>
      <c r="L96" s="231">
        <f t="shared" si="76"/>
        <v>6.8466990114291271</v>
      </c>
      <c r="M96" s="232">
        <f t="shared" si="91"/>
        <v>667</v>
      </c>
      <c r="N96" s="184">
        <f t="shared" si="67"/>
        <v>0.61305147058823528</v>
      </c>
      <c r="O96" s="182">
        <f t="shared" si="68"/>
        <v>421</v>
      </c>
      <c r="P96" s="184">
        <f t="shared" si="69"/>
        <v>0.38694852941176472</v>
      </c>
      <c r="Q96" s="182">
        <f t="shared" si="70"/>
        <v>694</v>
      </c>
      <c r="R96" s="184">
        <f t="shared" si="71"/>
        <v>0.6207513416815742</v>
      </c>
      <c r="S96" s="182">
        <f t="shared" si="72"/>
        <v>424</v>
      </c>
      <c r="T96" s="184">
        <f t="shared" si="73"/>
        <v>0.37924865831842575</v>
      </c>
      <c r="U96" s="216"/>
    </row>
    <row r="97" spans="3:21" x14ac:dyDescent="0.25">
      <c r="C97" s="215" t="b">
        <v>0</v>
      </c>
      <c r="D97" s="183">
        <f>D96+8</f>
        <v>46158</v>
      </c>
      <c r="E97" s="183">
        <f>E96+8</f>
        <v>46165</v>
      </c>
      <c r="F97" s="182">
        <v>93</v>
      </c>
      <c r="G97" s="188">
        <f t="shared" si="92"/>
        <v>0.82553666259731062</v>
      </c>
      <c r="H97" s="188">
        <f t="shared" si="88"/>
        <v>17.123233648625288</v>
      </c>
      <c r="I97" s="188">
        <f t="shared" si="89"/>
        <v>0</v>
      </c>
      <c r="J97" s="188">
        <f t="shared" si="90"/>
        <v>23.144395997457103</v>
      </c>
      <c r="K97" s="188">
        <f t="shared" si="76"/>
        <v>-0.82553666259731062</v>
      </c>
      <c r="L97" s="231">
        <f t="shared" si="76"/>
        <v>6.0211623488318153</v>
      </c>
      <c r="M97" s="232">
        <f t="shared" si="91"/>
        <v>675</v>
      </c>
      <c r="N97" s="184">
        <f t="shared" si="67"/>
        <v>0.62040441176470584</v>
      </c>
      <c r="O97" s="182">
        <f t="shared" si="68"/>
        <v>413</v>
      </c>
      <c r="P97" s="184">
        <f t="shared" si="69"/>
        <v>0.3795955882352941</v>
      </c>
      <c r="Q97" s="182">
        <f t="shared" si="70"/>
        <v>702</v>
      </c>
      <c r="R97" s="184">
        <f t="shared" si="71"/>
        <v>0.62790697674418605</v>
      </c>
      <c r="S97" s="182">
        <f t="shared" si="72"/>
        <v>416</v>
      </c>
      <c r="T97" s="184">
        <f t="shared" si="73"/>
        <v>0.37209302325581395</v>
      </c>
      <c r="U97" s="216"/>
    </row>
    <row r="98" spans="3:21" x14ac:dyDescent="0.25">
      <c r="C98" s="215" t="b">
        <v>0</v>
      </c>
      <c r="D98" s="183">
        <f>D97+8</f>
        <v>46166</v>
      </c>
      <c r="E98" s="183">
        <f>E97+8</f>
        <v>46173</v>
      </c>
      <c r="F98" s="182">
        <v>94</v>
      </c>
      <c r="G98" s="188">
        <f t="shared" si="92"/>
        <v>0.82553666259731062</v>
      </c>
      <c r="H98" s="188">
        <f t="shared" si="88"/>
        <v>17.948770311222599</v>
      </c>
      <c r="I98" s="188">
        <f t="shared" si="89"/>
        <v>0</v>
      </c>
      <c r="J98" s="188">
        <f t="shared" si="90"/>
        <v>23.144395997457103</v>
      </c>
      <c r="K98" s="188">
        <f t="shared" si="76"/>
        <v>-0.82553666259731062</v>
      </c>
      <c r="L98" s="231">
        <f t="shared" si="76"/>
        <v>5.1956256862345036</v>
      </c>
      <c r="M98" s="232">
        <f t="shared" si="91"/>
        <v>683</v>
      </c>
      <c r="N98" s="184">
        <f t="shared" si="67"/>
        <v>0.62775735294117652</v>
      </c>
      <c r="O98" s="182">
        <f t="shared" si="68"/>
        <v>405</v>
      </c>
      <c r="P98" s="184">
        <f t="shared" si="69"/>
        <v>0.37224264705882354</v>
      </c>
      <c r="Q98" s="182">
        <f t="shared" si="70"/>
        <v>710</v>
      </c>
      <c r="R98" s="184">
        <f t="shared" si="71"/>
        <v>0.63506261180679791</v>
      </c>
      <c r="S98" s="182">
        <f t="shared" si="72"/>
        <v>408</v>
      </c>
      <c r="T98" s="184">
        <f t="shared" si="73"/>
        <v>0.36493738819320215</v>
      </c>
      <c r="U98" s="216"/>
    </row>
    <row r="99" spans="3:21" x14ac:dyDescent="0.25">
      <c r="C99" s="215" t="b">
        <v>0</v>
      </c>
      <c r="D99" s="183">
        <f>D98+8</f>
        <v>46174</v>
      </c>
      <c r="E99" s="183">
        <f t="shared" si="64"/>
        <v>46180</v>
      </c>
      <c r="F99" s="182">
        <v>95</v>
      </c>
      <c r="G99" s="188">
        <f>(E99-D99+1)*$AY$5/$AY$9</f>
        <v>0.95764527635484087</v>
      </c>
      <c r="H99" s="188">
        <f t="shared" si="88"/>
        <v>18.906415587577442</v>
      </c>
      <c r="I99" s="188">
        <f t="shared" si="89"/>
        <v>0</v>
      </c>
      <c r="J99" s="188">
        <f t="shared" si="90"/>
        <v>23.144395997457103</v>
      </c>
      <c r="K99" s="188">
        <f t="shared" si="76"/>
        <v>-0.95764527635484087</v>
      </c>
      <c r="L99" s="231">
        <f t="shared" si="76"/>
        <v>4.2379804098796612</v>
      </c>
      <c r="M99" s="232">
        <f t="shared" si="91"/>
        <v>690</v>
      </c>
      <c r="N99" s="184">
        <f t="shared" si="67"/>
        <v>0.6341911764705882</v>
      </c>
      <c r="O99" s="182">
        <f t="shared" si="68"/>
        <v>398</v>
      </c>
      <c r="P99" s="184">
        <f t="shared" si="69"/>
        <v>0.36580882352941174</v>
      </c>
      <c r="Q99" s="182">
        <f t="shared" si="70"/>
        <v>717</v>
      </c>
      <c r="R99" s="184">
        <f t="shared" si="71"/>
        <v>0.64132379248658322</v>
      </c>
      <c r="S99" s="182">
        <f t="shared" si="72"/>
        <v>401</v>
      </c>
      <c r="T99" s="184">
        <f t="shared" si="73"/>
        <v>0.35867620751341683</v>
      </c>
      <c r="U99" s="216"/>
    </row>
    <row r="100" spans="3:21" x14ac:dyDescent="0.25">
      <c r="C100" s="215" t="b">
        <v>0</v>
      </c>
      <c r="D100" s="183">
        <f t="shared" si="62"/>
        <v>46181</v>
      </c>
      <c r="E100" s="183">
        <f>E99+8</f>
        <v>46188</v>
      </c>
      <c r="F100" s="182">
        <v>96</v>
      </c>
      <c r="G100" s="188">
        <f t="shared" ref="G100:G102" si="93">(E100-D100+1)*$AY$5/$AY$9</f>
        <v>1.0944517444055324</v>
      </c>
      <c r="H100" s="188">
        <f t="shared" si="88"/>
        <v>20.000867331982974</v>
      </c>
      <c r="I100" s="188">
        <f t="shared" si="89"/>
        <v>0</v>
      </c>
      <c r="J100" s="188">
        <f t="shared" si="90"/>
        <v>23.144395997457103</v>
      </c>
      <c r="K100" s="188">
        <f t="shared" si="76"/>
        <v>-1.0944517444055324</v>
      </c>
      <c r="L100" s="231">
        <f t="shared" si="76"/>
        <v>3.143528665474129</v>
      </c>
      <c r="M100" s="232">
        <f t="shared" si="91"/>
        <v>698</v>
      </c>
      <c r="N100" s="184">
        <f t="shared" si="67"/>
        <v>0.64154411764705888</v>
      </c>
      <c r="O100" s="182">
        <f t="shared" si="68"/>
        <v>390</v>
      </c>
      <c r="P100" s="184">
        <f t="shared" si="69"/>
        <v>0.35845588235294118</v>
      </c>
      <c r="Q100" s="182">
        <f t="shared" si="70"/>
        <v>725</v>
      </c>
      <c r="R100" s="184">
        <f t="shared" si="71"/>
        <v>0.64847942754919496</v>
      </c>
      <c r="S100" s="182">
        <f t="shared" si="72"/>
        <v>393</v>
      </c>
      <c r="T100" s="184">
        <f t="shared" si="73"/>
        <v>0.35152057245080504</v>
      </c>
      <c r="U100" s="216"/>
    </row>
    <row r="101" spans="3:21" x14ac:dyDescent="0.25">
      <c r="C101" s="215" t="b">
        <v>0</v>
      </c>
      <c r="D101" s="183">
        <f>D100+8</f>
        <v>46189</v>
      </c>
      <c r="E101" s="183">
        <f>E100+8</f>
        <v>46196</v>
      </c>
      <c r="F101" s="182">
        <v>97</v>
      </c>
      <c r="G101" s="188">
        <f t="shared" si="93"/>
        <v>1.0944517444055324</v>
      </c>
      <c r="H101" s="188">
        <f t="shared" si="88"/>
        <v>21.095319076388506</v>
      </c>
      <c r="I101" s="188">
        <f t="shared" si="89"/>
        <v>0</v>
      </c>
      <c r="J101" s="188">
        <f t="shared" si="90"/>
        <v>23.144395997457103</v>
      </c>
      <c r="K101" s="188">
        <f t="shared" si="76"/>
        <v>-1.0944517444055324</v>
      </c>
      <c r="L101" s="231">
        <f t="shared" si="76"/>
        <v>2.0490769210685968</v>
      </c>
      <c r="M101" s="232">
        <f t="shared" si="91"/>
        <v>706</v>
      </c>
      <c r="N101" s="184">
        <f t="shared" si="67"/>
        <v>0.64889705882352944</v>
      </c>
      <c r="O101" s="182">
        <f t="shared" si="68"/>
        <v>382</v>
      </c>
      <c r="P101" s="184">
        <f t="shared" si="69"/>
        <v>0.35110294117647056</v>
      </c>
      <c r="Q101" s="182">
        <f t="shared" si="70"/>
        <v>733</v>
      </c>
      <c r="R101" s="184">
        <f t="shared" si="71"/>
        <v>0.65563506261180682</v>
      </c>
      <c r="S101" s="182">
        <f t="shared" si="72"/>
        <v>385</v>
      </c>
      <c r="T101" s="184">
        <f t="shared" si="73"/>
        <v>0.34436493738819318</v>
      </c>
      <c r="U101" s="216"/>
    </row>
    <row r="102" spans="3:21" x14ac:dyDescent="0.25">
      <c r="C102" s="215" t="b">
        <v>0</v>
      </c>
      <c r="D102" s="183">
        <f>D101+8</f>
        <v>46197</v>
      </c>
      <c r="E102" s="183">
        <f t="shared" si="64"/>
        <v>46203</v>
      </c>
      <c r="F102" s="182">
        <v>98</v>
      </c>
      <c r="G102" s="188">
        <f t="shared" si="93"/>
        <v>0.95764527635484087</v>
      </c>
      <c r="H102" s="188">
        <f t="shared" si="88"/>
        <v>22.052964352743349</v>
      </c>
      <c r="I102" s="188">
        <f t="shared" si="89"/>
        <v>0</v>
      </c>
      <c r="J102" s="188">
        <f t="shared" si="90"/>
        <v>23.144395997457103</v>
      </c>
      <c r="K102" s="188">
        <f t="shared" si="76"/>
        <v>-0.95764527635484087</v>
      </c>
      <c r="L102" s="231">
        <f t="shared" si="76"/>
        <v>1.0914316447137544</v>
      </c>
      <c r="M102" s="232">
        <f t="shared" si="91"/>
        <v>713</v>
      </c>
      <c r="N102" s="184">
        <f t="shared" si="67"/>
        <v>0.65533088235294112</v>
      </c>
      <c r="O102" s="182">
        <f t="shared" si="68"/>
        <v>375</v>
      </c>
      <c r="P102" s="184">
        <f t="shared" si="69"/>
        <v>0.34466911764705882</v>
      </c>
      <c r="Q102" s="182">
        <f t="shared" si="70"/>
        <v>740</v>
      </c>
      <c r="R102" s="184">
        <f t="shared" si="71"/>
        <v>0.66189624329159213</v>
      </c>
      <c r="S102" s="182">
        <f t="shared" si="72"/>
        <v>378</v>
      </c>
      <c r="T102" s="184">
        <f t="shared" si="73"/>
        <v>0.33810375670840787</v>
      </c>
      <c r="U102" s="216"/>
    </row>
    <row r="103" spans="3:21" x14ac:dyDescent="0.25">
      <c r="C103" s="215" t="b">
        <v>0</v>
      </c>
      <c r="D103" s="183">
        <f t="shared" si="62"/>
        <v>46204</v>
      </c>
      <c r="E103" s="183">
        <f t="shared" si="64"/>
        <v>46210</v>
      </c>
      <c r="F103" s="182">
        <v>99</v>
      </c>
      <c r="G103" s="188">
        <f>(E103-D103+1)*$AZ$5/$AZ$9</f>
        <v>1.1312371383307172</v>
      </c>
      <c r="H103" s="188">
        <f t="shared" ref="H103:H106" si="94">G103+H102</f>
        <v>23.184201491074067</v>
      </c>
      <c r="I103" s="188">
        <f t="shared" ref="I103:I106" si="95">(E103-D103+1)*$AS$7/$AS$9</f>
        <v>0</v>
      </c>
      <c r="J103" s="188">
        <f t="shared" ref="J103:J106" si="96">I103+J102</f>
        <v>23.144395997457103</v>
      </c>
      <c r="K103" s="188">
        <f t="shared" si="76"/>
        <v>-1.1312371383307172</v>
      </c>
      <c r="L103" s="231">
        <f t="shared" si="76"/>
        <v>-3.9805493616963616E-2</v>
      </c>
      <c r="M103" s="232">
        <f t="shared" si="91"/>
        <v>720</v>
      </c>
      <c r="N103" s="184">
        <f t="shared" si="67"/>
        <v>0.66176470588235292</v>
      </c>
      <c r="O103" s="182">
        <f t="shared" si="68"/>
        <v>368</v>
      </c>
      <c r="P103" s="184">
        <f t="shared" si="69"/>
        <v>0.33823529411764708</v>
      </c>
      <c r="Q103" s="182">
        <f t="shared" si="70"/>
        <v>747</v>
      </c>
      <c r="R103" s="184">
        <f t="shared" si="71"/>
        <v>0.66815742397137745</v>
      </c>
      <c r="S103" s="182">
        <f t="shared" si="72"/>
        <v>371</v>
      </c>
      <c r="T103" s="184">
        <f t="shared" si="73"/>
        <v>0.33184257602862255</v>
      </c>
      <c r="U103" s="216"/>
    </row>
    <row r="104" spans="3:21" x14ac:dyDescent="0.25">
      <c r="C104" s="215" t="b">
        <v>0</v>
      </c>
      <c r="D104" s="183">
        <f t="shared" si="62"/>
        <v>46211</v>
      </c>
      <c r="E104" s="183">
        <f>E103+8</f>
        <v>46218</v>
      </c>
      <c r="F104" s="182">
        <v>100</v>
      </c>
      <c r="G104" s="188">
        <f t="shared" ref="G104:G106" si="97">(E104-D104+1)*$AZ$5/$AZ$9</f>
        <v>1.2928424438065338</v>
      </c>
      <c r="H104" s="188">
        <f t="shared" si="94"/>
        <v>24.477043934880601</v>
      </c>
      <c r="I104" s="188">
        <f t="shared" si="95"/>
        <v>0</v>
      </c>
      <c r="J104" s="188">
        <f t="shared" si="96"/>
        <v>23.144395997457103</v>
      </c>
      <c r="K104" s="188">
        <f t="shared" si="76"/>
        <v>-1.2928424438065338</v>
      </c>
      <c r="L104" s="231">
        <f t="shared" si="76"/>
        <v>-1.3326479374234985</v>
      </c>
      <c r="M104" s="232">
        <f t="shared" si="91"/>
        <v>728</v>
      </c>
      <c r="N104" s="184">
        <f t="shared" si="67"/>
        <v>0.66911764705882348</v>
      </c>
      <c r="O104" s="182">
        <f t="shared" si="68"/>
        <v>360</v>
      </c>
      <c r="P104" s="184">
        <f t="shared" si="69"/>
        <v>0.33088235294117646</v>
      </c>
      <c r="Q104" s="182">
        <f t="shared" si="70"/>
        <v>755</v>
      </c>
      <c r="R104" s="184">
        <f t="shared" si="71"/>
        <v>0.6753130590339893</v>
      </c>
      <c r="S104" s="182">
        <f t="shared" si="72"/>
        <v>363</v>
      </c>
      <c r="T104" s="184">
        <f t="shared" si="73"/>
        <v>0.32468694096601075</v>
      </c>
      <c r="U104" s="216"/>
    </row>
    <row r="105" spans="3:21" x14ac:dyDescent="0.25">
      <c r="C105" s="215" t="b">
        <v>0</v>
      </c>
      <c r="D105" s="183">
        <f>D104+8</f>
        <v>46219</v>
      </c>
      <c r="E105" s="183">
        <f>E104+8</f>
        <v>46226</v>
      </c>
      <c r="F105" s="182">
        <v>101</v>
      </c>
      <c r="G105" s="188">
        <f t="shared" si="97"/>
        <v>1.2928424438065338</v>
      </c>
      <c r="H105" s="188">
        <f t="shared" si="94"/>
        <v>25.769886378687136</v>
      </c>
      <c r="I105" s="188">
        <f t="shared" si="95"/>
        <v>0</v>
      </c>
      <c r="J105" s="188">
        <f t="shared" si="96"/>
        <v>23.144395997457103</v>
      </c>
      <c r="K105" s="188">
        <f t="shared" si="76"/>
        <v>-1.2928424438065338</v>
      </c>
      <c r="L105" s="231">
        <f t="shared" si="76"/>
        <v>-2.6254903812300334</v>
      </c>
      <c r="M105" s="232">
        <f t="shared" si="91"/>
        <v>736</v>
      </c>
      <c r="N105" s="184">
        <f t="shared" si="67"/>
        <v>0.67647058823529416</v>
      </c>
      <c r="O105" s="182">
        <f t="shared" si="68"/>
        <v>352</v>
      </c>
      <c r="P105" s="184">
        <f t="shared" si="69"/>
        <v>0.3235294117647059</v>
      </c>
      <c r="Q105" s="182">
        <f t="shared" si="70"/>
        <v>763</v>
      </c>
      <c r="R105" s="184">
        <f t="shared" si="71"/>
        <v>0.68246869409660105</v>
      </c>
      <c r="S105" s="182">
        <f t="shared" si="72"/>
        <v>355</v>
      </c>
      <c r="T105" s="184">
        <f t="shared" si="73"/>
        <v>0.31753130590339895</v>
      </c>
      <c r="U105" s="216"/>
    </row>
    <row r="106" spans="3:21" x14ac:dyDescent="0.25">
      <c r="C106" s="215" t="b">
        <v>0</v>
      </c>
      <c r="D106" s="183">
        <f>D105+8</f>
        <v>46227</v>
      </c>
      <c r="E106" s="183">
        <f>E105+8</f>
        <v>46234</v>
      </c>
      <c r="F106" s="182">
        <v>102</v>
      </c>
      <c r="G106" s="188">
        <f t="shared" si="97"/>
        <v>1.2928424438065338</v>
      </c>
      <c r="H106" s="188">
        <f t="shared" si="94"/>
        <v>27.062728822493671</v>
      </c>
      <c r="I106" s="188">
        <f t="shared" si="95"/>
        <v>0</v>
      </c>
      <c r="J106" s="188">
        <f t="shared" si="96"/>
        <v>23.144395997457103</v>
      </c>
      <c r="K106" s="188">
        <f t="shared" si="76"/>
        <v>-1.2928424438065338</v>
      </c>
      <c r="L106" s="231">
        <f t="shared" si="76"/>
        <v>-3.9183328250365683</v>
      </c>
      <c r="M106" s="232">
        <f t="shared" si="91"/>
        <v>744</v>
      </c>
      <c r="N106" s="184">
        <f t="shared" si="67"/>
        <v>0.68382352941176472</v>
      </c>
      <c r="O106" s="182">
        <f t="shared" si="68"/>
        <v>344</v>
      </c>
      <c r="P106" s="184">
        <f t="shared" si="69"/>
        <v>0.31617647058823528</v>
      </c>
      <c r="Q106" s="182">
        <f t="shared" si="70"/>
        <v>771</v>
      </c>
      <c r="R106" s="184">
        <f t="shared" si="71"/>
        <v>0.6896243291592129</v>
      </c>
      <c r="S106" s="182">
        <f t="shared" si="72"/>
        <v>347</v>
      </c>
      <c r="T106" s="184">
        <f t="shared" si="73"/>
        <v>0.3103756708407871</v>
      </c>
      <c r="U106" s="216"/>
    </row>
    <row r="107" spans="3:21" x14ac:dyDescent="0.25">
      <c r="C107" s="215" t="b">
        <v>0</v>
      </c>
      <c r="D107" s="183">
        <f>D106+8</f>
        <v>46235</v>
      </c>
      <c r="E107" s="183">
        <f>E106+7</f>
        <v>46241</v>
      </c>
      <c r="F107" s="182">
        <v>103</v>
      </c>
      <c r="G107" s="188">
        <f>(E107-D107+1)*$BA$5/$BA$9</f>
        <v>1.1875034482082114</v>
      </c>
      <c r="H107" s="188">
        <f t="shared" ref="H107:H110" si="98">G107+H106</f>
        <v>28.250232270701883</v>
      </c>
      <c r="I107" s="188">
        <f t="shared" ref="I107:I110" si="99">(E107-D107+1)*$AS$7/$AS$9</f>
        <v>0</v>
      </c>
      <c r="J107" s="188">
        <f t="shared" ref="J107:J110" si="100">I107+J106</f>
        <v>23.144395997457103</v>
      </c>
      <c r="K107" s="188">
        <f t="shared" si="76"/>
        <v>-1.1875034482082114</v>
      </c>
      <c r="L107" s="231">
        <f t="shared" si="76"/>
        <v>-5.1058362732447797</v>
      </c>
      <c r="M107" s="232">
        <f t="shared" si="91"/>
        <v>751</v>
      </c>
      <c r="N107" s="184">
        <f t="shared" si="67"/>
        <v>0.69025735294117652</v>
      </c>
      <c r="O107" s="182">
        <f t="shared" si="68"/>
        <v>337</v>
      </c>
      <c r="P107" s="184">
        <f t="shared" si="69"/>
        <v>0.30974264705882354</v>
      </c>
      <c r="Q107" s="182">
        <f t="shared" si="70"/>
        <v>778</v>
      </c>
      <c r="R107" s="184">
        <f t="shared" si="71"/>
        <v>0.69588550983899822</v>
      </c>
      <c r="S107" s="182">
        <f t="shared" si="72"/>
        <v>340</v>
      </c>
      <c r="T107" s="184">
        <f t="shared" si="73"/>
        <v>0.30411449016100178</v>
      </c>
      <c r="U107" s="216"/>
    </row>
    <row r="108" spans="3:21" x14ac:dyDescent="0.25">
      <c r="C108" s="215" t="b">
        <v>0</v>
      </c>
      <c r="D108" s="183">
        <f t="shared" si="62"/>
        <v>46242</v>
      </c>
      <c r="E108" s="183">
        <f>E107+8</f>
        <v>46249</v>
      </c>
      <c r="F108" s="182">
        <v>104</v>
      </c>
      <c r="G108" s="188">
        <f t="shared" ref="G108:G110" si="101">(E108-D108+1)*$BA$5/$BA$9</f>
        <v>1.3571467979522416</v>
      </c>
      <c r="H108" s="188">
        <f t="shared" si="98"/>
        <v>29.607379068654126</v>
      </c>
      <c r="I108" s="188">
        <f t="shared" si="99"/>
        <v>0</v>
      </c>
      <c r="J108" s="188">
        <f t="shared" si="100"/>
        <v>23.144395997457103</v>
      </c>
      <c r="K108" s="188">
        <f t="shared" si="76"/>
        <v>-1.3571467979522416</v>
      </c>
      <c r="L108" s="231">
        <f t="shared" si="76"/>
        <v>-6.4629830711970229</v>
      </c>
      <c r="M108" s="232">
        <f t="shared" si="91"/>
        <v>759</v>
      </c>
      <c r="N108" s="184">
        <f t="shared" si="67"/>
        <v>0.69761029411764708</v>
      </c>
      <c r="O108" s="182">
        <f t="shared" si="68"/>
        <v>329</v>
      </c>
      <c r="P108" s="184">
        <f t="shared" si="69"/>
        <v>0.30238970588235292</v>
      </c>
      <c r="Q108" s="182">
        <f t="shared" si="70"/>
        <v>786</v>
      </c>
      <c r="R108" s="184">
        <f t="shared" si="71"/>
        <v>0.70304114490161007</v>
      </c>
      <c r="S108" s="182">
        <f t="shared" si="72"/>
        <v>332</v>
      </c>
      <c r="T108" s="184">
        <f t="shared" si="73"/>
        <v>0.29695885509838998</v>
      </c>
      <c r="U108" s="216"/>
    </row>
    <row r="109" spans="3:21" x14ac:dyDescent="0.25">
      <c r="C109" s="215" t="b">
        <v>0</v>
      </c>
      <c r="D109" s="183">
        <f>D108+8</f>
        <v>46250</v>
      </c>
      <c r="E109" s="183">
        <f>E108+8</f>
        <v>46257</v>
      </c>
      <c r="F109" s="182">
        <v>105</v>
      </c>
      <c r="G109" s="188">
        <f t="shared" si="101"/>
        <v>1.3571467979522416</v>
      </c>
      <c r="H109" s="188">
        <f t="shared" si="98"/>
        <v>30.964525866606369</v>
      </c>
      <c r="I109" s="188">
        <f t="shared" si="99"/>
        <v>0</v>
      </c>
      <c r="J109" s="188">
        <f t="shared" si="100"/>
        <v>23.144395997457103</v>
      </c>
      <c r="K109" s="188">
        <f t="shared" si="76"/>
        <v>-1.3571467979522416</v>
      </c>
      <c r="L109" s="231">
        <f t="shared" si="76"/>
        <v>-7.820129869149266</v>
      </c>
      <c r="M109" s="232">
        <f t="shared" si="91"/>
        <v>767</v>
      </c>
      <c r="N109" s="184">
        <f t="shared" si="67"/>
        <v>0.70496323529411764</v>
      </c>
      <c r="O109" s="182">
        <f t="shared" si="68"/>
        <v>321</v>
      </c>
      <c r="P109" s="184">
        <f t="shared" si="69"/>
        <v>0.29503676470588236</v>
      </c>
      <c r="Q109" s="182">
        <f t="shared" si="70"/>
        <v>794</v>
      </c>
      <c r="R109" s="184">
        <f t="shared" si="71"/>
        <v>0.71019677996422181</v>
      </c>
      <c r="S109" s="182">
        <f t="shared" si="72"/>
        <v>324</v>
      </c>
      <c r="T109" s="184">
        <f t="shared" si="73"/>
        <v>0.28980322003577819</v>
      </c>
      <c r="U109" s="216"/>
    </row>
    <row r="110" spans="3:21" x14ac:dyDescent="0.25">
      <c r="C110" s="215" t="b">
        <v>0</v>
      </c>
      <c r="D110" s="183">
        <f>D109+8</f>
        <v>46258</v>
      </c>
      <c r="E110" s="183">
        <f>E109+8</f>
        <v>46265</v>
      </c>
      <c r="F110" s="182">
        <v>106</v>
      </c>
      <c r="G110" s="188">
        <f t="shared" si="101"/>
        <v>1.3571467979522416</v>
      </c>
      <c r="H110" s="188">
        <f t="shared" si="98"/>
        <v>32.321672664558612</v>
      </c>
      <c r="I110" s="188">
        <f t="shared" si="99"/>
        <v>0</v>
      </c>
      <c r="J110" s="188">
        <f t="shared" si="100"/>
        <v>23.144395997457103</v>
      </c>
      <c r="K110" s="188">
        <f t="shared" si="76"/>
        <v>-1.3571467979522416</v>
      </c>
      <c r="L110" s="231">
        <f t="shared" si="76"/>
        <v>-9.1772766671015091</v>
      </c>
      <c r="M110" s="232">
        <f t="shared" si="91"/>
        <v>775</v>
      </c>
      <c r="N110" s="184">
        <f t="shared" si="67"/>
        <v>0.7123161764705882</v>
      </c>
      <c r="O110" s="182">
        <f t="shared" si="68"/>
        <v>313</v>
      </c>
      <c r="P110" s="184">
        <f t="shared" si="69"/>
        <v>0.28768382352941174</v>
      </c>
      <c r="Q110" s="182">
        <f t="shared" si="70"/>
        <v>802</v>
      </c>
      <c r="R110" s="184">
        <f t="shared" si="71"/>
        <v>0.71735241502683367</v>
      </c>
      <c r="S110" s="182">
        <f t="shared" si="72"/>
        <v>316</v>
      </c>
      <c r="T110" s="184">
        <f t="shared" si="73"/>
        <v>0.28264758497316639</v>
      </c>
      <c r="U110" s="216"/>
    </row>
    <row r="111" spans="3:21" x14ac:dyDescent="0.25">
      <c r="C111" s="215" t="b">
        <v>0</v>
      </c>
      <c r="D111" s="183">
        <f t="shared" si="62"/>
        <v>46265</v>
      </c>
      <c r="E111" s="183">
        <f t="shared" si="64"/>
        <v>46272</v>
      </c>
      <c r="F111" s="182">
        <v>107</v>
      </c>
      <c r="G111" s="188">
        <f>(E111-D111+1)*$BB$5/$BB$9</f>
        <v>1.5367412710665385</v>
      </c>
      <c r="H111" s="188">
        <f t="shared" ref="H111" si="102">G111+H110</f>
        <v>33.858413935625151</v>
      </c>
      <c r="I111" s="188">
        <f t="shared" ref="I111" si="103">(E111-D111+1)*$AS$7/$AS$9</f>
        <v>0</v>
      </c>
      <c r="J111" s="188">
        <f t="shared" ref="J111" si="104">I111+J110</f>
        <v>23.144395997457103</v>
      </c>
      <c r="K111" s="188">
        <f t="shared" si="76"/>
        <v>-1.5367412710665385</v>
      </c>
      <c r="L111" s="231">
        <f t="shared" si="76"/>
        <v>-10.714017938168048</v>
      </c>
      <c r="M111" s="232">
        <f t="shared" si="91"/>
        <v>782</v>
      </c>
      <c r="N111" s="184">
        <f t="shared" si="67"/>
        <v>0.71875</v>
      </c>
      <c r="O111" s="182">
        <f t="shared" si="68"/>
        <v>306</v>
      </c>
      <c r="P111" s="184">
        <f t="shared" si="69"/>
        <v>0.28125</v>
      </c>
      <c r="Q111" s="182">
        <f t="shared" si="70"/>
        <v>809</v>
      </c>
      <c r="R111" s="184">
        <f t="shared" si="71"/>
        <v>0.72361359570661898</v>
      </c>
      <c r="S111" s="182">
        <f t="shared" si="72"/>
        <v>309</v>
      </c>
      <c r="T111" s="184">
        <f t="shared" si="73"/>
        <v>0.27638640429338102</v>
      </c>
      <c r="U111" s="216"/>
    </row>
    <row r="112" spans="3:21" x14ac:dyDescent="0.25">
      <c r="C112" s="215" t="b">
        <v>0</v>
      </c>
      <c r="D112" s="183">
        <f>D111+8</f>
        <v>46273</v>
      </c>
      <c r="E112" s="183">
        <f>E111+8</f>
        <v>46280</v>
      </c>
      <c r="F112" s="182">
        <v>108</v>
      </c>
      <c r="G112" s="188">
        <f t="shared" ref="G112:G114" si="105">(E112-D112+1)*$BB$5/$BB$9</f>
        <v>1.5367412710665385</v>
      </c>
      <c r="H112" s="188">
        <f t="shared" ref="H112:H114" si="106">G112+H111</f>
        <v>35.39515520669169</v>
      </c>
      <c r="I112" s="188">
        <f t="shared" ref="I112:I114" si="107">(E112-D112+1)*$AS$7/$AS$9</f>
        <v>0</v>
      </c>
      <c r="J112" s="188">
        <f t="shared" ref="J112:J114" si="108">I112+J111</f>
        <v>23.144395997457103</v>
      </c>
      <c r="K112" s="188">
        <f t="shared" si="76"/>
        <v>-1.5367412710665385</v>
      </c>
      <c r="L112" s="231">
        <f t="shared" si="76"/>
        <v>-12.250759209234587</v>
      </c>
      <c r="M112" s="232">
        <f t="shared" si="91"/>
        <v>790</v>
      </c>
      <c r="N112" s="184">
        <f t="shared" si="67"/>
        <v>0.72610294117647056</v>
      </c>
      <c r="O112" s="182">
        <f t="shared" si="68"/>
        <v>298</v>
      </c>
      <c r="P112" s="184">
        <f t="shared" si="69"/>
        <v>0.27389705882352944</v>
      </c>
      <c r="Q112" s="182">
        <f t="shared" si="70"/>
        <v>817</v>
      </c>
      <c r="R112" s="184">
        <f t="shared" si="71"/>
        <v>0.73076923076923073</v>
      </c>
      <c r="S112" s="182">
        <f t="shared" si="72"/>
        <v>301</v>
      </c>
      <c r="T112" s="184">
        <f t="shared" si="73"/>
        <v>0.26923076923076922</v>
      </c>
      <c r="U112" s="216"/>
    </row>
    <row r="113" spans="3:21" x14ac:dyDescent="0.25">
      <c r="C113" s="215" t="b">
        <v>0</v>
      </c>
      <c r="D113" s="183">
        <f>D112+8</f>
        <v>46281</v>
      </c>
      <c r="E113" s="183">
        <f>E112+8</f>
        <v>46288</v>
      </c>
      <c r="F113" s="182">
        <v>109</v>
      </c>
      <c r="G113" s="188">
        <f t="shared" si="105"/>
        <v>1.5367412710665385</v>
      </c>
      <c r="H113" s="188">
        <f t="shared" si="106"/>
        <v>36.931896477758229</v>
      </c>
      <c r="I113" s="188">
        <f t="shared" si="107"/>
        <v>0</v>
      </c>
      <c r="J113" s="188">
        <f t="shared" si="108"/>
        <v>23.144395997457103</v>
      </c>
      <c r="K113" s="188">
        <f t="shared" si="76"/>
        <v>-1.5367412710665385</v>
      </c>
      <c r="L113" s="231">
        <f t="shared" si="76"/>
        <v>-13.787500480301127</v>
      </c>
      <c r="M113" s="232">
        <f t="shared" si="91"/>
        <v>798</v>
      </c>
      <c r="N113" s="184">
        <f t="shared" si="67"/>
        <v>0.73345588235294112</v>
      </c>
      <c r="O113" s="182">
        <f t="shared" si="68"/>
        <v>290</v>
      </c>
      <c r="P113" s="184">
        <f t="shared" si="69"/>
        <v>0.26654411764705882</v>
      </c>
      <c r="Q113" s="182">
        <f t="shared" si="70"/>
        <v>825</v>
      </c>
      <c r="R113" s="184">
        <f t="shared" si="71"/>
        <v>0.73792486583184258</v>
      </c>
      <c r="S113" s="182">
        <f t="shared" si="72"/>
        <v>293</v>
      </c>
      <c r="T113" s="184">
        <f t="shared" si="73"/>
        <v>0.26207513416815742</v>
      </c>
      <c r="U113" s="216"/>
    </row>
    <row r="114" spans="3:21" x14ac:dyDescent="0.25">
      <c r="C114" s="215" t="b">
        <v>0</v>
      </c>
      <c r="D114" s="183">
        <f>D113+8</f>
        <v>46289</v>
      </c>
      <c r="E114" s="183">
        <f t="shared" si="64"/>
        <v>46295</v>
      </c>
      <c r="F114" s="182">
        <v>110</v>
      </c>
      <c r="G114" s="188">
        <f t="shared" si="105"/>
        <v>1.3446486121832211</v>
      </c>
      <c r="H114" s="188">
        <f t="shared" si="106"/>
        <v>38.27654508994145</v>
      </c>
      <c r="I114" s="188">
        <f t="shared" si="107"/>
        <v>0</v>
      </c>
      <c r="J114" s="188">
        <f t="shared" si="108"/>
        <v>23.144395997457103</v>
      </c>
      <c r="K114" s="188">
        <f t="shared" si="76"/>
        <v>-1.3446486121832211</v>
      </c>
      <c r="L114" s="231">
        <f t="shared" si="76"/>
        <v>-15.132149092484347</v>
      </c>
      <c r="M114" s="232">
        <f t="shared" si="91"/>
        <v>805</v>
      </c>
      <c r="N114" s="184">
        <f t="shared" si="67"/>
        <v>0.73988970588235292</v>
      </c>
      <c r="O114" s="182">
        <f t="shared" si="68"/>
        <v>283</v>
      </c>
      <c r="P114" s="184">
        <f t="shared" si="69"/>
        <v>0.26011029411764708</v>
      </c>
      <c r="Q114" s="182">
        <f t="shared" si="70"/>
        <v>832</v>
      </c>
      <c r="R114" s="184">
        <f t="shared" si="71"/>
        <v>0.7441860465116279</v>
      </c>
      <c r="S114" s="182">
        <f t="shared" si="72"/>
        <v>286</v>
      </c>
      <c r="T114" s="184">
        <f t="shared" si="73"/>
        <v>0.2558139534883721</v>
      </c>
      <c r="U114" s="216"/>
    </row>
    <row r="115" spans="3:21" x14ac:dyDescent="0.25">
      <c r="C115" s="215" t="b">
        <v>0</v>
      </c>
      <c r="D115" s="183">
        <f t="shared" si="62"/>
        <v>46296</v>
      </c>
      <c r="E115" s="183">
        <f t="shared" si="64"/>
        <v>46302</v>
      </c>
      <c r="F115" s="182">
        <v>111</v>
      </c>
      <c r="G115" s="188">
        <f>(E115-D115+1)*$BC$5/$BC$9</f>
        <v>1.6386446809892847</v>
      </c>
      <c r="H115" s="188">
        <f t="shared" ref="H115:H118" si="109">G115+H114</f>
        <v>39.915189770930738</v>
      </c>
      <c r="I115" s="188">
        <f t="shared" ref="I115:I118" si="110">(E115-D115+1)*$AS$7/$AS$9</f>
        <v>0</v>
      </c>
      <c r="J115" s="188">
        <f t="shared" ref="J115:J118" si="111">I115+J114</f>
        <v>23.144395997457103</v>
      </c>
      <c r="K115" s="188">
        <f t="shared" si="76"/>
        <v>-1.6386446809892847</v>
      </c>
      <c r="L115" s="231">
        <f t="shared" si="76"/>
        <v>-16.770793773473635</v>
      </c>
      <c r="M115" s="232">
        <f t="shared" si="91"/>
        <v>812</v>
      </c>
      <c r="N115" s="184">
        <f t="shared" si="67"/>
        <v>0.74632352941176472</v>
      </c>
      <c r="O115" s="182">
        <f t="shared" si="68"/>
        <v>276</v>
      </c>
      <c r="P115" s="184">
        <f t="shared" si="69"/>
        <v>0.25367647058823528</v>
      </c>
      <c r="Q115" s="182">
        <f t="shared" si="70"/>
        <v>839</v>
      </c>
      <c r="R115" s="184">
        <f t="shared" si="71"/>
        <v>0.75044722719141321</v>
      </c>
      <c r="S115" s="182">
        <f t="shared" si="72"/>
        <v>279</v>
      </c>
      <c r="T115" s="184">
        <f t="shared" si="73"/>
        <v>0.24955277280858676</v>
      </c>
      <c r="U115" s="216"/>
    </row>
    <row r="116" spans="3:21" x14ac:dyDescent="0.25">
      <c r="C116" s="215" t="b">
        <v>0</v>
      </c>
      <c r="D116" s="183">
        <f t="shared" si="62"/>
        <v>46303</v>
      </c>
      <c r="E116" s="183">
        <f>E115+8</f>
        <v>46310</v>
      </c>
      <c r="F116" s="182">
        <v>112</v>
      </c>
      <c r="G116" s="188">
        <f t="shared" ref="G116:G118" si="112">(E116-D116+1)*$BC$5/$BC$9</f>
        <v>1.8727367782734683</v>
      </c>
      <c r="H116" s="188">
        <f t="shared" si="109"/>
        <v>41.787926549204208</v>
      </c>
      <c r="I116" s="188">
        <f t="shared" si="110"/>
        <v>0</v>
      </c>
      <c r="J116" s="188">
        <f t="shared" si="111"/>
        <v>23.144395997457103</v>
      </c>
      <c r="K116" s="188">
        <f t="shared" si="76"/>
        <v>-1.8727367782734683</v>
      </c>
      <c r="L116" s="231">
        <f t="shared" si="76"/>
        <v>-18.643530551747105</v>
      </c>
      <c r="M116" s="232">
        <f t="shared" si="91"/>
        <v>820</v>
      </c>
      <c r="N116" s="184">
        <f t="shared" si="67"/>
        <v>0.75367647058823528</v>
      </c>
      <c r="O116" s="182">
        <f t="shared" si="68"/>
        <v>268</v>
      </c>
      <c r="P116" s="184">
        <f t="shared" si="69"/>
        <v>0.24632352941176472</v>
      </c>
      <c r="Q116" s="182">
        <f t="shared" si="70"/>
        <v>847</v>
      </c>
      <c r="R116" s="184">
        <f t="shared" si="71"/>
        <v>0.75760286225402507</v>
      </c>
      <c r="S116" s="182">
        <f t="shared" si="72"/>
        <v>271</v>
      </c>
      <c r="T116" s="184">
        <f t="shared" si="73"/>
        <v>0.24239713774597496</v>
      </c>
      <c r="U116" s="216"/>
    </row>
    <row r="117" spans="3:21" x14ac:dyDescent="0.25">
      <c r="C117" s="215" t="b">
        <v>0</v>
      </c>
      <c r="D117" s="183">
        <f>D116+8</f>
        <v>46311</v>
      </c>
      <c r="E117" s="183">
        <f>E116+8</f>
        <v>46318</v>
      </c>
      <c r="F117" s="182">
        <v>113</v>
      </c>
      <c r="G117" s="188">
        <f t="shared" si="112"/>
        <v>1.8727367782734683</v>
      </c>
      <c r="H117" s="188">
        <f t="shared" si="109"/>
        <v>43.660663327477678</v>
      </c>
      <c r="I117" s="188">
        <f t="shared" si="110"/>
        <v>0</v>
      </c>
      <c r="J117" s="188">
        <f t="shared" si="111"/>
        <v>23.144395997457103</v>
      </c>
      <c r="K117" s="188">
        <f t="shared" si="76"/>
        <v>-1.8727367782734683</v>
      </c>
      <c r="L117" s="231">
        <f t="shared" si="76"/>
        <v>-20.516267330020575</v>
      </c>
      <c r="M117" s="232">
        <f t="shared" si="91"/>
        <v>828</v>
      </c>
      <c r="N117" s="184">
        <f t="shared" si="67"/>
        <v>0.76102941176470584</v>
      </c>
      <c r="O117" s="182">
        <f t="shared" si="68"/>
        <v>260</v>
      </c>
      <c r="P117" s="184">
        <f t="shared" si="69"/>
        <v>0.23897058823529413</v>
      </c>
      <c r="Q117" s="182">
        <f t="shared" si="70"/>
        <v>855</v>
      </c>
      <c r="R117" s="184">
        <f t="shared" si="71"/>
        <v>0.76475849731663681</v>
      </c>
      <c r="S117" s="182">
        <f t="shared" si="72"/>
        <v>263</v>
      </c>
      <c r="T117" s="184">
        <f t="shared" si="73"/>
        <v>0.23524150268336314</v>
      </c>
      <c r="U117" s="216"/>
    </row>
    <row r="118" spans="3:21" x14ac:dyDescent="0.25">
      <c r="C118" s="215" t="b">
        <v>0</v>
      </c>
      <c r="D118" s="183">
        <f>D117+8</f>
        <v>46319</v>
      </c>
      <c r="E118" s="183">
        <f>E117+8</f>
        <v>46326</v>
      </c>
      <c r="F118" s="182">
        <v>114</v>
      </c>
      <c r="G118" s="188">
        <f t="shared" si="112"/>
        <v>1.8727367782734683</v>
      </c>
      <c r="H118" s="188">
        <f t="shared" si="109"/>
        <v>45.533400105751149</v>
      </c>
      <c r="I118" s="188">
        <f t="shared" si="110"/>
        <v>0</v>
      </c>
      <c r="J118" s="188">
        <f t="shared" si="111"/>
        <v>23.144395997457103</v>
      </c>
      <c r="K118" s="188">
        <f t="shared" si="76"/>
        <v>-1.8727367782734683</v>
      </c>
      <c r="L118" s="231">
        <f t="shared" si="76"/>
        <v>-22.389004108294046</v>
      </c>
      <c r="M118" s="232">
        <f t="shared" si="91"/>
        <v>836</v>
      </c>
      <c r="N118" s="184">
        <f t="shared" si="67"/>
        <v>0.76838235294117652</v>
      </c>
      <c r="O118" s="182">
        <f t="shared" si="68"/>
        <v>252</v>
      </c>
      <c r="P118" s="184">
        <f t="shared" si="69"/>
        <v>0.23161764705882354</v>
      </c>
      <c r="Q118" s="182">
        <f t="shared" si="70"/>
        <v>863</v>
      </c>
      <c r="R118" s="184">
        <f t="shared" si="71"/>
        <v>0.77191413237924866</v>
      </c>
      <c r="S118" s="182">
        <f t="shared" si="72"/>
        <v>255</v>
      </c>
      <c r="T118" s="184">
        <f t="shared" si="73"/>
        <v>0.22808586762075134</v>
      </c>
      <c r="U118" s="216"/>
    </row>
    <row r="119" spans="3:21" x14ac:dyDescent="0.25">
      <c r="C119" s="215" t="b">
        <v>0</v>
      </c>
      <c r="D119" s="183">
        <f>D118+8</f>
        <v>46327</v>
      </c>
      <c r="E119" s="183">
        <f t="shared" si="64"/>
        <v>46333</v>
      </c>
      <c r="F119" s="182">
        <v>115</v>
      </c>
      <c r="G119" s="188">
        <f>(E119-D119+1)*$BD$5/$BD$9</f>
        <v>1.2792581009906603</v>
      </c>
      <c r="H119" s="188">
        <f t="shared" ref="H119:H122" si="113">G119+H118</f>
        <v>46.812658206741808</v>
      </c>
      <c r="I119" s="188">
        <f t="shared" ref="I119:I122" si="114">(E119-D119+1)*$AS$7/$AS$9</f>
        <v>0</v>
      </c>
      <c r="J119" s="188">
        <f t="shared" ref="J119:J122" si="115">I119+J118</f>
        <v>23.144395997457103</v>
      </c>
      <c r="K119" s="188">
        <f t="shared" si="76"/>
        <v>-1.2792581009906603</v>
      </c>
      <c r="L119" s="231">
        <f t="shared" si="76"/>
        <v>-23.668262209284705</v>
      </c>
      <c r="M119" s="232">
        <f t="shared" si="91"/>
        <v>843</v>
      </c>
      <c r="N119" s="184">
        <f t="shared" si="67"/>
        <v>0.7748161764705882</v>
      </c>
      <c r="O119" s="182">
        <f t="shared" si="68"/>
        <v>245</v>
      </c>
      <c r="P119" s="184">
        <f t="shared" si="69"/>
        <v>0.22518382352941177</v>
      </c>
      <c r="Q119" s="182">
        <f t="shared" si="70"/>
        <v>870</v>
      </c>
      <c r="R119" s="184">
        <f t="shared" si="71"/>
        <v>0.77817531305903398</v>
      </c>
      <c r="S119" s="182">
        <f t="shared" si="72"/>
        <v>248</v>
      </c>
      <c r="T119" s="184">
        <f t="shared" si="73"/>
        <v>0.22182468694096602</v>
      </c>
      <c r="U119" s="216"/>
    </row>
    <row r="120" spans="3:21" x14ac:dyDescent="0.25">
      <c r="C120" s="215" t="b">
        <v>0</v>
      </c>
      <c r="D120" s="183">
        <f t="shared" si="62"/>
        <v>46334</v>
      </c>
      <c r="E120" s="183">
        <f>E119+8</f>
        <v>46341</v>
      </c>
      <c r="F120" s="182">
        <v>116</v>
      </c>
      <c r="G120" s="188">
        <f t="shared" ref="G120:G122" si="116">(E120-D120+1)*$BD$5/$BD$9</f>
        <v>1.4620092582750404</v>
      </c>
      <c r="H120" s="188">
        <f t="shared" si="113"/>
        <v>48.274667465016847</v>
      </c>
      <c r="I120" s="188">
        <f t="shared" si="114"/>
        <v>0</v>
      </c>
      <c r="J120" s="188">
        <f t="shared" si="115"/>
        <v>23.144395997457103</v>
      </c>
      <c r="K120" s="188">
        <f t="shared" si="76"/>
        <v>-1.4620092582750404</v>
      </c>
      <c r="L120" s="231">
        <f t="shared" si="76"/>
        <v>-25.130271467559744</v>
      </c>
      <c r="M120" s="232">
        <f t="shared" si="91"/>
        <v>851</v>
      </c>
      <c r="N120" s="184">
        <f t="shared" si="67"/>
        <v>0.78216911764705888</v>
      </c>
      <c r="O120" s="182">
        <f t="shared" si="68"/>
        <v>237</v>
      </c>
      <c r="P120" s="184">
        <f t="shared" si="69"/>
        <v>0.21783088235294118</v>
      </c>
      <c r="Q120" s="182">
        <f t="shared" si="70"/>
        <v>878</v>
      </c>
      <c r="R120" s="184">
        <f t="shared" si="71"/>
        <v>0.78533094812164583</v>
      </c>
      <c r="S120" s="182">
        <f t="shared" si="72"/>
        <v>240</v>
      </c>
      <c r="T120" s="184">
        <f t="shared" si="73"/>
        <v>0.21466905187835419</v>
      </c>
      <c r="U120" s="216"/>
    </row>
    <row r="121" spans="3:21" x14ac:dyDescent="0.25">
      <c r="C121" s="215" t="b">
        <v>0</v>
      </c>
      <c r="D121" s="183">
        <f>D120+8</f>
        <v>46342</v>
      </c>
      <c r="E121" s="183">
        <f>E120+8</f>
        <v>46349</v>
      </c>
      <c r="F121" s="182">
        <v>117</v>
      </c>
      <c r="G121" s="188">
        <f t="shared" si="116"/>
        <v>1.4620092582750404</v>
      </c>
      <c r="H121" s="188">
        <f t="shared" si="113"/>
        <v>49.736676723291886</v>
      </c>
      <c r="I121" s="188">
        <f t="shared" si="114"/>
        <v>0</v>
      </c>
      <c r="J121" s="188">
        <f t="shared" si="115"/>
        <v>23.144395997457103</v>
      </c>
      <c r="K121" s="188">
        <f t="shared" si="76"/>
        <v>-1.4620092582750404</v>
      </c>
      <c r="L121" s="231">
        <f t="shared" si="76"/>
        <v>-26.592280725834783</v>
      </c>
      <c r="M121" s="232">
        <f t="shared" si="91"/>
        <v>859</v>
      </c>
      <c r="N121" s="184">
        <f t="shared" si="67"/>
        <v>0.78952205882352944</v>
      </c>
      <c r="O121" s="182">
        <f t="shared" si="68"/>
        <v>229</v>
      </c>
      <c r="P121" s="184">
        <f t="shared" si="69"/>
        <v>0.21047794117647059</v>
      </c>
      <c r="Q121" s="182">
        <f t="shared" si="70"/>
        <v>886</v>
      </c>
      <c r="R121" s="184">
        <f t="shared" si="71"/>
        <v>0.79248658318425758</v>
      </c>
      <c r="S121" s="182">
        <f t="shared" si="72"/>
        <v>232</v>
      </c>
      <c r="T121" s="184">
        <f t="shared" si="73"/>
        <v>0.2075134168157424</v>
      </c>
      <c r="U121" s="216"/>
    </row>
    <row r="122" spans="3:21" x14ac:dyDescent="0.25">
      <c r="C122" s="215" t="b">
        <v>0</v>
      </c>
      <c r="D122" s="183">
        <f>D121+8</f>
        <v>46350</v>
      </c>
      <c r="E122" s="183">
        <f>E121+3</f>
        <v>46352</v>
      </c>
      <c r="F122" s="182">
        <v>118</v>
      </c>
      <c r="G122" s="188">
        <f t="shared" si="116"/>
        <v>0.54825347185314022</v>
      </c>
      <c r="H122" s="188">
        <f t="shared" si="113"/>
        <v>50.284930195145023</v>
      </c>
      <c r="I122" s="188">
        <f t="shared" si="114"/>
        <v>0</v>
      </c>
      <c r="J122" s="188">
        <f t="shared" si="115"/>
        <v>23.144395997457103</v>
      </c>
      <c r="K122" s="188">
        <f t="shared" si="76"/>
        <v>-0.54825347185314022</v>
      </c>
      <c r="L122" s="231">
        <f t="shared" si="76"/>
        <v>-27.14053419768792</v>
      </c>
      <c r="M122" s="232">
        <f t="shared" si="91"/>
        <v>862</v>
      </c>
      <c r="N122" s="184">
        <f t="shared" si="67"/>
        <v>0.79227941176470584</v>
      </c>
      <c r="O122" s="182">
        <f t="shared" si="68"/>
        <v>226</v>
      </c>
      <c r="P122" s="184">
        <f t="shared" si="69"/>
        <v>0.20772058823529413</v>
      </c>
      <c r="Q122" s="182">
        <f t="shared" si="70"/>
        <v>889</v>
      </c>
      <c r="R122" s="184">
        <f t="shared" si="71"/>
        <v>0.79516994633273708</v>
      </c>
      <c r="S122" s="182">
        <f t="shared" si="72"/>
        <v>229</v>
      </c>
      <c r="T122" s="184">
        <f t="shared" si="73"/>
        <v>0.20483005366726298</v>
      </c>
      <c r="U122" s="216"/>
    </row>
    <row r="123" spans="3:21" x14ac:dyDescent="0.25">
      <c r="C123" s="215" t="b">
        <v>0</v>
      </c>
      <c r="D123" s="183">
        <f t="shared" si="62"/>
        <v>46357</v>
      </c>
      <c r="E123" s="183">
        <f t="shared" si="64"/>
        <v>46359</v>
      </c>
      <c r="F123" s="182">
        <v>119</v>
      </c>
      <c r="G123" s="188"/>
      <c r="H123" s="188"/>
      <c r="I123" s="188"/>
      <c r="J123" s="188"/>
      <c r="K123" s="188">
        <f t="shared" si="76"/>
        <v>0</v>
      </c>
      <c r="L123" s="231">
        <f t="shared" si="76"/>
        <v>0</v>
      </c>
      <c r="M123" s="232">
        <f t="shared" si="91"/>
        <v>869</v>
      </c>
      <c r="N123" s="184">
        <f t="shared" si="67"/>
        <v>0.79871323529411764</v>
      </c>
      <c r="O123" s="182">
        <f t="shared" si="68"/>
        <v>219</v>
      </c>
      <c r="P123" s="184">
        <f t="shared" si="69"/>
        <v>0.20128676470588236</v>
      </c>
      <c r="Q123" s="182">
        <f t="shared" si="70"/>
        <v>896</v>
      </c>
      <c r="R123" s="184">
        <f t="shared" si="71"/>
        <v>0.80143112701252239</v>
      </c>
      <c r="S123" s="182">
        <f t="shared" si="72"/>
        <v>222</v>
      </c>
      <c r="T123" s="184">
        <f t="shared" si="73"/>
        <v>0.19856887298747763</v>
      </c>
      <c r="U123" s="216"/>
    </row>
    <row r="124" spans="3:21" x14ac:dyDescent="0.25">
      <c r="C124" s="215" t="b">
        <v>0</v>
      </c>
      <c r="D124" s="183">
        <f t="shared" si="62"/>
        <v>46364</v>
      </c>
      <c r="E124" s="183">
        <f t="shared" si="64"/>
        <v>46366</v>
      </c>
      <c r="F124" s="182">
        <v>120</v>
      </c>
      <c r="G124" s="188"/>
      <c r="H124" s="188"/>
      <c r="I124" s="188"/>
      <c r="J124" s="188"/>
      <c r="K124" s="188">
        <f t="shared" si="76"/>
        <v>0</v>
      </c>
      <c r="L124" s="231">
        <f t="shared" si="76"/>
        <v>0</v>
      </c>
      <c r="M124" s="232">
        <f t="shared" si="91"/>
        <v>876</v>
      </c>
      <c r="N124" s="184">
        <f t="shared" si="67"/>
        <v>0.80514705882352944</v>
      </c>
      <c r="O124" s="182">
        <f t="shared" si="68"/>
        <v>212</v>
      </c>
      <c r="P124" s="184">
        <f t="shared" si="69"/>
        <v>0.19485294117647059</v>
      </c>
      <c r="Q124" s="182">
        <f t="shared" si="70"/>
        <v>903</v>
      </c>
      <c r="R124" s="184">
        <f t="shared" si="71"/>
        <v>0.80769230769230771</v>
      </c>
      <c r="S124" s="182">
        <f t="shared" si="72"/>
        <v>215</v>
      </c>
      <c r="T124" s="184">
        <f t="shared" si="73"/>
        <v>0.19230769230769232</v>
      </c>
      <c r="U124" s="216"/>
    </row>
    <row r="125" spans="3:21" x14ac:dyDescent="0.25">
      <c r="C125" s="215" t="b">
        <v>0</v>
      </c>
      <c r="D125" s="183">
        <f t="shared" ref="D125:D128" si="117">D124+7</f>
        <v>46371</v>
      </c>
      <c r="E125" s="183">
        <f t="shared" ref="E125:E128" si="118">E124+7</f>
        <v>46373</v>
      </c>
      <c r="F125" s="182">
        <v>121</v>
      </c>
      <c r="G125" s="188"/>
      <c r="H125" s="188"/>
      <c r="I125" s="188"/>
      <c r="J125" s="188"/>
      <c r="K125" s="188">
        <f t="shared" ref="K125:L128" si="119">I125-G125</f>
        <v>0</v>
      </c>
      <c r="L125" s="231">
        <f t="shared" si="119"/>
        <v>0</v>
      </c>
      <c r="M125" s="232">
        <f t="shared" si="91"/>
        <v>883</v>
      </c>
      <c r="N125" s="184">
        <f t="shared" si="67"/>
        <v>0.81158088235294112</v>
      </c>
      <c r="O125" s="182">
        <f t="shared" si="68"/>
        <v>205</v>
      </c>
      <c r="P125" s="184">
        <f t="shared" si="69"/>
        <v>0.18841911764705882</v>
      </c>
      <c r="Q125" s="182">
        <f t="shared" si="70"/>
        <v>910</v>
      </c>
      <c r="R125" s="184">
        <f t="shared" si="71"/>
        <v>0.81395348837209303</v>
      </c>
      <c r="S125" s="182">
        <f t="shared" si="72"/>
        <v>208</v>
      </c>
      <c r="T125" s="184">
        <f t="shared" si="73"/>
        <v>0.18604651162790697</v>
      </c>
      <c r="U125" s="216"/>
    </row>
    <row r="126" spans="3:21" x14ac:dyDescent="0.25">
      <c r="C126" s="215" t="b">
        <v>0</v>
      </c>
      <c r="D126" s="183">
        <f t="shared" si="117"/>
        <v>46378</v>
      </c>
      <c r="E126" s="183">
        <f t="shared" si="118"/>
        <v>46380</v>
      </c>
      <c r="F126" s="182">
        <v>122</v>
      </c>
      <c r="G126" s="188"/>
      <c r="H126" s="188"/>
      <c r="I126" s="188"/>
      <c r="J126" s="188"/>
      <c r="K126" s="188">
        <f t="shared" si="119"/>
        <v>0</v>
      </c>
      <c r="L126" s="231">
        <f t="shared" si="119"/>
        <v>0</v>
      </c>
      <c r="M126" s="232">
        <f t="shared" si="91"/>
        <v>890</v>
      </c>
      <c r="N126" s="184">
        <f t="shared" si="67"/>
        <v>0.81801470588235292</v>
      </c>
      <c r="O126" s="182">
        <f t="shared" si="68"/>
        <v>198</v>
      </c>
      <c r="P126" s="184">
        <f t="shared" si="69"/>
        <v>0.18198529411764705</v>
      </c>
      <c r="Q126" s="182">
        <f t="shared" si="70"/>
        <v>917</v>
      </c>
      <c r="R126" s="184">
        <f t="shared" si="71"/>
        <v>0.82021466905187834</v>
      </c>
      <c r="S126" s="182">
        <f t="shared" si="72"/>
        <v>201</v>
      </c>
      <c r="T126" s="184">
        <f t="shared" si="73"/>
        <v>0.17978533094812166</v>
      </c>
      <c r="U126" s="216"/>
    </row>
    <row r="127" spans="3:21" x14ac:dyDescent="0.25">
      <c r="C127" s="215" t="b">
        <v>0</v>
      </c>
      <c r="D127" s="183">
        <f t="shared" si="117"/>
        <v>46385</v>
      </c>
      <c r="E127" s="183">
        <f>E126+6</f>
        <v>46386</v>
      </c>
      <c r="F127" s="182">
        <v>123</v>
      </c>
      <c r="G127" s="188"/>
      <c r="H127" s="188"/>
      <c r="I127" s="188"/>
      <c r="J127" s="188"/>
      <c r="K127" s="188">
        <f t="shared" si="119"/>
        <v>0</v>
      </c>
      <c r="L127" s="231">
        <f t="shared" si="119"/>
        <v>0</v>
      </c>
      <c r="M127" s="232">
        <f t="shared" si="91"/>
        <v>896</v>
      </c>
      <c r="N127" s="184">
        <f t="shared" si="67"/>
        <v>0.82352941176470584</v>
      </c>
      <c r="O127" s="182">
        <f t="shared" si="68"/>
        <v>192</v>
      </c>
      <c r="P127" s="184">
        <f t="shared" si="69"/>
        <v>0.17647058823529413</v>
      </c>
      <c r="Q127" s="182">
        <f t="shared" si="70"/>
        <v>923</v>
      </c>
      <c r="R127" s="184">
        <f t="shared" si="71"/>
        <v>0.82558139534883723</v>
      </c>
      <c r="S127" s="182">
        <f t="shared" si="72"/>
        <v>195</v>
      </c>
      <c r="T127" s="184">
        <f t="shared" si="73"/>
        <v>0.1744186046511628</v>
      </c>
      <c r="U127" s="216"/>
    </row>
    <row r="128" spans="3:21" x14ac:dyDescent="0.25">
      <c r="C128" s="215" t="b">
        <v>0</v>
      </c>
      <c r="D128" s="183">
        <f t="shared" si="117"/>
        <v>46392</v>
      </c>
      <c r="E128" s="183">
        <f t="shared" si="118"/>
        <v>46393</v>
      </c>
      <c r="F128" s="182">
        <v>124</v>
      </c>
      <c r="G128" s="188"/>
      <c r="H128" s="188"/>
      <c r="I128" s="188"/>
      <c r="J128" s="188"/>
      <c r="K128" s="188">
        <f t="shared" si="119"/>
        <v>0</v>
      </c>
      <c r="L128" s="231">
        <f t="shared" si="119"/>
        <v>0</v>
      </c>
      <c r="M128" s="232">
        <f t="shared" si="91"/>
        <v>903</v>
      </c>
      <c r="N128" s="184">
        <f t="shared" si="67"/>
        <v>0.82996323529411764</v>
      </c>
      <c r="O128" s="182">
        <f t="shared" si="68"/>
        <v>185</v>
      </c>
      <c r="P128" s="184">
        <f t="shared" si="69"/>
        <v>0.17003676470588236</v>
      </c>
      <c r="Q128" s="182">
        <f t="shared" si="70"/>
        <v>930</v>
      </c>
      <c r="R128" s="184">
        <f t="shared" si="71"/>
        <v>0.83184257602862255</v>
      </c>
      <c r="S128" s="182">
        <f t="shared" si="72"/>
        <v>188</v>
      </c>
      <c r="T128" s="184">
        <f t="shared" si="73"/>
        <v>0.16815742397137745</v>
      </c>
      <c r="U128" s="221"/>
    </row>
    <row r="129" spans="4:20" x14ac:dyDescent="0.25">
      <c r="D129" s="186"/>
      <c r="E129" s="186"/>
      <c r="G129" s="185"/>
      <c r="H129" s="185"/>
      <c r="I129" s="185"/>
      <c r="J129" s="185"/>
      <c r="K129" s="185"/>
      <c r="L129" s="185"/>
      <c r="N129" s="187"/>
      <c r="O129" s="187"/>
      <c r="P129" s="187"/>
      <c r="S129" s="187"/>
      <c r="T129" s="187"/>
    </row>
    <row r="130" spans="4:20" x14ac:dyDescent="0.25">
      <c r="D130" s="186"/>
      <c r="E130" s="186"/>
      <c r="G130" s="185"/>
      <c r="H130" s="185"/>
      <c r="I130" s="185"/>
      <c r="J130" s="185"/>
      <c r="K130" s="185"/>
      <c r="L130" s="185"/>
      <c r="N130" s="187"/>
      <c r="O130" s="187"/>
      <c r="P130" s="187"/>
      <c r="S130" s="187"/>
      <c r="T130" s="187"/>
    </row>
    <row r="131" spans="4:20" x14ac:dyDescent="0.25">
      <c r="D131" s="186"/>
      <c r="E131" s="186"/>
      <c r="G131" s="185"/>
      <c r="H131" s="185"/>
      <c r="I131" s="185"/>
      <c r="J131" s="185"/>
      <c r="K131" s="185"/>
      <c r="L131" s="185"/>
      <c r="N131" s="187"/>
      <c r="O131" s="187"/>
      <c r="P131" s="187"/>
      <c r="S131" s="187"/>
      <c r="T131" s="187"/>
    </row>
    <row r="132" spans="4:20" x14ac:dyDescent="0.25">
      <c r="D132" s="186"/>
      <c r="E132" s="186"/>
      <c r="G132" s="185"/>
      <c r="H132" s="185"/>
      <c r="I132" s="185"/>
      <c r="J132" s="185"/>
      <c r="K132" s="185"/>
      <c r="L132" s="185"/>
      <c r="N132" s="187"/>
      <c r="O132" s="187"/>
      <c r="P132" s="187"/>
      <c r="S132" s="187"/>
      <c r="T132" s="187"/>
    </row>
    <row r="133" spans="4:20" x14ac:dyDescent="0.25">
      <c r="D133" s="186"/>
      <c r="E133" s="186"/>
      <c r="G133" s="185"/>
      <c r="H133" s="185"/>
      <c r="I133" s="185"/>
      <c r="J133" s="185"/>
      <c r="K133" s="185"/>
      <c r="L133" s="185"/>
      <c r="N133" s="187"/>
      <c r="O133" s="187"/>
      <c r="P133" s="187"/>
      <c r="S133" s="187"/>
      <c r="T133" s="187"/>
    </row>
    <row r="134" spans="4:20" x14ac:dyDescent="0.25">
      <c r="D134" s="186"/>
      <c r="E134" s="186"/>
      <c r="G134" s="185"/>
      <c r="H134" s="185"/>
      <c r="I134" s="185"/>
      <c r="J134" s="185"/>
      <c r="K134" s="185"/>
      <c r="L134" s="185"/>
      <c r="N134" s="187"/>
      <c r="O134" s="187"/>
      <c r="P134" s="187"/>
      <c r="S134" s="187"/>
      <c r="T134" s="187"/>
    </row>
    <row r="135" spans="4:20" x14ac:dyDescent="0.25">
      <c r="D135" s="186"/>
      <c r="E135" s="186"/>
      <c r="G135" s="185"/>
      <c r="H135" s="185"/>
      <c r="I135" s="185"/>
      <c r="J135" s="185"/>
      <c r="K135" s="185"/>
      <c r="L135" s="185"/>
      <c r="N135" s="187"/>
      <c r="O135" s="187"/>
      <c r="P135" s="187"/>
      <c r="S135" s="187"/>
      <c r="T135" s="187"/>
    </row>
    <row r="136" spans="4:20" x14ac:dyDescent="0.25">
      <c r="D136" s="186"/>
      <c r="E136" s="186"/>
      <c r="G136" s="185"/>
      <c r="H136" s="185"/>
      <c r="I136" s="185"/>
      <c r="J136" s="185"/>
      <c r="K136" s="185"/>
      <c r="L136" s="185"/>
      <c r="N136" s="187"/>
      <c r="O136" s="187"/>
      <c r="P136" s="187"/>
      <c r="S136" s="187"/>
      <c r="T136" s="187"/>
    </row>
    <row r="137" spans="4:20" x14ac:dyDescent="0.25">
      <c r="D137" s="186"/>
      <c r="E137" s="186"/>
      <c r="G137" s="185"/>
      <c r="H137" s="185"/>
      <c r="I137" s="185"/>
      <c r="J137" s="185"/>
      <c r="K137" s="185"/>
      <c r="L137" s="185"/>
      <c r="N137" s="187"/>
      <c r="O137" s="187"/>
      <c r="P137" s="187"/>
      <c r="S137" s="187"/>
      <c r="T137" s="187"/>
    </row>
    <row r="138" spans="4:20" x14ac:dyDescent="0.25">
      <c r="D138" s="186"/>
      <c r="E138" s="186"/>
      <c r="G138" s="185"/>
      <c r="H138" s="185"/>
      <c r="I138" s="185"/>
      <c r="J138" s="185"/>
      <c r="K138" s="185"/>
      <c r="L138" s="185"/>
      <c r="N138" s="187"/>
      <c r="O138" s="187"/>
      <c r="P138" s="187"/>
      <c r="S138" s="187"/>
      <c r="T138" s="187"/>
    </row>
    <row r="139" spans="4:20" x14ac:dyDescent="0.25">
      <c r="D139" s="186"/>
      <c r="E139" s="186"/>
      <c r="G139" s="185"/>
      <c r="H139" s="185"/>
      <c r="I139" s="185"/>
      <c r="J139" s="185"/>
      <c r="K139" s="185"/>
      <c r="L139" s="185"/>
      <c r="N139" s="187"/>
      <c r="O139" s="187"/>
      <c r="P139" s="187"/>
      <c r="S139" s="187"/>
      <c r="T139" s="187"/>
    </row>
    <row r="140" spans="4:20" x14ac:dyDescent="0.25">
      <c r="D140" s="186"/>
      <c r="E140" s="186"/>
      <c r="G140" s="185"/>
      <c r="H140" s="185"/>
      <c r="I140" s="185"/>
      <c r="J140" s="185"/>
      <c r="K140" s="185"/>
      <c r="L140" s="185"/>
      <c r="N140" s="187"/>
      <c r="O140" s="187"/>
      <c r="P140" s="187"/>
      <c r="S140" s="187"/>
      <c r="T140" s="187"/>
    </row>
    <row r="141" spans="4:20" x14ac:dyDescent="0.25">
      <c r="D141" s="186"/>
      <c r="E141" s="186"/>
      <c r="G141" s="185"/>
      <c r="H141" s="185"/>
      <c r="I141" s="185"/>
      <c r="J141" s="185"/>
      <c r="K141" s="185"/>
      <c r="L141" s="185"/>
      <c r="N141" s="187"/>
      <c r="O141" s="187"/>
      <c r="P141" s="187"/>
      <c r="S141" s="187"/>
      <c r="T141" s="187"/>
    </row>
    <row r="142" spans="4:20" x14ac:dyDescent="0.25">
      <c r="D142" s="186"/>
      <c r="E142" s="186"/>
      <c r="G142" s="185"/>
      <c r="H142" s="185"/>
      <c r="I142" s="185"/>
      <c r="J142" s="185"/>
      <c r="K142" s="185"/>
      <c r="L142" s="185"/>
      <c r="N142" s="187"/>
      <c r="O142" s="187"/>
      <c r="P142" s="187"/>
      <c r="S142" s="187"/>
      <c r="T142" s="187"/>
    </row>
    <row r="143" spans="4:20" x14ac:dyDescent="0.25">
      <c r="D143" s="186"/>
      <c r="E143" s="186"/>
      <c r="G143" s="185"/>
      <c r="H143" s="185"/>
      <c r="I143" s="185"/>
      <c r="J143" s="185"/>
      <c r="K143" s="185"/>
      <c r="L143" s="185"/>
      <c r="N143" s="187"/>
      <c r="O143" s="187"/>
      <c r="P143" s="187"/>
      <c r="S143" s="187"/>
      <c r="T143" s="187"/>
    </row>
    <row r="144" spans="4:20" x14ac:dyDescent="0.25">
      <c r="D144" s="186"/>
      <c r="E144" s="186"/>
      <c r="G144" s="185"/>
      <c r="H144" s="185"/>
      <c r="I144" s="185"/>
      <c r="J144" s="185"/>
      <c r="K144" s="185"/>
      <c r="L144" s="185"/>
      <c r="N144" s="187"/>
      <c r="O144" s="187"/>
      <c r="P144" s="187"/>
      <c r="S144" s="187"/>
      <c r="T144" s="187"/>
    </row>
    <row r="145" spans="4:20" x14ac:dyDescent="0.25">
      <c r="D145" s="186"/>
      <c r="E145" s="186"/>
      <c r="G145" s="185"/>
      <c r="H145" s="185"/>
      <c r="I145" s="185"/>
      <c r="J145" s="185"/>
      <c r="K145" s="185"/>
      <c r="L145" s="185"/>
      <c r="N145" s="187"/>
      <c r="O145" s="187"/>
      <c r="P145" s="187"/>
      <c r="S145" s="187"/>
      <c r="T145" s="187"/>
    </row>
    <row r="146" spans="4:20" x14ac:dyDescent="0.25">
      <c r="D146" s="186"/>
      <c r="E146" s="186"/>
      <c r="G146" s="185"/>
      <c r="H146" s="185"/>
      <c r="I146" s="185"/>
      <c r="J146" s="185"/>
      <c r="K146" s="185"/>
      <c r="L146" s="185"/>
      <c r="N146" s="187"/>
      <c r="O146" s="187"/>
      <c r="P146" s="187"/>
      <c r="S146" s="187"/>
      <c r="T146" s="187"/>
    </row>
    <row r="147" spans="4:20" x14ac:dyDescent="0.25">
      <c r="D147" s="186"/>
      <c r="E147" s="186"/>
      <c r="G147" s="185"/>
      <c r="H147" s="185"/>
      <c r="I147" s="185"/>
      <c r="J147" s="185"/>
      <c r="K147" s="185"/>
      <c r="L147" s="185"/>
      <c r="N147" s="187"/>
      <c r="O147" s="187"/>
      <c r="P147" s="187"/>
      <c r="S147" s="187"/>
      <c r="T147" s="187"/>
    </row>
    <row r="148" spans="4:20" x14ac:dyDescent="0.25">
      <c r="D148" s="186"/>
      <c r="E148" s="186"/>
      <c r="G148" s="185"/>
      <c r="H148" s="185"/>
      <c r="I148" s="185"/>
      <c r="J148" s="185"/>
      <c r="K148" s="185"/>
      <c r="L148" s="185"/>
      <c r="N148" s="187"/>
      <c r="O148" s="187"/>
      <c r="P148" s="187"/>
      <c r="S148" s="187"/>
      <c r="T148" s="187"/>
    </row>
    <row r="149" spans="4:20" x14ac:dyDescent="0.25">
      <c r="D149" s="186"/>
      <c r="E149" s="186"/>
      <c r="G149" s="185"/>
      <c r="H149" s="185"/>
      <c r="I149" s="185"/>
      <c r="J149" s="185"/>
      <c r="K149" s="185"/>
      <c r="L149" s="185"/>
      <c r="N149" s="187"/>
      <c r="O149" s="187"/>
      <c r="P149" s="187"/>
      <c r="S149" s="187"/>
      <c r="T149" s="187"/>
    </row>
    <row r="150" spans="4:20" x14ac:dyDescent="0.25">
      <c r="D150" s="186"/>
      <c r="E150" s="186"/>
      <c r="G150" s="185"/>
      <c r="H150" s="185"/>
      <c r="I150" s="185"/>
      <c r="J150" s="185"/>
      <c r="K150" s="185"/>
      <c r="L150" s="185"/>
      <c r="N150" s="187"/>
      <c r="O150" s="187"/>
      <c r="P150" s="187"/>
      <c r="S150" s="187"/>
      <c r="T150" s="187"/>
    </row>
    <row r="151" spans="4:20" x14ac:dyDescent="0.25">
      <c r="D151" s="186"/>
      <c r="E151" s="186"/>
      <c r="G151" s="185"/>
      <c r="H151" s="185"/>
      <c r="I151" s="185"/>
      <c r="J151" s="185"/>
      <c r="K151" s="185"/>
      <c r="L151" s="185"/>
      <c r="N151" s="187"/>
      <c r="O151" s="187"/>
      <c r="P151" s="187"/>
      <c r="S151" s="187"/>
      <c r="T151" s="187"/>
    </row>
    <row r="152" spans="4:20" x14ac:dyDescent="0.25">
      <c r="D152" s="186"/>
      <c r="E152" s="186"/>
      <c r="G152" s="185"/>
      <c r="H152" s="185"/>
      <c r="I152" s="185"/>
      <c r="J152" s="185"/>
      <c r="K152" s="185"/>
      <c r="L152" s="185"/>
      <c r="N152" s="187"/>
      <c r="O152" s="187"/>
      <c r="P152" s="187"/>
      <c r="S152" s="187"/>
      <c r="T152" s="187"/>
    </row>
    <row r="153" spans="4:20" x14ac:dyDescent="0.25">
      <c r="D153" s="186"/>
      <c r="E153" s="186"/>
      <c r="G153" s="185"/>
      <c r="H153" s="185"/>
      <c r="I153" s="185"/>
      <c r="J153" s="185"/>
      <c r="K153" s="185"/>
      <c r="L153" s="185"/>
      <c r="N153" s="187"/>
      <c r="O153" s="187"/>
      <c r="P153" s="187"/>
      <c r="S153" s="187"/>
      <c r="T153" s="187"/>
    </row>
    <row r="154" spans="4:20" x14ac:dyDescent="0.25">
      <c r="D154" s="186"/>
      <c r="E154" s="186"/>
      <c r="G154" s="185"/>
      <c r="H154" s="185"/>
      <c r="I154" s="185"/>
      <c r="J154" s="185"/>
      <c r="K154" s="185"/>
      <c r="L154" s="185"/>
      <c r="N154" s="187"/>
      <c r="O154" s="187"/>
      <c r="P154" s="187"/>
      <c r="S154" s="187"/>
      <c r="T154" s="187"/>
    </row>
    <row r="155" spans="4:20" x14ac:dyDescent="0.25">
      <c r="D155" s="186"/>
      <c r="E155" s="186"/>
      <c r="G155" s="185"/>
      <c r="H155" s="185"/>
      <c r="I155" s="185"/>
      <c r="J155" s="185"/>
      <c r="K155" s="185"/>
      <c r="L155" s="185"/>
      <c r="N155" s="187"/>
      <c r="O155" s="187"/>
      <c r="P155" s="187"/>
      <c r="S155" s="187"/>
      <c r="T155" s="187"/>
    </row>
    <row r="156" spans="4:20" x14ac:dyDescent="0.25">
      <c r="D156" s="186"/>
      <c r="E156" s="186"/>
      <c r="G156" s="185"/>
      <c r="H156" s="185"/>
      <c r="I156" s="185"/>
      <c r="J156" s="185"/>
      <c r="K156" s="185"/>
      <c r="L156" s="185"/>
      <c r="N156" s="187"/>
      <c r="O156" s="187"/>
      <c r="P156" s="187"/>
      <c r="S156" s="187"/>
      <c r="T156" s="187"/>
    </row>
    <row r="157" spans="4:20" x14ac:dyDescent="0.25">
      <c r="D157" s="186"/>
      <c r="E157" s="186"/>
      <c r="G157" s="185"/>
      <c r="H157" s="185"/>
      <c r="I157" s="185"/>
      <c r="J157" s="185"/>
      <c r="K157" s="185"/>
      <c r="L157" s="185"/>
      <c r="N157" s="187"/>
      <c r="O157" s="187"/>
      <c r="P157" s="187"/>
      <c r="S157" s="187"/>
      <c r="T157" s="187"/>
    </row>
    <row r="158" spans="4:20" x14ac:dyDescent="0.25">
      <c r="D158" s="186"/>
      <c r="E158" s="186"/>
      <c r="G158" s="185"/>
      <c r="H158" s="185"/>
      <c r="I158" s="185"/>
      <c r="J158" s="185"/>
      <c r="K158" s="185"/>
      <c r="L158" s="185"/>
      <c r="N158" s="187"/>
      <c r="O158" s="187"/>
      <c r="P158" s="187"/>
      <c r="S158" s="187"/>
      <c r="T158" s="187"/>
    </row>
    <row r="159" spans="4:20" x14ac:dyDescent="0.25">
      <c r="D159" s="186"/>
      <c r="E159" s="186"/>
      <c r="G159" s="185"/>
      <c r="H159" s="185"/>
      <c r="I159" s="185"/>
      <c r="J159" s="185"/>
      <c r="K159" s="185"/>
      <c r="L159" s="185"/>
      <c r="N159" s="187"/>
      <c r="O159" s="187"/>
      <c r="P159" s="187"/>
      <c r="S159" s="187"/>
      <c r="T159" s="187"/>
    </row>
    <row r="160" spans="4:20" x14ac:dyDescent="0.25">
      <c r="D160" s="186"/>
      <c r="E160" s="186"/>
      <c r="G160" s="185"/>
      <c r="H160" s="185"/>
      <c r="I160" s="185"/>
      <c r="J160" s="185"/>
      <c r="K160" s="185"/>
      <c r="L160" s="185"/>
      <c r="N160" s="187"/>
      <c r="O160" s="187"/>
      <c r="P160" s="187"/>
      <c r="S160" s="187"/>
      <c r="T160" s="187"/>
    </row>
    <row r="161" spans="4:20" x14ac:dyDescent="0.25">
      <c r="D161" s="186"/>
      <c r="E161" s="186"/>
      <c r="G161" s="185"/>
      <c r="H161" s="185"/>
      <c r="I161" s="185"/>
      <c r="J161" s="185"/>
      <c r="K161" s="185"/>
      <c r="L161" s="185"/>
      <c r="N161" s="187"/>
      <c r="O161" s="187"/>
      <c r="P161" s="187"/>
      <c r="S161" s="187"/>
      <c r="T161" s="187"/>
    </row>
    <row r="162" spans="4:20" x14ac:dyDescent="0.25">
      <c r="D162" s="186"/>
      <c r="E162" s="186"/>
      <c r="G162" s="185"/>
      <c r="H162" s="185"/>
      <c r="I162" s="185"/>
      <c r="J162" s="185"/>
      <c r="K162" s="185"/>
      <c r="L162" s="185"/>
      <c r="N162" s="187"/>
      <c r="O162" s="187"/>
      <c r="P162" s="187"/>
      <c r="S162" s="187"/>
      <c r="T162" s="187"/>
    </row>
    <row r="163" spans="4:20" x14ac:dyDescent="0.25">
      <c r="D163" s="186"/>
      <c r="E163" s="186"/>
      <c r="G163" s="185"/>
      <c r="H163" s="185"/>
      <c r="I163" s="185"/>
      <c r="J163" s="185"/>
      <c r="K163" s="185"/>
      <c r="L163" s="185"/>
      <c r="N163" s="187"/>
      <c r="O163" s="187"/>
      <c r="P163" s="187"/>
      <c r="S163" s="187"/>
      <c r="T163" s="187"/>
    </row>
    <row r="164" spans="4:20" x14ac:dyDescent="0.25">
      <c r="D164" s="186"/>
      <c r="E164" s="186"/>
      <c r="G164" s="185"/>
      <c r="H164" s="185"/>
      <c r="I164" s="185"/>
      <c r="J164" s="185"/>
      <c r="K164" s="185"/>
      <c r="L164" s="185"/>
      <c r="N164" s="187"/>
      <c r="O164" s="187"/>
      <c r="P164" s="187"/>
      <c r="S164" s="187"/>
      <c r="T164" s="187"/>
    </row>
    <row r="165" spans="4:20" x14ac:dyDescent="0.25">
      <c r="D165" s="186"/>
      <c r="E165" s="186"/>
      <c r="G165" s="185"/>
      <c r="H165" s="185"/>
      <c r="I165" s="185"/>
      <c r="J165" s="185"/>
      <c r="K165" s="185"/>
      <c r="L165" s="185"/>
      <c r="N165" s="187"/>
      <c r="O165" s="187"/>
      <c r="P165" s="187"/>
      <c r="S165" s="187"/>
      <c r="T165" s="187"/>
    </row>
    <row r="166" spans="4:20" x14ac:dyDescent="0.25">
      <c r="D166" s="186"/>
      <c r="E166" s="186"/>
      <c r="G166" s="185"/>
      <c r="H166" s="185"/>
      <c r="I166" s="185"/>
      <c r="J166" s="185"/>
      <c r="K166" s="185"/>
      <c r="L166" s="185"/>
      <c r="N166" s="187"/>
      <c r="O166" s="187"/>
      <c r="P166" s="187"/>
      <c r="S166" s="187"/>
      <c r="T166" s="187"/>
    </row>
    <row r="167" spans="4:20" x14ac:dyDescent="0.25">
      <c r="D167" s="186"/>
      <c r="E167" s="186"/>
      <c r="G167" s="185"/>
      <c r="H167" s="185"/>
      <c r="I167" s="185"/>
      <c r="J167" s="185"/>
      <c r="K167" s="185"/>
      <c r="L167" s="185"/>
      <c r="N167" s="187"/>
      <c r="O167" s="187"/>
      <c r="P167" s="187"/>
      <c r="S167" s="187"/>
      <c r="T167" s="187"/>
    </row>
    <row r="168" spans="4:20" x14ac:dyDescent="0.25">
      <c r="D168" s="186"/>
      <c r="E168" s="186"/>
      <c r="G168" s="185"/>
      <c r="H168" s="185"/>
      <c r="I168" s="185"/>
      <c r="J168" s="185"/>
      <c r="K168" s="185"/>
      <c r="L168" s="185"/>
      <c r="N168" s="187"/>
      <c r="O168" s="187"/>
      <c r="P168" s="187"/>
      <c r="S168" s="187"/>
      <c r="T168" s="187"/>
    </row>
    <row r="169" spans="4:20" x14ac:dyDescent="0.25">
      <c r="D169" s="186"/>
      <c r="E169" s="186"/>
      <c r="G169" s="185"/>
      <c r="H169" s="185"/>
      <c r="I169" s="185"/>
      <c r="J169" s="185"/>
      <c r="K169" s="185"/>
      <c r="L169" s="185"/>
      <c r="N169" s="187"/>
      <c r="O169" s="187"/>
      <c r="P169" s="187"/>
      <c r="S169" s="187"/>
      <c r="T169" s="187"/>
    </row>
    <row r="170" spans="4:20" x14ac:dyDescent="0.25">
      <c r="D170" s="186"/>
      <c r="E170" s="186"/>
      <c r="G170" s="185"/>
      <c r="H170" s="185"/>
      <c r="I170" s="185"/>
      <c r="J170" s="185"/>
      <c r="K170" s="185"/>
      <c r="L170" s="185"/>
      <c r="N170" s="187"/>
      <c r="O170" s="187"/>
      <c r="P170" s="187"/>
      <c r="S170" s="187"/>
      <c r="T170" s="187"/>
    </row>
    <row r="171" spans="4:20" x14ac:dyDescent="0.25">
      <c r="D171" s="186"/>
      <c r="E171" s="186"/>
      <c r="G171" s="185"/>
      <c r="H171" s="185"/>
      <c r="I171" s="185"/>
      <c r="J171" s="185"/>
      <c r="K171" s="185"/>
      <c r="L171" s="185"/>
      <c r="N171" s="187"/>
      <c r="O171" s="187"/>
      <c r="P171" s="187"/>
      <c r="S171" s="187"/>
      <c r="T171" s="187"/>
    </row>
    <row r="172" spans="4:20" x14ac:dyDescent="0.25">
      <c r="D172" s="186"/>
      <c r="E172" s="186"/>
      <c r="G172" s="185"/>
      <c r="H172" s="185"/>
      <c r="I172" s="185"/>
      <c r="J172" s="185"/>
      <c r="K172" s="185"/>
      <c r="L172" s="185"/>
      <c r="N172" s="187"/>
      <c r="O172" s="187"/>
      <c r="P172" s="187"/>
      <c r="S172" s="187"/>
      <c r="T172" s="187"/>
    </row>
    <row r="173" spans="4:20" x14ac:dyDescent="0.25">
      <c r="D173" s="186"/>
      <c r="E173" s="186"/>
      <c r="G173" s="185"/>
      <c r="H173" s="185"/>
      <c r="I173" s="185"/>
      <c r="J173" s="185"/>
      <c r="K173" s="185"/>
      <c r="L173" s="185"/>
      <c r="N173" s="187"/>
      <c r="O173" s="187"/>
      <c r="P173" s="187"/>
      <c r="S173" s="187"/>
      <c r="T173" s="187"/>
    </row>
    <row r="174" spans="4:20" x14ac:dyDescent="0.25">
      <c r="D174" s="186"/>
      <c r="E174" s="186"/>
      <c r="G174" s="185"/>
      <c r="H174" s="185"/>
      <c r="I174" s="185"/>
      <c r="J174" s="185"/>
      <c r="K174" s="185"/>
      <c r="L174" s="185"/>
      <c r="N174" s="187"/>
      <c r="O174" s="187"/>
      <c r="P174" s="187"/>
      <c r="S174" s="187"/>
      <c r="T174" s="187"/>
    </row>
    <row r="175" spans="4:20" x14ac:dyDescent="0.25">
      <c r="D175" s="186"/>
      <c r="E175" s="186"/>
      <c r="G175" s="185"/>
      <c r="H175" s="185"/>
      <c r="I175" s="185"/>
      <c r="J175" s="185"/>
      <c r="K175" s="185"/>
      <c r="L175" s="185"/>
      <c r="N175" s="187"/>
      <c r="O175" s="187"/>
      <c r="P175" s="187"/>
      <c r="S175" s="187"/>
      <c r="T175" s="187"/>
    </row>
    <row r="176" spans="4:20" x14ac:dyDescent="0.25">
      <c r="D176" s="186"/>
      <c r="E176" s="186"/>
      <c r="G176" s="185"/>
      <c r="H176" s="185"/>
      <c r="I176" s="185"/>
      <c r="J176" s="185"/>
      <c r="K176" s="185"/>
      <c r="L176" s="185"/>
      <c r="N176" s="187"/>
      <c r="O176" s="187"/>
      <c r="P176" s="187"/>
      <c r="S176" s="187"/>
      <c r="T176" s="187"/>
    </row>
    <row r="177" spans="4:20" x14ac:dyDescent="0.25">
      <c r="D177" s="186"/>
      <c r="E177" s="186"/>
      <c r="G177" s="185"/>
      <c r="H177" s="185"/>
      <c r="I177" s="185"/>
      <c r="J177" s="185"/>
      <c r="K177" s="185"/>
      <c r="L177" s="185"/>
      <c r="N177" s="187"/>
      <c r="O177" s="187"/>
      <c r="P177" s="187"/>
      <c r="S177" s="187"/>
      <c r="T177" s="187"/>
    </row>
    <row r="178" spans="4:20" x14ac:dyDescent="0.25">
      <c r="D178" s="186"/>
      <c r="E178" s="186"/>
      <c r="G178" s="185"/>
      <c r="H178" s="185"/>
      <c r="I178" s="185"/>
      <c r="J178" s="185"/>
      <c r="K178" s="185"/>
      <c r="L178" s="185"/>
      <c r="N178" s="187"/>
      <c r="O178" s="187"/>
      <c r="P178" s="187"/>
      <c r="S178" s="187"/>
      <c r="T178" s="187"/>
    </row>
    <row r="179" spans="4:20" x14ac:dyDescent="0.25">
      <c r="D179" s="186"/>
      <c r="E179" s="186"/>
      <c r="G179" s="185"/>
      <c r="H179" s="185"/>
      <c r="I179" s="185"/>
      <c r="J179" s="185"/>
      <c r="K179" s="185"/>
      <c r="L179" s="185"/>
      <c r="N179" s="187"/>
      <c r="O179" s="187"/>
      <c r="P179" s="187"/>
      <c r="S179" s="187"/>
      <c r="T179" s="187"/>
    </row>
    <row r="180" spans="4:20" x14ac:dyDescent="0.25">
      <c r="D180" s="186"/>
      <c r="E180" s="186"/>
      <c r="G180" s="185"/>
      <c r="H180" s="185"/>
      <c r="I180" s="185"/>
      <c r="J180" s="185"/>
      <c r="K180" s="185"/>
      <c r="L180" s="185"/>
      <c r="N180" s="187"/>
      <c r="O180" s="187"/>
      <c r="P180" s="187"/>
      <c r="S180" s="187"/>
      <c r="T180" s="187"/>
    </row>
    <row r="181" spans="4:20" x14ac:dyDescent="0.25">
      <c r="D181" s="186"/>
      <c r="E181" s="186"/>
      <c r="G181" s="185"/>
      <c r="H181" s="185"/>
      <c r="I181" s="185"/>
      <c r="J181" s="185"/>
      <c r="K181" s="185"/>
      <c r="L181" s="185"/>
      <c r="N181" s="187"/>
      <c r="O181" s="187"/>
      <c r="P181" s="187"/>
      <c r="S181" s="187"/>
      <c r="T181" s="187"/>
    </row>
    <row r="182" spans="4:20" x14ac:dyDescent="0.25">
      <c r="D182" s="186"/>
      <c r="E182" s="186"/>
      <c r="G182" s="185"/>
      <c r="H182" s="185"/>
      <c r="I182" s="185"/>
      <c r="J182" s="185"/>
      <c r="K182" s="185"/>
      <c r="L182" s="185"/>
      <c r="N182" s="187"/>
      <c r="O182" s="187"/>
      <c r="P182" s="187"/>
      <c r="S182" s="187"/>
      <c r="T182" s="187"/>
    </row>
    <row r="183" spans="4:20" x14ac:dyDescent="0.25">
      <c r="D183" s="186"/>
      <c r="E183" s="186"/>
      <c r="G183" s="185"/>
      <c r="H183" s="185"/>
      <c r="I183" s="185"/>
      <c r="J183" s="185"/>
      <c r="K183" s="185"/>
      <c r="L183" s="185"/>
      <c r="N183" s="187"/>
      <c r="O183" s="187"/>
      <c r="P183" s="187"/>
      <c r="S183" s="187"/>
      <c r="T183" s="187"/>
    </row>
    <row r="184" spans="4:20" x14ac:dyDescent="0.25">
      <c r="D184" s="186"/>
      <c r="E184" s="186"/>
      <c r="G184" s="185"/>
      <c r="H184" s="185"/>
      <c r="I184" s="185"/>
      <c r="J184" s="185"/>
      <c r="K184" s="185"/>
      <c r="L184" s="185"/>
      <c r="N184" s="187"/>
      <c r="O184" s="187"/>
      <c r="P184" s="187"/>
      <c r="S184" s="187"/>
      <c r="T184" s="187"/>
    </row>
    <row r="185" spans="4:20" x14ac:dyDescent="0.25">
      <c r="D185" s="186"/>
      <c r="E185" s="186"/>
      <c r="G185" s="185"/>
      <c r="H185" s="185"/>
      <c r="I185" s="185"/>
      <c r="J185" s="185"/>
      <c r="K185" s="185"/>
      <c r="L185" s="185"/>
      <c r="N185" s="187"/>
      <c r="O185" s="187"/>
      <c r="P185" s="187"/>
      <c r="S185" s="187"/>
      <c r="T185" s="187"/>
    </row>
    <row r="186" spans="4:20" x14ac:dyDescent="0.25">
      <c r="D186" s="186"/>
      <c r="E186" s="186"/>
      <c r="G186" s="185"/>
      <c r="H186" s="185"/>
      <c r="I186" s="185"/>
      <c r="J186" s="185"/>
      <c r="K186" s="185"/>
      <c r="L186" s="185"/>
      <c r="N186" s="187"/>
      <c r="O186" s="187"/>
      <c r="P186" s="187"/>
      <c r="S186" s="187"/>
      <c r="T186" s="187"/>
    </row>
    <row r="187" spans="4:20" x14ac:dyDescent="0.25">
      <c r="D187" s="186"/>
      <c r="E187" s="186"/>
      <c r="G187" s="185"/>
      <c r="H187" s="185"/>
      <c r="I187" s="185"/>
      <c r="J187" s="185"/>
      <c r="K187" s="185"/>
      <c r="L187" s="185"/>
      <c r="N187" s="187"/>
      <c r="O187" s="187"/>
      <c r="P187" s="187"/>
      <c r="S187" s="187"/>
      <c r="T187" s="187"/>
    </row>
  </sheetData>
  <mergeCells count="10">
    <mergeCell ref="BF3:BL3"/>
    <mergeCell ref="X16:AK16"/>
    <mergeCell ref="E2:F2"/>
    <mergeCell ref="AA4:AB4"/>
    <mergeCell ref="H2:J2"/>
    <mergeCell ref="H1:J1"/>
    <mergeCell ref="F3:L3"/>
    <mergeCell ref="AA3:AG3"/>
    <mergeCell ref="AH3:AS3"/>
    <mergeCell ref="AT3:BE3"/>
  </mergeCells>
  <phoneticPr fontId="5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BC1E-9E1D-41AF-BC62-EABEC2E8C9F3}">
  <dimension ref="B2:G57"/>
  <sheetViews>
    <sheetView zoomScale="85" zoomScaleNormal="85" workbookViewId="0">
      <selection activeCell="C19" sqref="C19"/>
    </sheetView>
  </sheetViews>
  <sheetFormatPr defaultRowHeight="21" x14ac:dyDescent="0.4"/>
  <cols>
    <col min="2" max="2" width="8.88671875" style="528"/>
    <col min="3" max="3" width="48.33203125" style="528" customWidth="1"/>
    <col min="4" max="4" width="11" style="528" customWidth="1"/>
    <col min="5" max="6" width="16.44140625" style="528" customWidth="1"/>
    <col min="7" max="7" width="16.33203125" style="528" customWidth="1"/>
  </cols>
  <sheetData>
    <row r="2" spans="2:7" ht="21.6" thickBot="1" x14ac:dyDescent="0.45"/>
    <row r="3" spans="2:7" ht="42.6" customHeight="1" thickBot="1" x14ac:dyDescent="0.3">
      <c r="B3" s="858" t="s">
        <v>25</v>
      </c>
      <c r="C3" s="858" t="s">
        <v>860</v>
      </c>
      <c r="D3" s="862" t="s">
        <v>884</v>
      </c>
      <c r="E3" s="860" t="s">
        <v>870</v>
      </c>
      <c r="F3" s="861"/>
      <c r="G3" s="858" t="s">
        <v>49</v>
      </c>
    </row>
    <row r="4" spans="2:7" ht="21.6" thickBot="1" x14ac:dyDescent="0.3">
      <c r="B4" s="859"/>
      <c r="C4" s="859"/>
      <c r="D4" s="863"/>
      <c r="E4" s="508" t="s">
        <v>863</v>
      </c>
      <c r="F4" s="508" t="s">
        <v>871</v>
      </c>
      <c r="G4" s="859"/>
    </row>
    <row r="5" spans="2:7" ht="21.6" thickBot="1" x14ac:dyDescent="0.3">
      <c r="B5" s="529">
        <v>1</v>
      </c>
      <c r="C5" s="522" t="s">
        <v>33</v>
      </c>
      <c r="D5" s="523"/>
      <c r="E5" s="524"/>
      <c r="F5" s="524"/>
      <c r="G5" s="523"/>
    </row>
    <row r="6" spans="2:7" ht="21.6" thickBot="1" x14ac:dyDescent="0.3">
      <c r="B6" s="530" t="s">
        <v>877</v>
      </c>
      <c r="C6" s="507" t="s">
        <v>34</v>
      </c>
      <c r="D6" s="536">
        <v>2.1339999999999999</v>
      </c>
      <c r="E6" s="535">
        <f>'ผลงานรายสัปดาห์(%)'!L7*D6/100</f>
        <v>0.15401585657381472</v>
      </c>
      <c r="F6" s="535">
        <f>'ผลงานรายสัปดาห์(%)'!M7*D6/100</f>
        <v>0.15401585657381472</v>
      </c>
      <c r="G6" s="508"/>
    </row>
    <row r="7" spans="2:7" ht="21.6" thickBot="1" x14ac:dyDescent="0.3">
      <c r="B7" s="530" t="s">
        <v>876</v>
      </c>
      <c r="C7" s="507" t="s">
        <v>35</v>
      </c>
      <c r="D7" s="536">
        <v>0.90200000000000002</v>
      </c>
      <c r="E7" s="535">
        <f>'ผลงานรายสัปดาห์(%)'!L9*D7/100</f>
        <v>0</v>
      </c>
      <c r="F7" s="535">
        <f>'ผลงานรายสัปดาห์(%)'!M9*D7/100</f>
        <v>0</v>
      </c>
      <c r="G7" s="508"/>
    </row>
    <row r="8" spans="2:7" ht="21.6" thickBot="1" x14ac:dyDescent="0.3">
      <c r="B8" s="530" t="s">
        <v>878</v>
      </c>
      <c r="C8" s="507" t="s">
        <v>872</v>
      </c>
      <c r="D8" s="536">
        <v>0.38</v>
      </c>
      <c r="E8" s="535">
        <f>'ผลงานรายสัปดาห์(%)'!L11*D8/100</f>
        <v>0</v>
      </c>
      <c r="F8" s="535">
        <f>'ผลงานรายสัปดาห์(%)'!M11*D8/100</f>
        <v>0</v>
      </c>
      <c r="G8" s="508"/>
    </row>
    <row r="9" spans="2:7" ht="21.6" thickBot="1" x14ac:dyDescent="0.3">
      <c r="B9" s="530" t="s">
        <v>879</v>
      </c>
      <c r="C9" s="507" t="s">
        <v>37</v>
      </c>
      <c r="D9" s="536">
        <v>0.57499999999999996</v>
      </c>
      <c r="E9" s="535">
        <f>'ผลงานรายสัปดาห์(%)'!L13*D9/100</f>
        <v>0</v>
      </c>
      <c r="F9" s="535">
        <f>'ผลงานรายสัปดาห์(%)'!M13*D9/100</f>
        <v>0</v>
      </c>
      <c r="G9" s="508"/>
    </row>
    <row r="10" spans="2:7" ht="21.6" thickBot="1" x14ac:dyDescent="0.3">
      <c r="B10" s="530" t="s">
        <v>880</v>
      </c>
      <c r="C10" s="507" t="s">
        <v>39</v>
      </c>
      <c r="D10" s="536">
        <v>0.33100000000000002</v>
      </c>
      <c r="E10" s="535">
        <f>'ผลงานรายสัปดาห์(%)'!L15*D10/100</f>
        <v>0</v>
      </c>
      <c r="F10" s="535">
        <f>'ผลงานรายสัปดาห์(%)'!M15*D10/100</f>
        <v>0</v>
      </c>
      <c r="G10" s="508"/>
    </row>
    <row r="11" spans="2:7" ht="21.6" thickBot="1" x14ac:dyDescent="0.3">
      <c r="B11" s="530">
        <v>1.2</v>
      </c>
      <c r="C11" s="507" t="s">
        <v>40</v>
      </c>
      <c r="D11" s="536">
        <v>2.0979999999999999</v>
      </c>
      <c r="E11" s="535">
        <f>'ผลงานรายสัปดาห์(%)'!L17*D11/100</f>
        <v>7.2919552650882614E-3</v>
      </c>
      <c r="F11" s="535">
        <f>'ผลงานรายสัปดาห์(%)'!M17*D11/100</f>
        <v>7.2919552650882614E-3</v>
      </c>
      <c r="G11" s="508"/>
    </row>
    <row r="12" spans="2:7" ht="21.6" thickBot="1" x14ac:dyDescent="0.3">
      <c r="B12" s="530" t="s">
        <v>876</v>
      </c>
      <c r="C12" s="507" t="s">
        <v>35</v>
      </c>
      <c r="D12" s="536">
        <v>0.47599999999999998</v>
      </c>
      <c r="E12" s="535">
        <f>'ผลงานรายสัปดาห์(%)'!L19*D12/100</f>
        <v>0</v>
      </c>
      <c r="F12" s="535">
        <f>'ผลงานรายสัปดาห์(%)'!M19*D12/100</f>
        <v>0</v>
      </c>
      <c r="G12" s="508"/>
    </row>
    <row r="13" spans="2:7" ht="21.6" thickBot="1" x14ac:dyDescent="0.3">
      <c r="B13" s="530" t="s">
        <v>878</v>
      </c>
      <c r="C13" s="507" t="s">
        <v>873</v>
      </c>
      <c r="D13" s="536">
        <v>0.222</v>
      </c>
      <c r="E13" s="535">
        <f>'ผลงานรายสัปดาห์(%)'!L21*D13/100</f>
        <v>0</v>
      </c>
      <c r="F13" s="535">
        <f>'ผลงานรายสัปดาห์(%)'!M21*D13/100</f>
        <v>0</v>
      </c>
      <c r="G13" s="508"/>
    </row>
    <row r="14" spans="2:7" ht="21.6" thickBot="1" x14ac:dyDescent="0.3">
      <c r="B14" s="530" t="s">
        <v>879</v>
      </c>
      <c r="C14" s="507" t="s">
        <v>37</v>
      </c>
      <c r="D14" s="536">
        <v>6.7000000000000004E-2</v>
      </c>
      <c r="E14" s="535">
        <f>'ผลงานรายสัปดาห์(%)'!L23*D14/100</f>
        <v>0</v>
      </c>
      <c r="F14" s="535">
        <f>'ผลงานรายสัปดาห์(%)'!M23*D14/100</f>
        <v>0</v>
      </c>
      <c r="G14" s="508"/>
    </row>
    <row r="15" spans="2:7" ht="21.6" thickBot="1" x14ac:dyDescent="0.3">
      <c r="B15" s="530">
        <v>1.3</v>
      </c>
      <c r="C15" s="507" t="s">
        <v>34</v>
      </c>
      <c r="D15" s="536">
        <v>1.79</v>
      </c>
      <c r="E15" s="535">
        <f>'ผลงานรายสัปดาห์(%)'!L25*D15/100</f>
        <v>1.1600984025107186</v>
      </c>
      <c r="F15" s="535">
        <f>'ผลงานรายสัปดาห์(%)'!M25*D15/100</f>
        <v>1.1600984025107186</v>
      </c>
      <c r="G15" s="508"/>
    </row>
    <row r="16" spans="2:7" ht="21.6" thickBot="1" x14ac:dyDescent="0.3">
      <c r="B16" s="530" t="s">
        <v>876</v>
      </c>
      <c r="C16" s="507" t="s">
        <v>35</v>
      </c>
      <c r="D16" s="536">
        <v>0.877</v>
      </c>
      <c r="E16" s="535">
        <f>'ผลงานรายสัปดาห์(%)'!L27*D16/100</f>
        <v>0</v>
      </c>
      <c r="F16" s="535">
        <f>'ผลงานรายสัปดาห์(%)'!M27*D16/100</f>
        <v>0</v>
      </c>
      <c r="G16" s="508"/>
    </row>
    <row r="17" spans="2:7" ht="21.6" thickBot="1" x14ac:dyDescent="0.3">
      <c r="B17" s="530" t="s">
        <v>878</v>
      </c>
      <c r="C17" s="507" t="s">
        <v>873</v>
      </c>
      <c r="D17" s="536">
        <v>0.37</v>
      </c>
      <c r="E17" s="535">
        <f>'ผลงานรายสัปดาห์(%)'!L29*D17/100</f>
        <v>0</v>
      </c>
      <c r="F17" s="535">
        <f>'ผลงานรายสัปดาห์(%)'!M29*D17/100</f>
        <v>0</v>
      </c>
      <c r="G17" s="508"/>
    </row>
    <row r="18" spans="2:7" ht="21.6" thickBot="1" x14ac:dyDescent="0.3">
      <c r="B18" s="530" t="s">
        <v>879</v>
      </c>
      <c r="C18" s="507" t="s">
        <v>37</v>
      </c>
      <c r="D18" s="536">
        <v>0.56399999999999995</v>
      </c>
      <c r="E18" s="535">
        <f>'ผลงานรายสัปดาห์(%)'!L31*D18/100</f>
        <v>0</v>
      </c>
      <c r="F18" s="535">
        <f>'ผลงานรายสัปดาห์(%)'!M31*D18/100</f>
        <v>0</v>
      </c>
      <c r="G18" s="508"/>
    </row>
    <row r="19" spans="2:7" ht="21.6" thickBot="1" x14ac:dyDescent="0.3">
      <c r="B19" s="530" t="s">
        <v>880</v>
      </c>
      <c r="C19" s="507" t="s">
        <v>39</v>
      </c>
      <c r="D19" s="536">
        <v>0.439</v>
      </c>
      <c r="E19" s="535">
        <f>'ผลงานรายสัปดาห์(%)'!L33*D19/100</f>
        <v>0</v>
      </c>
      <c r="F19" s="535">
        <f>'ผลงานรายสัปดาห์(%)'!M33*D19/100</f>
        <v>0</v>
      </c>
      <c r="G19" s="508"/>
    </row>
    <row r="20" spans="2:7" ht="21.6" thickBot="1" x14ac:dyDescent="0.3">
      <c r="B20" s="530">
        <v>1.4</v>
      </c>
      <c r="C20" s="507" t="s">
        <v>118</v>
      </c>
      <c r="D20" s="536">
        <v>1.1850000000000001</v>
      </c>
      <c r="E20" s="535">
        <f>'ผลงานรายสัปดาห์(%)'!L35*D20/100</f>
        <v>0.63598536758763269</v>
      </c>
      <c r="F20" s="535">
        <f>'ผลงานรายสัปดาห์(%)'!M35*D20/100</f>
        <v>0.63598536758763269</v>
      </c>
      <c r="G20" s="507"/>
    </row>
    <row r="21" spans="2:7" ht="21.6" thickBot="1" x14ac:dyDescent="0.3">
      <c r="B21" s="530" t="s">
        <v>876</v>
      </c>
      <c r="C21" s="507" t="s">
        <v>35</v>
      </c>
      <c r="D21" s="536">
        <v>0.13300000000000001</v>
      </c>
      <c r="E21" s="535">
        <f>'ผลงานรายสัปดาห์(%)'!L37*D21/100</f>
        <v>0</v>
      </c>
      <c r="F21" s="535">
        <f>'ผลงานรายสัปดาห์(%)'!M37*D21/100</f>
        <v>0</v>
      </c>
      <c r="G21" s="507"/>
    </row>
    <row r="22" spans="2:7" ht="21.6" thickBot="1" x14ac:dyDescent="0.3">
      <c r="B22" s="530" t="s">
        <v>878</v>
      </c>
      <c r="C22" s="507" t="s">
        <v>121</v>
      </c>
      <c r="D22" s="536">
        <v>0.11</v>
      </c>
      <c r="E22" s="535">
        <f>'ผลงานรายสัปดาห์(%)'!L39*D22/100</f>
        <v>0</v>
      </c>
      <c r="F22" s="535">
        <f>'ผลงานรายสัปดาห์(%)'!M39*D22/100</f>
        <v>0</v>
      </c>
      <c r="G22" s="507"/>
    </row>
    <row r="23" spans="2:7" ht="21.6" thickBot="1" x14ac:dyDescent="0.3">
      <c r="B23" s="530">
        <v>1.5</v>
      </c>
      <c r="C23" s="507" t="s">
        <v>119</v>
      </c>
      <c r="D23" s="536">
        <v>1.3320000000000001</v>
      </c>
      <c r="E23" s="535">
        <f>'ผลงานรายสัปดาห์(%)'!L41*D23/100</f>
        <v>0.72448767272356307</v>
      </c>
      <c r="F23" s="535">
        <f>'ผลงานรายสัปดาห์(%)'!M41*D23/100</f>
        <v>0.72448767272356307</v>
      </c>
      <c r="G23" s="507"/>
    </row>
    <row r="24" spans="2:7" ht="21.6" thickBot="1" x14ac:dyDescent="0.3">
      <c r="B24" s="530" t="s">
        <v>876</v>
      </c>
      <c r="C24" s="507" t="s">
        <v>35</v>
      </c>
      <c r="D24" s="536">
        <v>0.15</v>
      </c>
      <c r="E24" s="535">
        <f>'ผลงานรายสัปดาห์(%)'!L43*D24/100</f>
        <v>0</v>
      </c>
      <c r="F24" s="535">
        <f>'ผลงานรายสัปดาห์(%)'!M43*D24/100</f>
        <v>0</v>
      </c>
      <c r="G24" s="507"/>
    </row>
    <row r="25" spans="2:7" ht="21.6" thickBot="1" x14ac:dyDescent="0.3">
      <c r="B25" s="530" t="s">
        <v>878</v>
      </c>
      <c r="C25" s="507" t="s">
        <v>121</v>
      </c>
      <c r="D25" s="536">
        <v>0.124</v>
      </c>
      <c r="E25" s="535">
        <f>'ผลงานรายสัปดาห์(%)'!L45*D25/100</f>
        <v>0</v>
      </c>
      <c r="F25" s="535">
        <f>'ผลงานรายสัปดาห์(%)'!M45*D25/100</f>
        <v>0</v>
      </c>
      <c r="G25" s="507"/>
    </row>
    <row r="26" spans="2:7" ht="21.6" thickBot="1" x14ac:dyDescent="0.3">
      <c r="B26" s="530">
        <v>1.6</v>
      </c>
      <c r="C26" s="507" t="s">
        <v>120</v>
      </c>
      <c r="D26" s="536">
        <v>1.393</v>
      </c>
      <c r="E26" s="535">
        <f>'ผลงานรายสัปดาห์(%)'!L47*D26/100</f>
        <v>1.147484894909399</v>
      </c>
      <c r="F26" s="535">
        <f>'ผลงานรายสัปดาห์(%)'!M47*D26/100</f>
        <v>1.147484894909399</v>
      </c>
      <c r="G26" s="507"/>
    </row>
    <row r="27" spans="2:7" ht="21.6" thickBot="1" x14ac:dyDescent="0.3">
      <c r="B27" s="530" t="s">
        <v>876</v>
      </c>
      <c r="C27" s="507" t="s">
        <v>35</v>
      </c>
      <c r="D27" s="536">
        <v>0.15</v>
      </c>
      <c r="E27" s="535">
        <f>'ผลงานรายสัปดาห์(%)'!L49*D27/100</f>
        <v>0</v>
      </c>
      <c r="F27" s="535">
        <f>'ผลงานรายสัปดาห์(%)'!M49*D27/100</f>
        <v>0</v>
      </c>
      <c r="G27" s="507"/>
    </row>
    <row r="28" spans="2:7" ht="21.6" thickBot="1" x14ac:dyDescent="0.3">
      <c r="B28" s="530" t="s">
        <v>878</v>
      </c>
      <c r="C28" s="507" t="s">
        <v>121</v>
      </c>
      <c r="D28" s="536">
        <v>0.124</v>
      </c>
      <c r="E28" s="535">
        <f>'ผลงานรายสัปดาห์(%)'!L51*D28/100</f>
        <v>0</v>
      </c>
      <c r="F28" s="535">
        <f>'ผลงานรายสัปดาห์(%)'!M51*D28/100</f>
        <v>0</v>
      </c>
      <c r="G28" s="507"/>
    </row>
    <row r="29" spans="2:7" ht="21.6" thickBot="1" x14ac:dyDescent="0.3">
      <c r="B29" s="530">
        <v>1.7</v>
      </c>
      <c r="C29" s="507" t="s">
        <v>65</v>
      </c>
      <c r="D29" s="536">
        <v>6.1050000000000004</v>
      </c>
      <c r="E29" s="535">
        <f>'ผลงานรายสัปดาห์(%)'!L53*D29/100</f>
        <v>2.6226941986679755</v>
      </c>
      <c r="F29" s="535">
        <f>'ผลงานรายสัปดาห์(%)'!M53*D29/100</f>
        <v>2.6226941986679755</v>
      </c>
      <c r="G29" s="507"/>
    </row>
    <row r="30" spans="2:7" ht="21.6" thickBot="1" x14ac:dyDescent="0.3">
      <c r="B30" s="530" t="s">
        <v>876</v>
      </c>
      <c r="C30" s="507" t="s">
        <v>35</v>
      </c>
      <c r="D30" s="536">
        <v>0.67900000000000005</v>
      </c>
      <c r="E30" s="535">
        <f>'ผลงานรายสัปดาห์(%)'!L55*D30/100</f>
        <v>0</v>
      </c>
      <c r="F30" s="535">
        <f>'ผลงานรายสัปดาห์(%)'!M55*D30/100</f>
        <v>0</v>
      </c>
      <c r="G30" s="507"/>
    </row>
    <row r="31" spans="2:7" ht="21.6" thickBot="1" x14ac:dyDescent="0.3">
      <c r="B31" s="530" t="s">
        <v>878</v>
      </c>
      <c r="C31" s="507" t="s">
        <v>121</v>
      </c>
      <c r="D31" s="536">
        <v>0.56200000000000006</v>
      </c>
      <c r="E31" s="535">
        <f>'ผลงานรายสัปดาห์(%)'!L57*D31/100</f>
        <v>0</v>
      </c>
      <c r="F31" s="535">
        <f>'ผลงานรายสัปดาห์(%)'!M57*D31/100</f>
        <v>0</v>
      </c>
      <c r="G31" s="507"/>
    </row>
    <row r="32" spans="2:7" ht="21.6" thickBot="1" x14ac:dyDescent="0.3">
      <c r="B32" s="530">
        <v>1.8</v>
      </c>
      <c r="C32" s="507" t="s">
        <v>881</v>
      </c>
      <c r="D32" s="536">
        <v>6.7809999999999997</v>
      </c>
      <c r="E32" s="535">
        <f>'ผลงานรายสัปดาห์(%)'!L59*D32/100</f>
        <v>1.3520872880300081</v>
      </c>
      <c r="F32" s="535">
        <f>'ผลงานรายสัปดาห์(%)'!M59*D32/100</f>
        <v>1.3520872880300081</v>
      </c>
      <c r="G32" s="507"/>
    </row>
    <row r="33" spans="2:7" ht="21.6" thickBot="1" x14ac:dyDescent="0.3">
      <c r="B33" s="530" t="s">
        <v>876</v>
      </c>
      <c r="C33" s="507" t="s">
        <v>35</v>
      </c>
      <c r="D33" s="536">
        <v>0.76700000000000002</v>
      </c>
      <c r="E33" s="535">
        <f>'ผลงานรายสัปดาห์(%)'!L61*D33/100</f>
        <v>0</v>
      </c>
      <c r="F33" s="535">
        <f>'ผลงานรายสัปดาห์(%)'!M61*D33/100</f>
        <v>0</v>
      </c>
      <c r="G33" s="507"/>
    </row>
    <row r="34" spans="2:7" ht="21.6" thickBot="1" x14ac:dyDescent="0.3">
      <c r="B34" s="530" t="s">
        <v>878</v>
      </c>
      <c r="C34" s="507" t="s">
        <v>121</v>
      </c>
      <c r="D34" s="536">
        <v>0.89700000000000002</v>
      </c>
      <c r="E34" s="535">
        <f>'ผลงานรายสัปดาห์(%)'!L63*D34/100</f>
        <v>0</v>
      </c>
      <c r="F34" s="535">
        <f>'ผลงานรายสัปดาห์(%)'!M63*D34/100</f>
        <v>0</v>
      </c>
      <c r="G34" s="507"/>
    </row>
    <row r="35" spans="2:7" ht="21.6" thickBot="1" x14ac:dyDescent="0.3">
      <c r="B35" s="530">
        <v>1.9</v>
      </c>
      <c r="C35" s="507" t="s">
        <v>66</v>
      </c>
      <c r="D35" s="536">
        <v>0.14399999999999999</v>
      </c>
      <c r="E35" s="535">
        <f>'ผลงานรายสัปดาห์(%)'!L65*D35/100</f>
        <v>0</v>
      </c>
      <c r="F35" s="535">
        <f>'ผลงานรายสัปดาห์(%)'!M65*D35/100</f>
        <v>0</v>
      </c>
      <c r="G35" s="507"/>
    </row>
    <row r="36" spans="2:7" ht="21.6" thickBot="1" x14ac:dyDescent="0.3">
      <c r="B36" s="530" t="s">
        <v>534</v>
      </c>
      <c r="C36" s="507" t="s">
        <v>67</v>
      </c>
      <c r="D36" s="536">
        <v>0.67200000000000004</v>
      </c>
      <c r="E36" s="535">
        <f>'ผลงานรายสัปดาห์(%)'!L67*D36/100</f>
        <v>0</v>
      </c>
      <c r="F36" s="535">
        <f>'ผลงานรายสัปดาห์(%)'!M67*D36/100</f>
        <v>0</v>
      </c>
      <c r="G36" s="507"/>
    </row>
    <row r="37" spans="2:7" ht="21.6" thickBot="1" x14ac:dyDescent="0.3">
      <c r="B37" s="530">
        <v>1.1100000000000001</v>
      </c>
      <c r="C37" s="507" t="s">
        <v>69</v>
      </c>
      <c r="D37" s="536">
        <v>0.14000000000000001</v>
      </c>
      <c r="E37" s="535">
        <f>'ผลงานรายสัปดาห์(%)'!L69*D37/100</f>
        <v>0</v>
      </c>
      <c r="F37" s="535">
        <f>'ผลงานรายสัปดาห์(%)'!M69*D37/100</f>
        <v>0</v>
      </c>
      <c r="G37" s="507"/>
    </row>
    <row r="38" spans="2:7" ht="21.6" thickBot="1" x14ac:dyDescent="0.3">
      <c r="B38" s="530">
        <v>1.1200000000000001</v>
      </c>
      <c r="C38" s="507" t="s">
        <v>874</v>
      </c>
      <c r="D38" s="536">
        <v>0.67</v>
      </c>
      <c r="E38" s="535">
        <f>'ผลงานรายสัปดาห์(%)'!L71*D38/100</f>
        <v>0</v>
      </c>
      <c r="F38" s="535">
        <f>'ผลงานรายสัปดาห์(%)'!M71*D38/100</f>
        <v>0</v>
      </c>
      <c r="G38" s="507"/>
    </row>
    <row r="39" spans="2:7" ht="21.6" thickBot="1" x14ac:dyDescent="0.3">
      <c r="B39" s="531">
        <v>2</v>
      </c>
      <c r="C39" s="525" t="s">
        <v>71</v>
      </c>
      <c r="D39" s="533"/>
      <c r="E39" s="537"/>
      <c r="F39" s="537"/>
      <c r="G39" s="523"/>
    </row>
    <row r="40" spans="2:7" ht="21.6" thickBot="1" x14ac:dyDescent="0.3">
      <c r="B40" s="530">
        <v>2.1</v>
      </c>
      <c r="C40" s="526" t="s">
        <v>882</v>
      </c>
      <c r="D40" s="508">
        <v>1.383</v>
      </c>
      <c r="E40" s="535">
        <f>'ผลงานรายสัปดาห์(%)'!L75*D40/100</f>
        <v>0</v>
      </c>
      <c r="F40" s="535">
        <f>'ผลงานรายสัปดาห์(%)'!M75*D40/100</f>
        <v>0</v>
      </c>
      <c r="G40" s="507"/>
    </row>
    <row r="41" spans="2:7" ht="21.6" thickBot="1" x14ac:dyDescent="0.3">
      <c r="B41" s="530">
        <v>2.2000000000000002</v>
      </c>
      <c r="C41" s="526" t="s">
        <v>883</v>
      </c>
      <c r="D41" s="508">
        <v>9.5310000000000006</v>
      </c>
      <c r="E41" s="535">
        <f>'ผลงานรายสัปดาห์(%)'!L77*D41/100</f>
        <v>1.4978458208644987E-2</v>
      </c>
      <c r="F41" s="535">
        <f>'ผลงานรายสัปดาห์(%)'!M77*D41/100</f>
        <v>1.4978458208644987E-2</v>
      </c>
      <c r="G41" s="507"/>
    </row>
    <row r="42" spans="2:7" ht="21.6" thickBot="1" x14ac:dyDescent="0.3">
      <c r="B42" s="529">
        <v>3</v>
      </c>
      <c r="C42" s="523" t="s">
        <v>29</v>
      </c>
      <c r="D42" s="533"/>
      <c r="E42" s="537"/>
      <c r="F42" s="537"/>
      <c r="G42" s="523"/>
    </row>
    <row r="43" spans="2:7" ht="21.6" thickBot="1" x14ac:dyDescent="0.3">
      <c r="B43" s="530">
        <v>3.1</v>
      </c>
      <c r="C43" s="507" t="s">
        <v>105</v>
      </c>
      <c r="D43" s="536">
        <v>8.6289999999999996</v>
      </c>
      <c r="E43" s="535">
        <f>'ผลงานรายสัปดาห์(%)'!L81*D43/100</f>
        <v>1.4004642677491157</v>
      </c>
      <c r="F43" s="535">
        <f>'ผลงานรายสัปดาห์(%)'!M81*D43/100</f>
        <v>1.4004642677491157</v>
      </c>
      <c r="G43" s="507"/>
    </row>
    <row r="44" spans="2:7" ht="21.6" thickBot="1" x14ac:dyDescent="0.3">
      <c r="B44" s="530">
        <v>3.2</v>
      </c>
      <c r="C44" s="507" t="s">
        <v>107</v>
      </c>
      <c r="D44" s="536">
        <v>7.4740000000000002</v>
      </c>
      <c r="E44" s="535">
        <f>'ผลงานรายสัปดาห์(%)'!L83*D44/100</f>
        <v>2.0169095284126644</v>
      </c>
      <c r="F44" s="535">
        <f>'ผลงานรายสัปดาห์(%)'!M83*D44/100</f>
        <v>2.0169095284126644</v>
      </c>
      <c r="G44" s="507"/>
    </row>
    <row r="45" spans="2:7" ht="21.6" thickBot="1" x14ac:dyDescent="0.3">
      <c r="B45" s="530">
        <v>3.3</v>
      </c>
      <c r="C45" s="507" t="s">
        <v>108</v>
      </c>
      <c r="D45" s="536">
        <v>10.385</v>
      </c>
      <c r="E45" s="535">
        <f>'ผลงานรายสัปดาห์(%)'!L85*D45/100</f>
        <v>2.2389414619672983</v>
      </c>
      <c r="F45" s="535">
        <f>'ผลงานรายสัปดาห์(%)'!M85*D45/100</f>
        <v>2.2389414619672983</v>
      </c>
      <c r="G45" s="507"/>
    </row>
    <row r="46" spans="2:7" ht="21.6" thickBot="1" x14ac:dyDescent="0.3">
      <c r="B46" s="530">
        <v>3.4</v>
      </c>
      <c r="C46" s="507" t="s">
        <v>875</v>
      </c>
      <c r="D46" s="536">
        <v>0.94499999999999995</v>
      </c>
      <c r="E46" s="535">
        <f>'ผลงานรายสัปดาห์(%)'!L87*D46/100</f>
        <v>0</v>
      </c>
      <c r="F46" s="535">
        <f>'ผลงานรายสัปดาห์(%)'!M87*D46/100</f>
        <v>0</v>
      </c>
      <c r="G46" s="507"/>
    </row>
    <row r="47" spans="2:7" ht="21.6" thickBot="1" x14ac:dyDescent="0.3">
      <c r="B47" s="530">
        <v>3.5</v>
      </c>
      <c r="C47" s="507" t="s">
        <v>110</v>
      </c>
      <c r="D47" s="536">
        <v>0.78200000000000003</v>
      </c>
      <c r="E47" s="535">
        <f>'ผลงานรายสัปดาห์(%)'!L89*D47/100</f>
        <v>0</v>
      </c>
      <c r="F47" s="535">
        <f>'ผลงานรายสัปดาห์(%)'!M89*D47/100</f>
        <v>0</v>
      </c>
      <c r="G47" s="507"/>
    </row>
    <row r="48" spans="2:7" ht="21.6" thickBot="1" x14ac:dyDescent="0.3">
      <c r="B48" s="530">
        <v>3.6</v>
      </c>
      <c r="C48" s="507" t="s">
        <v>111</v>
      </c>
      <c r="D48" s="536">
        <v>6.4610000000000003</v>
      </c>
      <c r="E48" s="535">
        <f>'ผลงานรายสัปดาห์(%)'!L91*D48/100</f>
        <v>5.0024872988751961</v>
      </c>
      <c r="F48" s="535">
        <f>'ผลงานรายสัปดาห์(%)'!M91*D48/100</f>
        <v>5.0024872988751961</v>
      </c>
      <c r="G48" s="507"/>
    </row>
    <row r="49" spans="2:7" ht="21.6" thickBot="1" x14ac:dyDescent="0.3">
      <c r="B49" s="530">
        <v>3.7</v>
      </c>
      <c r="C49" s="507" t="s">
        <v>112</v>
      </c>
      <c r="D49" s="536">
        <v>6.2919999999999998</v>
      </c>
      <c r="E49" s="535">
        <f>'ผลงานรายสัปดาห์(%)'!L93*D49/100</f>
        <v>1.0523520650906337</v>
      </c>
      <c r="F49" s="535">
        <f>'ผลงานรายสัปดาห์(%)'!M93*D49/100</f>
        <v>1.0523520650906337</v>
      </c>
      <c r="G49" s="507"/>
    </row>
    <row r="50" spans="2:7" ht="21.6" thickBot="1" x14ac:dyDescent="0.3">
      <c r="B50" s="530">
        <v>3.8</v>
      </c>
      <c r="C50" s="507" t="s">
        <v>113</v>
      </c>
      <c r="D50" s="536">
        <v>10.97</v>
      </c>
      <c r="E50" s="535">
        <f>'ผลงานรายสัปดาห์(%)'!L95*D50/100</f>
        <v>3.614236839925657</v>
      </c>
      <c r="F50" s="535">
        <f>'ผลงานรายสัปดาห์(%)'!M95*D50/100</f>
        <v>3.614236839925657</v>
      </c>
      <c r="G50" s="507"/>
    </row>
    <row r="51" spans="2:7" ht="21.6" thickBot="1" x14ac:dyDescent="0.3">
      <c r="B51" s="530">
        <v>3.9</v>
      </c>
      <c r="C51" s="507" t="s">
        <v>123</v>
      </c>
      <c r="D51" s="536">
        <v>0.63700000000000001</v>
      </c>
      <c r="E51" s="535">
        <f>'ผลงานรายสัปดาห์(%)'!L97*D51/100</f>
        <v>0</v>
      </c>
      <c r="F51" s="535">
        <f>'ผลงานรายสัปดาห์(%)'!M97*D51/100</f>
        <v>0</v>
      </c>
      <c r="G51" s="507"/>
    </row>
    <row r="52" spans="2:7" ht="21.6" thickBot="1" x14ac:dyDescent="0.3">
      <c r="B52" s="530" t="s">
        <v>804</v>
      </c>
      <c r="C52" s="507" t="s">
        <v>124</v>
      </c>
      <c r="D52" s="536">
        <v>1.8580000000000001</v>
      </c>
      <c r="E52" s="535">
        <f>'ผลงานรายสัปดาห์(%)'!L99*D52/100</f>
        <v>0</v>
      </c>
      <c r="F52" s="535">
        <f>'ผลงานรายสัปดาห์(%)'!M99*D52/100</f>
        <v>0</v>
      </c>
      <c r="G52" s="507"/>
    </row>
    <row r="53" spans="2:7" ht="21.6" thickBot="1" x14ac:dyDescent="0.3">
      <c r="B53" s="529">
        <v>4</v>
      </c>
      <c r="C53" s="523" t="s">
        <v>125</v>
      </c>
      <c r="D53" s="533"/>
      <c r="E53" s="537"/>
      <c r="F53" s="537"/>
      <c r="G53" s="523"/>
    </row>
    <row r="54" spans="2:7" ht="21.6" thickBot="1" x14ac:dyDescent="0.3">
      <c r="B54" s="530">
        <v>4.0999999999999996</v>
      </c>
      <c r="C54" s="507" t="s">
        <v>126</v>
      </c>
      <c r="D54" s="508">
        <v>1.0649999999999999</v>
      </c>
      <c r="E54" s="535">
        <f>'ผลงานรายสัปดาห์(%)'!L103*D54/100</f>
        <v>0</v>
      </c>
      <c r="F54" s="535">
        <f>'ผลงานรายสัปดาห์(%)'!M103*D54/100</f>
        <v>0</v>
      </c>
      <c r="G54" s="507"/>
    </row>
    <row r="55" spans="2:7" ht="21.6" thickBot="1" x14ac:dyDescent="0.3">
      <c r="B55" s="529">
        <v>5</v>
      </c>
      <c r="C55" s="523" t="s">
        <v>127</v>
      </c>
      <c r="D55" s="533"/>
      <c r="E55" s="537"/>
      <c r="F55" s="537"/>
      <c r="G55" s="523"/>
    </row>
    <row r="56" spans="2:7" ht="21.6" thickBot="1" x14ac:dyDescent="0.3">
      <c r="B56" s="530">
        <v>5.0999999999999996</v>
      </c>
      <c r="C56" s="507" t="s">
        <v>127</v>
      </c>
      <c r="D56" s="508">
        <v>0.24099999999999999</v>
      </c>
      <c r="E56" s="535">
        <f>'ผลงานรายสัปดาห์(%)'!L107*D56/100</f>
        <v>0</v>
      </c>
      <c r="F56" s="535">
        <f>'ผลงานรายสัปดาห์(%)'!M107*D56/100</f>
        <v>0</v>
      </c>
      <c r="G56" s="507"/>
    </row>
    <row r="57" spans="2:7" ht="21.6" thickBot="1" x14ac:dyDescent="0.3">
      <c r="B57" s="532"/>
      <c r="C57" s="527" t="s">
        <v>31</v>
      </c>
      <c r="D57" s="534">
        <f>SUM(D6:D56)</f>
        <v>99.995999999999995</v>
      </c>
      <c r="E57" s="534">
        <f>SUM(E6:E56)</f>
        <v>23.14451555649741</v>
      </c>
      <c r="F57" s="534">
        <f>SUM(F6:F56)</f>
        <v>23.14451555649741</v>
      </c>
      <c r="G57" s="523"/>
    </row>
  </sheetData>
  <mergeCells count="5">
    <mergeCell ref="B3:B4"/>
    <mergeCell ref="C3:C4"/>
    <mergeCell ref="E3:F3"/>
    <mergeCell ref="G3:G4"/>
    <mergeCell ref="D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0452-8F5D-4F3E-9193-DDFB20BEDA6E}">
  <sheetPr>
    <pageSetUpPr fitToPage="1"/>
  </sheetPr>
  <dimension ref="A1:DK162"/>
  <sheetViews>
    <sheetView showGridLines="0" tabSelected="1" topLeftCell="I46" zoomScale="55" zoomScaleNormal="55" zoomScaleSheetLayoutView="55" workbookViewId="0">
      <selection activeCell="BA59" sqref="BA59"/>
    </sheetView>
  </sheetViews>
  <sheetFormatPr defaultColWidth="9.33203125" defaultRowHeight="9" x14ac:dyDescent="0.25"/>
  <cols>
    <col min="1" max="1" width="8" style="2" bestFit="1" customWidth="1"/>
    <col min="2" max="2" width="49.6640625" style="2" customWidth="1"/>
    <col min="3" max="3" width="10.33203125" style="2" customWidth="1"/>
    <col min="4" max="4" width="8" style="37" bestFit="1" customWidth="1"/>
    <col min="5" max="5" width="7.21875" style="37" hidden="1" customWidth="1"/>
    <col min="6" max="6" width="7.21875" style="38" hidden="1" customWidth="1"/>
    <col min="7" max="7" width="7.21875" style="37" hidden="1" customWidth="1"/>
    <col min="8" max="8" width="7.21875" style="38" hidden="1" customWidth="1"/>
    <col min="9" max="9" width="16.33203125" style="2" customWidth="1"/>
    <col min="10" max="10" width="18.33203125" style="2" customWidth="1"/>
    <col min="11" max="11" width="9.109375" style="3" customWidth="1"/>
    <col min="12" max="12" width="5" style="43" customWidth="1"/>
    <col min="13" max="13" width="7.44140625" style="43" customWidth="1"/>
    <col min="14" max="50" width="7.44140625" style="2" customWidth="1"/>
    <col min="51" max="51" width="2.109375" style="2" customWidth="1"/>
    <col min="52" max="52" width="4" style="7" customWidth="1"/>
    <col min="53" max="54" width="7.109375" style="2" customWidth="1"/>
    <col min="55" max="55" width="4.109375" style="2" customWidth="1"/>
    <col min="56" max="56" width="3.44140625" style="2" customWidth="1"/>
    <col min="57" max="57" width="11.33203125" style="36" customWidth="1"/>
    <col min="58" max="58" width="1.77734375" style="6" customWidth="1"/>
    <col min="59" max="60" width="5.33203125" style="4" customWidth="1"/>
    <col min="61" max="61" width="6.44140625" style="4" customWidth="1"/>
    <col min="62" max="63" width="5.33203125" style="4" customWidth="1"/>
    <col min="64" max="64" width="15.33203125" style="4" customWidth="1"/>
    <col min="65" max="71" width="5.6640625" style="4" customWidth="1"/>
    <col min="72" max="72" width="6.33203125" style="4" customWidth="1"/>
    <col min="73" max="83" width="5.6640625" style="4" customWidth="1"/>
    <col min="84" max="103" width="5.6640625" style="8" customWidth="1"/>
    <col min="104" max="105" width="2.33203125" style="8" customWidth="1"/>
    <col min="106" max="111" width="5.77734375" style="8" customWidth="1"/>
    <col min="112" max="115" width="2.33203125" style="8" customWidth="1"/>
    <col min="116" max="16384" width="9.33203125" style="2"/>
  </cols>
  <sheetData>
    <row r="1" spans="1:115" ht="24.6" x14ac:dyDescent="0.25">
      <c r="A1" s="661"/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661"/>
      <c r="AA1" s="661"/>
      <c r="AB1" s="661"/>
      <c r="AC1" s="661"/>
      <c r="AD1" s="661"/>
      <c r="AE1" s="661"/>
      <c r="AF1" s="661"/>
      <c r="AG1" s="661"/>
      <c r="AH1" s="661"/>
      <c r="AI1" s="661"/>
      <c r="AJ1" s="661"/>
      <c r="AK1" s="661"/>
      <c r="AL1" s="661"/>
      <c r="AM1" s="661"/>
      <c r="AN1" s="661"/>
      <c r="AO1" s="661"/>
      <c r="AP1" s="661"/>
      <c r="AQ1" s="661"/>
      <c r="AR1" s="661"/>
      <c r="AS1" s="661"/>
      <c r="AT1" s="661"/>
      <c r="AU1" s="661"/>
      <c r="AV1" s="661"/>
      <c r="AW1" s="661"/>
      <c r="AX1" s="661"/>
      <c r="AY1" s="661"/>
      <c r="AZ1" s="661"/>
    </row>
    <row r="2" spans="1:115" ht="15.75" customHeight="1" x14ac:dyDescent="0.25">
      <c r="A2" s="662"/>
      <c r="B2" s="663"/>
      <c r="C2" s="663"/>
      <c r="D2" s="663"/>
      <c r="E2" s="663"/>
      <c r="F2" s="663"/>
      <c r="G2" s="663"/>
      <c r="H2" s="663"/>
      <c r="I2" s="663"/>
      <c r="J2" s="663"/>
      <c r="K2" s="663"/>
      <c r="L2" s="663"/>
      <c r="M2" s="663"/>
      <c r="N2" s="663"/>
      <c r="O2" s="663"/>
      <c r="P2" s="663"/>
      <c r="Q2" s="663"/>
      <c r="R2" s="663"/>
      <c r="S2" s="663"/>
      <c r="T2" s="663"/>
      <c r="U2" s="663"/>
      <c r="V2" s="663"/>
      <c r="W2" s="663"/>
      <c r="X2" s="663"/>
      <c r="Y2" s="663"/>
      <c r="Z2" s="663"/>
      <c r="AA2" s="663"/>
      <c r="AB2" s="663"/>
      <c r="AC2" s="663"/>
      <c r="AD2" s="663"/>
      <c r="AE2" s="663"/>
      <c r="AF2" s="663"/>
      <c r="AG2" s="663"/>
      <c r="AH2" s="663"/>
      <c r="AI2" s="663"/>
      <c r="AJ2" s="663"/>
      <c r="AK2" s="663"/>
      <c r="AL2" s="663"/>
      <c r="AM2" s="663"/>
      <c r="AN2" s="663"/>
      <c r="AO2" s="663"/>
      <c r="AP2" s="663"/>
      <c r="AQ2" s="663"/>
      <c r="AR2" s="663"/>
      <c r="AS2" s="663"/>
      <c r="AT2" s="663"/>
      <c r="AU2" s="663"/>
      <c r="AV2" s="663"/>
      <c r="AW2" s="663"/>
      <c r="AX2" s="663"/>
      <c r="AY2" s="663"/>
      <c r="AZ2" s="663"/>
    </row>
    <row r="3" spans="1:115" ht="15.75" customHeight="1" x14ac:dyDescent="0.25">
      <c r="A3" s="663"/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3"/>
      <c r="V3" s="663"/>
      <c r="W3" s="663"/>
      <c r="X3" s="663"/>
      <c r="Y3" s="663"/>
      <c r="Z3" s="663"/>
      <c r="AA3" s="663"/>
      <c r="AB3" s="663"/>
      <c r="AC3" s="663"/>
      <c r="AD3" s="663"/>
      <c r="AE3" s="663"/>
      <c r="AF3" s="663"/>
      <c r="AG3" s="663"/>
      <c r="AH3" s="663"/>
      <c r="AI3" s="663"/>
      <c r="AJ3" s="663"/>
      <c r="AK3" s="663"/>
      <c r="AL3" s="663"/>
      <c r="AM3" s="663"/>
      <c r="AN3" s="663"/>
      <c r="AO3" s="663"/>
      <c r="AP3" s="663"/>
      <c r="AQ3" s="663"/>
      <c r="AR3" s="663"/>
      <c r="AS3" s="663"/>
      <c r="AT3" s="663"/>
      <c r="AU3" s="663"/>
      <c r="AV3" s="663"/>
      <c r="AW3" s="663"/>
      <c r="AX3" s="663"/>
      <c r="AY3" s="663"/>
      <c r="AZ3" s="663"/>
    </row>
    <row r="4" spans="1:115" ht="21" x14ac:dyDescent="0.25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  <c r="Y4" s="663"/>
      <c r="Z4" s="663"/>
      <c r="AA4" s="663"/>
      <c r="AB4" s="663"/>
      <c r="AC4" s="663"/>
      <c r="AD4" s="663"/>
      <c r="AE4" s="663"/>
      <c r="AF4" s="663"/>
      <c r="AG4" s="663"/>
      <c r="AH4" s="663"/>
      <c r="AI4" s="663"/>
      <c r="AJ4" s="663"/>
      <c r="AK4" s="663"/>
      <c r="AL4" s="663"/>
      <c r="AM4" s="663"/>
      <c r="AN4" s="663"/>
      <c r="AO4" s="663"/>
      <c r="AP4" s="663"/>
      <c r="AQ4" s="663"/>
      <c r="AR4" s="663"/>
      <c r="AS4" s="663"/>
      <c r="AT4" s="663"/>
      <c r="AU4" s="663"/>
      <c r="AV4" s="663"/>
      <c r="AW4" s="663"/>
      <c r="AX4" s="663"/>
      <c r="AY4" s="663"/>
      <c r="AZ4" s="663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</row>
    <row r="5" spans="1:115" ht="21" x14ac:dyDescent="0.25">
      <c r="A5" s="321"/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1"/>
      <c r="AN5" s="321"/>
      <c r="AO5" s="321"/>
      <c r="AP5" s="321"/>
      <c r="AQ5" s="321"/>
      <c r="AR5" s="321"/>
      <c r="AS5" s="321"/>
      <c r="AT5" s="321"/>
      <c r="AU5" s="321"/>
      <c r="AV5" s="321"/>
      <c r="AW5" s="321"/>
      <c r="AX5" s="321"/>
      <c r="AY5" s="321"/>
      <c r="AZ5" s="321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</row>
    <row r="6" spans="1:115" x14ac:dyDescent="0.25">
      <c r="J6" s="42"/>
      <c r="BA6" s="4"/>
      <c r="BE6" s="2"/>
      <c r="BF6" s="2"/>
      <c r="BG6" s="2"/>
      <c r="BH6" s="2"/>
      <c r="BI6" s="2"/>
      <c r="BJ6" s="2"/>
      <c r="BK6" s="2"/>
      <c r="BL6" s="2"/>
      <c r="BM6" s="2"/>
      <c r="BN6" s="41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C6" s="2"/>
      <c r="DD6" s="2"/>
      <c r="DE6" s="2"/>
      <c r="DF6" s="2"/>
      <c r="DG6" s="2"/>
      <c r="DH6" s="2"/>
      <c r="DI6" s="2"/>
      <c r="DJ6" s="2"/>
      <c r="DK6" s="2"/>
    </row>
    <row r="7" spans="1:115" s="1" customFormat="1" ht="17.399999999999999" customHeight="1" x14ac:dyDescent="0.25">
      <c r="A7" s="411" t="s">
        <v>24</v>
      </c>
      <c r="B7" s="670" t="s">
        <v>0</v>
      </c>
      <c r="C7" s="670" t="s">
        <v>1</v>
      </c>
      <c r="D7" s="643" t="s">
        <v>2</v>
      </c>
      <c r="E7" s="412" t="s">
        <v>917</v>
      </c>
      <c r="F7" s="413" t="s">
        <v>20</v>
      </c>
      <c r="G7" s="412" t="s">
        <v>28</v>
      </c>
      <c r="H7" s="413" t="s">
        <v>20</v>
      </c>
      <c r="I7" s="414" t="s">
        <v>3</v>
      </c>
      <c r="J7" s="409" t="s">
        <v>4</v>
      </c>
      <c r="K7" s="668" t="s">
        <v>20</v>
      </c>
      <c r="L7" s="599" t="s">
        <v>135</v>
      </c>
      <c r="M7" s="600"/>
      <c r="N7" s="600"/>
      <c r="O7" s="600"/>
      <c r="P7" s="600"/>
      <c r="Q7" s="600"/>
      <c r="R7" s="601"/>
      <c r="S7" s="599" t="s">
        <v>128</v>
      </c>
      <c r="T7" s="600"/>
      <c r="U7" s="600"/>
      <c r="V7" s="600"/>
      <c r="W7" s="600"/>
      <c r="X7" s="600"/>
      <c r="Y7" s="600"/>
      <c r="Z7" s="600"/>
      <c r="AA7" s="600"/>
      <c r="AB7" s="600"/>
      <c r="AC7" s="600"/>
      <c r="AD7" s="601"/>
      <c r="AE7" s="599" t="s">
        <v>129</v>
      </c>
      <c r="AF7" s="600"/>
      <c r="AG7" s="600"/>
      <c r="AH7" s="600"/>
      <c r="AI7" s="600"/>
      <c r="AJ7" s="600"/>
      <c r="AK7" s="600"/>
      <c r="AL7" s="600"/>
      <c r="AM7" s="600"/>
      <c r="AN7" s="600"/>
      <c r="AO7" s="600"/>
      <c r="AP7" s="601"/>
      <c r="AQ7" s="599" t="s">
        <v>299</v>
      </c>
      <c r="AR7" s="600"/>
      <c r="AS7" s="600"/>
      <c r="AT7" s="600"/>
      <c r="AU7" s="600"/>
      <c r="AV7" s="600"/>
      <c r="AW7" s="600"/>
      <c r="AX7" s="601"/>
      <c r="AY7" s="18"/>
      <c r="AZ7" s="19"/>
      <c r="BB7" s="2"/>
      <c r="BM7" s="16" t="s">
        <v>135</v>
      </c>
      <c r="BN7" s="16"/>
      <c r="BO7" s="16"/>
      <c r="BP7" s="16"/>
      <c r="BQ7" s="16"/>
      <c r="BR7" s="16"/>
      <c r="BS7" s="17"/>
      <c r="BT7" s="16" t="s">
        <v>128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7"/>
      <c r="CF7" s="591" t="s">
        <v>129</v>
      </c>
      <c r="CG7" s="656"/>
      <c r="CH7" s="656"/>
      <c r="CI7" s="656"/>
      <c r="CJ7" s="656"/>
      <c r="CK7" s="656"/>
      <c r="CL7" s="656"/>
      <c r="CM7" s="656"/>
      <c r="CN7" s="656"/>
      <c r="CO7" s="656"/>
      <c r="CP7" s="656"/>
      <c r="CQ7" s="657"/>
      <c r="CR7" s="591" t="s">
        <v>299</v>
      </c>
      <c r="CS7" s="656"/>
      <c r="CT7" s="656"/>
      <c r="CU7" s="656"/>
      <c r="CV7" s="656"/>
      <c r="CW7" s="656"/>
      <c r="CX7" s="656"/>
      <c r="CY7" s="657"/>
      <c r="DB7" s="659" t="s">
        <v>136</v>
      </c>
      <c r="DC7" s="660"/>
    </row>
    <row r="8" spans="1:115" s="1" customFormat="1" ht="17.399999999999999" customHeight="1" x14ac:dyDescent="0.5">
      <c r="A8" s="415" t="s">
        <v>25</v>
      </c>
      <c r="B8" s="671"/>
      <c r="C8" s="671"/>
      <c r="D8" s="644"/>
      <c r="E8" s="416"/>
      <c r="F8" s="417"/>
      <c r="G8" s="416"/>
      <c r="H8" s="417"/>
      <c r="I8" s="418" t="s">
        <v>5</v>
      </c>
      <c r="J8" s="410" t="s">
        <v>5</v>
      </c>
      <c r="K8" s="669"/>
      <c r="L8" s="591" t="s">
        <v>9</v>
      </c>
      <c r="M8" s="592"/>
      <c r="N8" s="21" t="s">
        <v>10</v>
      </c>
      <c r="O8" s="21" t="s">
        <v>11</v>
      </c>
      <c r="P8" s="21" t="s">
        <v>12</v>
      </c>
      <c r="Q8" s="21" t="s">
        <v>13</v>
      </c>
      <c r="R8" s="22" t="s">
        <v>14</v>
      </c>
      <c r="S8" s="23" t="s">
        <v>15</v>
      </c>
      <c r="T8" s="21" t="s">
        <v>16</v>
      </c>
      <c r="U8" s="21" t="s">
        <v>17</v>
      </c>
      <c r="V8" s="21" t="s">
        <v>18</v>
      </c>
      <c r="W8" s="21" t="s">
        <v>19</v>
      </c>
      <c r="X8" s="23" t="s">
        <v>8</v>
      </c>
      <c r="Y8" s="21" t="s">
        <v>9</v>
      </c>
      <c r="Z8" s="21" t="s">
        <v>10</v>
      </c>
      <c r="AA8" s="21" t="s">
        <v>11</v>
      </c>
      <c r="AB8" s="21" t="s">
        <v>12</v>
      </c>
      <c r="AC8" s="21" t="s">
        <v>13</v>
      </c>
      <c r="AD8" s="22" t="s">
        <v>14</v>
      </c>
      <c r="AE8" s="23" t="s">
        <v>15</v>
      </c>
      <c r="AF8" s="21" t="s">
        <v>16</v>
      </c>
      <c r="AG8" s="21" t="s">
        <v>17</v>
      </c>
      <c r="AH8" s="21" t="s">
        <v>18</v>
      </c>
      <c r="AI8" s="21" t="s">
        <v>19</v>
      </c>
      <c r="AJ8" s="45" t="s">
        <v>8</v>
      </c>
      <c r="AK8" s="237" t="s">
        <v>130</v>
      </c>
      <c r="AL8" s="45" t="s">
        <v>131</v>
      </c>
      <c r="AM8" s="45" t="s">
        <v>132</v>
      </c>
      <c r="AN8" s="237" t="s">
        <v>133</v>
      </c>
      <c r="AO8" s="45" t="s">
        <v>134</v>
      </c>
      <c r="AP8" s="241" t="s">
        <v>14</v>
      </c>
      <c r="AQ8" s="237" t="s">
        <v>15</v>
      </c>
      <c r="AR8" s="45" t="s">
        <v>16</v>
      </c>
      <c r="AS8" s="45" t="s">
        <v>17</v>
      </c>
      <c r="AT8" s="45" t="s">
        <v>18</v>
      </c>
      <c r="AU8" s="45" t="s">
        <v>19</v>
      </c>
      <c r="AV8" s="45" t="s">
        <v>8</v>
      </c>
      <c r="AW8" s="597" t="s">
        <v>9</v>
      </c>
      <c r="AX8" s="598"/>
      <c r="AY8" s="24"/>
      <c r="AZ8" s="25"/>
      <c r="BB8" s="2"/>
      <c r="BM8" s="591" t="s">
        <v>9</v>
      </c>
      <c r="BN8" s="592"/>
      <c r="BO8" s="21" t="s">
        <v>10</v>
      </c>
      <c r="BP8" s="21" t="s">
        <v>11</v>
      </c>
      <c r="BQ8" s="21" t="s">
        <v>12</v>
      </c>
      <c r="BR8" s="21" t="s">
        <v>13</v>
      </c>
      <c r="BS8" s="22" t="s">
        <v>14</v>
      </c>
      <c r="BT8" s="23" t="s">
        <v>15</v>
      </c>
      <c r="BU8" s="21" t="s">
        <v>16</v>
      </c>
      <c r="BV8" s="21" t="s">
        <v>17</v>
      </c>
      <c r="BW8" s="21" t="s">
        <v>18</v>
      </c>
      <c r="BX8" s="21" t="s">
        <v>19</v>
      </c>
      <c r="BY8" s="23" t="s">
        <v>8</v>
      </c>
      <c r="BZ8" s="21" t="s">
        <v>9</v>
      </c>
      <c r="CA8" s="21" t="s">
        <v>10</v>
      </c>
      <c r="CB8" s="21" t="s">
        <v>11</v>
      </c>
      <c r="CC8" s="21" t="s">
        <v>12</v>
      </c>
      <c r="CD8" s="21" t="s">
        <v>13</v>
      </c>
      <c r="CE8" s="22" t="s">
        <v>14</v>
      </c>
      <c r="CF8" s="20" t="s">
        <v>15</v>
      </c>
      <c r="CG8" s="21" t="s">
        <v>16</v>
      </c>
      <c r="CH8" s="21" t="s">
        <v>17</v>
      </c>
      <c r="CI8" s="21" t="s">
        <v>18</v>
      </c>
      <c r="CJ8" s="21" t="s">
        <v>19</v>
      </c>
      <c r="CK8" s="45" t="s">
        <v>8</v>
      </c>
      <c r="CL8" s="45" t="s">
        <v>130</v>
      </c>
      <c r="CM8" s="45" t="s">
        <v>131</v>
      </c>
      <c r="CN8" s="45" t="s">
        <v>132</v>
      </c>
      <c r="CO8" s="45" t="s">
        <v>133</v>
      </c>
      <c r="CP8" s="45" t="s">
        <v>13</v>
      </c>
      <c r="CQ8" s="45" t="s">
        <v>14</v>
      </c>
      <c r="CR8" s="20" t="s">
        <v>15</v>
      </c>
      <c r="CS8" s="21" t="s">
        <v>16</v>
      </c>
      <c r="CT8" s="21" t="s">
        <v>17</v>
      </c>
      <c r="CU8" s="21" t="s">
        <v>18</v>
      </c>
      <c r="CV8" s="21" t="s">
        <v>19</v>
      </c>
      <c r="CW8" s="45" t="s">
        <v>8</v>
      </c>
      <c r="CX8" s="597" t="s">
        <v>130</v>
      </c>
      <c r="CY8" s="658"/>
      <c r="DB8" s="659"/>
      <c r="DC8" s="660"/>
    </row>
    <row r="9" spans="1:115" ht="8.4" customHeight="1" x14ac:dyDescent="0.25">
      <c r="A9" s="664">
        <v>1</v>
      </c>
      <c r="B9" s="616" t="s">
        <v>33</v>
      </c>
      <c r="C9" s="645"/>
      <c r="D9" s="645"/>
      <c r="E9" s="645"/>
      <c r="F9" s="645"/>
      <c r="G9" s="645"/>
      <c r="H9" s="645"/>
      <c r="I9" s="645"/>
      <c r="J9" s="645"/>
      <c r="K9" s="666"/>
      <c r="L9" s="97"/>
      <c r="M9" s="347"/>
      <c r="N9" s="348"/>
      <c r="O9" s="348"/>
      <c r="P9" s="348"/>
      <c r="Q9" s="348"/>
      <c r="R9" s="349"/>
      <c r="S9" s="347"/>
      <c r="T9" s="348"/>
      <c r="U9" s="348"/>
      <c r="V9" s="348"/>
      <c r="W9" s="348"/>
      <c r="X9" s="347"/>
      <c r="Y9" s="348"/>
      <c r="Z9" s="348"/>
      <c r="AA9" s="348"/>
      <c r="AB9" s="348"/>
      <c r="AC9" s="348"/>
      <c r="AD9" s="349"/>
      <c r="AE9" s="347"/>
      <c r="AF9" s="348"/>
      <c r="AG9" s="348"/>
      <c r="AH9" s="348"/>
      <c r="AI9" s="348"/>
      <c r="AJ9" s="350"/>
      <c r="AK9" s="351"/>
      <c r="AL9" s="350"/>
      <c r="AM9" s="350"/>
      <c r="AN9" s="351"/>
      <c r="AO9" s="347"/>
      <c r="AP9" s="352"/>
      <c r="AQ9" s="347"/>
      <c r="AR9" s="347"/>
      <c r="AS9" s="347"/>
      <c r="AT9" s="347"/>
      <c r="AU9" s="347"/>
      <c r="AV9" s="347"/>
      <c r="AW9" s="353"/>
      <c r="AX9" s="82"/>
      <c r="AY9" s="80"/>
      <c r="AZ9" s="330">
        <v>100</v>
      </c>
      <c r="BE9" s="2"/>
      <c r="BF9" s="2"/>
      <c r="BG9" s="2"/>
      <c r="BH9" s="2"/>
      <c r="BI9" s="2"/>
      <c r="BJ9" s="2"/>
      <c r="BK9" s="2"/>
      <c r="BL9" s="2"/>
      <c r="BM9" s="46"/>
      <c r="BN9" s="55"/>
      <c r="BO9" s="12"/>
      <c r="BP9" s="12"/>
      <c r="BQ9" s="12"/>
      <c r="BR9" s="12"/>
      <c r="BS9" s="13"/>
      <c r="BT9" s="14"/>
      <c r="BU9" s="12"/>
      <c r="BV9" s="12"/>
      <c r="BW9" s="12"/>
      <c r="BX9" s="12"/>
      <c r="BY9" s="14"/>
      <c r="BZ9" s="12"/>
      <c r="CA9" s="12"/>
      <c r="CB9" s="12"/>
      <c r="CC9" s="12"/>
      <c r="CD9" s="12"/>
      <c r="CE9" s="15"/>
      <c r="CF9" s="14"/>
      <c r="CG9" s="12"/>
      <c r="CH9" s="12"/>
      <c r="CI9" s="12"/>
      <c r="CJ9" s="12"/>
      <c r="CK9" s="238"/>
      <c r="CL9" s="238"/>
      <c r="CM9" s="238"/>
      <c r="CN9" s="238"/>
      <c r="CO9" s="238"/>
      <c r="CP9" s="238"/>
      <c r="CQ9" s="239"/>
      <c r="CR9" s="239"/>
      <c r="CS9" s="239"/>
      <c r="CT9" s="239"/>
      <c r="CU9" s="239"/>
      <c r="CV9" s="239"/>
      <c r="CW9" s="239"/>
      <c r="CX9" s="239"/>
      <c r="CY9" s="48"/>
      <c r="CZ9" s="2"/>
      <c r="DA9" s="2"/>
      <c r="DB9" s="659"/>
      <c r="DC9" s="660"/>
      <c r="DD9" s="2"/>
      <c r="DE9" s="2"/>
      <c r="DF9" s="2"/>
      <c r="DG9" s="2"/>
      <c r="DH9" s="2"/>
      <c r="DI9" s="2"/>
      <c r="DJ9" s="2"/>
      <c r="DK9" s="2"/>
    </row>
    <row r="10" spans="1:115" ht="8.4" customHeight="1" x14ac:dyDescent="0.25">
      <c r="A10" s="665"/>
      <c r="B10" s="617"/>
      <c r="C10" s="646"/>
      <c r="D10" s="646"/>
      <c r="E10" s="646"/>
      <c r="F10" s="646"/>
      <c r="G10" s="646"/>
      <c r="H10" s="646"/>
      <c r="I10" s="646"/>
      <c r="J10" s="646"/>
      <c r="K10" s="667"/>
      <c r="L10" s="98"/>
      <c r="M10" s="347"/>
      <c r="N10" s="348"/>
      <c r="O10" s="348"/>
      <c r="P10" s="348"/>
      <c r="Q10" s="348"/>
      <c r="R10" s="349"/>
      <c r="S10" s="347"/>
      <c r="T10" s="348"/>
      <c r="U10" s="348"/>
      <c r="V10" s="348"/>
      <c r="W10" s="348"/>
      <c r="X10" s="347"/>
      <c r="Y10" s="348"/>
      <c r="Z10" s="348"/>
      <c r="AA10" s="348"/>
      <c r="AB10" s="348"/>
      <c r="AC10" s="348"/>
      <c r="AD10" s="349"/>
      <c r="AE10" s="347"/>
      <c r="AF10" s="348"/>
      <c r="AG10" s="348"/>
      <c r="AH10" s="348"/>
      <c r="AI10" s="348"/>
      <c r="AJ10" s="348"/>
      <c r="AK10" s="347"/>
      <c r="AL10" s="348"/>
      <c r="AM10" s="348"/>
      <c r="AN10" s="347"/>
      <c r="AO10" s="347"/>
      <c r="AP10" s="349"/>
      <c r="AQ10" s="347"/>
      <c r="AR10" s="347"/>
      <c r="AS10" s="347"/>
      <c r="AT10" s="347"/>
      <c r="AU10" s="347"/>
      <c r="AV10" s="347"/>
      <c r="AW10" s="353"/>
      <c r="AX10" s="83"/>
      <c r="AY10" s="5"/>
      <c r="AZ10" s="331"/>
      <c r="BE10" s="2"/>
      <c r="BF10" s="2"/>
      <c r="BG10" s="2"/>
      <c r="BH10" s="2"/>
      <c r="BI10" s="2"/>
      <c r="BJ10" s="2"/>
      <c r="BK10" s="2"/>
      <c r="BL10" s="2"/>
      <c r="BM10" s="47"/>
      <c r="BN10" s="14"/>
      <c r="BO10" s="12"/>
      <c r="BP10" s="12"/>
      <c r="BQ10" s="12"/>
      <c r="BR10" s="12"/>
      <c r="BS10" s="13"/>
      <c r="BT10" s="14"/>
      <c r="BU10" s="12"/>
      <c r="BV10" s="12"/>
      <c r="BW10" s="12"/>
      <c r="BX10" s="12"/>
      <c r="BY10" s="14"/>
      <c r="BZ10" s="12"/>
      <c r="CA10" s="12"/>
      <c r="CB10" s="12"/>
      <c r="CC10" s="12"/>
      <c r="CD10" s="12"/>
      <c r="CE10" s="13"/>
      <c r="CF10" s="14"/>
      <c r="CG10" s="12"/>
      <c r="CH10" s="12"/>
      <c r="CI10" s="12"/>
      <c r="CJ10" s="12"/>
      <c r="CK10" s="244"/>
      <c r="CL10" s="244"/>
      <c r="CM10" s="244"/>
      <c r="CN10" s="244"/>
      <c r="CO10" s="12"/>
      <c r="CP10" s="12"/>
      <c r="CQ10" s="14"/>
      <c r="CR10" s="14"/>
      <c r="CS10" s="14"/>
      <c r="CT10" s="14"/>
      <c r="CU10" s="14"/>
      <c r="CV10" s="14"/>
      <c r="CW10" s="14"/>
      <c r="CX10" s="14"/>
      <c r="CY10" s="49"/>
      <c r="CZ10" s="2"/>
      <c r="DA10" s="2"/>
      <c r="DB10" s="659"/>
      <c r="DC10" s="660"/>
      <c r="DD10" s="2"/>
      <c r="DE10" s="2"/>
      <c r="DF10" s="2"/>
      <c r="DG10" s="2"/>
      <c r="DH10" s="2"/>
      <c r="DI10" s="2"/>
      <c r="DJ10" s="2"/>
      <c r="DK10" s="2"/>
    </row>
    <row r="11" spans="1:115" ht="8.4" customHeight="1" x14ac:dyDescent="0.25">
      <c r="A11" s="604">
        <v>1.1000000000000001</v>
      </c>
      <c r="B11" s="632" t="s">
        <v>34</v>
      </c>
      <c r="C11" s="608" t="s">
        <v>6</v>
      </c>
      <c r="D11" s="610">
        <v>1</v>
      </c>
      <c r="E11" s="559">
        <f>F11*100/SUM(K11:K20)</f>
        <v>29.62273185359215</v>
      </c>
      <c r="F11" s="557">
        <f>K11*SUM(M11:AG11)/100</f>
        <v>1.2806565573276167</v>
      </c>
      <c r="G11" s="559">
        <f>D11*H11/100</f>
        <v>7.2120000000000004E-2</v>
      </c>
      <c r="H11" s="557">
        <f>SUM(L12:AJ12)</f>
        <v>7.2119999999999997</v>
      </c>
      <c r="I11" s="612">
        <f>'BOQ แก้ไขสัญญา'!AF10</f>
        <v>5090507</v>
      </c>
      <c r="J11" s="593">
        <f t="shared" ref="J11:J69" si="0">D11*I11</f>
        <v>5090507</v>
      </c>
      <c r="K11" s="595">
        <f>J11*100/GTotal</f>
        <v>2.1344275955460281</v>
      </c>
      <c r="L11" s="99"/>
      <c r="M11" s="354"/>
      <c r="N11" s="355"/>
      <c r="O11" s="355"/>
      <c r="P11" s="355"/>
      <c r="Q11" s="355"/>
      <c r="R11" s="356"/>
      <c r="S11" s="354"/>
      <c r="T11" s="355"/>
      <c r="U11" s="355"/>
      <c r="V11" s="355"/>
      <c r="W11" s="355"/>
      <c r="X11" s="354"/>
      <c r="Y11" s="355"/>
      <c r="Z11" s="355"/>
      <c r="AA11" s="357">
        <v>5</v>
      </c>
      <c r="AB11" s="358">
        <v>5</v>
      </c>
      <c r="AC11" s="358">
        <v>10</v>
      </c>
      <c r="AD11" s="358">
        <v>10</v>
      </c>
      <c r="AE11" s="357">
        <v>10</v>
      </c>
      <c r="AF11" s="358">
        <v>10</v>
      </c>
      <c r="AG11" s="357">
        <v>10</v>
      </c>
      <c r="AH11" s="358">
        <v>10</v>
      </c>
      <c r="AI11" s="358">
        <v>10</v>
      </c>
      <c r="AJ11" s="358">
        <v>10</v>
      </c>
      <c r="AK11" s="358">
        <v>10</v>
      </c>
      <c r="AL11" s="358"/>
      <c r="AM11" s="358"/>
      <c r="AN11" s="358"/>
      <c r="AO11" s="358"/>
      <c r="AP11" s="359"/>
      <c r="AQ11" s="354"/>
      <c r="AR11" s="355"/>
      <c r="AS11" s="354"/>
      <c r="AT11" s="355"/>
      <c r="AU11" s="355"/>
      <c r="AV11" s="355"/>
      <c r="AW11" s="355"/>
      <c r="AX11" s="84"/>
      <c r="AY11" s="5"/>
      <c r="AZ11" s="331"/>
      <c r="BE11" s="2"/>
      <c r="BF11" s="2"/>
      <c r="BG11" s="2"/>
      <c r="BH11" s="2"/>
      <c r="BI11" s="2"/>
      <c r="BJ11" s="2"/>
      <c r="BK11" s="2"/>
      <c r="BL11" s="2">
        <v>1</v>
      </c>
      <c r="BM11" s="54"/>
      <c r="BN11" s="11">
        <f t="shared" ref="BN11:CX11" si="1">M11*$K11/100</f>
        <v>0</v>
      </c>
      <c r="BO11" s="11">
        <f t="shared" si="1"/>
        <v>0</v>
      </c>
      <c r="BP11" s="11">
        <f t="shared" si="1"/>
        <v>0</v>
      </c>
      <c r="BQ11" s="11">
        <f t="shared" si="1"/>
        <v>0</v>
      </c>
      <c r="BR11" s="11">
        <f t="shared" si="1"/>
        <v>0</v>
      </c>
      <c r="BS11" s="236">
        <f t="shared" si="1"/>
        <v>0</v>
      </c>
      <c r="BT11" s="11">
        <f t="shared" si="1"/>
        <v>0</v>
      </c>
      <c r="BU11" s="11">
        <f t="shared" si="1"/>
        <v>0</v>
      </c>
      <c r="BV11" s="11">
        <f t="shared" si="1"/>
        <v>0</v>
      </c>
      <c r="BW11" s="11">
        <f t="shared" si="1"/>
        <v>0</v>
      </c>
      <c r="BX11" s="11">
        <f t="shared" si="1"/>
        <v>0</v>
      </c>
      <c r="BY11" s="11">
        <f t="shared" si="1"/>
        <v>0</v>
      </c>
      <c r="BZ11" s="11">
        <f t="shared" si="1"/>
        <v>0</v>
      </c>
      <c r="CA11" s="11">
        <f t="shared" si="1"/>
        <v>0</v>
      </c>
      <c r="CB11" s="11">
        <f t="shared" si="1"/>
        <v>0.10672137977730141</v>
      </c>
      <c r="CC11" s="11">
        <f t="shared" si="1"/>
        <v>0.10672137977730141</v>
      </c>
      <c r="CD11" s="11">
        <f t="shared" si="1"/>
        <v>0.21344275955460282</v>
      </c>
      <c r="CE11" s="236">
        <f t="shared" si="1"/>
        <v>0.21344275955460282</v>
      </c>
      <c r="CF11" s="11">
        <f t="shared" si="1"/>
        <v>0.21344275955460282</v>
      </c>
      <c r="CG11" s="11">
        <f t="shared" si="1"/>
        <v>0.21344275955460282</v>
      </c>
      <c r="CH11" s="11">
        <f t="shared" si="1"/>
        <v>0.21344275955460282</v>
      </c>
      <c r="CI11" s="11">
        <f t="shared" si="1"/>
        <v>0.21344275955460282</v>
      </c>
      <c r="CJ11" s="11">
        <f t="shared" si="1"/>
        <v>0.21344275955460282</v>
      </c>
      <c r="CK11" s="11">
        <f t="shared" si="1"/>
        <v>0.21344275955460282</v>
      </c>
      <c r="CL11" s="11">
        <f t="shared" si="1"/>
        <v>0.21344275955460282</v>
      </c>
      <c r="CM11" s="11">
        <f t="shared" si="1"/>
        <v>0</v>
      </c>
      <c r="CN11" s="11">
        <f t="shared" si="1"/>
        <v>0</v>
      </c>
      <c r="CO11" s="11">
        <f t="shared" si="1"/>
        <v>0</v>
      </c>
      <c r="CP11" s="11">
        <f t="shared" si="1"/>
        <v>0</v>
      </c>
      <c r="CQ11" s="11">
        <f t="shared" si="1"/>
        <v>0</v>
      </c>
      <c r="CR11" s="11">
        <f t="shared" si="1"/>
        <v>0</v>
      </c>
      <c r="CS11" s="11">
        <f t="shared" si="1"/>
        <v>0</v>
      </c>
      <c r="CT11" s="11">
        <f t="shared" si="1"/>
        <v>0</v>
      </c>
      <c r="CU11" s="11">
        <f t="shared" si="1"/>
        <v>0</v>
      </c>
      <c r="CV11" s="11">
        <f t="shared" si="1"/>
        <v>0</v>
      </c>
      <c r="CW11" s="11">
        <f t="shared" si="1"/>
        <v>0</v>
      </c>
      <c r="CX11" s="11">
        <f t="shared" si="1"/>
        <v>0</v>
      </c>
      <c r="CY11" s="50"/>
      <c r="CZ11" s="2"/>
      <c r="DA11" s="2"/>
      <c r="DB11" s="58">
        <f t="shared" ref="DB11:DB42" si="2">SUM(BN11:CY11)</f>
        <v>2.1344275955460286</v>
      </c>
      <c r="DC11" s="41">
        <f t="shared" ref="DC11:DC42" si="3">K11</f>
        <v>2.1344275955460281</v>
      </c>
      <c r="DD11" s="2"/>
      <c r="DE11" s="2"/>
      <c r="DF11" s="2"/>
      <c r="DG11" s="2"/>
      <c r="DH11" s="2"/>
      <c r="DI11" s="2"/>
      <c r="DJ11" s="2"/>
      <c r="DK11" s="2"/>
    </row>
    <row r="12" spans="1:115" ht="8.4" customHeight="1" x14ac:dyDescent="0.25">
      <c r="A12" s="605"/>
      <c r="B12" s="633"/>
      <c r="C12" s="609"/>
      <c r="D12" s="611"/>
      <c r="E12" s="560"/>
      <c r="F12" s="558"/>
      <c r="G12" s="560"/>
      <c r="H12" s="558"/>
      <c r="I12" s="613"/>
      <c r="J12" s="594"/>
      <c r="K12" s="596"/>
      <c r="L12" s="100"/>
      <c r="M12" s="360"/>
      <c r="N12" s="540">
        <v>4.2709999999999999</v>
      </c>
      <c r="O12" s="361"/>
      <c r="P12" s="361"/>
      <c r="Q12" s="361"/>
      <c r="R12" s="362"/>
      <c r="S12" s="360"/>
      <c r="T12" s="361"/>
      <c r="U12" s="361"/>
      <c r="V12" s="361"/>
      <c r="W12" s="361"/>
      <c r="X12" s="360"/>
      <c r="Y12" s="361"/>
      <c r="Z12" s="361"/>
      <c r="AA12" s="456">
        <v>2.9409999999999998</v>
      </c>
      <c r="AB12" s="456"/>
      <c r="AC12" s="456"/>
      <c r="AD12" s="541"/>
      <c r="AE12" s="539"/>
      <c r="AF12" s="540"/>
      <c r="AG12" s="456"/>
      <c r="AH12" s="456"/>
      <c r="AI12" s="539"/>
      <c r="AJ12" s="456"/>
      <c r="AK12" s="539"/>
      <c r="AL12" s="456"/>
      <c r="AM12" s="456"/>
      <c r="AN12" s="456"/>
      <c r="AO12" s="456"/>
      <c r="AP12" s="541"/>
      <c r="AQ12" s="539"/>
      <c r="AR12" s="456"/>
      <c r="AS12" s="539"/>
      <c r="AT12" s="456"/>
      <c r="AU12" s="456"/>
      <c r="AV12" s="456"/>
      <c r="AW12" s="456"/>
      <c r="AX12" s="85"/>
      <c r="AY12" s="5"/>
      <c r="AZ12" s="331"/>
      <c r="BE12" s="2"/>
      <c r="BF12" s="2"/>
      <c r="BG12" s="2"/>
      <c r="BH12" s="2"/>
      <c r="BI12" s="2"/>
      <c r="BJ12" s="2"/>
      <c r="BK12" s="2"/>
      <c r="BL12" s="2">
        <v>0</v>
      </c>
      <c r="BM12" s="53"/>
      <c r="BN12" s="11">
        <f t="shared" ref="BN12:CX12" si="4">M12*$K11/100</f>
        <v>0</v>
      </c>
      <c r="BO12" s="11">
        <f t="shared" si="4"/>
        <v>9.1161402605770867E-2</v>
      </c>
      <c r="BP12" s="11">
        <f t="shared" si="4"/>
        <v>0</v>
      </c>
      <c r="BQ12" s="11">
        <f t="shared" si="4"/>
        <v>0</v>
      </c>
      <c r="BR12" s="11">
        <f t="shared" si="4"/>
        <v>0</v>
      </c>
      <c r="BS12" s="236">
        <f t="shared" si="4"/>
        <v>0</v>
      </c>
      <c r="BT12" s="11">
        <f t="shared" si="4"/>
        <v>0</v>
      </c>
      <c r="BU12" s="11">
        <f t="shared" si="4"/>
        <v>0</v>
      </c>
      <c r="BV12" s="11">
        <f t="shared" si="4"/>
        <v>0</v>
      </c>
      <c r="BW12" s="11">
        <f t="shared" si="4"/>
        <v>0</v>
      </c>
      <c r="BX12" s="11">
        <f t="shared" si="4"/>
        <v>0</v>
      </c>
      <c r="BY12" s="11">
        <f t="shared" si="4"/>
        <v>0</v>
      </c>
      <c r="BZ12" s="11">
        <f t="shared" si="4"/>
        <v>0</v>
      </c>
      <c r="CA12" s="11">
        <f t="shared" si="4"/>
        <v>0</v>
      </c>
      <c r="CB12" s="11">
        <f t="shared" si="4"/>
        <v>6.2773515585008682E-2</v>
      </c>
      <c r="CC12" s="11">
        <f t="shared" si="4"/>
        <v>0</v>
      </c>
      <c r="CD12" s="11">
        <f t="shared" si="4"/>
        <v>0</v>
      </c>
      <c r="CE12" s="236">
        <f t="shared" si="4"/>
        <v>0</v>
      </c>
      <c r="CF12" s="11">
        <f t="shared" si="4"/>
        <v>0</v>
      </c>
      <c r="CG12" s="11">
        <f t="shared" si="4"/>
        <v>0</v>
      </c>
      <c r="CH12" s="11">
        <f t="shared" si="4"/>
        <v>0</v>
      </c>
      <c r="CI12" s="11">
        <f t="shared" si="4"/>
        <v>0</v>
      </c>
      <c r="CJ12" s="11">
        <f t="shared" si="4"/>
        <v>0</v>
      </c>
      <c r="CK12" s="11">
        <f t="shared" si="4"/>
        <v>0</v>
      </c>
      <c r="CL12" s="11">
        <f t="shared" si="4"/>
        <v>0</v>
      </c>
      <c r="CM12" s="11">
        <f t="shared" si="4"/>
        <v>0</v>
      </c>
      <c r="CN12" s="11">
        <f t="shared" si="4"/>
        <v>0</v>
      </c>
      <c r="CO12" s="11">
        <f t="shared" si="4"/>
        <v>0</v>
      </c>
      <c r="CP12" s="11">
        <f t="shared" si="4"/>
        <v>0</v>
      </c>
      <c r="CQ12" s="11">
        <f t="shared" si="4"/>
        <v>0</v>
      </c>
      <c r="CR12" s="11">
        <f t="shared" si="4"/>
        <v>0</v>
      </c>
      <c r="CS12" s="11">
        <f t="shared" si="4"/>
        <v>0</v>
      </c>
      <c r="CT12" s="11">
        <f t="shared" si="4"/>
        <v>0</v>
      </c>
      <c r="CU12" s="11">
        <f t="shared" si="4"/>
        <v>0</v>
      </c>
      <c r="CV12" s="11">
        <f t="shared" si="4"/>
        <v>0</v>
      </c>
      <c r="CW12" s="11">
        <f t="shared" si="4"/>
        <v>0</v>
      </c>
      <c r="CX12" s="11">
        <f t="shared" si="4"/>
        <v>0</v>
      </c>
      <c r="CY12" s="50"/>
      <c r="CZ12" s="2"/>
      <c r="DA12" s="2"/>
      <c r="DB12" s="58">
        <f t="shared" si="2"/>
        <v>0.15393491819077953</v>
      </c>
      <c r="DC12" s="41">
        <f t="shared" si="3"/>
        <v>0</v>
      </c>
      <c r="DD12" s="2"/>
      <c r="DE12" s="2"/>
      <c r="DF12" s="2"/>
      <c r="DG12" s="2"/>
      <c r="DH12" s="2"/>
      <c r="DI12" s="2"/>
      <c r="DJ12" s="2"/>
      <c r="DK12" s="2"/>
    </row>
    <row r="13" spans="1:115" ht="8.4" customHeight="1" x14ac:dyDescent="0.25">
      <c r="A13" s="638">
        <v>-1</v>
      </c>
      <c r="B13" s="632" t="s">
        <v>35</v>
      </c>
      <c r="C13" s="608" t="s">
        <v>6</v>
      </c>
      <c r="D13" s="610">
        <v>1</v>
      </c>
      <c r="E13" s="559">
        <f>F13*100/SUM(K11:K20)</f>
        <v>3.1303119087136562</v>
      </c>
      <c r="F13" s="557">
        <f>K13*SUM(M13:AG13)/100</f>
        <v>0.13533034333863253</v>
      </c>
      <c r="G13" s="559">
        <f>D13*H13/100</f>
        <v>0</v>
      </c>
      <c r="H13" s="557">
        <f t="shared" ref="H13" si="5">SUM(L14:AJ14)</f>
        <v>0</v>
      </c>
      <c r="I13" s="612">
        <f>'BOQ แก้ไขสัญญา'!AF11</f>
        <v>2151709</v>
      </c>
      <c r="J13" s="593">
        <f t="shared" si="0"/>
        <v>2151709</v>
      </c>
      <c r="K13" s="595">
        <f>J13*100/GTotal</f>
        <v>0.90220228892421694</v>
      </c>
      <c r="L13" s="99"/>
      <c r="M13" s="354"/>
      <c r="N13" s="355"/>
      <c r="O13" s="355"/>
      <c r="P13" s="355"/>
      <c r="Q13" s="355"/>
      <c r="R13" s="356"/>
      <c r="S13" s="354"/>
      <c r="T13" s="355"/>
      <c r="U13" s="355"/>
      <c r="V13" s="355"/>
      <c r="W13" s="355"/>
      <c r="X13" s="354"/>
      <c r="Y13" s="355"/>
      <c r="Z13" s="355"/>
      <c r="AA13" s="358"/>
      <c r="AB13" s="358"/>
      <c r="AC13" s="358"/>
      <c r="AD13" s="359"/>
      <c r="AE13" s="357"/>
      <c r="AF13" s="358">
        <v>5</v>
      </c>
      <c r="AG13" s="358">
        <v>10</v>
      </c>
      <c r="AH13" s="358">
        <v>15</v>
      </c>
      <c r="AI13" s="357">
        <v>15</v>
      </c>
      <c r="AJ13" s="358">
        <v>15</v>
      </c>
      <c r="AK13" s="357">
        <v>15</v>
      </c>
      <c r="AL13" s="358">
        <v>10</v>
      </c>
      <c r="AM13" s="358">
        <v>10</v>
      </c>
      <c r="AN13" s="358">
        <v>5</v>
      </c>
      <c r="AO13" s="358"/>
      <c r="AP13" s="359"/>
      <c r="AQ13" s="354"/>
      <c r="AR13" s="355"/>
      <c r="AS13" s="354"/>
      <c r="AT13" s="355"/>
      <c r="AU13" s="355"/>
      <c r="AV13" s="355"/>
      <c r="AW13" s="355"/>
      <c r="AX13" s="84"/>
      <c r="AY13" s="5"/>
      <c r="AZ13" s="331"/>
      <c r="BE13" s="2"/>
      <c r="BF13" s="2"/>
      <c r="BG13" s="2"/>
      <c r="BH13" s="2"/>
      <c r="BI13" s="2"/>
      <c r="BJ13" s="2"/>
      <c r="BK13" s="2"/>
      <c r="BL13" s="2">
        <v>1</v>
      </c>
      <c r="BM13" s="54"/>
      <c r="BN13" s="11">
        <f t="shared" ref="BN13:CX13" si="6">M13*$K13/100</f>
        <v>0</v>
      </c>
      <c r="BO13" s="11">
        <f t="shared" si="6"/>
        <v>0</v>
      </c>
      <c r="BP13" s="11">
        <f t="shared" si="6"/>
        <v>0</v>
      </c>
      <c r="BQ13" s="11">
        <f t="shared" si="6"/>
        <v>0</v>
      </c>
      <c r="BR13" s="11">
        <f t="shared" si="6"/>
        <v>0</v>
      </c>
      <c r="BS13" s="236">
        <f t="shared" si="6"/>
        <v>0</v>
      </c>
      <c r="BT13" s="11">
        <f t="shared" si="6"/>
        <v>0</v>
      </c>
      <c r="BU13" s="11">
        <f t="shared" si="6"/>
        <v>0</v>
      </c>
      <c r="BV13" s="11">
        <f t="shared" si="6"/>
        <v>0</v>
      </c>
      <c r="BW13" s="11">
        <f t="shared" si="6"/>
        <v>0</v>
      </c>
      <c r="BX13" s="11">
        <f t="shared" si="6"/>
        <v>0</v>
      </c>
      <c r="BY13" s="11">
        <f t="shared" si="6"/>
        <v>0</v>
      </c>
      <c r="BZ13" s="11">
        <f t="shared" si="6"/>
        <v>0</v>
      </c>
      <c r="CA13" s="11">
        <f t="shared" si="6"/>
        <v>0</v>
      </c>
      <c r="CB13" s="11">
        <f t="shared" si="6"/>
        <v>0</v>
      </c>
      <c r="CC13" s="11">
        <f t="shared" si="6"/>
        <v>0</v>
      </c>
      <c r="CD13" s="11">
        <f t="shared" si="6"/>
        <v>0</v>
      </c>
      <c r="CE13" s="236">
        <f t="shared" si="6"/>
        <v>0</v>
      </c>
      <c r="CF13" s="11">
        <f t="shared" si="6"/>
        <v>0</v>
      </c>
      <c r="CG13" s="11">
        <f t="shared" si="6"/>
        <v>4.5110114446210846E-2</v>
      </c>
      <c r="CH13" s="11">
        <f t="shared" si="6"/>
        <v>9.0220228892421692E-2</v>
      </c>
      <c r="CI13" s="11">
        <f t="shared" si="6"/>
        <v>0.13533034333863253</v>
      </c>
      <c r="CJ13" s="11">
        <f t="shared" si="6"/>
        <v>0.13533034333863253</v>
      </c>
      <c r="CK13" s="11">
        <f t="shared" si="6"/>
        <v>0.13533034333863253</v>
      </c>
      <c r="CL13" s="11">
        <f t="shared" si="6"/>
        <v>0.13533034333863253</v>
      </c>
      <c r="CM13" s="11">
        <f t="shared" si="6"/>
        <v>9.0220228892421692E-2</v>
      </c>
      <c r="CN13" s="11">
        <f t="shared" si="6"/>
        <v>9.0220228892421692E-2</v>
      </c>
      <c r="CO13" s="11">
        <f t="shared" si="6"/>
        <v>4.5110114446210846E-2</v>
      </c>
      <c r="CP13" s="11">
        <f t="shared" si="6"/>
        <v>0</v>
      </c>
      <c r="CQ13" s="11">
        <f t="shared" si="6"/>
        <v>0</v>
      </c>
      <c r="CR13" s="11">
        <f t="shared" si="6"/>
        <v>0</v>
      </c>
      <c r="CS13" s="11">
        <f t="shared" si="6"/>
        <v>0</v>
      </c>
      <c r="CT13" s="11">
        <f t="shared" si="6"/>
        <v>0</v>
      </c>
      <c r="CU13" s="11">
        <f t="shared" si="6"/>
        <v>0</v>
      </c>
      <c r="CV13" s="11">
        <f t="shared" si="6"/>
        <v>0</v>
      </c>
      <c r="CW13" s="11">
        <f t="shared" si="6"/>
        <v>0</v>
      </c>
      <c r="CX13" s="11">
        <f t="shared" si="6"/>
        <v>0</v>
      </c>
      <c r="CY13" s="50"/>
      <c r="CZ13" s="2"/>
      <c r="DA13" s="2"/>
      <c r="DB13" s="58">
        <f t="shared" si="2"/>
        <v>0.90220228892421683</v>
      </c>
      <c r="DC13" s="41">
        <f t="shared" si="3"/>
        <v>0.90220228892421694</v>
      </c>
      <c r="DD13" s="2"/>
      <c r="DE13" s="2"/>
      <c r="DF13" s="2"/>
      <c r="DG13" s="2"/>
      <c r="DH13" s="2"/>
      <c r="DI13" s="2"/>
      <c r="DJ13" s="2"/>
      <c r="DK13" s="2"/>
    </row>
    <row r="14" spans="1:115" ht="8.4" customHeight="1" x14ac:dyDescent="0.25">
      <c r="A14" s="639"/>
      <c r="B14" s="633"/>
      <c r="C14" s="609"/>
      <c r="D14" s="611"/>
      <c r="E14" s="560"/>
      <c r="F14" s="558"/>
      <c r="G14" s="560"/>
      <c r="H14" s="558"/>
      <c r="I14" s="613"/>
      <c r="J14" s="594"/>
      <c r="K14" s="596"/>
      <c r="L14" s="101"/>
      <c r="M14" s="360"/>
      <c r="N14" s="361"/>
      <c r="O14" s="361"/>
      <c r="P14" s="361"/>
      <c r="Q14" s="361"/>
      <c r="R14" s="362"/>
      <c r="S14" s="360"/>
      <c r="T14" s="361"/>
      <c r="U14" s="361"/>
      <c r="V14" s="361"/>
      <c r="W14" s="361"/>
      <c r="X14" s="360"/>
      <c r="Y14" s="361"/>
      <c r="Z14" s="361"/>
      <c r="AA14" s="363"/>
      <c r="AB14" s="363"/>
      <c r="AC14" s="363"/>
      <c r="AD14" s="364"/>
      <c r="AE14" s="365"/>
      <c r="AF14" s="363"/>
      <c r="AG14" s="363"/>
      <c r="AH14" s="363"/>
      <c r="AI14" s="365"/>
      <c r="AJ14" s="363"/>
      <c r="AK14" s="365"/>
      <c r="AL14" s="363"/>
      <c r="AM14" s="363"/>
      <c r="AN14" s="363"/>
      <c r="AO14" s="363"/>
      <c r="AP14" s="364"/>
      <c r="AQ14" s="360"/>
      <c r="AR14" s="361"/>
      <c r="AS14" s="360"/>
      <c r="AT14" s="361"/>
      <c r="AU14" s="361"/>
      <c r="AV14" s="361"/>
      <c r="AW14" s="361"/>
      <c r="AX14" s="85"/>
      <c r="AY14" s="5"/>
      <c r="AZ14" s="331"/>
      <c r="BE14" s="2"/>
      <c r="BF14" s="2"/>
      <c r="BG14" s="2"/>
      <c r="BH14" s="2"/>
      <c r="BI14" s="2"/>
      <c r="BJ14" s="2"/>
      <c r="BK14" s="2"/>
      <c r="BL14" s="2">
        <v>0</v>
      </c>
      <c r="BM14" s="53"/>
      <c r="BN14" s="11">
        <f t="shared" ref="BN14:CX14" si="7">M14*$K13/100</f>
        <v>0</v>
      </c>
      <c r="BO14" s="11">
        <f t="shared" si="7"/>
        <v>0</v>
      </c>
      <c r="BP14" s="11">
        <f t="shared" si="7"/>
        <v>0</v>
      </c>
      <c r="BQ14" s="11">
        <f t="shared" si="7"/>
        <v>0</v>
      </c>
      <c r="BR14" s="11">
        <f t="shared" si="7"/>
        <v>0</v>
      </c>
      <c r="BS14" s="236">
        <f t="shared" si="7"/>
        <v>0</v>
      </c>
      <c r="BT14" s="11">
        <f t="shared" si="7"/>
        <v>0</v>
      </c>
      <c r="BU14" s="11">
        <f t="shared" si="7"/>
        <v>0</v>
      </c>
      <c r="BV14" s="11">
        <f t="shared" si="7"/>
        <v>0</v>
      </c>
      <c r="BW14" s="11">
        <f t="shared" si="7"/>
        <v>0</v>
      </c>
      <c r="BX14" s="11">
        <f t="shared" si="7"/>
        <v>0</v>
      </c>
      <c r="BY14" s="11">
        <f t="shared" si="7"/>
        <v>0</v>
      </c>
      <c r="BZ14" s="11">
        <f t="shared" si="7"/>
        <v>0</v>
      </c>
      <c r="CA14" s="11">
        <f t="shared" si="7"/>
        <v>0</v>
      </c>
      <c r="CB14" s="11">
        <f t="shared" si="7"/>
        <v>0</v>
      </c>
      <c r="CC14" s="11">
        <f t="shared" si="7"/>
        <v>0</v>
      </c>
      <c r="CD14" s="11">
        <f t="shared" si="7"/>
        <v>0</v>
      </c>
      <c r="CE14" s="236">
        <f t="shared" si="7"/>
        <v>0</v>
      </c>
      <c r="CF14" s="11">
        <f t="shared" si="7"/>
        <v>0</v>
      </c>
      <c r="CG14" s="11">
        <f t="shared" si="7"/>
        <v>0</v>
      </c>
      <c r="CH14" s="11">
        <f t="shared" si="7"/>
        <v>0</v>
      </c>
      <c r="CI14" s="11">
        <f t="shared" si="7"/>
        <v>0</v>
      </c>
      <c r="CJ14" s="11">
        <f t="shared" si="7"/>
        <v>0</v>
      </c>
      <c r="CK14" s="11">
        <f t="shared" si="7"/>
        <v>0</v>
      </c>
      <c r="CL14" s="11">
        <f t="shared" si="7"/>
        <v>0</v>
      </c>
      <c r="CM14" s="11">
        <f t="shared" si="7"/>
        <v>0</v>
      </c>
      <c r="CN14" s="11">
        <f t="shared" si="7"/>
        <v>0</v>
      </c>
      <c r="CO14" s="11">
        <f t="shared" si="7"/>
        <v>0</v>
      </c>
      <c r="CP14" s="11">
        <f t="shared" si="7"/>
        <v>0</v>
      </c>
      <c r="CQ14" s="11">
        <f t="shared" si="7"/>
        <v>0</v>
      </c>
      <c r="CR14" s="11">
        <f t="shared" si="7"/>
        <v>0</v>
      </c>
      <c r="CS14" s="11">
        <f t="shared" si="7"/>
        <v>0</v>
      </c>
      <c r="CT14" s="11">
        <f t="shared" si="7"/>
        <v>0</v>
      </c>
      <c r="CU14" s="11">
        <f t="shared" si="7"/>
        <v>0</v>
      </c>
      <c r="CV14" s="11">
        <f t="shared" si="7"/>
        <v>0</v>
      </c>
      <c r="CW14" s="11">
        <f t="shared" si="7"/>
        <v>0</v>
      </c>
      <c r="CX14" s="11">
        <f t="shared" si="7"/>
        <v>0</v>
      </c>
      <c r="CY14" s="50"/>
      <c r="CZ14" s="2"/>
      <c r="DA14" s="2"/>
      <c r="DB14" s="58">
        <f t="shared" si="2"/>
        <v>0</v>
      </c>
      <c r="DC14" s="41">
        <f t="shared" si="3"/>
        <v>0</v>
      </c>
      <c r="DD14" s="2"/>
      <c r="DE14" s="2"/>
      <c r="DF14" s="2"/>
      <c r="DG14" s="2"/>
      <c r="DH14" s="2"/>
      <c r="DI14" s="2"/>
      <c r="DJ14" s="2"/>
      <c r="DK14" s="2"/>
    </row>
    <row r="15" spans="1:115" ht="8.4" customHeight="1" x14ac:dyDescent="0.25">
      <c r="A15" s="638">
        <v>-2</v>
      </c>
      <c r="B15" s="632" t="s">
        <v>36</v>
      </c>
      <c r="C15" s="608" t="s">
        <v>6</v>
      </c>
      <c r="D15" s="610">
        <v>1</v>
      </c>
      <c r="E15" s="559">
        <f>F15*100/SUM(K11:K20)</f>
        <v>0</v>
      </c>
      <c r="F15" s="557">
        <f t="shared" ref="F15" si="8">K15*SUM(M15:AG15)/100</f>
        <v>0</v>
      </c>
      <c r="G15" s="559">
        <f>D15*H15/100</f>
        <v>0</v>
      </c>
      <c r="H15" s="557">
        <f t="shared" ref="H15" si="9">SUM(L16:AJ16)</f>
        <v>0</v>
      </c>
      <c r="I15" s="612">
        <f>'BOQ แก้ไขสัญญา'!AF12</f>
        <v>906762</v>
      </c>
      <c r="J15" s="593">
        <f t="shared" si="0"/>
        <v>906762</v>
      </c>
      <c r="K15" s="595">
        <f>J15*100/GTotal</f>
        <v>0.38020138964399963</v>
      </c>
      <c r="L15" s="99"/>
      <c r="M15" s="354"/>
      <c r="N15" s="355"/>
      <c r="O15" s="355"/>
      <c r="P15" s="355"/>
      <c r="Q15" s="355"/>
      <c r="R15" s="356"/>
      <c r="S15" s="354"/>
      <c r="T15" s="355"/>
      <c r="U15" s="355"/>
      <c r="V15" s="355"/>
      <c r="W15" s="355"/>
      <c r="X15" s="354"/>
      <c r="Y15" s="355"/>
      <c r="Z15" s="355"/>
      <c r="AA15" s="358"/>
      <c r="AB15" s="358"/>
      <c r="AC15" s="358"/>
      <c r="AD15" s="359"/>
      <c r="AE15" s="357"/>
      <c r="AF15" s="358"/>
      <c r="AG15" s="358"/>
      <c r="AH15" s="358"/>
      <c r="AI15" s="357">
        <v>10</v>
      </c>
      <c r="AJ15" s="358">
        <v>25</v>
      </c>
      <c r="AK15" s="357">
        <v>25</v>
      </c>
      <c r="AL15" s="358">
        <v>25</v>
      </c>
      <c r="AM15" s="358">
        <v>10</v>
      </c>
      <c r="AN15" s="358">
        <v>5</v>
      </c>
      <c r="AO15" s="358"/>
      <c r="AP15" s="359"/>
      <c r="AQ15" s="354"/>
      <c r="AR15" s="355"/>
      <c r="AS15" s="354"/>
      <c r="AT15" s="355"/>
      <c r="AU15" s="355"/>
      <c r="AV15" s="355"/>
      <c r="AW15" s="355"/>
      <c r="AX15" s="84"/>
      <c r="AY15" s="5"/>
      <c r="AZ15" s="331"/>
      <c r="BE15" s="2"/>
      <c r="BF15" s="2"/>
      <c r="BG15" s="2"/>
      <c r="BH15" s="2"/>
      <c r="BI15" s="2"/>
      <c r="BJ15" s="2"/>
      <c r="BK15" s="2"/>
      <c r="BL15" s="2">
        <v>1</v>
      </c>
      <c r="BM15" s="54"/>
      <c r="BN15" s="11">
        <f t="shared" ref="BN15:CX15" si="10">M15*$K15/100</f>
        <v>0</v>
      </c>
      <c r="BO15" s="11">
        <f t="shared" si="10"/>
        <v>0</v>
      </c>
      <c r="BP15" s="11">
        <f t="shared" si="10"/>
        <v>0</v>
      </c>
      <c r="BQ15" s="11">
        <f t="shared" si="10"/>
        <v>0</v>
      </c>
      <c r="BR15" s="11">
        <f t="shared" si="10"/>
        <v>0</v>
      </c>
      <c r="BS15" s="236">
        <f t="shared" si="10"/>
        <v>0</v>
      </c>
      <c r="BT15" s="11">
        <f t="shared" si="10"/>
        <v>0</v>
      </c>
      <c r="BU15" s="11">
        <f t="shared" si="10"/>
        <v>0</v>
      </c>
      <c r="BV15" s="11">
        <f t="shared" si="10"/>
        <v>0</v>
      </c>
      <c r="BW15" s="11">
        <f t="shared" si="10"/>
        <v>0</v>
      </c>
      <c r="BX15" s="11">
        <f t="shared" si="10"/>
        <v>0</v>
      </c>
      <c r="BY15" s="11">
        <f t="shared" si="10"/>
        <v>0</v>
      </c>
      <c r="BZ15" s="11">
        <f t="shared" si="10"/>
        <v>0</v>
      </c>
      <c r="CA15" s="11">
        <f t="shared" si="10"/>
        <v>0</v>
      </c>
      <c r="CB15" s="11">
        <f t="shared" si="10"/>
        <v>0</v>
      </c>
      <c r="CC15" s="11">
        <f t="shared" si="10"/>
        <v>0</v>
      </c>
      <c r="CD15" s="11">
        <f t="shared" si="10"/>
        <v>0</v>
      </c>
      <c r="CE15" s="236">
        <f t="shared" si="10"/>
        <v>0</v>
      </c>
      <c r="CF15" s="11">
        <f t="shared" si="10"/>
        <v>0</v>
      </c>
      <c r="CG15" s="11">
        <f t="shared" si="10"/>
        <v>0</v>
      </c>
      <c r="CH15" s="11">
        <f t="shared" si="10"/>
        <v>0</v>
      </c>
      <c r="CI15" s="11">
        <f t="shared" si="10"/>
        <v>0</v>
      </c>
      <c r="CJ15" s="11">
        <f t="shared" si="10"/>
        <v>3.8020138964399965E-2</v>
      </c>
      <c r="CK15" s="11">
        <f t="shared" si="10"/>
        <v>9.5050347410999908E-2</v>
      </c>
      <c r="CL15" s="11">
        <f t="shared" si="10"/>
        <v>9.5050347410999908E-2</v>
      </c>
      <c r="CM15" s="11">
        <f t="shared" si="10"/>
        <v>9.5050347410999908E-2</v>
      </c>
      <c r="CN15" s="11">
        <f t="shared" si="10"/>
        <v>3.8020138964399965E-2</v>
      </c>
      <c r="CO15" s="11">
        <f t="shared" si="10"/>
        <v>1.9010069482199982E-2</v>
      </c>
      <c r="CP15" s="11">
        <f t="shared" si="10"/>
        <v>0</v>
      </c>
      <c r="CQ15" s="11">
        <f t="shared" si="10"/>
        <v>0</v>
      </c>
      <c r="CR15" s="11">
        <f t="shared" si="10"/>
        <v>0</v>
      </c>
      <c r="CS15" s="11">
        <f t="shared" si="10"/>
        <v>0</v>
      </c>
      <c r="CT15" s="11">
        <f t="shared" si="10"/>
        <v>0</v>
      </c>
      <c r="CU15" s="11">
        <f t="shared" si="10"/>
        <v>0</v>
      </c>
      <c r="CV15" s="11">
        <f t="shared" si="10"/>
        <v>0</v>
      </c>
      <c r="CW15" s="11">
        <f t="shared" si="10"/>
        <v>0</v>
      </c>
      <c r="CX15" s="11">
        <f t="shared" si="10"/>
        <v>0</v>
      </c>
      <c r="CY15" s="50"/>
      <c r="CZ15" s="2"/>
      <c r="DA15" s="2"/>
      <c r="DB15" s="58">
        <f t="shared" si="2"/>
        <v>0.38020138964399963</v>
      </c>
      <c r="DC15" s="41">
        <f t="shared" si="3"/>
        <v>0.38020138964399963</v>
      </c>
      <c r="DD15" s="2"/>
      <c r="DE15" s="2"/>
      <c r="DF15" s="2"/>
      <c r="DG15" s="2"/>
      <c r="DH15" s="2"/>
      <c r="DI15" s="2"/>
      <c r="DJ15" s="2"/>
      <c r="DK15" s="2"/>
    </row>
    <row r="16" spans="1:115" ht="8.4" customHeight="1" x14ac:dyDescent="0.25">
      <c r="A16" s="639"/>
      <c r="B16" s="633"/>
      <c r="C16" s="609"/>
      <c r="D16" s="611"/>
      <c r="E16" s="560"/>
      <c r="F16" s="558"/>
      <c r="G16" s="560"/>
      <c r="H16" s="558"/>
      <c r="I16" s="613"/>
      <c r="J16" s="594"/>
      <c r="K16" s="596"/>
      <c r="L16" s="101"/>
      <c r="M16" s="360"/>
      <c r="N16" s="361"/>
      <c r="O16" s="361"/>
      <c r="P16" s="361"/>
      <c r="Q16" s="361"/>
      <c r="R16" s="362"/>
      <c r="S16" s="360"/>
      <c r="T16" s="361"/>
      <c r="U16" s="361"/>
      <c r="V16" s="361"/>
      <c r="W16" s="361"/>
      <c r="X16" s="360"/>
      <c r="Y16" s="361"/>
      <c r="Z16" s="361"/>
      <c r="AA16" s="363"/>
      <c r="AB16" s="363"/>
      <c r="AC16" s="363"/>
      <c r="AD16" s="364"/>
      <c r="AE16" s="365"/>
      <c r="AF16" s="363"/>
      <c r="AG16" s="363"/>
      <c r="AH16" s="363"/>
      <c r="AI16" s="365"/>
      <c r="AJ16" s="363"/>
      <c r="AK16" s="365"/>
      <c r="AL16" s="363"/>
      <c r="AM16" s="363"/>
      <c r="AN16" s="363"/>
      <c r="AO16" s="363"/>
      <c r="AP16" s="364"/>
      <c r="AQ16" s="360"/>
      <c r="AR16" s="361"/>
      <c r="AS16" s="360"/>
      <c r="AT16" s="361"/>
      <c r="AU16" s="361"/>
      <c r="AV16" s="361"/>
      <c r="AW16" s="361"/>
      <c r="AX16" s="85"/>
      <c r="AY16" s="5"/>
      <c r="AZ16" s="331"/>
      <c r="BE16" s="2"/>
      <c r="BF16" s="2"/>
      <c r="BG16" s="2"/>
      <c r="BH16" s="2"/>
      <c r="BI16" s="2"/>
      <c r="BJ16" s="2"/>
      <c r="BK16" s="2"/>
      <c r="BL16" s="2">
        <v>0</v>
      </c>
      <c r="BM16" s="53"/>
      <c r="BN16" s="11">
        <f t="shared" ref="BN16:CX16" si="11">M16*$K15/100</f>
        <v>0</v>
      </c>
      <c r="BO16" s="11">
        <f t="shared" si="11"/>
        <v>0</v>
      </c>
      <c r="BP16" s="11">
        <f t="shared" si="11"/>
        <v>0</v>
      </c>
      <c r="BQ16" s="11">
        <f t="shared" si="11"/>
        <v>0</v>
      </c>
      <c r="BR16" s="11">
        <f t="shared" si="11"/>
        <v>0</v>
      </c>
      <c r="BS16" s="236">
        <f t="shared" si="11"/>
        <v>0</v>
      </c>
      <c r="BT16" s="11">
        <f t="shared" si="11"/>
        <v>0</v>
      </c>
      <c r="BU16" s="11">
        <f t="shared" si="11"/>
        <v>0</v>
      </c>
      <c r="BV16" s="11">
        <f t="shared" si="11"/>
        <v>0</v>
      </c>
      <c r="BW16" s="11">
        <f t="shared" si="11"/>
        <v>0</v>
      </c>
      <c r="BX16" s="11">
        <f t="shared" si="11"/>
        <v>0</v>
      </c>
      <c r="BY16" s="11">
        <f t="shared" si="11"/>
        <v>0</v>
      </c>
      <c r="BZ16" s="11">
        <f t="shared" si="11"/>
        <v>0</v>
      </c>
      <c r="CA16" s="11">
        <f t="shared" si="11"/>
        <v>0</v>
      </c>
      <c r="CB16" s="11">
        <f t="shared" si="11"/>
        <v>0</v>
      </c>
      <c r="CC16" s="11">
        <f t="shared" si="11"/>
        <v>0</v>
      </c>
      <c r="CD16" s="11">
        <f t="shared" si="11"/>
        <v>0</v>
      </c>
      <c r="CE16" s="236">
        <f t="shared" si="11"/>
        <v>0</v>
      </c>
      <c r="CF16" s="11">
        <f t="shared" si="11"/>
        <v>0</v>
      </c>
      <c r="CG16" s="11">
        <f t="shared" si="11"/>
        <v>0</v>
      </c>
      <c r="CH16" s="11">
        <f t="shared" si="11"/>
        <v>0</v>
      </c>
      <c r="CI16" s="11">
        <f t="shared" si="11"/>
        <v>0</v>
      </c>
      <c r="CJ16" s="11">
        <f t="shared" si="11"/>
        <v>0</v>
      </c>
      <c r="CK16" s="11">
        <f t="shared" si="11"/>
        <v>0</v>
      </c>
      <c r="CL16" s="11">
        <f t="shared" si="11"/>
        <v>0</v>
      </c>
      <c r="CM16" s="11">
        <f t="shared" si="11"/>
        <v>0</v>
      </c>
      <c r="CN16" s="11">
        <f t="shared" si="11"/>
        <v>0</v>
      </c>
      <c r="CO16" s="11">
        <f t="shared" si="11"/>
        <v>0</v>
      </c>
      <c r="CP16" s="11">
        <f t="shared" si="11"/>
        <v>0</v>
      </c>
      <c r="CQ16" s="11">
        <f t="shared" si="11"/>
        <v>0</v>
      </c>
      <c r="CR16" s="11">
        <f t="shared" si="11"/>
        <v>0</v>
      </c>
      <c r="CS16" s="11">
        <f t="shared" si="11"/>
        <v>0</v>
      </c>
      <c r="CT16" s="11">
        <f t="shared" si="11"/>
        <v>0</v>
      </c>
      <c r="CU16" s="11">
        <f t="shared" si="11"/>
        <v>0</v>
      </c>
      <c r="CV16" s="11">
        <f t="shared" si="11"/>
        <v>0</v>
      </c>
      <c r="CW16" s="11">
        <f t="shared" si="11"/>
        <v>0</v>
      </c>
      <c r="CX16" s="11">
        <f t="shared" si="11"/>
        <v>0</v>
      </c>
      <c r="CY16" s="50"/>
      <c r="CZ16" s="2"/>
      <c r="DA16" s="2"/>
      <c r="DB16" s="58">
        <f t="shared" si="2"/>
        <v>0</v>
      </c>
      <c r="DC16" s="41">
        <f t="shared" si="3"/>
        <v>0</v>
      </c>
      <c r="DD16" s="2"/>
      <c r="DE16" s="2"/>
      <c r="DF16" s="2"/>
      <c r="DG16" s="2"/>
      <c r="DH16" s="2"/>
      <c r="DI16" s="2"/>
      <c r="DJ16" s="2"/>
      <c r="DK16" s="2"/>
    </row>
    <row r="17" spans="1:115" ht="8.4" customHeight="1" x14ac:dyDescent="0.25">
      <c r="A17" s="638">
        <v>-3</v>
      </c>
      <c r="B17" s="632" t="s">
        <v>37</v>
      </c>
      <c r="C17" s="608" t="s">
        <v>6</v>
      </c>
      <c r="D17" s="610">
        <v>1</v>
      </c>
      <c r="E17" s="559">
        <f>F17*100/SUM(K11:K20)</f>
        <v>0</v>
      </c>
      <c r="F17" s="557">
        <f t="shared" ref="F17" si="12">K17*SUM(M17:AG17)/100</f>
        <v>0</v>
      </c>
      <c r="G17" s="559">
        <f>D17*H17/100</f>
        <v>0</v>
      </c>
      <c r="H17" s="557">
        <f t="shared" ref="H17" si="13">SUM(L18:AJ18)</f>
        <v>0</v>
      </c>
      <c r="I17" s="612">
        <f>'BOQ แก้ไขสัญญา'!AF13</f>
        <v>1372327</v>
      </c>
      <c r="J17" s="593">
        <f t="shared" si="0"/>
        <v>1372327</v>
      </c>
      <c r="K17" s="595">
        <f>J17*100/GTotal</f>
        <v>0.57541078303455717</v>
      </c>
      <c r="L17" s="99"/>
      <c r="M17" s="354"/>
      <c r="N17" s="355"/>
      <c r="O17" s="355"/>
      <c r="P17" s="355"/>
      <c r="Q17" s="355"/>
      <c r="R17" s="356"/>
      <c r="S17" s="354"/>
      <c r="T17" s="355"/>
      <c r="U17" s="355"/>
      <c r="V17" s="355"/>
      <c r="W17" s="355"/>
      <c r="X17" s="354"/>
      <c r="Y17" s="355"/>
      <c r="Z17" s="355"/>
      <c r="AA17" s="358"/>
      <c r="AB17" s="358"/>
      <c r="AC17" s="358"/>
      <c r="AD17" s="359"/>
      <c r="AE17" s="357"/>
      <c r="AF17" s="358"/>
      <c r="AG17" s="358"/>
      <c r="AH17" s="358"/>
      <c r="AI17" s="357">
        <v>10</v>
      </c>
      <c r="AJ17" s="358">
        <v>25</v>
      </c>
      <c r="AK17" s="357">
        <v>25</v>
      </c>
      <c r="AL17" s="358">
        <v>25</v>
      </c>
      <c r="AM17" s="358">
        <v>10</v>
      </c>
      <c r="AN17" s="358">
        <v>5</v>
      </c>
      <c r="AO17" s="358"/>
      <c r="AP17" s="359"/>
      <c r="AQ17" s="354"/>
      <c r="AR17" s="355"/>
      <c r="AS17" s="354"/>
      <c r="AT17" s="355"/>
      <c r="AU17" s="355"/>
      <c r="AV17" s="355"/>
      <c r="AW17" s="355"/>
      <c r="AX17" s="84"/>
      <c r="AY17" s="5"/>
      <c r="AZ17" s="331"/>
      <c r="BE17" s="2"/>
      <c r="BF17" s="2"/>
      <c r="BG17" s="2"/>
      <c r="BH17" s="2"/>
      <c r="BI17" s="2"/>
      <c r="BJ17" s="2"/>
      <c r="BK17" s="2"/>
      <c r="BL17" s="2">
        <v>1</v>
      </c>
      <c r="BM17" s="54"/>
      <c r="BN17" s="11">
        <f t="shared" ref="BN17:CX17" si="14">M17*$K17/100</f>
        <v>0</v>
      </c>
      <c r="BO17" s="11">
        <f t="shared" si="14"/>
        <v>0</v>
      </c>
      <c r="BP17" s="11">
        <f t="shared" si="14"/>
        <v>0</v>
      </c>
      <c r="BQ17" s="11">
        <f t="shared" si="14"/>
        <v>0</v>
      </c>
      <c r="BR17" s="11">
        <f t="shared" si="14"/>
        <v>0</v>
      </c>
      <c r="BS17" s="236">
        <f t="shared" si="14"/>
        <v>0</v>
      </c>
      <c r="BT17" s="11">
        <f t="shared" si="14"/>
        <v>0</v>
      </c>
      <c r="BU17" s="11">
        <f t="shared" si="14"/>
        <v>0</v>
      </c>
      <c r="BV17" s="11">
        <f t="shared" si="14"/>
        <v>0</v>
      </c>
      <c r="BW17" s="11">
        <f t="shared" si="14"/>
        <v>0</v>
      </c>
      <c r="BX17" s="11">
        <f t="shared" si="14"/>
        <v>0</v>
      </c>
      <c r="BY17" s="11">
        <f t="shared" si="14"/>
        <v>0</v>
      </c>
      <c r="BZ17" s="11">
        <f t="shared" si="14"/>
        <v>0</v>
      </c>
      <c r="CA17" s="11">
        <f t="shared" si="14"/>
        <v>0</v>
      </c>
      <c r="CB17" s="11">
        <f t="shared" si="14"/>
        <v>0</v>
      </c>
      <c r="CC17" s="11">
        <f t="shared" si="14"/>
        <v>0</v>
      </c>
      <c r="CD17" s="11">
        <f t="shared" si="14"/>
        <v>0</v>
      </c>
      <c r="CE17" s="236">
        <f t="shared" si="14"/>
        <v>0</v>
      </c>
      <c r="CF17" s="11">
        <f t="shared" si="14"/>
        <v>0</v>
      </c>
      <c r="CG17" s="11">
        <f t="shared" si="14"/>
        <v>0</v>
      </c>
      <c r="CH17" s="11">
        <f t="shared" si="14"/>
        <v>0</v>
      </c>
      <c r="CI17" s="11">
        <f t="shared" si="14"/>
        <v>0</v>
      </c>
      <c r="CJ17" s="11">
        <f t="shared" si="14"/>
        <v>5.7541078303455714E-2</v>
      </c>
      <c r="CK17" s="11">
        <f t="shared" si="14"/>
        <v>0.14385269575863929</v>
      </c>
      <c r="CL17" s="11">
        <f t="shared" si="14"/>
        <v>0.14385269575863929</v>
      </c>
      <c r="CM17" s="11">
        <f t="shared" si="14"/>
        <v>0.14385269575863929</v>
      </c>
      <c r="CN17" s="11">
        <f t="shared" si="14"/>
        <v>5.7541078303455714E-2</v>
      </c>
      <c r="CO17" s="11">
        <f t="shared" si="14"/>
        <v>2.8770539151727857E-2</v>
      </c>
      <c r="CP17" s="11">
        <f t="shared" si="14"/>
        <v>0</v>
      </c>
      <c r="CQ17" s="11">
        <f t="shared" si="14"/>
        <v>0</v>
      </c>
      <c r="CR17" s="11">
        <f t="shared" si="14"/>
        <v>0</v>
      </c>
      <c r="CS17" s="11">
        <f t="shared" si="14"/>
        <v>0</v>
      </c>
      <c r="CT17" s="11">
        <f t="shared" si="14"/>
        <v>0</v>
      </c>
      <c r="CU17" s="11">
        <f t="shared" si="14"/>
        <v>0</v>
      </c>
      <c r="CV17" s="11">
        <f t="shared" si="14"/>
        <v>0</v>
      </c>
      <c r="CW17" s="11">
        <f t="shared" si="14"/>
        <v>0</v>
      </c>
      <c r="CX17" s="11">
        <f t="shared" si="14"/>
        <v>0</v>
      </c>
      <c r="CY17" s="50"/>
      <c r="CZ17" s="2"/>
      <c r="DA17" s="2"/>
      <c r="DB17" s="58">
        <f t="shared" si="2"/>
        <v>0.57541078303455717</v>
      </c>
      <c r="DC17" s="41">
        <f t="shared" si="3"/>
        <v>0.57541078303455717</v>
      </c>
      <c r="DD17" s="2"/>
      <c r="DE17" s="2"/>
      <c r="DF17" s="2"/>
      <c r="DG17" s="2"/>
      <c r="DH17" s="2"/>
      <c r="DI17" s="2"/>
      <c r="DJ17" s="2"/>
      <c r="DK17" s="2"/>
    </row>
    <row r="18" spans="1:115" ht="8.4" customHeight="1" x14ac:dyDescent="0.25">
      <c r="A18" s="639"/>
      <c r="B18" s="633"/>
      <c r="C18" s="609"/>
      <c r="D18" s="611"/>
      <c r="E18" s="560"/>
      <c r="F18" s="558"/>
      <c r="G18" s="560"/>
      <c r="H18" s="558"/>
      <c r="I18" s="613"/>
      <c r="J18" s="594"/>
      <c r="K18" s="596"/>
      <c r="L18" s="101"/>
      <c r="M18" s="360"/>
      <c r="N18" s="361"/>
      <c r="O18" s="361"/>
      <c r="P18" s="361"/>
      <c r="Q18" s="361"/>
      <c r="R18" s="362"/>
      <c r="S18" s="360"/>
      <c r="T18" s="361"/>
      <c r="U18" s="361"/>
      <c r="V18" s="361"/>
      <c r="W18" s="361"/>
      <c r="X18" s="360"/>
      <c r="Y18" s="361"/>
      <c r="Z18" s="361"/>
      <c r="AA18" s="363"/>
      <c r="AB18" s="363"/>
      <c r="AC18" s="363"/>
      <c r="AD18" s="364"/>
      <c r="AE18" s="365"/>
      <c r="AF18" s="363"/>
      <c r="AG18" s="363"/>
      <c r="AH18" s="363"/>
      <c r="AI18" s="365"/>
      <c r="AJ18" s="363"/>
      <c r="AK18" s="365"/>
      <c r="AL18" s="363"/>
      <c r="AM18" s="363"/>
      <c r="AN18" s="363"/>
      <c r="AO18" s="363"/>
      <c r="AP18" s="364"/>
      <c r="AQ18" s="360"/>
      <c r="AR18" s="361"/>
      <c r="AS18" s="360"/>
      <c r="AT18" s="361"/>
      <c r="AU18" s="361"/>
      <c r="AV18" s="361"/>
      <c r="AW18" s="361"/>
      <c r="AX18" s="85"/>
      <c r="AY18" s="5"/>
      <c r="AZ18" s="331"/>
      <c r="BE18" s="2"/>
      <c r="BF18" s="2"/>
      <c r="BG18" s="2"/>
      <c r="BH18" s="2"/>
      <c r="BI18" s="2"/>
      <c r="BJ18" s="2"/>
      <c r="BK18" s="2"/>
      <c r="BL18" s="2">
        <v>0</v>
      </c>
      <c r="BM18" s="53"/>
      <c r="BN18" s="11">
        <f t="shared" ref="BN18:CX18" si="15">M18*$K17/100</f>
        <v>0</v>
      </c>
      <c r="BO18" s="11">
        <f t="shared" si="15"/>
        <v>0</v>
      </c>
      <c r="BP18" s="11">
        <f t="shared" si="15"/>
        <v>0</v>
      </c>
      <c r="BQ18" s="11">
        <f t="shared" si="15"/>
        <v>0</v>
      </c>
      <c r="BR18" s="11">
        <f t="shared" si="15"/>
        <v>0</v>
      </c>
      <c r="BS18" s="236">
        <f t="shared" si="15"/>
        <v>0</v>
      </c>
      <c r="BT18" s="11">
        <f t="shared" si="15"/>
        <v>0</v>
      </c>
      <c r="BU18" s="11">
        <f t="shared" si="15"/>
        <v>0</v>
      </c>
      <c r="BV18" s="11">
        <f t="shared" si="15"/>
        <v>0</v>
      </c>
      <c r="BW18" s="11">
        <f t="shared" si="15"/>
        <v>0</v>
      </c>
      <c r="BX18" s="11">
        <f t="shared" si="15"/>
        <v>0</v>
      </c>
      <c r="BY18" s="11">
        <f t="shared" si="15"/>
        <v>0</v>
      </c>
      <c r="BZ18" s="11">
        <f t="shared" si="15"/>
        <v>0</v>
      </c>
      <c r="CA18" s="11">
        <f t="shared" si="15"/>
        <v>0</v>
      </c>
      <c r="CB18" s="11">
        <f t="shared" si="15"/>
        <v>0</v>
      </c>
      <c r="CC18" s="11">
        <f t="shared" si="15"/>
        <v>0</v>
      </c>
      <c r="CD18" s="11">
        <f t="shared" si="15"/>
        <v>0</v>
      </c>
      <c r="CE18" s="236">
        <f t="shared" si="15"/>
        <v>0</v>
      </c>
      <c r="CF18" s="11">
        <f t="shared" si="15"/>
        <v>0</v>
      </c>
      <c r="CG18" s="11">
        <f t="shared" si="15"/>
        <v>0</v>
      </c>
      <c r="CH18" s="11">
        <f t="shared" si="15"/>
        <v>0</v>
      </c>
      <c r="CI18" s="11">
        <f t="shared" si="15"/>
        <v>0</v>
      </c>
      <c r="CJ18" s="11">
        <f t="shared" si="15"/>
        <v>0</v>
      </c>
      <c r="CK18" s="11">
        <f t="shared" si="15"/>
        <v>0</v>
      </c>
      <c r="CL18" s="11">
        <f t="shared" si="15"/>
        <v>0</v>
      </c>
      <c r="CM18" s="11">
        <f t="shared" si="15"/>
        <v>0</v>
      </c>
      <c r="CN18" s="11">
        <f t="shared" si="15"/>
        <v>0</v>
      </c>
      <c r="CO18" s="11">
        <f t="shared" si="15"/>
        <v>0</v>
      </c>
      <c r="CP18" s="11">
        <f t="shared" si="15"/>
        <v>0</v>
      </c>
      <c r="CQ18" s="11">
        <f t="shared" si="15"/>
        <v>0</v>
      </c>
      <c r="CR18" s="11">
        <f t="shared" si="15"/>
        <v>0</v>
      </c>
      <c r="CS18" s="11">
        <f t="shared" si="15"/>
        <v>0</v>
      </c>
      <c r="CT18" s="11">
        <f t="shared" si="15"/>
        <v>0</v>
      </c>
      <c r="CU18" s="11">
        <f t="shared" si="15"/>
        <v>0</v>
      </c>
      <c r="CV18" s="11">
        <f t="shared" si="15"/>
        <v>0</v>
      </c>
      <c r="CW18" s="11">
        <f t="shared" si="15"/>
        <v>0</v>
      </c>
      <c r="CX18" s="11">
        <f t="shared" si="15"/>
        <v>0</v>
      </c>
      <c r="CY18" s="50"/>
      <c r="CZ18" s="2"/>
      <c r="DA18" s="2"/>
      <c r="DB18" s="58">
        <f t="shared" si="2"/>
        <v>0</v>
      </c>
      <c r="DC18" s="41">
        <f t="shared" si="3"/>
        <v>0</v>
      </c>
      <c r="DD18" s="2"/>
      <c r="DE18" s="2"/>
      <c r="DF18" s="2"/>
      <c r="DG18" s="2"/>
      <c r="DH18" s="2"/>
      <c r="DI18" s="2"/>
      <c r="DJ18" s="2"/>
      <c r="DK18" s="2"/>
    </row>
    <row r="19" spans="1:115" ht="8.4" customHeight="1" x14ac:dyDescent="0.25">
      <c r="A19" s="638">
        <v>-4</v>
      </c>
      <c r="B19" s="640" t="s">
        <v>39</v>
      </c>
      <c r="C19" s="608" t="s">
        <v>6</v>
      </c>
      <c r="D19" s="610">
        <v>1</v>
      </c>
      <c r="E19" s="559">
        <f>F19*100/SUM(K11:K20)</f>
        <v>0</v>
      </c>
      <c r="F19" s="557">
        <f t="shared" ref="F19" si="16">K19*SUM(M19:AG19)/100</f>
        <v>0</v>
      </c>
      <c r="G19" s="559">
        <f>D19*H19/100</f>
        <v>0</v>
      </c>
      <c r="H19" s="557">
        <f t="shared" ref="H19" si="17">SUM(L20:AJ20)</f>
        <v>0</v>
      </c>
      <c r="I19" s="612">
        <f>'BOQ แก้ไขสัญญา'!AF14</f>
        <v>789372</v>
      </c>
      <c r="J19" s="593">
        <f t="shared" si="0"/>
        <v>789372</v>
      </c>
      <c r="K19" s="595">
        <f>J19*100/GTotal</f>
        <v>0.33098026973567846</v>
      </c>
      <c r="L19" s="99"/>
      <c r="M19" s="354"/>
      <c r="N19" s="355"/>
      <c r="O19" s="355"/>
      <c r="P19" s="355"/>
      <c r="Q19" s="355"/>
      <c r="R19" s="356"/>
      <c r="S19" s="354"/>
      <c r="T19" s="355"/>
      <c r="U19" s="355"/>
      <c r="V19" s="355"/>
      <c r="W19" s="355"/>
      <c r="X19" s="354"/>
      <c r="Y19" s="355"/>
      <c r="Z19" s="355"/>
      <c r="AA19" s="358"/>
      <c r="AB19" s="358"/>
      <c r="AC19" s="358"/>
      <c r="AD19" s="359"/>
      <c r="AE19" s="357"/>
      <c r="AF19" s="358"/>
      <c r="AG19" s="358"/>
      <c r="AH19" s="358"/>
      <c r="AI19" s="357"/>
      <c r="AJ19" s="358">
        <v>10</v>
      </c>
      <c r="AK19" s="357">
        <v>25</v>
      </c>
      <c r="AL19" s="358">
        <v>25</v>
      </c>
      <c r="AM19" s="358">
        <v>25</v>
      </c>
      <c r="AN19" s="358">
        <v>10</v>
      </c>
      <c r="AO19" s="358">
        <v>5</v>
      </c>
      <c r="AP19" s="359"/>
      <c r="AQ19" s="354"/>
      <c r="AR19" s="355"/>
      <c r="AS19" s="354"/>
      <c r="AT19" s="355"/>
      <c r="AU19" s="355"/>
      <c r="AV19" s="355"/>
      <c r="AW19" s="355"/>
      <c r="AX19" s="84"/>
      <c r="AY19" s="5"/>
      <c r="AZ19" s="331"/>
      <c r="BE19" s="2"/>
      <c r="BF19" s="2"/>
      <c r="BG19" s="2"/>
      <c r="BH19" s="2"/>
      <c r="BI19" s="2"/>
      <c r="BJ19" s="2"/>
      <c r="BK19" s="2"/>
      <c r="BL19" s="2">
        <v>1</v>
      </c>
      <c r="BM19" s="54"/>
      <c r="BN19" s="11">
        <f t="shared" ref="BN19:CX19" si="18">M19*$K19/100</f>
        <v>0</v>
      </c>
      <c r="BO19" s="11">
        <f t="shared" si="18"/>
        <v>0</v>
      </c>
      <c r="BP19" s="11">
        <f t="shared" si="18"/>
        <v>0</v>
      </c>
      <c r="BQ19" s="11">
        <f t="shared" si="18"/>
        <v>0</v>
      </c>
      <c r="BR19" s="11">
        <f t="shared" si="18"/>
        <v>0</v>
      </c>
      <c r="BS19" s="236">
        <f t="shared" si="18"/>
        <v>0</v>
      </c>
      <c r="BT19" s="11">
        <f t="shared" si="18"/>
        <v>0</v>
      </c>
      <c r="BU19" s="11">
        <f t="shared" si="18"/>
        <v>0</v>
      </c>
      <c r="BV19" s="11">
        <f t="shared" si="18"/>
        <v>0</v>
      </c>
      <c r="BW19" s="11">
        <f t="shared" si="18"/>
        <v>0</v>
      </c>
      <c r="BX19" s="11">
        <f t="shared" si="18"/>
        <v>0</v>
      </c>
      <c r="BY19" s="11">
        <f t="shared" si="18"/>
        <v>0</v>
      </c>
      <c r="BZ19" s="11">
        <f t="shared" si="18"/>
        <v>0</v>
      </c>
      <c r="CA19" s="11">
        <f t="shared" si="18"/>
        <v>0</v>
      </c>
      <c r="CB19" s="11">
        <f t="shared" si="18"/>
        <v>0</v>
      </c>
      <c r="CC19" s="11">
        <f t="shared" si="18"/>
        <v>0</v>
      </c>
      <c r="CD19" s="11">
        <f t="shared" si="18"/>
        <v>0</v>
      </c>
      <c r="CE19" s="236">
        <f t="shared" si="18"/>
        <v>0</v>
      </c>
      <c r="CF19" s="11">
        <f t="shared" si="18"/>
        <v>0</v>
      </c>
      <c r="CG19" s="11">
        <f t="shared" si="18"/>
        <v>0</v>
      </c>
      <c r="CH19" s="11">
        <f t="shared" si="18"/>
        <v>0</v>
      </c>
      <c r="CI19" s="11">
        <f t="shared" si="18"/>
        <v>0</v>
      </c>
      <c r="CJ19" s="11">
        <f t="shared" si="18"/>
        <v>0</v>
      </c>
      <c r="CK19" s="11">
        <f t="shared" si="18"/>
        <v>3.3098026973567847E-2</v>
      </c>
      <c r="CL19" s="11">
        <f t="shared" si="18"/>
        <v>8.2745067433919614E-2</v>
      </c>
      <c r="CM19" s="11">
        <f t="shared" si="18"/>
        <v>8.2745067433919614E-2</v>
      </c>
      <c r="CN19" s="11">
        <f t="shared" si="18"/>
        <v>8.2745067433919614E-2</v>
      </c>
      <c r="CO19" s="11">
        <f t="shared" si="18"/>
        <v>3.3098026973567847E-2</v>
      </c>
      <c r="CP19" s="11">
        <f t="shared" si="18"/>
        <v>1.6549013486783924E-2</v>
      </c>
      <c r="CQ19" s="11">
        <f t="shared" si="18"/>
        <v>0</v>
      </c>
      <c r="CR19" s="11">
        <f t="shared" si="18"/>
        <v>0</v>
      </c>
      <c r="CS19" s="11">
        <f t="shared" si="18"/>
        <v>0</v>
      </c>
      <c r="CT19" s="11">
        <f t="shared" si="18"/>
        <v>0</v>
      </c>
      <c r="CU19" s="11">
        <f t="shared" si="18"/>
        <v>0</v>
      </c>
      <c r="CV19" s="11">
        <f t="shared" si="18"/>
        <v>0</v>
      </c>
      <c r="CW19" s="11">
        <f t="shared" si="18"/>
        <v>0</v>
      </c>
      <c r="CX19" s="11">
        <f t="shared" si="18"/>
        <v>0</v>
      </c>
      <c r="CY19" s="50"/>
      <c r="CZ19" s="2"/>
      <c r="DA19" s="2"/>
      <c r="DB19" s="58">
        <f t="shared" si="2"/>
        <v>0.33098026973567851</v>
      </c>
      <c r="DC19" s="41">
        <f t="shared" si="3"/>
        <v>0.33098026973567846</v>
      </c>
      <c r="DD19" s="2"/>
      <c r="DE19" s="2"/>
      <c r="DF19" s="2"/>
      <c r="DG19" s="2"/>
      <c r="DH19" s="2"/>
      <c r="DI19" s="2"/>
      <c r="DJ19" s="2"/>
      <c r="DK19" s="2"/>
    </row>
    <row r="20" spans="1:115" ht="8.4" customHeight="1" x14ac:dyDescent="0.25">
      <c r="A20" s="639"/>
      <c r="B20" s="641"/>
      <c r="C20" s="609"/>
      <c r="D20" s="611"/>
      <c r="E20" s="560"/>
      <c r="F20" s="558"/>
      <c r="G20" s="560"/>
      <c r="H20" s="558"/>
      <c r="I20" s="613"/>
      <c r="J20" s="594"/>
      <c r="K20" s="596"/>
      <c r="L20" s="101"/>
      <c r="M20" s="360"/>
      <c r="N20" s="361"/>
      <c r="O20" s="361"/>
      <c r="P20" s="361"/>
      <c r="Q20" s="361"/>
      <c r="R20" s="362"/>
      <c r="S20" s="360"/>
      <c r="T20" s="361"/>
      <c r="U20" s="361"/>
      <c r="V20" s="361"/>
      <c r="W20" s="361"/>
      <c r="X20" s="360"/>
      <c r="Y20" s="361"/>
      <c r="Z20" s="361"/>
      <c r="AA20" s="361"/>
      <c r="AB20" s="361"/>
      <c r="AC20" s="361"/>
      <c r="AD20" s="362"/>
      <c r="AE20" s="360"/>
      <c r="AF20" s="361"/>
      <c r="AG20" s="361"/>
      <c r="AH20" s="361"/>
      <c r="AI20" s="360"/>
      <c r="AJ20" s="361"/>
      <c r="AK20" s="360"/>
      <c r="AL20" s="361"/>
      <c r="AM20" s="361"/>
      <c r="AN20" s="360"/>
      <c r="AO20" s="360"/>
      <c r="AP20" s="362"/>
      <c r="AQ20" s="360"/>
      <c r="AR20" s="361"/>
      <c r="AS20" s="360"/>
      <c r="AT20" s="360"/>
      <c r="AU20" s="360"/>
      <c r="AV20" s="360"/>
      <c r="AW20" s="366"/>
      <c r="AX20" s="85"/>
      <c r="AY20" s="5"/>
      <c r="AZ20" s="331">
        <v>90</v>
      </c>
      <c r="BE20" s="2"/>
      <c r="BF20" s="2"/>
      <c r="BG20" s="2"/>
      <c r="BH20" s="2"/>
      <c r="BI20" s="2"/>
      <c r="BJ20" s="2"/>
      <c r="BK20" s="2"/>
      <c r="BL20" s="2">
        <v>0</v>
      </c>
      <c r="BM20" s="53"/>
      <c r="BN20" s="11">
        <f t="shared" ref="BN20:CX20" si="19">M20*$K19/100</f>
        <v>0</v>
      </c>
      <c r="BO20" s="11">
        <f t="shared" si="19"/>
        <v>0</v>
      </c>
      <c r="BP20" s="11">
        <f t="shared" si="19"/>
        <v>0</v>
      </c>
      <c r="BQ20" s="11">
        <f t="shared" si="19"/>
        <v>0</v>
      </c>
      <c r="BR20" s="11">
        <f t="shared" si="19"/>
        <v>0</v>
      </c>
      <c r="BS20" s="236">
        <f t="shared" si="19"/>
        <v>0</v>
      </c>
      <c r="BT20" s="11">
        <f t="shared" si="19"/>
        <v>0</v>
      </c>
      <c r="BU20" s="11">
        <f t="shared" si="19"/>
        <v>0</v>
      </c>
      <c r="BV20" s="11">
        <f t="shared" si="19"/>
        <v>0</v>
      </c>
      <c r="BW20" s="11">
        <f t="shared" si="19"/>
        <v>0</v>
      </c>
      <c r="BX20" s="11">
        <f t="shared" si="19"/>
        <v>0</v>
      </c>
      <c r="BY20" s="11">
        <f t="shared" si="19"/>
        <v>0</v>
      </c>
      <c r="BZ20" s="11">
        <f t="shared" si="19"/>
        <v>0</v>
      </c>
      <c r="CA20" s="11">
        <f t="shared" si="19"/>
        <v>0</v>
      </c>
      <c r="CB20" s="11">
        <f t="shared" si="19"/>
        <v>0</v>
      </c>
      <c r="CC20" s="11">
        <f t="shared" si="19"/>
        <v>0</v>
      </c>
      <c r="CD20" s="11">
        <f t="shared" si="19"/>
        <v>0</v>
      </c>
      <c r="CE20" s="236">
        <f t="shared" si="19"/>
        <v>0</v>
      </c>
      <c r="CF20" s="11">
        <f t="shared" si="19"/>
        <v>0</v>
      </c>
      <c r="CG20" s="11">
        <f t="shared" si="19"/>
        <v>0</v>
      </c>
      <c r="CH20" s="11">
        <f t="shared" si="19"/>
        <v>0</v>
      </c>
      <c r="CI20" s="11">
        <f t="shared" si="19"/>
        <v>0</v>
      </c>
      <c r="CJ20" s="11">
        <f t="shared" si="19"/>
        <v>0</v>
      </c>
      <c r="CK20" s="11">
        <f t="shared" si="19"/>
        <v>0</v>
      </c>
      <c r="CL20" s="11">
        <f t="shared" si="19"/>
        <v>0</v>
      </c>
      <c r="CM20" s="11">
        <f t="shared" si="19"/>
        <v>0</v>
      </c>
      <c r="CN20" s="11">
        <f t="shared" si="19"/>
        <v>0</v>
      </c>
      <c r="CO20" s="11">
        <f t="shared" si="19"/>
        <v>0</v>
      </c>
      <c r="CP20" s="11">
        <f t="shared" si="19"/>
        <v>0</v>
      </c>
      <c r="CQ20" s="11">
        <f t="shared" si="19"/>
        <v>0</v>
      </c>
      <c r="CR20" s="11">
        <f t="shared" si="19"/>
        <v>0</v>
      </c>
      <c r="CS20" s="11">
        <f t="shared" si="19"/>
        <v>0</v>
      </c>
      <c r="CT20" s="11">
        <f t="shared" si="19"/>
        <v>0</v>
      </c>
      <c r="CU20" s="11">
        <f t="shared" si="19"/>
        <v>0</v>
      </c>
      <c r="CV20" s="11">
        <f t="shared" si="19"/>
        <v>0</v>
      </c>
      <c r="CW20" s="11">
        <f t="shared" si="19"/>
        <v>0</v>
      </c>
      <c r="CX20" s="11">
        <f t="shared" si="19"/>
        <v>0</v>
      </c>
      <c r="CY20" s="50"/>
      <c r="CZ20" s="2"/>
      <c r="DA20" s="2"/>
      <c r="DB20" s="58">
        <f t="shared" si="2"/>
        <v>0</v>
      </c>
      <c r="DC20" s="41">
        <f t="shared" si="3"/>
        <v>0</v>
      </c>
      <c r="DD20" s="2"/>
      <c r="DE20" s="2"/>
      <c r="DF20" s="2"/>
      <c r="DG20" s="2"/>
      <c r="DH20" s="2"/>
      <c r="DI20" s="2"/>
      <c r="DJ20" s="2"/>
      <c r="DK20" s="2"/>
    </row>
    <row r="21" spans="1:115" ht="8.4" customHeight="1" x14ac:dyDescent="0.25">
      <c r="A21" s="604">
        <v>1.2</v>
      </c>
      <c r="B21" s="632" t="s">
        <v>40</v>
      </c>
      <c r="C21" s="608" t="s">
        <v>6</v>
      </c>
      <c r="D21" s="610">
        <v>1</v>
      </c>
      <c r="E21" s="559">
        <f>F21*100/SUM($K$21:$K$28)</f>
        <v>0</v>
      </c>
      <c r="F21" s="557">
        <f t="shared" ref="F21" si="20">K21*SUM(M21:AG21)/100</f>
        <v>0</v>
      </c>
      <c r="G21" s="559">
        <f>D21*H21/100</f>
        <v>3.4799999999999996E-3</v>
      </c>
      <c r="H21" s="557">
        <f>SUM(L22:AJ22)</f>
        <v>0.34799999999999998</v>
      </c>
      <c r="I21" s="612">
        <f>'BOQ แก้ไขสัญญา'!AF16</f>
        <v>5004503</v>
      </c>
      <c r="J21" s="593">
        <f t="shared" si="0"/>
        <v>5004503</v>
      </c>
      <c r="K21" s="595">
        <f>J21*100/GTotal</f>
        <v>2.0983664898590426</v>
      </c>
      <c r="L21" s="101"/>
      <c r="M21" s="354"/>
      <c r="N21" s="355"/>
      <c r="O21" s="355"/>
      <c r="P21" s="355"/>
      <c r="Q21" s="355"/>
      <c r="R21" s="356"/>
      <c r="S21" s="354"/>
      <c r="T21" s="355"/>
      <c r="U21" s="355"/>
      <c r="V21" s="355"/>
      <c r="W21" s="355"/>
      <c r="X21" s="354"/>
      <c r="Y21" s="355"/>
      <c r="Z21" s="355"/>
      <c r="AA21" s="355"/>
      <c r="AB21" s="355"/>
      <c r="AC21" s="355"/>
      <c r="AD21" s="356"/>
      <c r="AE21" s="354"/>
      <c r="AF21" s="355"/>
      <c r="AG21" s="358"/>
      <c r="AH21" s="358"/>
      <c r="AI21" s="358"/>
      <c r="AJ21" s="358"/>
      <c r="AK21" s="358">
        <v>5</v>
      </c>
      <c r="AL21" s="358">
        <v>5</v>
      </c>
      <c r="AM21" s="358">
        <v>10</v>
      </c>
      <c r="AN21" s="358">
        <v>10</v>
      </c>
      <c r="AO21" s="357">
        <v>10</v>
      </c>
      <c r="AP21" s="359">
        <v>10</v>
      </c>
      <c r="AQ21" s="357">
        <v>10</v>
      </c>
      <c r="AR21" s="357">
        <v>10</v>
      </c>
      <c r="AS21" s="357">
        <v>10</v>
      </c>
      <c r="AT21" s="357">
        <v>10</v>
      </c>
      <c r="AU21" s="357">
        <v>10</v>
      </c>
      <c r="AV21" s="357"/>
      <c r="AW21" s="367"/>
      <c r="AX21" s="85"/>
      <c r="AY21" s="5"/>
      <c r="AZ21" s="331"/>
      <c r="BE21" s="2"/>
      <c r="BF21" s="2"/>
      <c r="BG21" s="2"/>
      <c r="BH21" s="2"/>
      <c r="BI21" s="2"/>
      <c r="BJ21" s="2"/>
      <c r="BK21" s="2"/>
      <c r="BL21" s="2">
        <v>1</v>
      </c>
      <c r="BM21" s="54"/>
      <c r="BN21" s="11">
        <f t="shared" ref="BN21:CX21" si="21">M21*$K21/100</f>
        <v>0</v>
      </c>
      <c r="BO21" s="11">
        <f t="shared" si="21"/>
        <v>0</v>
      </c>
      <c r="BP21" s="11">
        <f t="shared" si="21"/>
        <v>0</v>
      </c>
      <c r="BQ21" s="11">
        <f t="shared" si="21"/>
        <v>0</v>
      </c>
      <c r="BR21" s="11">
        <f t="shared" si="21"/>
        <v>0</v>
      </c>
      <c r="BS21" s="236">
        <f t="shared" si="21"/>
        <v>0</v>
      </c>
      <c r="BT21" s="11">
        <f t="shared" si="21"/>
        <v>0</v>
      </c>
      <c r="BU21" s="11">
        <f t="shared" si="21"/>
        <v>0</v>
      </c>
      <c r="BV21" s="11">
        <f t="shared" si="21"/>
        <v>0</v>
      </c>
      <c r="BW21" s="11">
        <f t="shared" si="21"/>
        <v>0</v>
      </c>
      <c r="BX21" s="11">
        <f t="shared" si="21"/>
        <v>0</v>
      </c>
      <c r="BY21" s="11">
        <f t="shared" si="21"/>
        <v>0</v>
      </c>
      <c r="BZ21" s="11">
        <f t="shared" si="21"/>
        <v>0</v>
      </c>
      <c r="CA21" s="11">
        <f t="shared" si="21"/>
        <v>0</v>
      </c>
      <c r="CB21" s="11">
        <f t="shared" si="21"/>
        <v>0</v>
      </c>
      <c r="CC21" s="11">
        <f t="shared" si="21"/>
        <v>0</v>
      </c>
      <c r="CD21" s="11">
        <f t="shared" si="21"/>
        <v>0</v>
      </c>
      <c r="CE21" s="236">
        <f t="shared" si="21"/>
        <v>0</v>
      </c>
      <c r="CF21" s="11">
        <f t="shared" si="21"/>
        <v>0</v>
      </c>
      <c r="CG21" s="11">
        <f t="shared" si="21"/>
        <v>0</v>
      </c>
      <c r="CH21" s="11">
        <f t="shared" si="21"/>
        <v>0</v>
      </c>
      <c r="CI21" s="11">
        <f t="shared" si="21"/>
        <v>0</v>
      </c>
      <c r="CJ21" s="11">
        <f t="shared" si="21"/>
        <v>0</v>
      </c>
      <c r="CK21" s="11">
        <f t="shared" si="21"/>
        <v>0</v>
      </c>
      <c r="CL21" s="11">
        <f t="shared" si="21"/>
        <v>0.10491832449295213</v>
      </c>
      <c r="CM21" s="11">
        <f t="shared" si="21"/>
        <v>0.10491832449295213</v>
      </c>
      <c r="CN21" s="11">
        <f t="shared" si="21"/>
        <v>0.20983664898590426</v>
      </c>
      <c r="CO21" s="11">
        <f t="shared" si="21"/>
        <v>0.20983664898590426</v>
      </c>
      <c r="CP21" s="11">
        <f t="shared" si="21"/>
        <v>0.20983664898590426</v>
      </c>
      <c r="CQ21" s="11">
        <f t="shared" si="21"/>
        <v>0.20983664898590426</v>
      </c>
      <c r="CR21" s="11">
        <f t="shared" si="21"/>
        <v>0.20983664898590426</v>
      </c>
      <c r="CS21" s="11">
        <f t="shared" si="21"/>
        <v>0.20983664898590426</v>
      </c>
      <c r="CT21" s="11">
        <f t="shared" si="21"/>
        <v>0.20983664898590426</v>
      </c>
      <c r="CU21" s="11">
        <f t="shared" si="21"/>
        <v>0.20983664898590426</v>
      </c>
      <c r="CV21" s="11">
        <f t="shared" si="21"/>
        <v>0.20983664898590426</v>
      </c>
      <c r="CW21" s="11">
        <f t="shared" si="21"/>
        <v>0</v>
      </c>
      <c r="CX21" s="11">
        <f t="shared" si="21"/>
        <v>0</v>
      </c>
      <c r="CY21" s="50"/>
      <c r="CZ21" s="2"/>
      <c r="DA21" s="2"/>
      <c r="DB21" s="58">
        <f t="shared" si="2"/>
        <v>2.0983664898590426</v>
      </c>
      <c r="DC21" s="41">
        <f t="shared" si="3"/>
        <v>2.0983664898590426</v>
      </c>
      <c r="DD21" s="2"/>
      <c r="DE21" s="2"/>
      <c r="DF21" s="2"/>
      <c r="DG21" s="2"/>
      <c r="DH21" s="2"/>
      <c r="DI21" s="2"/>
      <c r="DJ21" s="2"/>
      <c r="DK21" s="2"/>
    </row>
    <row r="22" spans="1:115" ht="8.4" customHeight="1" x14ac:dyDescent="0.25">
      <c r="A22" s="605"/>
      <c r="B22" s="642"/>
      <c r="C22" s="609"/>
      <c r="D22" s="636"/>
      <c r="E22" s="560"/>
      <c r="F22" s="558"/>
      <c r="G22" s="560"/>
      <c r="H22" s="558"/>
      <c r="I22" s="637"/>
      <c r="J22" s="594"/>
      <c r="K22" s="596"/>
      <c r="L22" s="101"/>
      <c r="M22" s="368"/>
      <c r="N22" s="553">
        <v>0.34799999999999998</v>
      </c>
      <c r="O22" s="369"/>
      <c r="P22" s="369"/>
      <c r="Q22" s="369"/>
      <c r="R22" s="362"/>
      <c r="S22" s="360"/>
      <c r="T22" s="369"/>
      <c r="U22" s="369"/>
      <c r="V22" s="369"/>
      <c r="W22" s="369"/>
      <c r="X22" s="368"/>
      <c r="Y22" s="369"/>
      <c r="Z22" s="369"/>
      <c r="AA22" s="369"/>
      <c r="AB22" s="369"/>
      <c r="AC22" s="369"/>
      <c r="AD22" s="370"/>
      <c r="AE22" s="368"/>
      <c r="AF22" s="369"/>
      <c r="AG22" s="371"/>
      <c r="AH22" s="371"/>
      <c r="AI22" s="371"/>
      <c r="AJ22" s="371"/>
      <c r="AK22" s="371"/>
      <c r="AL22" s="371"/>
      <c r="AM22" s="371"/>
      <c r="AN22" s="371"/>
      <c r="AO22" s="372"/>
      <c r="AP22" s="373"/>
      <c r="AQ22" s="372"/>
      <c r="AR22" s="372"/>
      <c r="AS22" s="372"/>
      <c r="AT22" s="372"/>
      <c r="AU22" s="372"/>
      <c r="AV22" s="372"/>
      <c r="AW22" s="374"/>
      <c r="AX22" s="85"/>
      <c r="AY22" s="5"/>
      <c r="AZ22" s="331"/>
      <c r="BE22" s="2"/>
      <c r="BF22" s="2"/>
      <c r="BG22" s="2"/>
      <c r="BH22" s="2"/>
      <c r="BI22" s="2"/>
      <c r="BJ22" s="2"/>
      <c r="BK22" s="2"/>
      <c r="BL22" s="2">
        <v>0</v>
      </c>
      <c r="BM22" s="53"/>
      <c r="BN22" s="11">
        <f t="shared" ref="BN22:CX22" si="22">M22*$K21/100</f>
        <v>0</v>
      </c>
      <c r="BO22" s="11">
        <f t="shared" si="22"/>
        <v>7.3023153847094676E-3</v>
      </c>
      <c r="BP22" s="11">
        <f t="shared" si="22"/>
        <v>0</v>
      </c>
      <c r="BQ22" s="11">
        <f t="shared" si="22"/>
        <v>0</v>
      </c>
      <c r="BR22" s="11">
        <f t="shared" si="22"/>
        <v>0</v>
      </c>
      <c r="BS22" s="236">
        <f t="shared" si="22"/>
        <v>0</v>
      </c>
      <c r="BT22" s="11">
        <f t="shared" si="22"/>
        <v>0</v>
      </c>
      <c r="BU22" s="11">
        <f t="shared" si="22"/>
        <v>0</v>
      </c>
      <c r="BV22" s="11">
        <f t="shared" si="22"/>
        <v>0</v>
      </c>
      <c r="BW22" s="11">
        <f t="shared" si="22"/>
        <v>0</v>
      </c>
      <c r="BX22" s="11">
        <f t="shared" si="22"/>
        <v>0</v>
      </c>
      <c r="BY22" s="11">
        <f t="shared" si="22"/>
        <v>0</v>
      </c>
      <c r="BZ22" s="11">
        <f t="shared" si="22"/>
        <v>0</v>
      </c>
      <c r="CA22" s="11">
        <f t="shared" si="22"/>
        <v>0</v>
      </c>
      <c r="CB22" s="11">
        <f t="shared" si="22"/>
        <v>0</v>
      </c>
      <c r="CC22" s="11">
        <f t="shared" si="22"/>
        <v>0</v>
      </c>
      <c r="CD22" s="11">
        <f t="shared" si="22"/>
        <v>0</v>
      </c>
      <c r="CE22" s="236">
        <f t="shared" si="22"/>
        <v>0</v>
      </c>
      <c r="CF22" s="11">
        <f t="shared" si="22"/>
        <v>0</v>
      </c>
      <c r="CG22" s="11">
        <f t="shared" si="22"/>
        <v>0</v>
      </c>
      <c r="CH22" s="11">
        <f t="shared" si="22"/>
        <v>0</v>
      </c>
      <c r="CI22" s="11">
        <f t="shared" si="22"/>
        <v>0</v>
      </c>
      <c r="CJ22" s="11">
        <f t="shared" si="22"/>
        <v>0</v>
      </c>
      <c r="CK22" s="11">
        <f t="shared" si="22"/>
        <v>0</v>
      </c>
      <c r="CL22" s="11">
        <f t="shared" si="22"/>
        <v>0</v>
      </c>
      <c r="CM22" s="11">
        <f t="shared" si="22"/>
        <v>0</v>
      </c>
      <c r="CN22" s="11">
        <f t="shared" si="22"/>
        <v>0</v>
      </c>
      <c r="CO22" s="11">
        <f t="shared" si="22"/>
        <v>0</v>
      </c>
      <c r="CP22" s="11">
        <f t="shared" si="22"/>
        <v>0</v>
      </c>
      <c r="CQ22" s="11">
        <f t="shared" si="22"/>
        <v>0</v>
      </c>
      <c r="CR22" s="11">
        <f t="shared" si="22"/>
        <v>0</v>
      </c>
      <c r="CS22" s="11">
        <f t="shared" si="22"/>
        <v>0</v>
      </c>
      <c r="CT22" s="11">
        <f t="shared" si="22"/>
        <v>0</v>
      </c>
      <c r="CU22" s="11">
        <f t="shared" si="22"/>
        <v>0</v>
      </c>
      <c r="CV22" s="11">
        <f t="shared" si="22"/>
        <v>0</v>
      </c>
      <c r="CW22" s="11">
        <f t="shared" si="22"/>
        <v>0</v>
      </c>
      <c r="CX22" s="11">
        <f t="shared" si="22"/>
        <v>0</v>
      </c>
      <c r="CY22" s="50"/>
      <c r="CZ22" s="2"/>
      <c r="DA22" s="2"/>
      <c r="DB22" s="58">
        <f t="shared" si="2"/>
        <v>7.3023153847094676E-3</v>
      </c>
      <c r="DC22" s="41">
        <f t="shared" si="3"/>
        <v>0</v>
      </c>
      <c r="DD22" s="2"/>
      <c r="DE22" s="2"/>
      <c r="DF22" s="2"/>
      <c r="DG22" s="2"/>
      <c r="DH22" s="2"/>
      <c r="DI22" s="2"/>
      <c r="DJ22" s="2"/>
      <c r="DK22" s="2"/>
    </row>
    <row r="23" spans="1:115" ht="8.4" customHeight="1" x14ac:dyDescent="0.25">
      <c r="A23" s="638">
        <v>-1</v>
      </c>
      <c r="B23" s="632" t="s">
        <v>35</v>
      </c>
      <c r="C23" s="608" t="s">
        <v>6</v>
      </c>
      <c r="D23" s="610">
        <v>1</v>
      </c>
      <c r="E23" s="559">
        <f t="shared" ref="E23" si="23">F23*100/SUM($K$21:$K$28)</f>
        <v>0</v>
      </c>
      <c r="F23" s="557">
        <f t="shared" ref="F23" si="24">K23*SUM(M23:AG23)/100</f>
        <v>0</v>
      </c>
      <c r="G23" s="559"/>
      <c r="H23" s="557">
        <f t="shared" ref="H23" si="25">SUM(L24:AJ24)</f>
        <v>0</v>
      </c>
      <c r="I23" s="612">
        <f>'BOQ แก้ไขสัญญา'!AF17</f>
        <v>1136018</v>
      </c>
      <c r="J23" s="593">
        <f t="shared" si="0"/>
        <v>1136018</v>
      </c>
      <c r="K23" s="595">
        <f>J23*100/GTotal</f>
        <v>0.4763274401227634</v>
      </c>
      <c r="L23" s="101"/>
      <c r="M23" s="354"/>
      <c r="N23" s="355"/>
      <c r="O23" s="355"/>
      <c r="P23" s="355"/>
      <c r="Q23" s="355"/>
      <c r="R23" s="356"/>
      <c r="S23" s="354"/>
      <c r="T23" s="355"/>
      <c r="U23" s="355"/>
      <c r="V23" s="355"/>
      <c r="W23" s="355"/>
      <c r="X23" s="354"/>
      <c r="Y23" s="355"/>
      <c r="Z23" s="355"/>
      <c r="AA23" s="355"/>
      <c r="AB23" s="355"/>
      <c r="AC23" s="355"/>
      <c r="AD23" s="356"/>
      <c r="AE23" s="354"/>
      <c r="AF23" s="355"/>
      <c r="AG23" s="358"/>
      <c r="AH23" s="358"/>
      <c r="AI23" s="358"/>
      <c r="AJ23" s="358"/>
      <c r="AK23" s="358"/>
      <c r="AL23" s="358"/>
      <c r="AM23" s="358">
        <v>10</v>
      </c>
      <c r="AN23" s="358">
        <v>10</v>
      </c>
      <c r="AO23" s="357">
        <v>10</v>
      </c>
      <c r="AP23" s="359">
        <v>10</v>
      </c>
      <c r="AQ23" s="375">
        <v>20</v>
      </c>
      <c r="AR23" s="357">
        <v>20</v>
      </c>
      <c r="AS23" s="358">
        <v>20</v>
      </c>
      <c r="AT23" s="357"/>
      <c r="AU23" s="357"/>
      <c r="AV23" s="357"/>
      <c r="AW23" s="367"/>
      <c r="AX23" s="85"/>
      <c r="AY23" s="5"/>
      <c r="AZ23" s="331"/>
      <c r="BE23" s="2"/>
      <c r="BF23" s="2"/>
      <c r="BG23" s="2"/>
      <c r="BH23" s="2"/>
      <c r="BI23" s="2"/>
      <c r="BJ23" s="2"/>
      <c r="BK23" s="2"/>
      <c r="BL23" s="2">
        <v>1</v>
      </c>
      <c r="BM23" s="54"/>
      <c r="BN23" s="11">
        <f t="shared" ref="BN23:CX23" si="26">M23*$K23/100</f>
        <v>0</v>
      </c>
      <c r="BO23" s="11">
        <f t="shared" si="26"/>
        <v>0</v>
      </c>
      <c r="BP23" s="11">
        <f t="shared" si="26"/>
        <v>0</v>
      </c>
      <c r="BQ23" s="11">
        <f t="shared" si="26"/>
        <v>0</v>
      </c>
      <c r="BR23" s="11">
        <f t="shared" si="26"/>
        <v>0</v>
      </c>
      <c r="BS23" s="236">
        <f t="shared" si="26"/>
        <v>0</v>
      </c>
      <c r="BT23" s="11">
        <f t="shared" si="26"/>
        <v>0</v>
      </c>
      <c r="BU23" s="11">
        <f t="shared" si="26"/>
        <v>0</v>
      </c>
      <c r="BV23" s="11">
        <f t="shared" si="26"/>
        <v>0</v>
      </c>
      <c r="BW23" s="11">
        <f t="shared" si="26"/>
        <v>0</v>
      </c>
      <c r="BX23" s="11">
        <f t="shared" si="26"/>
        <v>0</v>
      </c>
      <c r="BY23" s="11">
        <f t="shared" si="26"/>
        <v>0</v>
      </c>
      <c r="BZ23" s="11">
        <f t="shared" si="26"/>
        <v>0</v>
      </c>
      <c r="CA23" s="11">
        <f t="shared" si="26"/>
        <v>0</v>
      </c>
      <c r="CB23" s="11">
        <f t="shared" si="26"/>
        <v>0</v>
      </c>
      <c r="CC23" s="11">
        <f t="shared" si="26"/>
        <v>0</v>
      </c>
      <c r="CD23" s="11">
        <f t="shared" si="26"/>
        <v>0</v>
      </c>
      <c r="CE23" s="236">
        <f t="shared" si="26"/>
        <v>0</v>
      </c>
      <c r="CF23" s="11">
        <f t="shared" si="26"/>
        <v>0</v>
      </c>
      <c r="CG23" s="11">
        <f t="shared" si="26"/>
        <v>0</v>
      </c>
      <c r="CH23" s="11">
        <f t="shared" si="26"/>
        <v>0</v>
      </c>
      <c r="CI23" s="11">
        <f t="shared" si="26"/>
        <v>0</v>
      </c>
      <c r="CJ23" s="11">
        <f t="shared" si="26"/>
        <v>0</v>
      </c>
      <c r="CK23" s="11">
        <f t="shared" si="26"/>
        <v>0</v>
      </c>
      <c r="CL23" s="11">
        <f t="shared" si="26"/>
        <v>0</v>
      </c>
      <c r="CM23" s="11">
        <f t="shared" si="26"/>
        <v>0</v>
      </c>
      <c r="CN23" s="11">
        <f t="shared" si="26"/>
        <v>4.7632744012276344E-2</v>
      </c>
      <c r="CO23" s="11">
        <f t="shared" si="26"/>
        <v>4.7632744012276344E-2</v>
      </c>
      <c r="CP23" s="11">
        <f t="shared" si="26"/>
        <v>4.7632744012276344E-2</v>
      </c>
      <c r="CQ23" s="11">
        <f t="shared" si="26"/>
        <v>4.7632744012276344E-2</v>
      </c>
      <c r="CR23" s="11">
        <f t="shared" si="26"/>
        <v>9.5265488024552689E-2</v>
      </c>
      <c r="CS23" s="11">
        <f t="shared" si="26"/>
        <v>9.5265488024552689E-2</v>
      </c>
      <c r="CT23" s="11">
        <f t="shared" si="26"/>
        <v>9.5265488024552689E-2</v>
      </c>
      <c r="CU23" s="11">
        <f t="shared" si="26"/>
        <v>0</v>
      </c>
      <c r="CV23" s="11">
        <f t="shared" si="26"/>
        <v>0</v>
      </c>
      <c r="CW23" s="11">
        <f t="shared" si="26"/>
        <v>0</v>
      </c>
      <c r="CX23" s="11">
        <f t="shared" si="26"/>
        <v>0</v>
      </c>
      <c r="CY23" s="50"/>
      <c r="CZ23" s="2"/>
      <c r="DA23" s="2"/>
      <c r="DB23" s="58">
        <f t="shared" si="2"/>
        <v>0.47632744012276346</v>
      </c>
      <c r="DC23" s="41">
        <f t="shared" si="3"/>
        <v>0.4763274401227634</v>
      </c>
      <c r="DD23" s="2"/>
      <c r="DE23" s="2"/>
      <c r="DF23" s="2"/>
      <c r="DG23" s="2"/>
      <c r="DH23" s="2"/>
      <c r="DI23" s="2"/>
      <c r="DJ23" s="2"/>
      <c r="DK23" s="2"/>
    </row>
    <row r="24" spans="1:115" ht="8.4" customHeight="1" x14ac:dyDescent="0.25">
      <c r="A24" s="639"/>
      <c r="B24" s="633"/>
      <c r="C24" s="609"/>
      <c r="D24" s="611"/>
      <c r="E24" s="560"/>
      <c r="F24" s="558"/>
      <c r="G24" s="560"/>
      <c r="H24" s="558"/>
      <c r="I24" s="637"/>
      <c r="J24" s="594"/>
      <c r="K24" s="596"/>
      <c r="L24" s="101"/>
      <c r="M24" s="360"/>
      <c r="N24" s="361"/>
      <c r="O24" s="361"/>
      <c r="P24" s="361"/>
      <c r="Q24" s="361"/>
      <c r="R24" s="362"/>
      <c r="S24" s="360"/>
      <c r="T24" s="361"/>
      <c r="U24" s="361"/>
      <c r="V24" s="361"/>
      <c r="W24" s="361"/>
      <c r="X24" s="360"/>
      <c r="Y24" s="361"/>
      <c r="Z24" s="361"/>
      <c r="AA24" s="361"/>
      <c r="AB24" s="361"/>
      <c r="AC24" s="361"/>
      <c r="AD24" s="362"/>
      <c r="AE24" s="360"/>
      <c r="AF24" s="361"/>
      <c r="AG24" s="363"/>
      <c r="AH24" s="363"/>
      <c r="AI24" s="363"/>
      <c r="AJ24" s="363"/>
      <c r="AK24" s="363"/>
      <c r="AL24" s="363"/>
      <c r="AM24" s="363"/>
      <c r="AN24" s="363"/>
      <c r="AO24" s="365"/>
      <c r="AP24" s="364"/>
      <c r="AQ24" s="376"/>
      <c r="AR24" s="365"/>
      <c r="AS24" s="363"/>
      <c r="AT24" s="365"/>
      <c r="AU24" s="365"/>
      <c r="AV24" s="365"/>
      <c r="AW24" s="366"/>
      <c r="AX24" s="85"/>
      <c r="AY24" s="5"/>
      <c r="AZ24" s="331"/>
      <c r="BE24" s="2"/>
      <c r="BF24" s="2"/>
      <c r="BG24" s="2"/>
      <c r="BH24" s="2"/>
      <c r="BI24" s="2"/>
      <c r="BJ24" s="2"/>
      <c r="BK24" s="2"/>
      <c r="BL24" s="2">
        <v>0</v>
      </c>
      <c r="BM24" s="53"/>
      <c r="BN24" s="11">
        <f t="shared" ref="BN24:CX24" si="27">M24*$K23/100</f>
        <v>0</v>
      </c>
      <c r="BO24" s="11">
        <f t="shared" si="27"/>
        <v>0</v>
      </c>
      <c r="BP24" s="11">
        <f t="shared" si="27"/>
        <v>0</v>
      </c>
      <c r="BQ24" s="11">
        <f t="shared" si="27"/>
        <v>0</v>
      </c>
      <c r="BR24" s="11">
        <f t="shared" si="27"/>
        <v>0</v>
      </c>
      <c r="BS24" s="236">
        <f t="shared" si="27"/>
        <v>0</v>
      </c>
      <c r="BT24" s="11">
        <f t="shared" si="27"/>
        <v>0</v>
      </c>
      <c r="BU24" s="11">
        <f t="shared" si="27"/>
        <v>0</v>
      </c>
      <c r="BV24" s="11">
        <f t="shared" si="27"/>
        <v>0</v>
      </c>
      <c r="BW24" s="11">
        <f t="shared" si="27"/>
        <v>0</v>
      </c>
      <c r="BX24" s="11">
        <f t="shared" si="27"/>
        <v>0</v>
      </c>
      <c r="BY24" s="11">
        <f t="shared" si="27"/>
        <v>0</v>
      </c>
      <c r="BZ24" s="11">
        <f t="shared" si="27"/>
        <v>0</v>
      </c>
      <c r="CA24" s="11">
        <f t="shared" si="27"/>
        <v>0</v>
      </c>
      <c r="CB24" s="11">
        <f t="shared" si="27"/>
        <v>0</v>
      </c>
      <c r="CC24" s="11">
        <f t="shared" si="27"/>
        <v>0</v>
      </c>
      <c r="CD24" s="11">
        <f t="shared" si="27"/>
        <v>0</v>
      </c>
      <c r="CE24" s="236">
        <f t="shared" si="27"/>
        <v>0</v>
      </c>
      <c r="CF24" s="11">
        <f t="shared" si="27"/>
        <v>0</v>
      </c>
      <c r="CG24" s="11">
        <f t="shared" si="27"/>
        <v>0</v>
      </c>
      <c r="CH24" s="11">
        <f t="shared" si="27"/>
        <v>0</v>
      </c>
      <c r="CI24" s="11">
        <f t="shared" si="27"/>
        <v>0</v>
      </c>
      <c r="CJ24" s="11">
        <f t="shared" si="27"/>
        <v>0</v>
      </c>
      <c r="CK24" s="11">
        <f t="shared" si="27"/>
        <v>0</v>
      </c>
      <c r="CL24" s="11">
        <f t="shared" si="27"/>
        <v>0</v>
      </c>
      <c r="CM24" s="11">
        <f t="shared" si="27"/>
        <v>0</v>
      </c>
      <c r="CN24" s="11">
        <f t="shared" si="27"/>
        <v>0</v>
      </c>
      <c r="CO24" s="11">
        <f t="shared" si="27"/>
        <v>0</v>
      </c>
      <c r="CP24" s="11">
        <f t="shared" si="27"/>
        <v>0</v>
      </c>
      <c r="CQ24" s="11">
        <f t="shared" si="27"/>
        <v>0</v>
      </c>
      <c r="CR24" s="11">
        <f t="shared" si="27"/>
        <v>0</v>
      </c>
      <c r="CS24" s="11">
        <f t="shared" si="27"/>
        <v>0</v>
      </c>
      <c r="CT24" s="11">
        <f t="shared" si="27"/>
        <v>0</v>
      </c>
      <c r="CU24" s="11">
        <f t="shared" si="27"/>
        <v>0</v>
      </c>
      <c r="CV24" s="11">
        <f t="shared" si="27"/>
        <v>0</v>
      </c>
      <c r="CW24" s="11">
        <f t="shared" si="27"/>
        <v>0</v>
      </c>
      <c r="CX24" s="11">
        <f t="shared" si="27"/>
        <v>0</v>
      </c>
      <c r="CY24" s="50"/>
      <c r="CZ24" s="2"/>
      <c r="DA24" s="2"/>
      <c r="DB24" s="58">
        <f t="shared" si="2"/>
        <v>0</v>
      </c>
      <c r="DC24" s="41">
        <f t="shared" si="3"/>
        <v>0</v>
      </c>
      <c r="DD24" s="2"/>
      <c r="DE24" s="2"/>
      <c r="DF24" s="2"/>
      <c r="DG24" s="2"/>
      <c r="DH24" s="2"/>
      <c r="DI24" s="2"/>
      <c r="DJ24" s="2"/>
      <c r="DK24" s="2"/>
    </row>
    <row r="25" spans="1:115" ht="8.4" customHeight="1" x14ac:dyDescent="0.25">
      <c r="A25" s="638">
        <v>-2</v>
      </c>
      <c r="B25" s="640" t="s">
        <v>37</v>
      </c>
      <c r="C25" s="608" t="s">
        <v>6</v>
      </c>
      <c r="D25" s="610">
        <v>1</v>
      </c>
      <c r="E25" s="559">
        <f t="shared" ref="E25" si="28">F25*100/SUM($K$21:$K$28)</f>
        <v>0</v>
      </c>
      <c r="F25" s="557">
        <f t="shared" ref="F25" si="29">K25*SUM(M25:AG25)/100</f>
        <v>0</v>
      </c>
      <c r="G25" s="559"/>
      <c r="H25" s="557">
        <f t="shared" ref="H25" si="30">SUM(L26:AJ26)</f>
        <v>0</v>
      </c>
      <c r="I25" s="612">
        <f>'BOQ แก้ไขสัญญา'!AF18</f>
        <v>528774</v>
      </c>
      <c r="J25" s="593">
        <f t="shared" si="0"/>
        <v>528774</v>
      </c>
      <c r="K25" s="595">
        <f>J25*100/GTotal</f>
        <v>0.22171265404551169</v>
      </c>
      <c r="L25" s="101"/>
      <c r="M25" s="354"/>
      <c r="N25" s="355"/>
      <c r="O25" s="355"/>
      <c r="P25" s="355"/>
      <c r="Q25" s="355"/>
      <c r="R25" s="356"/>
      <c r="S25" s="354"/>
      <c r="T25" s="355"/>
      <c r="U25" s="355"/>
      <c r="V25" s="355"/>
      <c r="W25" s="355"/>
      <c r="X25" s="354"/>
      <c r="Y25" s="355"/>
      <c r="Z25" s="355"/>
      <c r="AA25" s="355"/>
      <c r="AB25" s="355"/>
      <c r="AC25" s="355"/>
      <c r="AD25" s="356"/>
      <c r="AE25" s="354"/>
      <c r="AF25" s="355"/>
      <c r="AG25" s="358"/>
      <c r="AH25" s="358"/>
      <c r="AI25" s="358"/>
      <c r="AJ25" s="358"/>
      <c r="AK25" s="358"/>
      <c r="AL25" s="358"/>
      <c r="AM25" s="358">
        <v>10</v>
      </c>
      <c r="AN25" s="358">
        <v>15</v>
      </c>
      <c r="AO25" s="357">
        <v>15</v>
      </c>
      <c r="AP25" s="359">
        <v>15</v>
      </c>
      <c r="AQ25" s="375">
        <v>15</v>
      </c>
      <c r="AR25" s="357">
        <v>15</v>
      </c>
      <c r="AS25" s="358">
        <v>15</v>
      </c>
      <c r="AT25" s="357"/>
      <c r="AU25" s="357"/>
      <c r="AV25" s="357"/>
      <c r="AW25" s="367"/>
      <c r="AX25" s="85"/>
      <c r="AY25" s="5"/>
      <c r="AZ25" s="331"/>
      <c r="BE25" s="2"/>
      <c r="BF25" s="2"/>
      <c r="BG25" s="2"/>
      <c r="BH25" s="2"/>
      <c r="BI25" s="2"/>
      <c r="BJ25" s="2"/>
      <c r="BK25" s="2"/>
      <c r="BL25" s="2">
        <v>1</v>
      </c>
      <c r="BM25" s="54"/>
      <c r="BN25" s="11">
        <f t="shared" ref="BN25:CX25" si="31">M25*$K25/100</f>
        <v>0</v>
      </c>
      <c r="BO25" s="11">
        <f t="shared" si="31"/>
        <v>0</v>
      </c>
      <c r="BP25" s="11">
        <f t="shared" si="31"/>
        <v>0</v>
      </c>
      <c r="BQ25" s="11">
        <f t="shared" si="31"/>
        <v>0</v>
      </c>
      <c r="BR25" s="11">
        <f t="shared" si="31"/>
        <v>0</v>
      </c>
      <c r="BS25" s="236">
        <f t="shared" si="31"/>
        <v>0</v>
      </c>
      <c r="BT25" s="11">
        <f t="shared" si="31"/>
        <v>0</v>
      </c>
      <c r="BU25" s="11">
        <f t="shared" si="31"/>
        <v>0</v>
      </c>
      <c r="BV25" s="11">
        <f t="shared" si="31"/>
        <v>0</v>
      </c>
      <c r="BW25" s="11">
        <f t="shared" si="31"/>
        <v>0</v>
      </c>
      <c r="BX25" s="11">
        <f t="shared" si="31"/>
        <v>0</v>
      </c>
      <c r="BY25" s="11">
        <f t="shared" si="31"/>
        <v>0</v>
      </c>
      <c r="BZ25" s="11">
        <f t="shared" si="31"/>
        <v>0</v>
      </c>
      <c r="CA25" s="11">
        <f t="shared" si="31"/>
        <v>0</v>
      </c>
      <c r="CB25" s="11">
        <f t="shared" si="31"/>
        <v>0</v>
      </c>
      <c r="CC25" s="11">
        <f t="shared" si="31"/>
        <v>0</v>
      </c>
      <c r="CD25" s="11">
        <f t="shared" si="31"/>
        <v>0</v>
      </c>
      <c r="CE25" s="236">
        <f t="shared" si="31"/>
        <v>0</v>
      </c>
      <c r="CF25" s="11">
        <f t="shared" si="31"/>
        <v>0</v>
      </c>
      <c r="CG25" s="11">
        <f t="shared" si="31"/>
        <v>0</v>
      </c>
      <c r="CH25" s="11">
        <f t="shared" si="31"/>
        <v>0</v>
      </c>
      <c r="CI25" s="11">
        <f t="shared" si="31"/>
        <v>0</v>
      </c>
      <c r="CJ25" s="11">
        <f t="shared" si="31"/>
        <v>0</v>
      </c>
      <c r="CK25" s="11">
        <f t="shared" si="31"/>
        <v>0</v>
      </c>
      <c r="CL25" s="11">
        <f t="shared" si="31"/>
        <v>0</v>
      </c>
      <c r="CM25" s="11">
        <f t="shared" si="31"/>
        <v>0</v>
      </c>
      <c r="CN25" s="11">
        <f t="shared" si="31"/>
        <v>2.2171265404551169E-2</v>
      </c>
      <c r="CO25" s="11">
        <f t="shared" si="31"/>
        <v>3.3256898106826756E-2</v>
      </c>
      <c r="CP25" s="11">
        <f t="shared" si="31"/>
        <v>3.3256898106826756E-2</v>
      </c>
      <c r="CQ25" s="11">
        <f t="shared" si="31"/>
        <v>3.3256898106826756E-2</v>
      </c>
      <c r="CR25" s="11">
        <f t="shared" si="31"/>
        <v>3.3256898106826756E-2</v>
      </c>
      <c r="CS25" s="11">
        <f t="shared" si="31"/>
        <v>3.3256898106826756E-2</v>
      </c>
      <c r="CT25" s="11">
        <f t="shared" si="31"/>
        <v>3.3256898106826756E-2</v>
      </c>
      <c r="CU25" s="11">
        <f t="shared" si="31"/>
        <v>0</v>
      </c>
      <c r="CV25" s="11">
        <f t="shared" si="31"/>
        <v>0</v>
      </c>
      <c r="CW25" s="11">
        <f t="shared" si="31"/>
        <v>0</v>
      </c>
      <c r="CX25" s="11">
        <f t="shared" si="31"/>
        <v>0</v>
      </c>
      <c r="CY25" s="50"/>
      <c r="CZ25" s="2"/>
      <c r="DA25" s="2"/>
      <c r="DB25" s="58">
        <f t="shared" si="2"/>
        <v>0.22171265404551169</v>
      </c>
      <c r="DC25" s="41">
        <f t="shared" si="3"/>
        <v>0.22171265404551169</v>
      </c>
      <c r="DD25" s="2"/>
      <c r="DE25" s="2"/>
      <c r="DF25" s="2"/>
      <c r="DG25" s="2"/>
      <c r="DH25" s="2"/>
      <c r="DI25" s="2"/>
      <c r="DJ25" s="2"/>
      <c r="DK25" s="2"/>
    </row>
    <row r="26" spans="1:115" ht="8.4" customHeight="1" x14ac:dyDescent="0.25">
      <c r="A26" s="639"/>
      <c r="B26" s="641"/>
      <c r="C26" s="609"/>
      <c r="D26" s="611"/>
      <c r="E26" s="560"/>
      <c r="F26" s="558"/>
      <c r="G26" s="560"/>
      <c r="H26" s="558"/>
      <c r="I26" s="637"/>
      <c r="J26" s="594"/>
      <c r="K26" s="596"/>
      <c r="L26" s="101"/>
      <c r="M26" s="360"/>
      <c r="N26" s="361"/>
      <c r="O26" s="361"/>
      <c r="P26" s="361"/>
      <c r="Q26" s="361"/>
      <c r="R26" s="362"/>
      <c r="S26" s="360"/>
      <c r="T26" s="361"/>
      <c r="U26" s="361"/>
      <c r="V26" s="361"/>
      <c r="W26" s="361"/>
      <c r="X26" s="360"/>
      <c r="Y26" s="361"/>
      <c r="Z26" s="361"/>
      <c r="AA26" s="361"/>
      <c r="AB26" s="361"/>
      <c r="AC26" s="361"/>
      <c r="AD26" s="362"/>
      <c r="AE26" s="360"/>
      <c r="AF26" s="361"/>
      <c r="AG26" s="363"/>
      <c r="AH26" s="363"/>
      <c r="AI26" s="363"/>
      <c r="AJ26" s="363"/>
      <c r="AK26" s="363"/>
      <c r="AL26" s="363"/>
      <c r="AM26" s="363"/>
      <c r="AN26" s="363"/>
      <c r="AO26" s="365"/>
      <c r="AP26" s="364"/>
      <c r="AQ26" s="376"/>
      <c r="AR26" s="365"/>
      <c r="AS26" s="363"/>
      <c r="AT26" s="365"/>
      <c r="AU26" s="365"/>
      <c r="AV26" s="365"/>
      <c r="AW26" s="366"/>
      <c r="AX26" s="85"/>
      <c r="AY26" s="5"/>
      <c r="AZ26" s="331"/>
      <c r="BE26" s="2"/>
      <c r="BF26" s="2"/>
      <c r="BG26" s="2"/>
      <c r="BH26" s="2"/>
      <c r="BI26" s="2"/>
      <c r="BJ26" s="2"/>
      <c r="BK26" s="2"/>
      <c r="BL26" s="2">
        <v>0</v>
      </c>
      <c r="BM26" s="53"/>
      <c r="BN26" s="11">
        <f t="shared" ref="BN26:CX26" si="32">M26*$K25/100</f>
        <v>0</v>
      </c>
      <c r="BO26" s="11">
        <f t="shared" si="32"/>
        <v>0</v>
      </c>
      <c r="BP26" s="11">
        <f t="shared" si="32"/>
        <v>0</v>
      </c>
      <c r="BQ26" s="11">
        <f t="shared" si="32"/>
        <v>0</v>
      </c>
      <c r="BR26" s="11">
        <f t="shared" si="32"/>
        <v>0</v>
      </c>
      <c r="BS26" s="236">
        <f t="shared" si="32"/>
        <v>0</v>
      </c>
      <c r="BT26" s="11">
        <f t="shared" si="32"/>
        <v>0</v>
      </c>
      <c r="BU26" s="11">
        <f t="shared" si="32"/>
        <v>0</v>
      </c>
      <c r="BV26" s="11">
        <f t="shared" si="32"/>
        <v>0</v>
      </c>
      <c r="BW26" s="11">
        <f t="shared" si="32"/>
        <v>0</v>
      </c>
      <c r="BX26" s="11">
        <f t="shared" si="32"/>
        <v>0</v>
      </c>
      <c r="BY26" s="11">
        <f t="shared" si="32"/>
        <v>0</v>
      </c>
      <c r="BZ26" s="11">
        <f t="shared" si="32"/>
        <v>0</v>
      </c>
      <c r="CA26" s="11">
        <f t="shared" si="32"/>
        <v>0</v>
      </c>
      <c r="CB26" s="11">
        <f t="shared" si="32"/>
        <v>0</v>
      </c>
      <c r="CC26" s="11">
        <f t="shared" si="32"/>
        <v>0</v>
      </c>
      <c r="CD26" s="11">
        <f t="shared" si="32"/>
        <v>0</v>
      </c>
      <c r="CE26" s="236">
        <f t="shared" si="32"/>
        <v>0</v>
      </c>
      <c r="CF26" s="11">
        <f t="shared" si="32"/>
        <v>0</v>
      </c>
      <c r="CG26" s="11">
        <f t="shared" si="32"/>
        <v>0</v>
      </c>
      <c r="CH26" s="11">
        <f t="shared" si="32"/>
        <v>0</v>
      </c>
      <c r="CI26" s="11">
        <f t="shared" si="32"/>
        <v>0</v>
      </c>
      <c r="CJ26" s="11">
        <f t="shared" si="32"/>
        <v>0</v>
      </c>
      <c r="CK26" s="11">
        <f t="shared" si="32"/>
        <v>0</v>
      </c>
      <c r="CL26" s="11">
        <f t="shared" si="32"/>
        <v>0</v>
      </c>
      <c r="CM26" s="11">
        <f t="shared" si="32"/>
        <v>0</v>
      </c>
      <c r="CN26" s="11">
        <f t="shared" si="32"/>
        <v>0</v>
      </c>
      <c r="CO26" s="11">
        <f t="shared" si="32"/>
        <v>0</v>
      </c>
      <c r="CP26" s="11">
        <f t="shared" si="32"/>
        <v>0</v>
      </c>
      <c r="CQ26" s="11">
        <f t="shared" si="32"/>
        <v>0</v>
      </c>
      <c r="CR26" s="11">
        <f t="shared" si="32"/>
        <v>0</v>
      </c>
      <c r="CS26" s="11">
        <f t="shared" si="32"/>
        <v>0</v>
      </c>
      <c r="CT26" s="11">
        <f t="shared" si="32"/>
        <v>0</v>
      </c>
      <c r="CU26" s="11">
        <f t="shared" si="32"/>
        <v>0</v>
      </c>
      <c r="CV26" s="11">
        <f t="shared" si="32"/>
        <v>0</v>
      </c>
      <c r="CW26" s="11">
        <f t="shared" si="32"/>
        <v>0</v>
      </c>
      <c r="CX26" s="11">
        <f t="shared" si="32"/>
        <v>0</v>
      </c>
      <c r="CY26" s="50"/>
      <c r="CZ26" s="2"/>
      <c r="DA26" s="2"/>
      <c r="DB26" s="58">
        <f t="shared" si="2"/>
        <v>0</v>
      </c>
      <c r="DC26" s="41">
        <f t="shared" si="3"/>
        <v>0</v>
      </c>
      <c r="DD26" s="2"/>
      <c r="DE26" s="2"/>
      <c r="DF26" s="2"/>
      <c r="DG26" s="2"/>
      <c r="DH26" s="2"/>
      <c r="DI26" s="2"/>
      <c r="DJ26" s="2"/>
      <c r="DK26" s="2"/>
    </row>
    <row r="27" spans="1:115" ht="8.4" customHeight="1" x14ac:dyDescent="0.25">
      <c r="A27" s="638">
        <v>-3</v>
      </c>
      <c r="B27" s="640" t="s">
        <v>56</v>
      </c>
      <c r="C27" s="608" t="s">
        <v>6</v>
      </c>
      <c r="D27" s="610">
        <v>1</v>
      </c>
      <c r="E27" s="559">
        <f t="shared" ref="E27" si="33">F27*100/SUM($K$21:$K$28)</f>
        <v>0</v>
      </c>
      <c r="F27" s="557">
        <f t="shared" ref="F27" si="34">K27*SUM(M27:AG27)/100</f>
        <v>0</v>
      </c>
      <c r="G27" s="559"/>
      <c r="H27" s="557">
        <f t="shared" ref="H27" si="35">SUM(L28:AJ28)</f>
        <v>0</v>
      </c>
      <c r="I27" s="612">
        <f>'BOQ แก้ไขสัญญา'!AF19</f>
        <v>160623</v>
      </c>
      <c r="J27" s="593">
        <f t="shared" si="0"/>
        <v>160623</v>
      </c>
      <c r="K27" s="595">
        <f>J27*100/GTotal</f>
        <v>6.7348530053959202E-2</v>
      </c>
      <c r="L27" s="101"/>
      <c r="M27" s="354"/>
      <c r="N27" s="355"/>
      <c r="O27" s="355"/>
      <c r="P27" s="355"/>
      <c r="Q27" s="355"/>
      <c r="R27" s="356"/>
      <c r="S27" s="354"/>
      <c r="T27" s="355"/>
      <c r="U27" s="355"/>
      <c r="V27" s="355"/>
      <c r="W27" s="355"/>
      <c r="X27" s="354"/>
      <c r="Y27" s="355"/>
      <c r="Z27" s="355"/>
      <c r="AA27" s="355"/>
      <c r="AB27" s="355"/>
      <c r="AC27" s="355"/>
      <c r="AD27" s="356"/>
      <c r="AE27" s="354"/>
      <c r="AF27" s="355"/>
      <c r="AG27" s="358"/>
      <c r="AH27" s="358"/>
      <c r="AI27" s="358"/>
      <c r="AJ27" s="358"/>
      <c r="AK27" s="358"/>
      <c r="AL27" s="358"/>
      <c r="AM27" s="358">
        <v>5</v>
      </c>
      <c r="AN27" s="358">
        <v>10</v>
      </c>
      <c r="AO27" s="357">
        <v>10</v>
      </c>
      <c r="AP27" s="359">
        <v>15</v>
      </c>
      <c r="AQ27" s="357">
        <v>15</v>
      </c>
      <c r="AR27" s="357">
        <v>15</v>
      </c>
      <c r="AS27" s="358">
        <v>30</v>
      </c>
      <c r="AT27" s="357"/>
      <c r="AU27" s="357"/>
      <c r="AV27" s="357"/>
      <c r="AW27" s="367"/>
      <c r="AX27" s="85"/>
      <c r="AY27" s="5"/>
      <c r="AZ27" s="331"/>
      <c r="BE27" s="2"/>
      <c r="BF27" s="2"/>
      <c r="BG27" s="2"/>
      <c r="BH27" s="2"/>
      <c r="BI27" s="2"/>
      <c r="BJ27" s="2"/>
      <c r="BK27" s="2"/>
      <c r="BL27" s="2">
        <v>1</v>
      </c>
      <c r="BM27" s="54"/>
      <c r="BN27" s="11">
        <f t="shared" ref="BN27:CX27" si="36">M27*$K27/100</f>
        <v>0</v>
      </c>
      <c r="BO27" s="11">
        <f t="shared" si="36"/>
        <v>0</v>
      </c>
      <c r="BP27" s="11">
        <f t="shared" si="36"/>
        <v>0</v>
      </c>
      <c r="BQ27" s="11">
        <f t="shared" si="36"/>
        <v>0</v>
      </c>
      <c r="BR27" s="11">
        <f t="shared" si="36"/>
        <v>0</v>
      </c>
      <c r="BS27" s="236">
        <f t="shared" si="36"/>
        <v>0</v>
      </c>
      <c r="BT27" s="11">
        <f t="shared" si="36"/>
        <v>0</v>
      </c>
      <c r="BU27" s="11">
        <f t="shared" si="36"/>
        <v>0</v>
      </c>
      <c r="BV27" s="11">
        <f t="shared" si="36"/>
        <v>0</v>
      </c>
      <c r="BW27" s="11">
        <f t="shared" si="36"/>
        <v>0</v>
      </c>
      <c r="BX27" s="11">
        <f t="shared" si="36"/>
        <v>0</v>
      </c>
      <c r="BY27" s="11">
        <f t="shared" si="36"/>
        <v>0</v>
      </c>
      <c r="BZ27" s="11">
        <f t="shared" si="36"/>
        <v>0</v>
      </c>
      <c r="CA27" s="11">
        <f t="shared" si="36"/>
        <v>0</v>
      </c>
      <c r="CB27" s="11">
        <f t="shared" si="36"/>
        <v>0</v>
      </c>
      <c r="CC27" s="11">
        <f t="shared" si="36"/>
        <v>0</v>
      </c>
      <c r="CD27" s="11">
        <f t="shared" si="36"/>
        <v>0</v>
      </c>
      <c r="CE27" s="236">
        <f t="shared" si="36"/>
        <v>0</v>
      </c>
      <c r="CF27" s="11">
        <f t="shared" si="36"/>
        <v>0</v>
      </c>
      <c r="CG27" s="11">
        <f t="shared" si="36"/>
        <v>0</v>
      </c>
      <c r="CH27" s="11">
        <f t="shared" si="36"/>
        <v>0</v>
      </c>
      <c r="CI27" s="11">
        <f t="shared" si="36"/>
        <v>0</v>
      </c>
      <c r="CJ27" s="11">
        <f t="shared" si="36"/>
        <v>0</v>
      </c>
      <c r="CK27" s="11">
        <f t="shared" si="36"/>
        <v>0</v>
      </c>
      <c r="CL27" s="11">
        <f t="shared" si="36"/>
        <v>0</v>
      </c>
      <c r="CM27" s="11">
        <f t="shared" si="36"/>
        <v>0</v>
      </c>
      <c r="CN27" s="11">
        <f t="shared" si="36"/>
        <v>3.3674265026979598E-3</v>
      </c>
      <c r="CO27" s="11">
        <f t="shared" si="36"/>
        <v>6.7348530053959197E-3</v>
      </c>
      <c r="CP27" s="11">
        <f t="shared" si="36"/>
        <v>6.7348530053959197E-3</v>
      </c>
      <c r="CQ27" s="11">
        <f t="shared" si="36"/>
        <v>1.0102279508093882E-2</v>
      </c>
      <c r="CR27" s="11">
        <f t="shared" si="36"/>
        <v>1.0102279508093882E-2</v>
      </c>
      <c r="CS27" s="11">
        <f t="shared" si="36"/>
        <v>1.0102279508093882E-2</v>
      </c>
      <c r="CT27" s="11">
        <f t="shared" si="36"/>
        <v>2.0204559016187763E-2</v>
      </c>
      <c r="CU27" s="11">
        <f t="shared" si="36"/>
        <v>0</v>
      </c>
      <c r="CV27" s="11">
        <f t="shared" si="36"/>
        <v>0</v>
      </c>
      <c r="CW27" s="11">
        <f t="shared" si="36"/>
        <v>0</v>
      </c>
      <c r="CX27" s="11">
        <f t="shared" si="36"/>
        <v>0</v>
      </c>
      <c r="CY27" s="50"/>
      <c r="CZ27" s="2"/>
      <c r="DA27" s="2"/>
      <c r="DB27" s="58">
        <f t="shared" si="2"/>
        <v>6.7348530053959216E-2</v>
      </c>
      <c r="DC27" s="41">
        <f t="shared" si="3"/>
        <v>6.7348530053959202E-2</v>
      </c>
      <c r="DD27" s="2"/>
      <c r="DE27" s="2"/>
      <c r="DF27" s="2"/>
      <c r="DG27" s="2"/>
      <c r="DH27" s="2"/>
      <c r="DI27" s="2"/>
      <c r="DJ27" s="2"/>
      <c r="DK27" s="2"/>
    </row>
    <row r="28" spans="1:115" ht="8.4" customHeight="1" x14ac:dyDescent="0.25">
      <c r="A28" s="639"/>
      <c r="B28" s="641"/>
      <c r="C28" s="609"/>
      <c r="D28" s="611"/>
      <c r="E28" s="560"/>
      <c r="F28" s="558"/>
      <c r="G28" s="560"/>
      <c r="H28" s="558"/>
      <c r="I28" s="637"/>
      <c r="J28" s="594"/>
      <c r="K28" s="596"/>
      <c r="L28" s="101"/>
      <c r="M28" s="368"/>
      <c r="N28" s="369"/>
      <c r="O28" s="369"/>
      <c r="P28" s="369"/>
      <c r="Q28" s="369"/>
      <c r="R28" s="370"/>
      <c r="S28" s="360"/>
      <c r="T28" s="369"/>
      <c r="U28" s="369"/>
      <c r="V28" s="369"/>
      <c r="W28" s="369"/>
      <c r="X28" s="368"/>
      <c r="Y28" s="369"/>
      <c r="Z28" s="369"/>
      <c r="AA28" s="369"/>
      <c r="AB28" s="369"/>
      <c r="AC28" s="369"/>
      <c r="AD28" s="370"/>
      <c r="AE28" s="368"/>
      <c r="AF28" s="369"/>
      <c r="AG28" s="371"/>
      <c r="AH28" s="371"/>
      <c r="AI28" s="371"/>
      <c r="AJ28" s="371"/>
      <c r="AK28" s="372"/>
      <c r="AL28" s="371"/>
      <c r="AM28" s="371"/>
      <c r="AN28" s="371"/>
      <c r="AO28" s="372"/>
      <c r="AP28" s="373"/>
      <c r="AQ28" s="372"/>
      <c r="AR28" s="372"/>
      <c r="AS28" s="372"/>
      <c r="AT28" s="372"/>
      <c r="AU28" s="372"/>
      <c r="AV28" s="372"/>
      <c r="AW28" s="374"/>
      <c r="AX28" s="85"/>
      <c r="AY28" s="5"/>
      <c r="AZ28" s="331"/>
      <c r="BE28" s="2"/>
      <c r="BF28" s="2"/>
      <c r="BG28" s="2"/>
      <c r="BH28" s="2"/>
      <c r="BI28" s="2"/>
      <c r="BJ28" s="2"/>
      <c r="BK28" s="2"/>
      <c r="BL28" s="2">
        <v>0</v>
      </c>
      <c r="BM28" s="53"/>
      <c r="BN28" s="11">
        <f t="shared" ref="BN28:CX28" si="37">M28*$K27/100</f>
        <v>0</v>
      </c>
      <c r="BO28" s="11">
        <f t="shared" si="37"/>
        <v>0</v>
      </c>
      <c r="BP28" s="11">
        <f t="shared" si="37"/>
        <v>0</v>
      </c>
      <c r="BQ28" s="11">
        <f t="shared" si="37"/>
        <v>0</v>
      </c>
      <c r="BR28" s="11">
        <f t="shared" si="37"/>
        <v>0</v>
      </c>
      <c r="BS28" s="236">
        <f t="shared" si="37"/>
        <v>0</v>
      </c>
      <c r="BT28" s="11">
        <f t="shared" si="37"/>
        <v>0</v>
      </c>
      <c r="BU28" s="11">
        <f t="shared" si="37"/>
        <v>0</v>
      </c>
      <c r="BV28" s="11">
        <f t="shared" si="37"/>
        <v>0</v>
      </c>
      <c r="BW28" s="11">
        <f t="shared" si="37"/>
        <v>0</v>
      </c>
      <c r="BX28" s="11">
        <f t="shared" si="37"/>
        <v>0</v>
      </c>
      <c r="BY28" s="11">
        <f t="shared" si="37"/>
        <v>0</v>
      </c>
      <c r="BZ28" s="11">
        <f t="shared" si="37"/>
        <v>0</v>
      </c>
      <c r="CA28" s="11">
        <f t="shared" si="37"/>
        <v>0</v>
      </c>
      <c r="CB28" s="11">
        <f t="shared" si="37"/>
        <v>0</v>
      </c>
      <c r="CC28" s="11">
        <f t="shared" si="37"/>
        <v>0</v>
      </c>
      <c r="CD28" s="11">
        <f t="shared" si="37"/>
        <v>0</v>
      </c>
      <c r="CE28" s="236">
        <f t="shared" si="37"/>
        <v>0</v>
      </c>
      <c r="CF28" s="11">
        <f t="shared" si="37"/>
        <v>0</v>
      </c>
      <c r="CG28" s="11">
        <f t="shared" si="37"/>
        <v>0</v>
      </c>
      <c r="CH28" s="11">
        <f t="shared" si="37"/>
        <v>0</v>
      </c>
      <c r="CI28" s="11">
        <f t="shared" si="37"/>
        <v>0</v>
      </c>
      <c r="CJ28" s="11">
        <f t="shared" si="37"/>
        <v>0</v>
      </c>
      <c r="CK28" s="11">
        <f t="shared" si="37"/>
        <v>0</v>
      </c>
      <c r="CL28" s="11">
        <f t="shared" si="37"/>
        <v>0</v>
      </c>
      <c r="CM28" s="11">
        <f t="shared" si="37"/>
        <v>0</v>
      </c>
      <c r="CN28" s="11">
        <f t="shared" si="37"/>
        <v>0</v>
      </c>
      <c r="CO28" s="11">
        <f t="shared" si="37"/>
        <v>0</v>
      </c>
      <c r="CP28" s="11">
        <f t="shared" si="37"/>
        <v>0</v>
      </c>
      <c r="CQ28" s="11">
        <f t="shared" si="37"/>
        <v>0</v>
      </c>
      <c r="CR28" s="11">
        <f t="shared" si="37"/>
        <v>0</v>
      </c>
      <c r="CS28" s="11">
        <f t="shared" si="37"/>
        <v>0</v>
      </c>
      <c r="CT28" s="11">
        <f t="shared" si="37"/>
        <v>0</v>
      </c>
      <c r="CU28" s="11">
        <f t="shared" si="37"/>
        <v>0</v>
      </c>
      <c r="CV28" s="11">
        <f t="shared" si="37"/>
        <v>0</v>
      </c>
      <c r="CW28" s="11">
        <f t="shared" si="37"/>
        <v>0</v>
      </c>
      <c r="CX28" s="11">
        <f t="shared" si="37"/>
        <v>0</v>
      </c>
      <c r="CY28" s="50"/>
      <c r="CZ28" s="2"/>
      <c r="DA28" s="2"/>
      <c r="DB28" s="58">
        <f t="shared" si="2"/>
        <v>0</v>
      </c>
      <c r="DC28" s="41">
        <f t="shared" si="3"/>
        <v>0</v>
      </c>
      <c r="DD28" s="2"/>
      <c r="DE28" s="2"/>
      <c r="DF28" s="2"/>
      <c r="DG28" s="2"/>
      <c r="DH28" s="2"/>
      <c r="DI28" s="2"/>
      <c r="DJ28" s="2"/>
      <c r="DK28" s="2"/>
    </row>
    <row r="29" spans="1:115" ht="8.4" customHeight="1" x14ac:dyDescent="0.25">
      <c r="A29" s="604">
        <v>1.3</v>
      </c>
      <c r="B29" s="632" t="s">
        <v>34</v>
      </c>
      <c r="C29" s="608" t="s">
        <v>6</v>
      </c>
      <c r="D29" s="610">
        <v>1</v>
      </c>
      <c r="E29" s="559">
        <f>F29*100/SUM($K$29:$K$38)</f>
        <v>0</v>
      </c>
      <c r="F29" s="557">
        <f t="shared" ref="F29" si="38">K29*SUM(M29:AG29)/100</f>
        <v>0</v>
      </c>
      <c r="G29" s="559"/>
      <c r="H29" s="557">
        <f t="shared" ref="H29" si="39">SUM(L30:AJ30)</f>
        <v>64.76600000000002</v>
      </c>
      <c r="I29" s="612">
        <f>'BOQ แก้ไขสัญญา'!AF21</f>
        <v>4270013</v>
      </c>
      <c r="J29" s="593">
        <f t="shared" si="0"/>
        <v>4270013</v>
      </c>
      <c r="K29" s="595">
        <f>J29*100/GTotal</f>
        <v>1.7903980056486088</v>
      </c>
      <c r="L29" s="101"/>
      <c r="M29" s="354"/>
      <c r="N29" s="355"/>
      <c r="O29" s="355"/>
      <c r="P29" s="355"/>
      <c r="Q29" s="355"/>
      <c r="R29" s="356"/>
      <c r="S29" s="354"/>
      <c r="T29" s="355"/>
      <c r="U29" s="355"/>
      <c r="V29" s="355"/>
      <c r="W29" s="355"/>
      <c r="X29" s="354"/>
      <c r="Y29" s="355"/>
      <c r="Z29" s="355"/>
      <c r="AA29" s="355"/>
      <c r="AB29" s="355">
        <v>0</v>
      </c>
      <c r="AC29" s="355"/>
      <c r="AD29" s="356"/>
      <c r="AE29" s="354"/>
      <c r="AF29" s="355"/>
      <c r="AG29" s="358"/>
      <c r="AH29" s="358">
        <v>5</v>
      </c>
      <c r="AI29" s="358">
        <v>5</v>
      </c>
      <c r="AJ29" s="357">
        <v>10</v>
      </c>
      <c r="AK29" s="358">
        <v>10</v>
      </c>
      <c r="AL29" s="358">
        <v>10</v>
      </c>
      <c r="AM29" s="358">
        <v>10</v>
      </c>
      <c r="AN29" s="358">
        <v>10</v>
      </c>
      <c r="AO29" s="358">
        <v>10</v>
      </c>
      <c r="AP29" s="359">
        <v>10</v>
      </c>
      <c r="AQ29" s="357">
        <v>10</v>
      </c>
      <c r="AR29" s="358">
        <v>10</v>
      </c>
      <c r="AS29" s="357"/>
      <c r="AT29" s="357"/>
      <c r="AU29" s="357"/>
      <c r="AV29" s="357"/>
      <c r="AW29" s="367"/>
      <c r="AX29" s="85"/>
      <c r="AY29" s="5"/>
      <c r="AZ29" s="331"/>
      <c r="BE29" s="2"/>
      <c r="BF29" s="2"/>
      <c r="BG29" s="2"/>
      <c r="BH29" s="2"/>
      <c r="BI29" s="2"/>
      <c r="BJ29" s="2"/>
      <c r="BK29" s="2"/>
      <c r="BL29" s="2">
        <v>1</v>
      </c>
      <c r="BM29" s="54"/>
      <c r="BN29" s="11">
        <f t="shared" ref="BN29:CX29" si="40">M29*$K29/100</f>
        <v>0</v>
      </c>
      <c r="BO29" s="11">
        <f t="shared" si="40"/>
        <v>0</v>
      </c>
      <c r="BP29" s="11">
        <f t="shared" si="40"/>
        <v>0</v>
      </c>
      <c r="BQ29" s="11">
        <f t="shared" si="40"/>
        <v>0</v>
      </c>
      <c r="BR29" s="11">
        <f t="shared" si="40"/>
        <v>0</v>
      </c>
      <c r="BS29" s="236">
        <f t="shared" si="40"/>
        <v>0</v>
      </c>
      <c r="BT29" s="11">
        <f t="shared" si="40"/>
        <v>0</v>
      </c>
      <c r="BU29" s="11">
        <f t="shared" si="40"/>
        <v>0</v>
      </c>
      <c r="BV29" s="11">
        <f t="shared" si="40"/>
        <v>0</v>
      </c>
      <c r="BW29" s="11">
        <f t="shared" si="40"/>
        <v>0</v>
      </c>
      <c r="BX29" s="11">
        <f t="shared" si="40"/>
        <v>0</v>
      </c>
      <c r="BY29" s="11">
        <f t="shared" si="40"/>
        <v>0</v>
      </c>
      <c r="BZ29" s="11">
        <f t="shared" si="40"/>
        <v>0</v>
      </c>
      <c r="CA29" s="11">
        <f t="shared" si="40"/>
        <v>0</v>
      </c>
      <c r="CB29" s="11">
        <f t="shared" si="40"/>
        <v>0</v>
      </c>
      <c r="CC29" s="11">
        <f t="shared" si="40"/>
        <v>0</v>
      </c>
      <c r="CD29" s="11">
        <f t="shared" si="40"/>
        <v>0</v>
      </c>
      <c r="CE29" s="236">
        <f t="shared" si="40"/>
        <v>0</v>
      </c>
      <c r="CF29" s="11">
        <f t="shared" si="40"/>
        <v>0</v>
      </c>
      <c r="CG29" s="11">
        <f t="shared" si="40"/>
        <v>0</v>
      </c>
      <c r="CH29" s="11">
        <f t="shared" si="40"/>
        <v>0</v>
      </c>
      <c r="CI29" s="11">
        <f t="shared" si="40"/>
        <v>8.951990028243044E-2</v>
      </c>
      <c r="CJ29" s="11">
        <f t="shared" si="40"/>
        <v>8.951990028243044E-2</v>
      </c>
      <c r="CK29" s="11">
        <f t="shared" si="40"/>
        <v>0.17903980056486088</v>
      </c>
      <c r="CL29" s="11">
        <f t="shared" si="40"/>
        <v>0.17903980056486088</v>
      </c>
      <c r="CM29" s="11">
        <f t="shared" si="40"/>
        <v>0.17903980056486088</v>
      </c>
      <c r="CN29" s="11">
        <f t="shared" si="40"/>
        <v>0.17903980056486088</v>
      </c>
      <c r="CO29" s="11">
        <f t="shared" si="40"/>
        <v>0.17903980056486088</v>
      </c>
      <c r="CP29" s="11">
        <f t="shared" si="40"/>
        <v>0.17903980056486088</v>
      </c>
      <c r="CQ29" s="11">
        <f t="shared" si="40"/>
        <v>0.17903980056486088</v>
      </c>
      <c r="CR29" s="11">
        <f t="shared" si="40"/>
        <v>0.17903980056486088</v>
      </c>
      <c r="CS29" s="11">
        <f t="shared" si="40"/>
        <v>0.17903980056486088</v>
      </c>
      <c r="CT29" s="11">
        <f t="shared" si="40"/>
        <v>0</v>
      </c>
      <c r="CU29" s="11">
        <f t="shared" si="40"/>
        <v>0</v>
      </c>
      <c r="CV29" s="11">
        <f t="shared" si="40"/>
        <v>0</v>
      </c>
      <c r="CW29" s="11">
        <f t="shared" si="40"/>
        <v>0</v>
      </c>
      <c r="CX29" s="11">
        <f t="shared" si="40"/>
        <v>0</v>
      </c>
      <c r="CY29" s="50"/>
      <c r="CZ29" s="2"/>
      <c r="DA29" s="2"/>
      <c r="DB29" s="58">
        <f t="shared" si="2"/>
        <v>1.7903980056486084</v>
      </c>
      <c r="DC29" s="41">
        <f t="shared" si="3"/>
        <v>1.7903980056486088</v>
      </c>
      <c r="DD29" s="2"/>
      <c r="DE29" s="2"/>
      <c r="DF29" s="2"/>
      <c r="DG29" s="2"/>
      <c r="DH29" s="2"/>
      <c r="DI29" s="2"/>
      <c r="DJ29" s="2"/>
      <c r="DK29" s="2"/>
    </row>
    <row r="30" spans="1:115" ht="8.4" customHeight="1" x14ac:dyDescent="0.25">
      <c r="A30" s="605"/>
      <c r="B30" s="633"/>
      <c r="C30" s="609"/>
      <c r="D30" s="611"/>
      <c r="E30" s="560"/>
      <c r="F30" s="558"/>
      <c r="G30" s="634"/>
      <c r="H30" s="558"/>
      <c r="I30" s="637"/>
      <c r="J30" s="594"/>
      <c r="K30" s="596"/>
      <c r="L30" s="101"/>
      <c r="M30" s="360"/>
      <c r="N30" s="456">
        <v>0.40699999999999997</v>
      </c>
      <c r="O30" s="361"/>
      <c r="P30" s="361"/>
      <c r="Q30" s="361"/>
      <c r="R30" s="362"/>
      <c r="S30" s="360"/>
      <c r="T30" s="361"/>
      <c r="U30" s="361"/>
      <c r="V30" s="361"/>
      <c r="W30" s="361"/>
      <c r="X30" s="360"/>
      <c r="Y30" s="361"/>
      <c r="Z30" s="361"/>
      <c r="AA30" s="361"/>
      <c r="AB30" s="456">
        <v>29.02</v>
      </c>
      <c r="AC30" s="361"/>
      <c r="AD30" s="362"/>
      <c r="AE30" s="360"/>
      <c r="AF30" s="361"/>
      <c r="AG30" s="456">
        <f>64.766-N30-AB30</f>
        <v>35.339000000000013</v>
      </c>
      <c r="AH30" s="363"/>
      <c r="AI30" s="363"/>
      <c r="AJ30" s="365"/>
      <c r="AK30" s="363"/>
      <c r="AL30" s="363"/>
      <c r="AM30" s="363"/>
      <c r="AN30" s="363"/>
      <c r="AO30" s="363"/>
      <c r="AP30" s="364"/>
      <c r="AQ30" s="365"/>
      <c r="AR30" s="363"/>
      <c r="AS30" s="365"/>
      <c r="AT30" s="365"/>
      <c r="AU30" s="365"/>
      <c r="AV30" s="365"/>
      <c r="AW30" s="366"/>
      <c r="AX30" s="85"/>
      <c r="AY30" s="5"/>
      <c r="AZ30" s="331">
        <v>80</v>
      </c>
      <c r="BE30" s="2"/>
      <c r="BF30" s="2"/>
      <c r="BG30" s="2"/>
      <c r="BH30" s="2"/>
      <c r="BI30" s="2"/>
      <c r="BJ30" s="2"/>
      <c r="BK30" s="2"/>
      <c r="BL30" s="2">
        <v>0</v>
      </c>
      <c r="BM30" s="53"/>
      <c r="BN30" s="11">
        <f t="shared" ref="BN30:CX30" si="41">M30*$K29/100</f>
        <v>0</v>
      </c>
      <c r="BO30" s="11">
        <f t="shared" si="41"/>
        <v>7.2869198829898377E-3</v>
      </c>
      <c r="BP30" s="11">
        <f t="shared" si="41"/>
        <v>0</v>
      </c>
      <c r="BQ30" s="11">
        <f t="shared" si="41"/>
        <v>0</v>
      </c>
      <c r="BR30" s="11">
        <f t="shared" si="41"/>
        <v>0</v>
      </c>
      <c r="BS30" s="236">
        <f t="shared" si="41"/>
        <v>0</v>
      </c>
      <c r="BT30" s="11">
        <f t="shared" si="41"/>
        <v>0</v>
      </c>
      <c r="BU30" s="11">
        <f t="shared" si="41"/>
        <v>0</v>
      </c>
      <c r="BV30" s="11">
        <f t="shared" si="41"/>
        <v>0</v>
      </c>
      <c r="BW30" s="11">
        <f t="shared" si="41"/>
        <v>0</v>
      </c>
      <c r="BX30" s="11">
        <f t="shared" si="41"/>
        <v>0</v>
      </c>
      <c r="BY30" s="11">
        <f t="shared" si="41"/>
        <v>0</v>
      </c>
      <c r="BZ30" s="11">
        <f t="shared" si="41"/>
        <v>0</v>
      </c>
      <c r="CA30" s="11">
        <f t="shared" si="41"/>
        <v>0</v>
      </c>
      <c r="CB30" s="11">
        <f t="shared" si="41"/>
        <v>0</v>
      </c>
      <c r="CC30" s="11">
        <f t="shared" si="41"/>
        <v>0.5195735012392263</v>
      </c>
      <c r="CD30" s="11">
        <f t="shared" si="41"/>
        <v>0</v>
      </c>
      <c r="CE30" s="236">
        <f t="shared" si="41"/>
        <v>0</v>
      </c>
      <c r="CF30" s="11">
        <f t="shared" si="41"/>
        <v>0</v>
      </c>
      <c r="CG30" s="11">
        <f t="shared" si="41"/>
        <v>0</v>
      </c>
      <c r="CH30" s="11">
        <f t="shared" si="41"/>
        <v>0.6327087512161621</v>
      </c>
      <c r="CI30" s="11">
        <f t="shared" si="41"/>
        <v>0</v>
      </c>
      <c r="CJ30" s="11">
        <f t="shared" si="41"/>
        <v>0</v>
      </c>
      <c r="CK30" s="11">
        <f t="shared" si="41"/>
        <v>0</v>
      </c>
      <c r="CL30" s="11">
        <f t="shared" si="41"/>
        <v>0</v>
      </c>
      <c r="CM30" s="11">
        <f t="shared" si="41"/>
        <v>0</v>
      </c>
      <c r="CN30" s="11">
        <f t="shared" si="41"/>
        <v>0</v>
      </c>
      <c r="CO30" s="11">
        <f t="shared" si="41"/>
        <v>0</v>
      </c>
      <c r="CP30" s="11">
        <f t="shared" si="41"/>
        <v>0</v>
      </c>
      <c r="CQ30" s="11">
        <f t="shared" si="41"/>
        <v>0</v>
      </c>
      <c r="CR30" s="11">
        <f t="shared" si="41"/>
        <v>0</v>
      </c>
      <c r="CS30" s="11">
        <f t="shared" si="41"/>
        <v>0</v>
      </c>
      <c r="CT30" s="11">
        <f t="shared" si="41"/>
        <v>0</v>
      </c>
      <c r="CU30" s="11">
        <f t="shared" si="41"/>
        <v>0</v>
      </c>
      <c r="CV30" s="11">
        <f t="shared" si="41"/>
        <v>0</v>
      </c>
      <c r="CW30" s="11">
        <f t="shared" si="41"/>
        <v>0</v>
      </c>
      <c r="CX30" s="11">
        <f t="shared" si="41"/>
        <v>0</v>
      </c>
      <c r="CY30" s="50"/>
      <c r="CZ30" s="2"/>
      <c r="DA30" s="2"/>
      <c r="DB30" s="58">
        <f t="shared" si="2"/>
        <v>1.1595691723383781</v>
      </c>
      <c r="DC30" s="41">
        <f t="shared" si="3"/>
        <v>0</v>
      </c>
      <c r="DD30" s="2"/>
      <c r="DE30" s="2"/>
      <c r="DF30" s="2"/>
      <c r="DG30" s="2"/>
      <c r="DH30" s="2"/>
      <c r="DI30" s="2"/>
      <c r="DJ30" s="2"/>
      <c r="DK30" s="2"/>
    </row>
    <row r="31" spans="1:115" ht="8.4" customHeight="1" x14ac:dyDescent="0.25">
      <c r="A31" s="638">
        <v>-1</v>
      </c>
      <c r="B31" s="632" t="s">
        <v>35</v>
      </c>
      <c r="C31" s="608" t="s">
        <v>6</v>
      </c>
      <c r="D31" s="610">
        <v>1</v>
      </c>
      <c r="E31" s="559">
        <f t="shared" ref="E31" si="42">F31*100/SUM($K$29:$K$38)</f>
        <v>0</v>
      </c>
      <c r="F31" s="557">
        <f t="shared" ref="F31" si="43">K31*SUM(M31:AG31)/100</f>
        <v>0</v>
      </c>
      <c r="G31" s="559"/>
      <c r="H31" s="557">
        <f t="shared" ref="H31" si="44">SUM(L32:AJ32)</f>
        <v>0</v>
      </c>
      <c r="I31" s="612">
        <f>'BOQ แก้ไขสัญญา'!AF22</f>
        <v>2092762</v>
      </c>
      <c r="J31" s="593">
        <f t="shared" si="0"/>
        <v>2092762</v>
      </c>
      <c r="K31" s="595">
        <f>J31*100/GTotal</f>
        <v>0.87748606645862526</v>
      </c>
      <c r="L31" s="101"/>
      <c r="M31" s="354"/>
      <c r="N31" s="355"/>
      <c r="O31" s="355"/>
      <c r="P31" s="355"/>
      <c r="Q31" s="355"/>
      <c r="R31" s="356"/>
      <c r="S31" s="354"/>
      <c r="T31" s="355"/>
      <c r="U31" s="355"/>
      <c r="V31" s="355"/>
      <c r="W31" s="355"/>
      <c r="X31" s="354"/>
      <c r="Y31" s="355"/>
      <c r="Z31" s="355"/>
      <c r="AA31" s="355"/>
      <c r="AB31" s="355"/>
      <c r="AC31" s="355"/>
      <c r="AD31" s="356"/>
      <c r="AE31" s="354"/>
      <c r="AF31" s="355"/>
      <c r="AG31" s="358"/>
      <c r="AH31" s="358">
        <v>0</v>
      </c>
      <c r="AI31" s="358">
        <v>5</v>
      </c>
      <c r="AJ31" s="357">
        <v>10</v>
      </c>
      <c r="AK31" s="358">
        <v>15</v>
      </c>
      <c r="AL31" s="358">
        <v>15</v>
      </c>
      <c r="AM31" s="358">
        <v>15</v>
      </c>
      <c r="AN31" s="358">
        <v>15</v>
      </c>
      <c r="AO31" s="358">
        <v>10</v>
      </c>
      <c r="AP31" s="359">
        <v>10</v>
      </c>
      <c r="AQ31" s="357">
        <v>5</v>
      </c>
      <c r="AR31" s="358"/>
      <c r="AS31" s="357"/>
      <c r="AT31" s="357"/>
      <c r="AU31" s="357"/>
      <c r="AV31" s="357"/>
      <c r="AW31" s="367"/>
      <c r="AX31" s="85"/>
      <c r="AY31" s="5"/>
      <c r="AZ31" s="331"/>
      <c r="BE31" s="2"/>
      <c r="BF31" s="2"/>
      <c r="BG31" s="2"/>
      <c r="BH31" s="2"/>
      <c r="BI31" s="2"/>
      <c r="BJ31" s="2"/>
      <c r="BK31" s="2"/>
      <c r="BL31" s="2">
        <v>1</v>
      </c>
      <c r="BM31" s="54"/>
      <c r="BN31" s="11">
        <f t="shared" ref="BN31:CX31" si="45">M31*$K31/100</f>
        <v>0</v>
      </c>
      <c r="BO31" s="11">
        <f t="shared" si="45"/>
        <v>0</v>
      </c>
      <c r="BP31" s="11">
        <f t="shared" si="45"/>
        <v>0</v>
      </c>
      <c r="BQ31" s="11">
        <f t="shared" si="45"/>
        <v>0</v>
      </c>
      <c r="BR31" s="11">
        <f t="shared" si="45"/>
        <v>0</v>
      </c>
      <c r="BS31" s="236">
        <f t="shared" si="45"/>
        <v>0</v>
      </c>
      <c r="BT31" s="11">
        <f t="shared" si="45"/>
        <v>0</v>
      </c>
      <c r="BU31" s="11">
        <f t="shared" si="45"/>
        <v>0</v>
      </c>
      <c r="BV31" s="11">
        <f t="shared" si="45"/>
        <v>0</v>
      </c>
      <c r="BW31" s="11">
        <f t="shared" si="45"/>
        <v>0</v>
      </c>
      <c r="BX31" s="11">
        <f t="shared" si="45"/>
        <v>0</v>
      </c>
      <c r="BY31" s="11">
        <f t="shared" si="45"/>
        <v>0</v>
      </c>
      <c r="BZ31" s="11">
        <f t="shared" si="45"/>
        <v>0</v>
      </c>
      <c r="CA31" s="11">
        <f t="shared" si="45"/>
        <v>0</v>
      </c>
      <c r="CB31" s="11">
        <f t="shared" si="45"/>
        <v>0</v>
      </c>
      <c r="CC31" s="11">
        <f t="shared" si="45"/>
        <v>0</v>
      </c>
      <c r="CD31" s="11">
        <f t="shared" si="45"/>
        <v>0</v>
      </c>
      <c r="CE31" s="236">
        <f t="shared" si="45"/>
        <v>0</v>
      </c>
      <c r="CF31" s="11">
        <f t="shared" si="45"/>
        <v>0</v>
      </c>
      <c r="CG31" s="11">
        <f t="shared" si="45"/>
        <v>0</v>
      </c>
      <c r="CH31" s="11">
        <f t="shared" si="45"/>
        <v>0</v>
      </c>
      <c r="CI31" s="11">
        <f t="shared" si="45"/>
        <v>0</v>
      </c>
      <c r="CJ31" s="11">
        <f t="shared" si="45"/>
        <v>4.3874303322931268E-2</v>
      </c>
      <c r="CK31" s="11">
        <f t="shared" si="45"/>
        <v>8.7748606645862537E-2</v>
      </c>
      <c r="CL31" s="11">
        <f t="shared" si="45"/>
        <v>0.13162290996879381</v>
      </c>
      <c r="CM31" s="11">
        <f t="shared" si="45"/>
        <v>0.13162290996879381</v>
      </c>
      <c r="CN31" s="11">
        <f t="shared" si="45"/>
        <v>0.13162290996879381</v>
      </c>
      <c r="CO31" s="11">
        <f t="shared" si="45"/>
        <v>0.13162290996879381</v>
      </c>
      <c r="CP31" s="11">
        <f t="shared" si="45"/>
        <v>8.7748606645862537E-2</v>
      </c>
      <c r="CQ31" s="11">
        <f t="shared" si="45"/>
        <v>8.7748606645862537E-2</v>
      </c>
      <c r="CR31" s="11">
        <f t="shared" si="45"/>
        <v>4.3874303322931268E-2</v>
      </c>
      <c r="CS31" s="11">
        <f t="shared" si="45"/>
        <v>0</v>
      </c>
      <c r="CT31" s="11">
        <f t="shared" si="45"/>
        <v>0</v>
      </c>
      <c r="CU31" s="11">
        <f t="shared" si="45"/>
        <v>0</v>
      </c>
      <c r="CV31" s="11">
        <f t="shared" si="45"/>
        <v>0</v>
      </c>
      <c r="CW31" s="11">
        <f t="shared" si="45"/>
        <v>0</v>
      </c>
      <c r="CX31" s="11">
        <f t="shared" si="45"/>
        <v>0</v>
      </c>
      <c r="CY31" s="50"/>
      <c r="CZ31" s="2"/>
      <c r="DA31" s="2"/>
      <c r="DB31" s="58">
        <f t="shared" si="2"/>
        <v>0.87748606645862537</v>
      </c>
      <c r="DC31" s="41">
        <f t="shared" si="3"/>
        <v>0.87748606645862526</v>
      </c>
      <c r="DD31" s="2"/>
      <c r="DE31" s="2"/>
      <c r="DF31" s="2"/>
      <c r="DG31" s="2"/>
      <c r="DH31" s="2"/>
      <c r="DI31" s="2"/>
      <c r="DJ31" s="2"/>
      <c r="DK31" s="2"/>
    </row>
    <row r="32" spans="1:115" ht="8.4" customHeight="1" x14ac:dyDescent="0.25">
      <c r="A32" s="639"/>
      <c r="B32" s="633"/>
      <c r="C32" s="609"/>
      <c r="D32" s="611"/>
      <c r="E32" s="560"/>
      <c r="F32" s="558"/>
      <c r="G32" s="560"/>
      <c r="H32" s="558"/>
      <c r="I32" s="637"/>
      <c r="J32" s="594"/>
      <c r="K32" s="596"/>
      <c r="L32" s="101"/>
      <c r="M32" s="360"/>
      <c r="N32" s="361"/>
      <c r="O32" s="361"/>
      <c r="P32" s="361"/>
      <c r="Q32" s="361"/>
      <c r="R32" s="362"/>
      <c r="S32" s="360"/>
      <c r="T32" s="361"/>
      <c r="U32" s="361"/>
      <c r="V32" s="361"/>
      <c r="W32" s="361"/>
      <c r="X32" s="360"/>
      <c r="Y32" s="361"/>
      <c r="Z32" s="361"/>
      <c r="AA32" s="361"/>
      <c r="AB32" s="361"/>
      <c r="AC32" s="361"/>
      <c r="AD32" s="362"/>
      <c r="AE32" s="360"/>
      <c r="AF32" s="361"/>
      <c r="AG32" s="363"/>
      <c r="AH32" s="363"/>
      <c r="AI32" s="363"/>
      <c r="AJ32" s="365"/>
      <c r="AK32" s="363"/>
      <c r="AL32" s="363"/>
      <c r="AM32" s="363"/>
      <c r="AN32" s="363"/>
      <c r="AO32" s="363"/>
      <c r="AP32" s="364"/>
      <c r="AQ32" s="365"/>
      <c r="AR32" s="363"/>
      <c r="AS32" s="365"/>
      <c r="AT32" s="365"/>
      <c r="AU32" s="365"/>
      <c r="AV32" s="365"/>
      <c r="AW32" s="366"/>
      <c r="AX32" s="85"/>
      <c r="AY32" s="5"/>
      <c r="AZ32" s="331"/>
      <c r="BE32" s="2"/>
      <c r="BF32" s="2"/>
      <c r="BG32" s="2"/>
      <c r="BH32" s="2"/>
      <c r="BI32" s="2"/>
      <c r="BJ32" s="2"/>
      <c r="BK32" s="2"/>
      <c r="BL32" s="2">
        <v>0</v>
      </c>
      <c r="BM32" s="53"/>
      <c r="BN32" s="11">
        <f t="shared" ref="BN32:CX32" si="46">M32*$K31/100</f>
        <v>0</v>
      </c>
      <c r="BO32" s="11">
        <f t="shared" si="46"/>
        <v>0</v>
      </c>
      <c r="BP32" s="11">
        <f t="shared" si="46"/>
        <v>0</v>
      </c>
      <c r="BQ32" s="11">
        <f t="shared" si="46"/>
        <v>0</v>
      </c>
      <c r="BR32" s="11">
        <f t="shared" si="46"/>
        <v>0</v>
      </c>
      <c r="BS32" s="236">
        <f t="shared" si="46"/>
        <v>0</v>
      </c>
      <c r="BT32" s="11">
        <f t="shared" si="46"/>
        <v>0</v>
      </c>
      <c r="BU32" s="11">
        <f t="shared" si="46"/>
        <v>0</v>
      </c>
      <c r="BV32" s="11">
        <f t="shared" si="46"/>
        <v>0</v>
      </c>
      <c r="BW32" s="11">
        <f t="shared" si="46"/>
        <v>0</v>
      </c>
      <c r="BX32" s="11">
        <f t="shared" si="46"/>
        <v>0</v>
      </c>
      <c r="BY32" s="11">
        <f t="shared" si="46"/>
        <v>0</v>
      </c>
      <c r="BZ32" s="11">
        <f t="shared" si="46"/>
        <v>0</v>
      </c>
      <c r="CA32" s="11">
        <f t="shared" si="46"/>
        <v>0</v>
      </c>
      <c r="CB32" s="11">
        <f t="shared" si="46"/>
        <v>0</v>
      </c>
      <c r="CC32" s="11">
        <f t="shared" si="46"/>
        <v>0</v>
      </c>
      <c r="CD32" s="11">
        <f t="shared" si="46"/>
        <v>0</v>
      </c>
      <c r="CE32" s="236">
        <f t="shared" si="46"/>
        <v>0</v>
      </c>
      <c r="CF32" s="11">
        <f t="shared" si="46"/>
        <v>0</v>
      </c>
      <c r="CG32" s="11">
        <f t="shared" si="46"/>
        <v>0</v>
      </c>
      <c r="CH32" s="11">
        <f t="shared" si="46"/>
        <v>0</v>
      </c>
      <c r="CI32" s="11">
        <f t="shared" si="46"/>
        <v>0</v>
      </c>
      <c r="CJ32" s="11">
        <f t="shared" si="46"/>
        <v>0</v>
      </c>
      <c r="CK32" s="11">
        <f t="shared" si="46"/>
        <v>0</v>
      </c>
      <c r="CL32" s="11">
        <f t="shared" si="46"/>
        <v>0</v>
      </c>
      <c r="CM32" s="11">
        <f t="shared" si="46"/>
        <v>0</v>
      </c>
      <c r="CN32" s="11">
        <f t="shared" si="46"/>
        <v>0</v>
      </c>
      <c r="CO32" s="11">
        <f t="shared" si="46"/>
        <v>0</v>
      </c>
      <c r="CP32" s="11">
        <f t="shared" si="46"/>
        <v>0</v>
      </c>
      <c r="CQ32" s="11">
        <f t="shared" si="46"/>
        <v>0</v>
      </c>
      <c r="CR32" s="11">
        <f t="shared" si="46"/>
        <v>0</v>
      </c>
      <c r="CS32" s="11">
        <f t="shared" si="46"/>
        <v>0</v>
      </c>
      <c r="CT32" s="11">
        <f t="shared" si="46"/>
        <v>0</v>
      </c>
      <c r="CU32" s="11">
        <f t="shared" si="46"/>
        <v>0</v>
      </c>
      <c r="CV32" s="11">
        <f t="shared" si="46"/>
        <v>0</v>
      </c>
      <c r="CW32" s="11">
        <f t="shared" si="46"/>
        <v>0</v>
      </c>
      <c r="CX32" s="11">
        <f t="shared" si="46"/>
        <v>0</v>
      </c>
      <c r="CY32" s="50"/>
      <c r="CZ32" s="2"/>
      <c r="DA32" s="2"/>
      <c r="DB32" s="58">
        <f t="shared" si="2"/>
        <v>0</v>
      </c>
      <c r="DC32" s="41">
        <f t="shared" si="3"/>
        <v>0</v>
      </c>
      <c r="DD32" s="2"/>
      <c r="DE32" s="2"/>
      <c r="DF32" s="2"/>
      <c r="DG32" s="2"/>
      <c r="DH32" s="2"/>
      <c r="DI32" s="2"/>
      <c r="DJ32" s="2"/>
      <c r="DK32" s="2"/>
    </row>
    <row r="33" spans="1:115" ht="8.4" customHeight="1" x14ac:dyDescent="0.25">
      <c r="A33" s="638">
        <v>-2</v>
      </c>
      <c r="B33" s="632" t="s">
        <v>36</v>
      </c>
      <c r="C33" s="608" t="s">
        <v>6</v>
      </c>
      <c r="D33" s="610">
        <v>1</v>
      </c>
      <c r="E33" s="559">
        <f t="shared" ref="E33" si="47">F33*100/SUM($K$29:$K$38)</f>
        <v>0</v>
      </c>
      <c r="F33" s="557">
        <f t="shared" ref="F33" si="48">K33*SUM(M33:AG33)/100</f>
        <v>0</v>
      </c>
      <c r="G33" s="559"/>
      <c r="H33" s="557">
        <f t="shared" ref="H33" si="49">SUM(L34:AJ34)</f>
        <v>0</v>
      </c>
      <c r="I33" s="612">
        <f>'BOQ แก้ไขสัญญา'!AF23</f>
        <v>883548</v>
      </c>
      <c r="J33" s="593">
        <f t="shared" si="0"/>
        <v>883548</v>
      </c>
      <c r="K33" s="595">
        <f>J33*100/GTotal</f>
        <v>0.37046785972192992</v>
      </c>
      <c r="L33" s="101"/>
      <c r="M33" s="354"/>
      <c r="N33" s="355"/>
      <c r="O33" s="355"/>
      <c r="P33" s="355"/>
      <c r="Q33" s="355"/>
      <c r="R33" s="356"/>
      <c r="S33" s="354"/>
      <c r="T33" s="355"/>
      <c r="U33" s="355"/>
      <c r="V33" s="355"/>
      <c r="W33" s="355"/>
      <c r="X33" s="354"/>
      <c r="Y33" s="355"/>
      <c r="Z33" s="355"/>
      <c r="AA33" s="355"/>
      <c r="AB33" s="355"/>
      <c r="AC33" s="355"/>
      <c r="AD33" s="356"/>
      <c r="AE33" s="354"/>
      <c r="AF33" s="355"/>
      <c r="AG33" s="358"/>
      <c r="AH33" s="358"/>
      <c r="AI33" s="358">
        <v>0</v>
      </c>
      <c r="AJ33" s="357">
        <v>5</v>
      </c>
      <c r="AK33" s="358">
        <v>5</v>
      </c>
      <c r="AL33" s="358">
        <v>15</v>
      </c>
      <c r="AM33" s="358">
        <v>15</v>
      </c>
      <c r="AN33" s="358">
        <v>15</v>
      </c>
      <c r="AO33" s="358">
        <v>15</v>
      </c>
      <c r="AP33" s="359">
        <v>15</v>
      </c>
      <c r="AQ33" s="357">
        <v>15</v>
      </c>
      <c r="AR33" s="358"/>
      <c r="AS33" s="357"/>
      <c r="AT33" s="357"/>
      <c r="AU33" s="357"/>
      <c r="AV33" s="357"/>
      <c r="AW33" s="367"/>
      <c r="AX33" s="85"/>
      <c r="AY33" s="5"/>
      <c r="AZ33" s="331"/>
      <c r="BE33" s="2"/>
      <c r="BF33" s="2"/>
      <c r="BG33" s="2"/>
      <c r="BH33" s="2"/>
      <c r="BI33" s="2"/>
      <c r="BJ33" s="2"/>
      <c r="BK33" s="2"/>
      <c r="BL33" s="2">
        <v>1</v>
      </c>
      <c r="BM33" s="54"/>
      <c r="BN33" s="11">
        <f t="shared" ref="BN33:CX33" si="50">M33*$K33/100</f>
        <v>0</v>
      </c>
      <c r="BO33" s="11">
        <f t="shared" si="50"/>
        <v>0</v>
      </c>
      <c r="BP33" s="11">
        <f t="shared" si="50"/>
        <v>0</v>
      </c>
      <c r="BQ33" s="11">
        <f t="shared" si="50"/>
        <v>0</v>
      </c>
      <c r="BR33" s="11">
        <f t="shared" si="50"/>
        <v>0</v>
      </c>
      <c r="BS33" s="236">
        <f t="shared" si="50"/>
        <v>0</v>
      </c>
      <c r="BT33" s="11">
        <f t="shared" si="50"/>
        <v>0</v>
      </c>
      <c r="BU33" s="11">
        <f t="shared" si="50"/>
        <v>0</v>
      </c>
      <c r="BV33" s="11">
        <f t="shared" si="50"/>
        <v>0</v>
      </c>
      <c r="BW33" s="11">
        <f t="shared" si="50"/>
        <v>0</v>
      </c>
      <c r="BX33" s="11">
        <f t="shared" si="50"/>
        <v>0</v>
      </c>
      <c r="BY33" s="11">
        <f t="shared" si="50"/>
        <v>0</v>
      </c>
      <c r="BZ33" s="11">
        <f t="shared" si="50"/>
        <v>0</v>
      </c>
      <c r="CA33" s="11">
        <f t="shared" si="50"/>
        <v>0</v>
      </c>
      <c r="CB33" s="11">
        <f t="shared" si="50"/>
        <v>0</v>
      </c>
      <c r="CC33" s="11">
        <f t="shared" si="50"/>
        <v>0</v>
      </c>
      <c r="CD33" s="11">
        <f t="shared" si="50"/>
        <v>0</v>
      </c>
      <c r="CE33" s="236">
        <f t="shared" si="50"/>
        <v>0</v>
      </c>
      <c r="CF33" s="11">
        <f t="shared" si="50"/>
        <v>0</v>
      </c>
      <c r="CG33" s="11">
        <f t="shared" si="50"/>
        <v>0</v>
      </c>
      <c r="CH33" s="11">
        <f t="shared" si="50"/>
        <v>0</v>
      </c>
      <c r="CI33" s="11">
        <f t="shared" si="50"/>
        <v>0</v>
      </c>
      <c r="CJ33" s="11">
        <f t="shared" si="50"/>
        <v>0</v>
      </c>
      <c r="CK33" s="11">
        <f t="shared" si="50"/>
        <v>1.8523392986096496E-2</v>
      </c>
      <c r="CL33" s="11">
        <f t="shared" si="50"/>
        <v>1.8523392986096496E-2</v>
      </c>
      <c r="CM33" s="11">
        <f t="shared" si="50"/>
        <v>5.5570178958289487E-2</v>
      </c>
      <c r="CN33" s="11">
        <f t="shared" si="50"/>
        <v>5.5570178958289487E-2</v>
      </c>
      <c r="CO33" s="11">
        <f t="shared" si="50"/>
        <v>5.5570178958289487E-2</v>
      </c>
      <c r="CP33" s="11">
        <f t="shared" si="50"/>
        <v>5.5570178958289487E-2</v>
      </c>
      <c r="CQ33" s="11">
        <f t="shared" si="50"/>
        <v>5.5570178958289487E-2</v>
      </c>
      <c r="CR33" s="11">
        <f t="shared" si="50"/>
        <v>5.5570178958289487E-2</v>
      </c>
      <c r="CS33" s="11">
        <f t="shared" si="50"/>
        <v>0</v>
      </c>
      <c r="CT33" s="11">
        <f t="shared" si="50"/>
        <v>0</v>
      </c>
      <c r="CU33" s="11">
        <f t="shared" si="50"/>
        <v>0</v>
      </c>
      <c r="CV33" s="11">
        <f t="shared" si="50"/>
        <v>0</v>
      </c>
      <c r="CW33" s="11">
        <f t="shared" si="50"/>
        <v>0</v>
      </c>
      <c r="CX33" s="11">
        <f t="shared" si="50"/>
        <v>0</v>
      </c>
      <c r="CY33" s="50"/>
      <c r="CZ33" s="2"/>
      <c r="DA33" s="2"/>
      <c r="DB33" s="58">
        <f t="shared" si="2"/>
        <v>0.37046785972192986</v>
      </c>
      <c r="DC33" s="41">
        <f t="shared" si="3"/>
        <v>0.37046785972192992</v>
      </c>
      <c r="DD33" s="2"/>
      <c r="DE33" s="2"/>
      <c r="DF33" s="2"/>
      <c r="DG33" s="2"/>
      <c r="DH33" s="2"/>
      <c r="DI33" s="2"/>
      <c r="DJ33" s="2"/>
      <c r="DK33" s="2"/>
    </row>
    <row r="34" spans="1:115" ht="8.4" customHeight="1" x14ac:dyDescent="0.25">
      <c r="A34" s="639"/>
      <c r="B34" s="633"/>
      <c r="C34" s="609"/>
      <c r="D34" s="611"/>
      <c r="E34" s="560"/>
      <c r="F34" s="558"/>
      <c r="G34" s="560"/>
      <c r="H34" s="558"/>
      <c r="I34" s="637"/>
      <c r="J34" s="594"/>
      <c r="K34" s="596"/>
      <c r="L34" s="101"/>
      <c r="M34" s="360"/>
      <c r="N34" s="361"/>
      <c r="O34" s="361"/>
      <c r="P34" s="361"/>
      <c r="Q34" s="361"/>
      <c r="R34" s="362"/>
      <c r="S34" s="360"/>
      <c r="T34" s="361"/>
      <c r="U34" s="361"/>
      <c r="V34" s="361"/>
      <c r="W34" s="361"/>
      <c r="X34" s="360"/>
      <c r="Y34" s="361"/>
      <c r="Z34" s="361"/>
      <c r="AA34" s="361"/>
      <c r="AB34" s="361"/>
      <c r="AC34" s="361"/>
      <c r="AD34" s="362"/>
      <c r="AE34" s="360"/>
      <c r="AF34" s="361"/>
      <c r="AG34" s="363"/>
      <c r="AH34" s="363"/>
      <c r="AI34" s="363"/>
      <c r="AJ34" s="365"/>
      <c r="AK34" s="363"/>
      <c r="AL34" s="363"/>
      <c r="AM34" s="363"/>
      <c r="AN34" s="363"/>
      <c r="AO34" s="363"/>
      <c r="AP34" s="364"/>
      <c r="AQ34" s="365"/>
      <c r="AR34" s="363"/>
      <c r="AS34" s="365"/>
      <c r="AT34" s="365"/>
      <c r="AU34" s="365"/>
      <c r="AV34" s="365"/>
      <c r="AW34" s="366"/>
      <c r="AX34" s="85"/>
      <c r="AY34" s="5"/>
      <c r="AZ34" s="331"/>
      <c r="BE34" s="2"/>
      <c r="BF34" s="2"/>
      <c r="BG34" s="2"/>
      <c r="BH34" s="2"/>
      <c r="BI34" s="2"/>
      <c r="BJ34" s="2"/>
      <c r="BK34" s="2"/>
      <c r="BL34" s="2">
        <v>0</v>
      </c>
      <c r="BM34" s="53"/>
      <c r="BN34" s="11">
        <f t="shared" ref="BN34:CX34" si="51">M34*$K33/100</f>
        <v>0</v>
      </c>
      <c r="BO34" s="11">
        <f t="shared" si="51"/>
        <v>0</v>
      </c>
      <c r="BP34" s="11">
        <f t="shared" si="51"/>
        <v>0</v>
      </c>
      <c r="BQ34" s="11">
        <f t="shared" si="51"/>
        <v>0</v>
      </c>
      <c r="BR34" s="11">
        <f t="shared" si="51"/>
        <v>0</v>
      </c>
      <c r="BS34" s="236">
        <f t="shared" si="51"/>
        <v>0</v>
      </c>
      <c r="BT34" s="11">
        <f t="shared" si="51"/>
        <v>0</v>
      </c>
      <c r="BU34" s="11">
        <f t="shared" si="51"/>
        <v>0</v>
      </c>
      <c r="BV34" s="11">
        <f t="shared" si="51"/>
        <v>0</v>
      </c>
      <c r="BW34" s="11">
        <f t="shared" si="51"/>
        <v>0</v>
      </c>
      <c r="BX34" s="11">
        <f t="shared" si="51"/>
        <v>0</v>
      </c>
      <c r="BY34" s="11">
        <f t="shared" si="51"/>
        <v>0</v>
      </c>
      <c r="BZ34" s="11">
        <f t="shared" si="51"/>
        <v>0</v>
      </c>
      <c r="CA34" s="11">
        <f t="shared" si="51"/>
        <v>0</v>
      </c>
      <c r="CB34" s="11">
        <f t="shared" si="51"/>
        <v>0</v>
      </c>
      <c r="CC34" s="11">
        <f t="shared" si="51"/>
        <v>0</v>
      </c>
      <c r="CD34" s="11">
        <f t="shared" si="51"/>
        <v>0</v>
      </c>
      <c r="CE34" s="236">
        <f t="shared" si="51"/>
        <v>0</v>
      </c>
      <c r="CF34" s="11">
        <f t="shared" si="51"/>
        <v>0</v>
      </c>
      <c r="CG34" s="11">
        <f t="shared" si="51"/>
        <v>0</v>
      </c>
      <c r="CH34" s="11">
        <f t="shared" si="51"/>
        <v>0</v>
      </c>
      <c r="CI34" s="11">
        <f t="shared" si="51"/>
        <v>0</v>
      </c>
      <c r="CJ34" s="11">
        <f t="shared" si="51"/>
        <v>0</v>
      </c>
      <c r="CK34" s="11">
        <f t="shared" si="51"/>
        <v>0</v>
      </c>
      <c r="CL34" s="11">
        <f t="shared" si="51"/>
        <v>0</v>
      </c>
      <c r="CM34" s="11">
        <f t="shared" si="51"/>
        <v>0</v>
      </c>
      <c r="CN34" s="11">
        <f t="shared" si="51"/>
        <v>0</v>
      </c>
      <c r="CO34" s="11">
        <f t="shared" si="51"/>
        <v>0</v>
      </c>
      <c r="CP34" s="11">
        <f t="shared" si="51"/>
        <v>0</v>
      </c>
      <c r="CQ34" s="11">
        <f t="shared" si="51"/>
        <v>0</v>
      </c>
      <c r="CR34" s="11">
        <f t="shared" si="51"/>
        <v>0</v>
      </c>
      <c r="CS34" s="11">
        <f t="shared" si="51"/>
        <v>0</v>
      </c>
      <c r="CT34" s="11">
        <f t="shared" si="51"/>
        <v>0</v>
      </c>
      <c r="CU34" s="11">
        <f t="shared" si="51"/>
        <v>0</v>
      </c>
      <c r="CV34" s="11">
        <f t="shared" si="51"/>
        <v>0</v>
      </c>
      <c r="CW34" s="11">
        <f t="shared" si="51"/>
        <v>0</v>
      </c>
      <c r="CX34" s="11">
        <f t="shared" si="51"/>
        <v>0</v>
      </c>
      <c r="CY34" s="50"/>
      <c r="CZ34" s="2"/>
      <c r="DA34" s="2"/>
      <c r="DB34" s="58">
        <f t="shared" si="2"/>
        <v>0</v>
      </c>
      <c r="DC34" s="41">
        <f t="shared" si="3"/>
        <v>0</v>
      </c>
      <c r="DD34" s="2"/>
      <c r="DE34" s="2"/>
      <c r="DF34" s="2"/>
      <c r="DG34" s="2"/>
      <c r="DH34" s="2"/>
      <c r="DI34" s="2"/>
      <c r="DJ34" s="2"/>
      <c r="DK34" s="2"/>
    </row>
    <row r="35" spans="1:115" ht="8.4" customHeight="1" x14ac:dyDescent="0.25">
      <c r="A35" s="638">
        <v>-3</v>
      </c>
      <c r="B35" s="632" t="s">
        <v>37</v>
      </c>
      <c r="C35" s="608" t="s">
        <v>6</v>
      </c>
      <c r="D35" s="610">
        <v>1</v>
      </c>
      <c r="E35" s="559">
        <f t="shared" ref="E35" si="52">F35*100/SUM($K$29:$K$38)</f>
        <v>0</v>
      </c>
      <c r="F35" s="557">
        <f t="shared" ref="F35" si="53">K35*SUM(M35:AG35)/100</f>
        <v>0</v>
      </c>
      <c r="G35" s="559"/>
      <c r="H35" s="557">
        <f t="shared" ref="H35" si="54">SUM(L36:AJ36)</f>
        <v>0</v>
      </c>
      <c r="I35" s="612">
        <f>'BOQ แก้ไขสัญญา'!AF24</f>
        <v>1344618</v>
      </c>
      <c r="J35" s="593">
        <f t="shared" si="0"/>
        <v>1344618</v>
      </c>
      <c r="K35" s="595">
        <f>J35*100/GTotal</f>
        <v>0.56379251902961913</v>
      </c>
      <c r="L35" s="101"/>
      <c r="M35" s="354"/>
      <c r="N35" s="355"/>
      <c r="O35" s="355"/>
      <c r="P35" s="355"/>
      <c r="Q35" s="355"/>
      <c r="R35" s="356"/>
      <c r="S35" s="354"/>
      <c r="T35" s="355"/>
      <c r="U35" s="355"/>
      <c r="V35" s="355"/>
      <c r="W35" s="355"/>
      <c r="X35" s="354"/>
      <c r="Y35" s="355"/>
      <c r="Z35" s="355"/>
      <c r="AA35" s="355"/>
      <c r="AB35" s="355"/>
      <c r="AC35" s="355"/>
      <c r="AD35" s="356"/>
      <c r="AE35" s="354"/>
      <c r="AF35" s="355"/>
      <c r="AG35" s="358"/>
      <c r="AH35" s="358"/>
      <c r="AI35" s="358"/>
      <c r="AJ35" s="357">
        <v>0</v>
      </c>
      <c r="AK35" s="358">
        <v>10</v>
      </c>
      <c r="AL35" s="358">
        <v>10</v>
      </c>
      <c r="AM35" s="358">
        <v>20</v>
      </c>
      <c r="AN35" s="358">
        <v>20</v>
      </c>
      <c r="AO35" s="358">
        <v>20</v>
      </c>
      <c r="AP35" s="359">
        <v>20</v>
      </c>
      <c r="AQ35" s="357"/>
      <c r="AR35" s="358"/>
      <c r="AS35" s="357"/>
      <c r="AT35" s="357"/>
      <c r="AU35" s="357"/>
      <c r="AV35" s="357"/>
      <c r="AW35" s="367"/>
      <c r="AX35" s="85"/>
      <c r="AY35" s="5"/>
      <c r="AZ35" s="331"/>
      <c r="BE35" s="2"/>
      <c r="BF35" s="2"/>
      <c r="BG35" s="2"/>
      <c r="BH35" s="2"/>
      <c r="BI35" s="2"/>
      <c r="BJ35" s="2"/>
      <c r="BK35" s="2"/>
      <c r="BL35" s="2">
        <v>1</v>
      </c>
      <c r="BM35" s="54"/>
      <c r="BN35" s="11">
        <f t="shared" ref="BN35:CX35" si="55">M35*$K35/100</f>
        <v>0</v>
      </c>
      <c r="BO35" s="11">
        <f t="shared" si="55"/>
        <v>0</v>
      </c>
      <c r="BP35" s="11">
        <f t="shared" si="55"/>
        <v>0</v>
      </c>
      <c r="BQ35" s="11">
        <f t="shared" si="55"/>
        <v>0</v>
      </c>
      <c r="BR35" s="11">
        <f t="shared" si="55"/>
        <v>0</v>
      </c>
      <c r="BS35" s="236">
        <f t="shared" si="55"/>
        <v>0</v>
      </c>
      <c r="BT35" s="11">
        <f t="shared" si="55"/>
        <v>0</v>
      </c>
      <c r="BU35" s="11">
        <f t="shared" si="55"/>
        <v>0</v>
      </c>
      <c r="BV35" s="11">
        <f t="shared" si="55"/>
        <v>0</v>
      </c>
      <c r="BW35" s="11">
        <f t="shared" si="55"/>
        <v>0</v>
      </c>
      <c r="BX35" s="11">
        <f t="shared" si="55"/>
        <v>0</v>
      </c>
      <c r="BY35" s="11">
        <f t="shared" si="55"/>
        <v>0</v>
      </c>
      <c r="BZ35" s="11">
        <f t="shared" si="55"/>
        <v>0</v>
      </c>
      <c r="CA35" s="11">
        <f t="shared" si="55"/>
        <v>0</v>
      </c>
      <c r="CB35" s="11">
        <f t="shared" si="55"/>
        <v>0</v>
      </c>
      <c r="CC35" s="11">
        <f t="shared" si="55"/>
        <v>0</v>
      </c>
      <c r="CD35" s="11">
        <f t="shared" si="55"/>
        <v>0</v>
      </c>
      <c r="CE35" s="236">
        <f t="shared" si="55"/>
        <v>0</v>
      </c>
      <c r="CF35" s="11">
        <f t="shared" si="55"/>
        <v>0</v>
      </c>
      <c r="CG35" s="11">
        <f t="shared" si="55"/>
        <v>0</v>
      </c>
      <c r="CH35" s="11">
        <f t="shared" si="55"/>
        <v>0</v>
      </c>
      <c r="CI35" s="11">
        <f t="shared" si="55"/>
        <v>0</v>
      </c>
      <c r="CJ35" s="11">
        <f t="shared" si="55"/>
        <v>0</v>
      </c>
      <c r="CK35" s="11">
        <f t="shared" si="55"/>
        <v>0</v>
      </c>
      <c r="CL35" s="11">
        <f t="shared" si="55"/>
        <v>5.6379251902961912E-2</v>
      </c>
      <c r="CM35" s="11">
        <f t="shared" si="55"/>
        <v>5.6379251902961912E-2</v>
      </c>
      <c r="CN35" s="11">
        <f t="shared" si="55"/>
        <v>0.11275850380592382</v>
      </c>
      <c r="CO35" s="11">
        <f t="shared" si="55"/>
        <v>0.11275850380592382</v>
      </c>
      <c r="CP35" s="11">
        <f t="shared" si="55"/>
        <v>0.11275850380592382</v>
      </c>
      <c r="CQ35" s="11">
        <f t="shared" si="55"/>
        <v>0.11275850380592382</v>
      </c>
      <c r="CR35" s="11">
        <f t="shared" si="55"/>
        <v>0</v>
      </c>
      <c r="CS35" s="11">
        <f t="shared" si="55"/>
        <v>0</v>
      </c>
      <c r="CT35" s="11">
        <f t="shared" si="55"/>
        <v>0</v>
      </c>
      <c r="CU35" s="11">
        <f t="shared" si="55"/>
        <v>0</v>
      </c>
      <c r="CV35" s="11">
        <f t="shared" si="55"/>
        <v>0</v>
      </c>
      <c r="CW35" s="11">
        <f t="shared" si="55"/>
        <v>0</v>
      </c>
      <c r="CX35" s="11">
        <f t="shared" si="55"/>
        <v>0</v>
      </c>
      <c r="CY35" s="50"/>
      <c r="CZ35" s="2"/>
      <c r="DA35" s="2"/>
      <c r="DB35" s="58">
        <f t="shared" si="2"/>
        <v>0.56379251902961913</v>
      </c>
      <c r="DC35" s="41">
        <f t="shared" si="3"/>
        <v>0.56379251902961913</v>
      </c>
      <c r="DD35" s="2"/>
      <c r="DE35" s="2"/>
      <c r="DF35" s="2"/>
      <c r="DG35" s="2"/>
      <c r="DH35" s="2"/>
      <c r="DI35" s="2"/>
      <c r="DJ35" s="2"/>
      <c r="DK35" s="2"/>
    </row>
    <row r="36" spans="1:115" ht="8.4" customHeight="1" x14ac:dyDescent="0.25">
      <c r="A36" s="639"/>
      <c r="B36" s="633"/>
      <c r="C36" s="609"/>
      <c r="D36" s="636"/>
      <c r="E36" s="560"/>
      <c r="F36" s="558"/>
      <c r="G36" s="560"/>
      <c r="H36" s="558"/>
      <c r="I36" s="637"/>
      <c r="J36" s="594"/>
      <c r="K36" s="596"/>
      <c r="L36" s="101"/>
      <c r="M36" s="368"/>
      <c r="N36" s="369"/>
      <c r="O36" s="369"/>
      <c r="P36" s="369"/>
      <c r="Q36" s="369"/>
      <c r="R36" s="370"/>
      <c r="S36" s="368"/>
      <c r="T36" s="369"/>
      <c r="U36" s="369"/>
      <c r="V36" s="369"/>
      <c r="W36" s="369"/>
      <c r="X36" s="368"/>
      <c r="Y36" s="369"/>
      <c r="Z36" s="369"/>
      <c r="AA36" s="369"/>
      <c r="AB36" s="369"/>
      <c r="AC36" s="369"/>
      <c r="AD36" s="370"/>
      <c r="AE36" s="368"/>
      <c r="AF36" s="369"/>
      <c r="AG36" s="371"/>
      <c r="AH36" s="371"/>
      <c r="AI36" s="371"/>
      <c r="AJ36" s="372"/>
      <c r="AK36" s="371"/>
      <c r="AL36" s="371"/>
      <c r="AM36" s="371"/>
      <c r="AN36" s="371"/>
      <c r="AO36" s="371"/>
      <c r="AP36" s="373"/>
      <c r="AQ36" s="372"/>
      <c r="AR36" s="371"/>
      <c r="AS36" s="372"/>
      <c r="AT36" s="372"/>
      <c r="AU36" s="372"/>
      <c r="AV36" s="372"/>
      <c r="AW36" s="374"/>
      <c r="AX36" s="85"/>
      <c r="AY36" s="5"/>
      <c r="AZ36" s="331"/>
      <c r="BE36" s="2"/>
      <c r="BF36" s="2"/>
      <c r="BG36" s="2"/>
      <c r="BH36" s="2"/>
      <c r="BI36" s="2"/>
      <c r="BJ36" s="2"/>
      <c r="BK36" s="2"/>
      <c r="BL36" s="2">
        <v>0</v>
      </c>
      <c r="BM36" s="53"/>
      <c r="BN36" s="11">
        <f t="shared" ref="BN36:CX36" si="56">M36*$K35/100</f>
        <v>0</v>
      </c>
      <c r="BO36" s="11">
        <f t="shared" si="56"/>
        <v>0</v>
      </c>
      <c r="BP36" s="11">
        <f t="shared" si="56"/>
        <v>0</v>
      </c>
      <c r="BQ36" s="11">
        <f t="shared" si="56"/>
        <v>0</v>
      </c>
      <c r="BR36" s="11">
        <f t="shared" si="56"/>
        <v>0</v>
      </c>
      <c r="BS36" s="236">
        <f t="shared" si="56"/>
        <v>0</v>
      </c>
      <c r="BT36" s="11">
        <f t="shared" si="56"/>
        <v>0</v>
      </c>
      <c r="BU36" s="11">
        <f t="shared" si="56"/>
        <v>0</v>
      </c>
      <c r="BV36" s="11">
        <f t="shared" si="56"/>
        <v>0</v>
      </c>
      <c r="BW36" s="11">
        <f t="shared" si="56"/>
        <v>0</v>
      </c>
      <c r="BX36" s="11">
        <f t="shared" si="56"/>
        <v>0</v>
      </c>
      <c r="BY36" s="11">
        <f t="shared" si="56"/>
        <v>0</v>
      </c>
      <c r="BZ36" s="11">
        <f t="shared" si="56"/>
        <v>0</v>
      </c>
      <c r="CA36" s="11">
        <f t="shared" si="56"/>
        <v>0</v>
      </c>
      <c r="CB36" s="11">
        <f t="shared" si="56"/>
        <v>0</v>
      </c>
      <c r="CC36" s="11">
        <f t="shared" si="56"/>
        <v>0</v>
      </c>
      <c r="CD36" s="11">
        <f t="shared" si="56"/>
        <v>0</v>
      </c>
      <c r="CE36" s="236">
        <f t="shared" si="56"/>
        <v>0</v>
      </c>
      <c r="CF36" s="11">
        <f t="shared" si="56"/>
        <v>0</v>
      </c>
      <c r="CG36" s="11">
        <f t="shared" si="56"/>
        <v>0</v>
      </c>
      <c r="CH36" s="11">
        <f t="shared" si="56"/>
        <v>0</v>
      </c>
      <c r="CI36" s="11">
        <f t="shared" si="56"/>
        <v>0</v>
      </c>
      <c r="CJ36" s="11">
        <f t="shared" si="56"/>
        <v>0</v>
      </c>
      <c r="CK36" s="11">
        <f t="shared" si="56"/>
        <v>0</v>
      </c>
      <c r="CL36" s="11">
        <f t="shared" si="56"/>
        <v>0</v>
      </c>
      <c r="CM36" s="11">
        <f t="shared" si="56"/>
        <v>0</v>
      </c>
      <c r="CN36" s="11">
        <f t="shared" si="56"/>
        <v>0</v>
      </c>
      <c r="CO36" s="11">
        <f t="shared" si="56"/>
        <v>0</v>
      </c>
      <c r="CP36" s="11">
        <f t="shared" si="56"/>
        <v>0</v>
      </c>
      <c r="CQ36" s="11">
        <f t="shared" si="56"/>
        <v>0</v>
      </c>
      <c r="CR36" s="11">
        <f t="shared" si="56"/>
        <v>0</v>
      </c>
      <c r="CS36" s="11">
        <f t="shared" si="56"/>
        <v>0</v>
      </c>
      <c r="CT36" s="11">
        <f t="shared" si="56"/>
        <v>0</v>
      </c>
      <c r="CU36" s="11">
        <f t="shared" si="56"/>
        <v>0</v>
      </c>
      <c r="CV36" s="11">
        <f t="shared" si="56"/>
        <v>0</v>
      </c>
      <c r="CW36" s="11">
        <f t="shared" si="56"/>
        <v>0</v>
      </c>
      <c r="CX36" s="11">
        <f t="shared" si="56"/>
        <v>0</v>
      </c>
      <c r="CY36" s="50"/>
      <c r="CZ36" s="2"/>
      <c r="DA36" s="2"/>
      <c r="DB36" s="58">
        <f t="shared" si="2"/>
        <v>0</v>
      </c>
      <c r="DC36" s="41">
        <f t="shared" si="3"/>
        <v>0</v>
      </c>
      <c r="DD36" s="2"/>
      <c r="DE36" s="2"/>
      <c r="DF36" s="2"/>
      <c r="DG36" s="2"/>
      <c r="DH36" s="2"/>
      <c r="DI36" s="2"/>
      <c r="DJ36" s="2"/>
      <c r="DK36" s="2"/>
    </row>
    <row r="37" spans="1:115" ht="8.4" customHeight="1" x14ac:dyDescent="0.25">
      <c r="A37" s="638">
        <v>-4</v>
      </c>
      <c r="B37" s="632" t="s">
        <v>39</v>
      </c>
      <c r="C37" s="608" t="s">
        <v>6</v>
      </c>
      <c r="D37" s="610">
        <v>1</v>
      </c>
      <c r="E37" s="559">
        <f t="shared" ref="E37" si="57">F37*100/SUM($K$29:$K$38)</f>
        <v>0</v>
      </c>
      <c r="F37" s="557">
        <f t="shared" ref="F37" si="58">K37*SUM(M37:AG37)/100</f>
        <v>0</v>
      </c>
      <c r="G37" s="559"/>
      <c r="H37" s="557">
        <f t="shared" ref="H37" si="59">SUM(L38:AJ38)</f>
        <v>0</v>
      </c>
      <c r="I37" s="612">
        <f>'BOQ แก้ไขสัญญา'!AF25</f>
        <v>1048108</v>
      </c>
      <c r="J37" s="593">
        <f t="shared" si="0"/>
        <v>1048108</v>
      </c>
      <c r="K37" s="595">
        <f>J37*100/GTotal</f>
        <v>0.43946715686915994</v>
      </c>
      <c r="L37" s="101"/>
      <c r="M37" s="354"/>
      <c r="N37" s="355"/>
      <c r="O37" s="355"/>
      <c r="P37" s="355"/>
      <c r="Q37" s="355"/>
      <c r="R37" s="356"/>
      <c r="S37" s="354"/>
      <c r="T37" s="355"/>
      <c r="U37" s="355"/>
      <c r="V37" s="355"/>
      <c r="W37" s="355"/>
      <c r="X37" s="354"/>
      <c r="Y37" s="355"/>
      <c r="Z37" s="355"/>
      <c r="AA37" s="355"/>
      <c r="AB37" s="355"/>
      <c r="AC37" s="355"/>
      <c r="AD37" s="356"/>
      <c r="AE37" s="354"/>
      <c r="AF37" s="355"/>
      <c r="AG37" s="358"/>
      <c r="AH37" s="358"/>
      <c r="AI37" s="358"/>
      <c r="AJ37" s="357"/>
      <c r="AK37" s="358"/>
      <c r="AL37" s="358">
        <v>10</v>
      </c>
      <c r="AM37" s="358">
        <v>10</v>
      </c>
      <c r="AN37" s="358">
        <v>20</v>
      </c>
      <c r="AO37" s="358">
        <v>20</v>
      </c>
      <c r="AP37" s="359">
        <v>20</v>
      </c>
      <c r="AQ37" s="357">
        <v>20</v>
      </c>
      <c r="AR37" s="358"/>
      <c r="AS37" s="357"/>
      <c r="AT37" s="357"/>
      <c r="AU37" s="357"/>
      <c r="AV37" s="357"/>
      <c r="AW37" s="367"/>
      <c r="AX37" s="85"/>
      <c r="AY37" s="5"/>
      <c r="AZ37" s="331"/>
      <c r="BE37" s="2"/>
      <c r="BF37" s="2"/>
      <c r="BG37" s="2"/>
      <c r="BH37" s="2"/>
      <c r="BI37" s="2"/>
      <c r="BJ37" s="2"/>
      <c r="BK37" s="2"/>
      <c r="BL37" s="2">
        <v>1</v>
      </c>
      <c r="BM37" s="54"/>
      <c r="BN37" s="11">
        <f t="shared" ref="BN37:CX37" si="60">M37*$K37/100</f>
        <v>0</v>
      </c>
      <c r="BO37" s="11">
        <f t="shared" si="60"/>
        <v>0</v>
      </c>
      <c r="BP37" s="11">
        <f t="shared" si="60"/>
        <v>0</v>
      </c>
      <c r="BQ37" s="11">
        <f t="shared" si="60"/>
        <v>0</v>
      </c>
      <c r="BR37" s="11">
        <f t="shared" si="60"/>
        <v>0</v>
      </c>
      <c r="BS37" s="236">
        <f t="shared" si="60"/>
        <v>0</v>
      </c>
      <c r="BT37" s="11">
        <f t="shared" si="60"/>
        <v>0</v>
      </c>
      <c r="BU37" s="11">
        <f t="shared" si="60"/>
        <v>0</v>
      </c>
      <c r="BV37" s="11">
        <f t="shared" si="60"/>
        <v>0</v>
      </c>
      <c r="BW37" s="11">
        <f t="shared" si="60"/>
        <v>0</v>
      </c>
      <c r="BX37" s="11">
        <f t="shared" si="60"/>
        <v>0</v>
      </c>
      <c r="BY37" s="11">
        <f t="shared" si="60"/>
        <v>0</v>
      </c>
      <c r="BZ37" s="11">
        <f t="shared" si="60"/>
        <v>0</v>
      </c>
      <c r="CA37" s="11">
        <f t="shared" si="60"/>
        <v>0</v>
      </c>
      <c r="CB37" s="11">
        <f t="shared" si="60"/>
        <v>0</v>
      </c>
      <c r="CC37" s="11">
        <f t="shared" si="60"/>
        <v>0</v>
      </c>
      <c r="CD37" s="11">
        <f t="shared" si="60"/>
        <v>0</v>
      </c>
      <c r="CE37" s="236">
        <f t="shared" si="60"/>
        <v>0</v>
      </c>
      <c r="CF37" s="11">
        <f t="shared" si="60"/>
        <v>0</v>
      </c>
      <c r="CG37" s="11">
        <f t="shared" si="60"/>
        <v>0</v>
      </c>
      <c r="CH37" s="11">
        <f t="shared" si="60"/>
        <v>0</v>
      </c>
      <c r="CI37" s="11">
        <f t="shared" si="60"/>
        <v>0</v>
      </c>
      <c r="CJ37" s="11">
        <f t="shared" si="60"/>
        <v>0</v>
      </c>
      <c r="CK37" s="11">
        <f t="shared" si="60"/>
        <v>0</v>
      </c>
      <c r="CL37" s="11">
        <f t="shared" si="60"/>
        <v>0</v>
      </c>
      <c r="CM37" s="11">
        <f t="shared" si="60"/>
        <v>4.3946715686915994E-2</v>
      </c>
      <c r="CN37" s="11">
        <f t="shared" si="60"/>
        <v>4.3946715686915994E-2</v>
      </c>
      <c r="CO37" s="11">
        <f t="shared" si="60"/>
        <v>8.7893431373831987E-2</v>
      </c>
      <c r="CP37" s="11">
        <f t="shared" si="60"/>
        <v>8.7893431373831987E-2</v>
      </c>
      <c r="CQ37" s="11">
        <f t="shared" si="60"/>
        <v>8.7893431373831987E-2</v>
      </c>
      <c r="CR37" s="11">
        <f t="shared" si="60"/>
        <v>8.7893431373831987E-2</v>
      </c>
      <c r="CS37" s="11">
        <f t="shared" si="60"/>
        <v>0</v>
      </c>
      <c r="CT37" s="11">
        <f t="shared" si="60"/>
        <v>0</v>
      </c>
      <c r="CU37" s="11">
        <f t="shared" si="60"/>
        <v>0</v>
      </c>
      <c r="CV37" s="11">
        <f t="shared" si="60"/>
        <v>0</v>
      </c>
      <c r="CW37" s="11">
        <f t="shared" si="60"/>
        <v>0</v>
      </c>
      <c r="CX37" s="11">
        <f t="shared" si="60"/>
        <v>0</v>
      </c>
      <c r="CY37" s="50"/>
      <c r="CZ37" s="2"/>
      <c r="DA37" s="2"/>
      <c r="DB37" s="58">
        <f t="shared" si="2"/>
        <v>0.43946715686915994</v>
      </c>
      <c r="DC37" s="41">
        <f t="shared" si="3"/>
        <v>0.43946715686915994</v>
      </c>
      <c r="DD37" s="2"/>
      <c r="DE37" s="2"/>
      <c r="DF37" s="2"/>
      <c r="DG37" s="2"/>
      <c r="DH37" s="2"/>
      <c r="DI37" s="2"/>
      <c r="DJ37" s="2"/>
      <c r="DK37" s="2"/>
    </row>
    <row r="38" spans="1:115" ht="8.4" customHeight="1" x14ac:dyDescent="0.25">
      <c r="A38" s="639"/>
      <c r="B38" s="633"/>
      <c r="C38" s="609"/>
      <c r="D38" s="611"/>
      <c r="E38" s="560"/>
      <c r="F38" s="558"/>
      <c r="G38" s="634"/>
      <c r="H38" s="558"/>
      <c r="I38" s="637"/>
      <c r="J38" s="594"/>
      <c r="K38" s="596"/>
      <c r="L38" s="101"/>
      <c r="M38" s="360"/>
      <c r="N38" s="361"/>
      <c r="O38" s="361"/>
      <c r="P38" s="361"/>
      <c r="Q38" s="361"/>
      <c r="R38" s="362"/>
      <c r="S38" s="360"/>
      <c r="T38" s="361"/>
      <c r="U38" s="361"/>
      <c r="V38" s="361"/>
      <c r="W38" s="361"/>
      <c r="X38" s="360"/>
      <c r="Y38" s="361"/>
      <c r="Z38" s="361"/>
      <c r="AA38" s="361"/>
      <c r="AB38" s="361"/>
      <c r="AC38" s="361"/>
      <c r="AD38" s="362"/>
      <c r="AE38" s="360"/>
      <c r="AF38" s="361"/>
      <c r="AG38" s="363"/>
      <c r="AH38" s="363"/>
      <c r="AI38" s="363"/>
      <c r="AJ38" s="365"/>
      <c r="AK38" s="363"/>
      <c r="AL38" s="363"/>
      <c r="AM38" s="363"/>
      <c r="AN38" s="363"/>
      <c r="AO38" s="363"/>
      <c r="AP38" s="364"/>
      <c r="AQ38" s="365"/>
      <c r="AR38" s="363"/>
      <c r="AS38" s="365"/>
      <c r="AT38" s="365"/>
      <c r="AU38" s="365"/>
      <c r="AV38" s="365"/>
      <c r="AW38" s="366"/>
      <c r="AX38" s="85"/>
      <c r="AY38" s="5"/>
      <c r="AZ38" s="331"/>
      <c r="BE38" s="2"/>
      <c r="BF38" s="2"/>
      <c r="BG38" s="2"/>
      <c r="BH38" s="2"/>
      <c r="BI38" s="2"/>
      <c r="BJ38" s="2"/>
      <c r="BK38" s="2"/>
      <c r="BL38" s="2">
        <v>0</v>
      </c>
      <c r="BM38" s="53"/>
      <c r="BN38" s="11">
        <f t="shared" ref="BN38:CX38" si="61">M38*$K37/100</f>
        <v>0</v>
      </c>
      <c r="BO38" s="11">
        <f t="shared" si="61"/>
        <v>0</v>
      </c>
      <c r="BP38" s="11">
        <f t="shared" si="61"/>
        <v>0</v>
      </c>
      <c r="BQ38" s="11">
        <f t="shared" si="61"/>
        <v>0</v>
      </c>
      <c r="BR38" s="11">
        <f t="shared" si="61"/>
        <v>0</v>
      </c>
      <c r="BS38" s="236">
        <f t="shared" si="61"/>
        <v>0</v>
      </c>
      <c r="BT38" s="11">
        <f t="shared" si="61"/>
        <v>0</v>
      </c>
      <c r="BU38" s="11">
        <f t="shared" si="61"/>
        <v>0</v>
      </c>
      <c r="BV38" s="11">
        <f t="shared" si="61"/>
        <v>0</v>
      </c>
      <c r="BW38" s="11">
        <f t="shared" si="61"/>
        <v>0</v>
      </c>
      <c r="BX38" s="11">
        <f t="shared" si="61"/>
        <v>0</v>
      </c>
      <c r="BY38" s="11">
        <f t="shared" si="61"/>
        <v>0</v>
      </c>
      <c r="BZ38" s="11">
        <f t="shared" si="61"/>
        <v>0</v>
      </c>
      <c r="CA38" s="11">
        <f t="shared" si="61"/>
        <v>0</v>
      </c>
      <c r="CB38" s="11">
        <f t="shared" si="61"/>
        <v>0</v>
      </c>
      <c r="CC38" s="11">
        <f t="shared" si="61"/>
        <v>0</v>
      </c>
      <c r="CD38" s="11">
        <f t="shared" si="61"/>
        <v>0</v>
      </c>
      <c r="CE38" s="236">
        <f t="shared" si="61"/>
        <v>0</v>
      </c>
      <c r="CF38" s="11">
        <f t="shared" si="61"/>
        <v>0</v>
      </c>
      <c r="CG38" s="11">
        <f t="shared" si="61"/>
        <v>0</v>
      </c>
      <c r="CH38" s="11">
        <f t="shared" si="61"/>
        <v>0</v>
      </c>
      <c r="CI38" s="11">
        <f t="shared" si="61"/>
        <v>0</v>
      </c>
      <c r="CJ38" s="11">
        <f t="shared" si="61"/>
        <v>0</v>
      </c>
      <c r="CK38" s="11">
        <f t="shared" si="61"/>
        <v>0</v>
      </c>
      <c r="CL38" s="11">
        <f t="shared" si="61"/>
        <v>0</v>
      </c>
      <c r="CM38" s="11">
        <f t="shared" si="61"/>
        <v>0</v>
      </c>
      <c r="CN38" s="11">
        <f t="shared" si="61"/>
        <v>0</v>
      </c>
      <c r="CO38" s="11">
        <f t="shared" si="61"/>
        <v>0</v>
      </c>
      <c r="CP38" s="11">
        <f t="shared" si="61"/>
        <v>0</v>
      </c>
      <c r="CQ38" s="11">
        <f t="shared" si="61"/>
        <v>0</v>
      </c>
      <c r="CR38" s="11">
        <f t="shared" si="61"/>
        <v>0</v>
      </c>
      <c r="CS38" s="11">
        <f t="shared" si="61"/>
        <v>0</v>
      </c>
      <c r="CT38" s="11">
        <f t="shared" si="61"/>
        <v>0</v>
      </c>
      <c r="CU38" s="11">
        <f t="shared" si="61"/>
        <v>0</v>
      </c>
      <c r="CV38" s="11">
        <f t="shared" si="61"/>
        <v>0</v>
      </c>
      <c r="CW38" s="11">
        <f t="shared" si="61"/>
        <v>0</v>
      </c>
      <c r="CX38" s="11">
        <f t="shared" si="61"/>
        <v>0</v>
      </c>
      <c r="CY38" s="50"/>
      <c r="CZ38" s="2"/>
      <c r="DA38" s="2"/>
      <c r="DB38" s="58">
        <f t="shared" si="2"/>
        <v>0</v>
      </c>
      <c r="DC38" s="41">
        <f t="shared" si="3"/>
        <v>0</v>
      </c>
      <c r="DD38" s="2"/>
      <c r="DE38" s="2"/>
      <c r="DF38" s="2"/>
      <c r="DG38" s="2"/>
      <c r="DH38" s="2"/>
      <c r="DI38" s="2"/>
      <c r="DJ38" s="2"/>
      <c r="DK38" s="2"/>
    </row>
    <row r="39" spans="1:115" ht="8.4" customHeight="1" x14ac:dyDescent="0.25">
      <c r="A39" s="604">
        <v>1.4</v>
      </c>
      <c r="B39" s="632" t="s">
        <v>118</v>
      </c>
      <c r="C39" s="608" t="s">
        <v>6</v>
      </c>
      <c r="D39" s="610">
        <v>1</v>
      </c>
      <c r="E39" s="559">
        <f>F39*100/SUM($K$39:$K$44)</f>
        <v>0</v>
      </c>
      <c r="F39" s="557">
        <f t="shared" ref="F39" si="62">K39*SUM(M39:AG39)/100</f>
        <v>0</v>
      </c>
      <c r="G39" s="559"/>
      <c r="H39" s="557">
        <f t="shared" ref="H39" si="63">SUM(L40:AJ40)</f>
        <v>53.669000000000004</v>
      </c>
      <c r="I39" s="612">
        <f>'BOQ แก้ไขสัญญา'!AF27</f>
        <v>2827285</v>
      </c>
      <c r="J39" s="593">
        <f t="shared" si="0"/>
        <v>2827285</v>
      </c>
      <c r="K39" s="595">
        <f>J39*100/GTotal</f>
        <v>1.1854683874265084</v>
      </c>
      <c r="L39" s="101"/>
      <c r="M39" s="354"/>
      <c r="N39" s="355"/>
      <c r="O39" s="355"/>
      <c r="P39" s="355"/>
      <c r="Q39" s="355"/>
      <c r="R39" s="356"/>
      <c r="S39" s="354"/>
      <c r="T39" s="355"/>
      <c r="U39" s="355"/>
      <c r="V39" s="355"/>
      <c r="W39" s="355"/>
      <c r="X39" s="354"/>
      <c r="Y39" s="355"/>
      <c r="Z39" s="355"/>
      <c r="AA39" s="355"/>
      <c r="AB39" s="355"/>
      <c r="AC39" s="355"/>
      <c r="AD39" s="356"/>
      <c r="AE39" s="354"/>
      <c r="AF39" s="355"/>
      <c r="AG39" s="358"/>
      <c r="AH39" s="358"/>
      <c r="AI39" s="358"/>
      <c r="AJ39" s="357"/>
      <c r="AK39" s="358">
        <v>10</v>
      </c>
      <c r="AL39" s="358">
        <v>10</v>
      </c>
      <c r="AM39" s="358">
        <v>10</v>
      </c>
      <c r="AN39" s="358">
        <v>20</v>
      </c>
      <c r="AO39" s="358">
        <v>20</v>
      </c>
      <c r="AP39" s="359">
        <v>20</v>
      </c>
      <c r="AQ39" s="357">
        <v>10</v>
      </c>
      <c r="AR39" s="358"/>
      <c r="AS39" s="357"/>
      <c r="AT39" s="357"/>
      <c r="AU39" s="357"/>
      <c r="AV39" s="357"/>
      <c r="AW39" s="367"/>
      <c r="AX39" s="85"/>
      <c r="AY39" s="5"/>
      <c r="AZ39" s="331"/>
      <c r="BE39" s="2"/>
      <c r="BF39" s="2"/>
      <c r="BG39" s="2"/>
      <c r="BH39" s="2"/>
      <c r="BI39" s="2"/>
      <c r="BJ39" s="2"/>
      <c r="BK39" s="2"/>
      <c r="BL39" s="2">
        <v>1</v>
      </c>
      <c r="BM39" s="54"/>
      <c r="BN39" s="11">
        <f t="shared" ref="BN39:CX39" si="64">M39*$K39/100</f>
        <v>0</v>
      </c>
      <c r="BO39" s="11">
        <f t="shared" si="64"/>
        <v>0</v>
      </c>
      <c r="BP39" s="11">
        <f t="shared" si="64"/>
        <v>0</v>
      </c>
      <c r="BQ39" s="11">
        <f t="shared" si="64"/>
        <v>0</v>
      </c>
      <c r="BR39" s="11">
        <f t="shared" si="64"/>
        <v>0</v>
      </c>
      <c r="BS39" s="236">
        <f t="shared" si="64"/>
        <v>0</v>
      </c>
      <c r="BT39" s="11">
        <f t="shared" si="64"/>
        <v>0</v>
      </c>
      <c r="BU39" s="11">
        <f t="shared" si="64"/>
        <v>0</v>
      </c>
      <c r="BV39" s="11">
        <f t="shared" si="64"/>
        <v>0</v>
      </c>
      <c r="BW39" s="11">
        <f t="shared" si="64"/>
        <v>0</v>
      </c>
      <c r="BX39" s="11">
        <f t="shared" si="64"/>
        <v>0</v>
      </c>
      <c r="BY39" s="11">
        <f t="shared" si="64"/>
        <v>0</v>
      </c>
      <c r="BZ39" s="11">
        <f t="shared" si="64"/>
        <v>0</v>
      </c>
      <c r="CA39" s="11">
        <f t="shared" si="64"/>
        <v>0</v>
      </c>
      <c r="CB39" s="11">
        <f t="shared" si="64"/>
        <v>0</v>
      </c>
      <c r="CC39" s="11">
        <f t="shared" si="64"/>
        <v>0</v>
      </c>
      <c r="CD39" s="11">
        <f t="shared" si="64"/>
        <v>0</v>
      </c>
      <c r="CE39" s="236">
        <f t="shared" si="64"/>
        <v>0</v>
      </c>
      <c r="CF39" s="11">
        <f t="shared" si="64"/>
        <v>0</v>
      </c>
      <c r="CG39" s="11">
        <f t="shared" si="64"/>
        <v>0</v>
      </c>
      <c r="CH39" s="11">
        <f t="shared" si="64"/>
        <v>0</v>
      </c>
      <c r="CI39" s="11">
        <f t="shared" si="64"/>
        <v>0</v>
      </c>
      <c r="CJ39" s="11">
        <f t="shared" si="64"/>
        <v>0</v>
      </c>
      <c r="CK39" s="11">
        <f t="shared" si="64"/>
        <v>0</v>
      </c>
      <c r="CL39" s="11">
        <f t="shared" si="64"/>
        <v>0.11854683874265085</v>
      </c>
      <c r="CM39" s="11">
        <f t="shared" si="64"/>
        <v>0.11854683874265085</v>
      </c>
      <c r="CN39" s="11">
        <f t="shared" si="64"/>
        <v>0.11854683874265085</v>
      </c>
      <c r="CO39" s="11">
        <f t="shared" si="64"/>
        <v>0.23709367748530169</v>
      </c>
      <c r="CP39" s="11">
        <f t="shared" si="64"/>
        <v>0.23709367748530169</v>
      </c>
      <c r="CQ39" s="11">
        <f t="shared" si="64"/>
        <v>0.23709367748530169</v>
      </c>
      <c r="CR39" s="11">
        <f t="shared" si="64"/>
        <v>0.11854683874265085</v>
      </c>
      <c r="CS39" s="11">
        <f t="shared" si="64"/>
        <v>0</v>
      </c>
      <c r="CT39" s="11">
        <f t="shared" si="64"/>
        <v>0</v>
      </c>
      <c r="CU39" s="11">
        <f t="shared" si="64"/>
        <v>0</v>
      </c>
      <c r="CV39" s="11">
        <f t="shared" si="64"/>
        <v>0</v>
      </c>
      <c r="CW39" s="11">
        <f t="shared" si="64"/>
        <v>0</v>
      </c>
      <c r="CX39" s="11">
        <f t="shared" si="64"/>
        <v>0</v>
      </c>
      <c r="CY39" s="50"/>
      <c r="CZ39" s="2"/>
      <c r="DA39" s="2"/>
      <c r="DB39" s="58">
        <f t="shared" si="2"/>
        <v>1.1854683874265084</v>
      </c>
      <c r="DC39" s="41">
        <f t="shared" si="3"/>
        <v>1.1854683874265084</v>
      </c>
      <c r="DD39" s="2"/>
      <c r="DE39" s="2"/>
      <c r="DF39" s="2"/>
      <c r="DG39" s="2"/>
      <c r="DH39" s="2"/>
      <c r="DI39" s="2"/>
      <c r="DJ39" s="2"/>
      <c r="DK39" s="2"/>
    </row>
    <row r="40" spans="1:115" ht="8.4" customHeight="1" x14ac:dyDescent="0.25">
      <c r="A40" s="605"/>
      <c r="B40" s="633"/>
      <c r="C40" s="609"/>
      <c r="D40" s="611"/>
      <c r="E40" s="560"/>
      <c r="F40" s="558"/>
      <c r="G40" s="560"/>
      <c r="H40" s="558"/>
      <c r="I40" s="637"/>
      <c r="J40" s="594"/>
      <c r="K40" s="596"/>
      <c r="L40" s="101"/>
      <c r="M40" s="360"/>
      <c r="N40" s="456">
        <v>0.61499999999999999</v>
      </c>
      <c r="O40" s="361"/>
      <c r="P40" s="361"/>
      <c r="Q40" s="361"/>
      <c r="R40" s="362"/>
      <c r="S40" s="360"/>
      <c r="T40" s="361"/>
      <c r="U40" s="361"/>
      <c r="V40" s="361"/>
      <c r="W40" s="361"/>
      <c r="X40" s="360"/>
      <c r="Y40" s="361"/>
      <c r="Z40" s="361"/>
      <c r="AA40" s="456">
        <v>53.054000000000002</v>
      </c>
      <c r="AB40" s="361"/>
      <c r="AC40" s="361"/>
      <c r="AD40" s="362"/>
      <c r="AE40" s="360"/>
      <c r="AF40" s="361"/>
      <c r="AG40" s="363"/>
      <c r="AH40" s="363"/>
      <c r="AI40" s="363"/>
      <c r="AJ40" s="365"/>
      <c r="AK40" s="363"/>
      <c r="AL40" s="363"/>
      <c r="AM40" s="363"/>
      <c r="AN40" s="363"/>
      <c r="AO40" s="363"/>
      <c r="AP40" s="364"/>
      <c r="AQ40" s="365"/>
      <c r="AR40" s="363"/>
      <c r="AS40" s="365"/>
      <c r="AT40" s="365"/>
      <c r="AU40" s="365"/>
      <c r="AV40" s="365"/>
      <c r="AW40" s="366"/>
      <c r="AX40" s="85"/>
      <c r="AY40" s="5"/>
      <c r="AZ40" s="331">
        <v>70</v>
      </c>
      <c r="BE40" s="2"/>
      <c r="BF40" s="2"/>
      <c r="BG40" s="2"/>
      <c r="BH40" s="2"/>
      <c r="BI40" s="2"/>
      <c r="BJ40" s="2"/>
      <c r="BK40" s="2"/>
      <c r="BL40" s="2">
        <v>0</v>
      </c>
      <c r="BM40" s="53"/>
      <c r="BN40" s="11">
        <f t="shared" ref="BN40:CX40" si="65">M40*$K39/100</f>
        <v>0</v>
      </c>
      <c r="BO40" s="11">
        <f t="shared" si="65"/>
        <v>7.2906305826730263E-3</v>
      </c>
      <c r="BP40" s="11">
        <f t="shared" si="65"/>
        <v>0</v>
      </c>
      <c r="BQ40" s="11">
        <f t="shared" si="65"/>
        <v>0</v>
      </c>
      <c r="BR40" s="11">
        <f t="shared" si="65"/>
        <v>0</v>
      </c>
      <c r="BS40" s="236">
        <f t="shared" si="65"/>
        <v>0</v>
      </c>
      <c r="BT40" s="11">
        <f t="shared" si="65"/>
        <v>0</v>
      </c>
      <c r="BU40" s="11">
        <f t="shared" si="65"/>
        <v>0</v>
      </c>
      <c r="BV40" s="11">
        <f t="shared" si="65"/>
        <v>0</v>
      </c>
      <c r="BW40" s="11">
        <f t="shared" si="65"/>
        <v>0</v>
      </c>
      <c r="BX40" s="11">
        <f t="shared" si="65"/>
        <v>0</v>
      </c>
      <c r="BY40" s="11">
        <f t="shared" si="65"/>
        <v>0</v>
      </c>
      <c r="BZ40" s="11">
        <f t="shared" si="65"/>
        <v>0</v>
      </c>
      <c r="CA40" s="11">
        <f t="shared" si="65"/>
        <v>0</v>
      </c>
      <c r="CB40" s="11">
        <f t="shared" si="65"/>
        <v>0.62893839826525977</v>
      </c>
      <c r="CC40" s="11">
        <f t="shared" si="65"/>
        <v>0</v>
      </c>
      <c r="CD40" s="11">
        <f t="shared" si="65"/>
        <v>0</v>
      </c>
      <c r="CE40" s="236">
        <f t="shared" si="65"/>
        <v>0</v>
      </c>
      <c r="CF40" s="11">
        <f t="shared" si="65"/>
        <v>0</v>
      </c>
      <c r="CG40" s="11">
        <f t="shared" si="65"/>
        <v>0</v>
      </c>
      <c r="CH40" s="11">
        <f t="shared" si="65"/>
        <v>0</v>
      </c>
      <c r="CI40" s="11">
        <f t="shared" si="65"/>
        <v>0</v>
      </c>
      <c r="CJ40" s="11">
        <f t="shared" si="65"/>
        <v>0</v>
      </c>
      <c r="CK40" s="11">
        <f t="shared" si="65"/>
        <v>0</v>
      </c>
      <c r="CL40" s="11">
        <f t="shared" si="65"/>
        <v>0</v>
      </c>
      <c r="CM40" s="11">
        <f t="shared" si="65"/>
        <v>0</v>
      </c>
      <c r="CN40" s="11">
        <f t="shared" si="65"/>
        <v>0</v>
      </c>
      <c r="CO40" s="11">
        <f t="shared" si="65"/>
        <v>0</v>
      </c>
      <c r="CP40" s="11">
        <f t="shared" si="65"/>
        <v>0</v>
      </c>
      <c r="CQ40" s="11">
        <f t="shared" si="65"/>
        <v>0</v>
      </c>
      <c r="CR40" s="11">
        <f t="shared" si="65"/>
        <v>0</v>
      </c>
      <c r="CS40" s="11">
        <f t="shared" si="65"/>
        <v>0</v>
      </c>
      <c r="CT40" s="11">
        <f t="shared" si="65"/>
        <v>0</v>
      </c>
      <c r="CU40" s="11">
        <f t="shared" si="65"/>
        <v>0</v>
      </c>
      <c r="CV40" s="11">
        <f t="shared" si="65"/>
        <v>0</v>
      </c>
      <c r="CW40" s="11">
        <f t="shared" si="65"/>
        <v>0</v>
      </c>
      <c r="CX40" s="11">
        <f t="shared" si="65"/>
        <v>0</v>
      </c>
      <c r="CY40" s="50"/>
      <c r="CZ40" s="2"/>
      <c r="DA40" s="2"/>
      <c r="DB40" s="58">
        <f t="shared" si="2"/>
        <v>0.63622902884793275</v>
      </c>
      <c r="DC40" s="41">
        <f t="shared" si="3"/>
        <v>0</v>
      </c>
      <c r="DD40" s="2"/>
      <c r="DE40" s="2"/>
      <c r="DF40" s="2"/>
      <c r="DG40" s="2"/>
      <c r="DH40" s="2"/>
      <c r="DI40" s="2"/>
      <c r="DJ40" s="2"/>
      <c r="DK40" s="2"/>
    </row>
    <row r="41" spans="1:115" ht="8.4" customHeight="1" x14ac:dyDescent="0.25">
      <c r="A41" s="638">
        <v>-1</v>
      </c>
      <c r="B41" s="632" t="s">
        <v>35</v>
      </c>
      <c r="C41" s="608" t="s">
        <v>6</v>
      </c>
      <c r="D41" s="610">
        <v>1</v>
      </c>
      <c r="E41" s="559">
        <f t="shared" ref="E41" si="66">F41*100/SUM($K$39:$K$44)</f>
        <v>0</v>
      </c>
      <c r="F41" s="557">
        <f t="shared" ref="F41" si="67">K41*SUM(M41:AG41)/100</f>
        <v>0</v>
      </c>
      <c r="G41" s="559"/>
      <c r="H41" s="557">
        <f t="shared" ref="H41" si="68">SUM(L42:AJ42)</f>
        <v>0</v>
      </c>
      <c r="I41" s="612">
        <f>'BOQ แก้ไขสัญญา'!AF28</f>
        <v>317663</v>
      </c>
      <c r="J41" s="593">
        <f t="shared" si="0"/>
        <v>317663</v>
      </c>
      <c r="K41" s="595">
        <f>J41*100/GTotal</f>
        <v>0.13319472368546748</v>
      </c>
      <c r="L41" s="101"/>
      <c r="M41" s="354"/>
      <c r="N41" s="355"/>
      <c r="O41" s="355"/>
      <c r="P41" s="355"/>
      <c r="Q41" s="355"/>
      <c r="R41" s="356"/>
      <c r="S41" s="354"/>
      <c r="T41" s="355"/>
      <c r="U41" s="355"/>
      <c r="V41" s="355"/>
      <c r="W41" s="355"/>
      <c r="X41" s="354"/>
      <c r="Y41" s="355"/>
      <c r="Z41" s="355"/>
      <c r="AA41" s="355"/>
      <c r="AB41" s="355"/>
      <c r="AC41" s="355"/>
      <c r="AD41" s="356"/>
      <c r="AE41" s="354"/>
      <c r="AF41" s="355"/>
      <c r="AG41" s="358"/>
      <c r="AH41" s="358"/>
      <c r="AI41" s="358"/>
      <c r="AJ41" s="357"/>
      <c r="AK41" s="358"/>
      <c r="AL41" s="358"/>
      <c r="AM41" s="358"/>
      <c r="AN41" s="358">
        <v>25</v>
      </c>
      <c r="AO41" s="358">
        <v>25</v>
      </c>
      <c r="AP41" s="359">
        <v>25</v>
      </c>
      <c r="AQ41" s="357">
        <v>25</v>
      </c>
      <c r="AR41" s="358"/>
      <c r="AS41" s="357"/>
      <c r="AT41" s="357"/>
      <c r="AU41" s="357"/>
      <c r="AV41" s="357"/>
      <c r="AW41" s="367"/>
      <c r="AX41" s="85"/>
      <c r="AY41" s="5"/>
      <c r="AZ41" s="331"/>
      <c r="BE41" s="2"/>
      <c r="BF41" s="2"/>
      <c r="BG41" s="2"/>
      <c r="BH41" s="2"/>
      <c r="BI41" s="2"/>
      <c r="BJ41" s="2"/>
      <c r="BK41" s="2"/>
      <c r="BL41" s="2">
        <v>1</v>
      </c>
      <c r="BM41" s="54"/>
      <c r="BN41" s="11">
        <f t="shared" ref="BN41:CX41" si="69">M41*$K41/100</f>
        <v>0</v>
      </c>
      <c r="BO41" s="11">
        <f t="shared" si="69"/>
        <v>0</v>
      </c>
      <c r="BP41" s="11">
        <f t="shared" si="69"/>
        <v>0</v>
      </c>
      <c r="BQ41" s="11">
        <f t="shared" si="69"/>
        <v>0</v>
      </c>
      <c r="BR41" s="11">
        <f t="shared" si="69"/>
        <v>0</v>
      </c>
      <c r="BS41" s="236">
        <f t="shared" si="69"/>
        <v>0</v>
      </c>
      <c r="BT41" s="11">
        <f t="shared" si="69"/>
        <v>0</v>
      </c>
      <c r="BU41" s="11">
        <f t="shared" si="69"/>
        <v>0</v>
      </c>
      <c r="BV41" s="11">
        <f t="shared" si="69"/>
        <v>0</v>
      </c>
      <c r="BW41" s="11">
        <f t="shared" si="69"/>
        <v>0</v>
      </c>
      <c r="BX41" s="11">
        <f t="shared" si="69"/>
        <v>0</v>
      </c>
      <c r="BY41" s="11">
        <f t="shared" si="69"/>
        <v>0</v>
      </c>
      <c r="BZ41" s="11">
        <f t="shared" si="69"/>
        <v>0</v>
      </c>
      <c r="CA41" s="11">
        <f t="shared" si="69"/>
        <v>0</v>
      </c>
      <c r="CB41" s="11">
        <f t="shared" si="69"/>
        <v>0</v>
      </c>
      <c r="CC41" s="11">
        <f t="shared" si="69"/>
        <v>0</v>
      </c>
      <c r="CD41" s="11">
        <f t="shared" si="69"/>
        <v>0</v>
      </c>
      <c r="CE41" s="236">
        <f t="shared" si="69"/>
        <v>0</v>
      </c>
      <c r="CF41" s="11">
        <f t="shared" si="69"/>
        <v>0</v>
      </c>
      <c r="CG41" s="11">
        <f t="shared" si="69"/>
        <v>0</v>
      </c>
      <c r="CH41" s="11">
        <f t="shared" si="69"/>
        <v>0</v>
      </c>
      <c r="CI41" s="11">
        <f t="shared" si="69"/>
        <v>0</v>
      </c>
      <c r="CJ41" s="11">
        <f t="shared" si="69"/>
        <v>0</v>
      </c>
      <c r="CK41" s="11">
        <f t="shared" si="69"/>
        <v>0</v>
      </c>
      <c r="CL41" s="11">
        <f t="shared" si="69"/>
        <v>0</v>
      </c>
      <c r="CM41" s="11">
        <f t="shared" si="69"/>
        <v>0</v>
      </c>
      <c r="CN41" s="11">
        <f t="shared" si="69"/>
        <v>0</v>
      </c>
      <c r="CO41" s="11">
        <f t="shared" si="69"/>
        <v>3.3298680921366869E-2</v>
      </c>
      <c r="CP41" s="11">
        <f t="shared" si="69"/>
        <v>3.3298680921366869E-2</v>
      </c>
      <c r="CQ41" s="11">
        <f t="shared" si="69"/>
        <v>3.3298680921366869E-2</v>
      </c>
      <c r="CR41" s="11">
        <f t="shared" si="69"/>
        <v>3.3298680921366869E-2</v>
      </c>
      <c r="CS41" s="11">
        <f t="shared" si="69"/>
        <v>0</v>
      </c>
      <c r="CT41" s="11">
        <f t="shared" si="69"/>
        <v>0</v>
      </c>
      <c r="CU41" s="11">
        <f t="shared" si="69"/>
        <v>0</v>
      </c>
      <c r="CV41" s="11">
        <f t="shared" si="69"/>
        <v>0</v>
      </c>
      <c r="CW41" s="11">
        <f t="shared" si="69"/>
        <v>0</v>
      </c>
      <c r="CX41" s="11">
        <f t="shared" si="69"/>
        <v>0</v>
      </c>
      <c r="CY41" s="50"/>
      <c r="CZ41" s="2"/>
      <c r="DA41" s="2"/>
      <c r="DB41" s="58">
        <f t="shared" si="2"/>
        <v>0.13319472368546748</v>
      </c>
      <c r="DC41" s="41">
        <f t="shared" si="3"/>
        <v>0.13319472368546748</v>
      </c>
      <c r="DD41" s="2"/>
      <c r="DE41" s="2"/>
      <c r="DF41" s="2"/>
      <c r="DG41" s="2"/>
      <c r="DH41" s="2"/>
      <c r="DI41" s="2"/>
      <c r="DJ41" s="2"/>
      <c r="DK41" s="2"/>
    </row>
    <row r="42" spans="1:115" ht="8.4" customHeight="1" x14ac:dyDescent="0.25">
      <c r="A42" s="639"/>
      <c r="B42" s="633"/>
      <c r="C42" s="609"/>
      <c r="D42" s="611"/>
      <c r="E42" s="560"/>
      <c r="F42" s="558"/>
      <c r="G42" s="560"/>
      <c r="H42" s="558"/>
      <c r="I42" s="637"/>
      <c r="J42" s="594"/>
      <c r="K42" s="596"/>
      <c r="L42" s="101"/>
      <c r="M42" s="360"/>
      <c r="N42" s="361"/>
      <c r="O42" s="361"/>
      <c r="P42" s="361"/>
      <c r="Q42" s="361"/>
      <c r="R42" s="362"/>
      <c r="S42" s="360"/>
      <c r="T42" s="361"/>
      <c r="U42" s="361"/>
      <c r="V42" s="361"/>
      <c r="W42" s="361"/>
      <c r="X42" s="360"/>
      <c r="Y42" s="361"/>
      <c r="Z42" s="361"/>
      <c r="AA42" s="361"/>
      <c r="AB42" s="361"/>
      <c r="AC42" s="361"/>
      <c r="AD42" s="362"/>
      <c r="AE42" s="360"/>
      <c r="AF42" s="361"/>
      <c r="AG42" s="363"/>
      <c r="AH42" s="363"/>
      <c r="AI42" s="363"/>
      <c r="AJ42" s="365"/>
      <c r="AK42" s="363"/>
      <c r="AL42" s="363"/>
      <c r="AM42" s="363"/>
      <c r="AN42" s="363"/>
      <c r="AO42" s="363"/>
      <c r="AP42" s="364"/>
      <c r="AQ42" s="365"/>
      <c r="AR42" s="363"/>
      <c r="AS42" s="365"/>
      <c r="AT42" s="365"/>
      <c r="AU42" s="365"/>
      <c r="AV42" s="365"/>
      <c r="AW42" s="366"/>
      <c r="AX42" s="85"/>
      <c r="AY42" s="5"/>
      <c r="AZ42" s="331"/>
      <c r="BE42" s="2"/>
      <c r="BF42" s="2"/>
      <c r="BG42" s="2"/>
      <c r="BH42" s="2"/>
      <c r="BI42" s="2"/>
      <c r="BJ42" s="2"/>
      <c r="BK42" s="2"/>
      <c r="BL42" s="2">
        <v>0</v>
      </c>
      <c r="BM42" s="53"/>
      <c r="BN42" s="11">
        <f t="shared" ref="BN42:CX42" si="70">M42*$K41/100</f>
        <v>0</v>
      </c>
      <c r="BO42" s="11">
        <f t="shared" si="70"/>
        <v>0</v>
      </c>
      <c r="BP42" s="11">
        <f t="shared" si="70"/>
        <v>0</v>
      </c>
      <c r="BQ42" s="11">
        <f t="shared" si="70"/>
        <v>0</v>
      </c>
      <c r="BR42" s="11">
        <f t="shared" si="70"/>
        <v>0</v>
      </c>
      <c r="BS42" s="236">
        <f t="shared" si="70"/>
        <v>0</v>
      </c>
      <c r="BT42" s="11">
        <f t="shared" si="70"/>
        <v>0</v>
      </c>
      <c r="BU42" s="11">
        <f t="shared" si="70"/>
        <v>0</v>
      </c>
      <c r="BV42" s="11">
        <f t="shared" si="70"/>
        <v>0</v>
      </c>
      <c r="BW42" s="11">
        <f t="shared" si="70"/>
        <v>0</v>
      </c>
      <c r="BX42" s="11">
        <f t="shared" si="70"/>
        <v>0</v>
      </c>
      <c r="BY42" s="11">
        <f t="shared" si="70"/>
        <v>0</v>
      </c>
      <c r="BZ42" s="11">
        <f t="shared" si="70"/>
        <v>0</v>
      </c>
      <c r="CA42" s="11">
        <f t="shared" si="70"/>
        <v>0</v>
      </c>
      <c r="CB42" s="11">
        <f t="shared" si="70"/>
        <v>0</v>
      </c>
      <c r="CC42" s="11">
        <f t="shared" si="70"/>
        <v>0</v>
      </c>
      <c r="CD42" s="11">
        <f t="shared" si="70"/>
        <v>0</v>
      </c>
      <c r="CE42" s="236">
        <f t="shared" si="70"/>
        <v>0</v>
      </c>
      <c r="CF42" s="11">
        <f t="shared" si="70"/>
        <v>0</v>
      </c>
      <c r="CG42" s="11">
        <f t="shared" si="70"/>
        <v>0</v>
      </c>
      <c r="CH42" s="11">
        <f t="shared" si="70"/>
        <v>0</v>
      </c>
      <c r="CI42" s="11">
        <f t="shared" si="70"/>
        <v>0</v>
      </c>
      <c r="CJ42" s="11">
        <f t="shared" si="70"/>
        <v>0</v>
      </c>
      <c r="CK42" s="11">
        <f t="shared" si="70"/>
        <v>0</v>
      </c>
      <c r="CL42" s="11">
        <f t="shared" si="70"/>
        <v>0</v>
      </c>
      <c r="CM42" s="11">
        <f t="shared" si="70"/>
        <v>0</v>
      </c>
      <c r="CN42" s="11">
        <f t="shared" si="70"/>
        <v>0</v>
      </c>
      <c r="CO42" s="11">
        <f t="shared" si="70"/>
        <v>0</v>
      </c>
      <c r="CP42" s="11">
        <f t="shared" si="70"/>
        <v>0</v>
      </c>
      <c r="CQ42" s="11">
        <f t="shared" si="70"/>
        <v>0</v>
      </c>
      <c r="CR42" s="11">
        <f t="shared" si="70"/>
        <v>0</v>
      </c>
      <c r="CS42" s="11">
        <f t="shared" si="70"/>
        <v>0</v>
      </c>
      <c r="CT42" s="11">
        <f t="shared" si="70"/>
        <v>0</v>
      </c>
      <c r="CU42" s="11">
        <f t="shared" si="70"/>
        <v>0</v>
      </c>
      <c r="CV42" s="11">
        <f t="shared" si="70"/>
        <v>0</v>
      </c>
      <c r="CW42" s="11">
        <f t="shared" si="70"/>
        <v>0</v>
      </c>
      <c r="CX42" s="11">
        <f t="shared" si="70"/>
        <v>0</v>
      </c>
      <c r="CY42" s="50"/>
      <c r="CZ42" s="2"/>
      <c r="DA42" s="2"/>
      <c r="DB42" s="58">
        <f t="shared" si="2"/>
        <v>0</v>
      </c>
      <c r="DC42" s="41">
        <f t="shared" si="3"/>
        <v>0</v>
      </c>
      <c r="DD42" s="2"/>
      <c r="DE42" s="2"/>
      <c r="DF42" s="2"/>
      <c r="DG42" s="2"/>
      <c r="DH42" s="2"/>
      <c r="DI42" s="2"/>
      <c r="DJ42" s="2"/>
      <c r="DK42" s="2"/>
    </row>
    <row r="43" spans="1:115" ht="8.4" customHeight="1" x14ac:dyDescent="0.25">
      <c r="A43" s="638">
        <v>-2</v>
      </c>
      <c r="B43" s="632" t="s">
        <v>121</v>
      </c>
      <c r="C43" s="608" t="s">
        <v>6</v>
      </c>
      <c r="D43" s="610">
        <v>1</v>
      </c>
      <c r="E43" s="559">
        <f t="shared" ref="E43" si="71">F43*100/SUM($K$39:$K$44)</f>
        <v>0</v>
      </c>
      <c r="F43" s="557">
        <f t="shared" ref="F43" si="72">K43*SUM(M43:AG43)/100</f>
        <v>0</v>
      </c>
      <c r="G43" s="559"/>
      <c r="H43" s="557">
        <f t="shared" ref="H43" si="73">SUM(L44:AJ44)</f>
        <v>0</v>
      </c>
      <c r="I43" s="612">
        <f>'BOQ แก้ไขสัญญา'!AF29</f>
        <v>262286</v>
      </c>
      <c r="J43" s="593">
        <f t="shared" si="0"/>
        <v>262286</v>
      </c>
      <c r="K43" s="595">
        <f>J43*100/GTotal</f>
        <v>0.10997538679848305</v>
      </c>
      <c r="L43" s="101"/>
      <c r="M43" s="354"/>
      <c r="N43" s="355"/>
      <c r="O43" s="355"/>
      <c r="P43" s="355"/>
      <c r="Q43" s="355"/>
      <c r="R43" s="356"/>
      <c r="S43" s="354"/>
      <c r="T43" s="355"/>
      <c r="U43" s="355"/>
      <c r="V43" s="355"/>
      <c r="W43" s="355"/>
      <c r="X43" s="354"/>
      <c r="Y43" s="355"/>
      <c r="Z43" s="355"/>
      <c r="AA43" s="355"/>
      <c r="AB43" s="355"/>
      <c r="AC43" s="355"/>
      <c r="AD43" s="356"/>
      <c r="AE43" s="354"/>
      <c r="AF43" s="355"/>
      <c r="AG43" s="358"/>
      <c r="AH43" s="358"/>
      <c r="AI43" s="358"/>
      <c r="AJ43" s="357"/>
      <c r="AK43" s="358"/>
      <c r="AL43" s="358"/>
      <c r="AM43" s="358"/>
      <c r="AN43" s="358"/>
      <c r="AO43" s="358">
        <v>30</v>
      </c>
      <c r="AP43" s="359">
        <v>30</v>
      </c>
      <c r="AQ43" s="357">
        <v>40</v>
      </c>
      <c r="AR43" s="358"/>
      <c r="AS43" s="357"/>
      <c r="AT43" s="357"/>
      <c r="AU43" s="357"/>
      <c r="AV43" s="357"/>
      <c r="AW43" s="367"/>
      <c r="AX43" s="85"/>
      <c r="AY43" s="5"/>
      <c r="AZ43" s="331"/>
      <c r="BE43" s="2"/>
      <c r="BF43" s="2"/>
      <c r="BG43" s="2"/>
      <c r="BH43" s="2"/>
      <c r="BI43" s="2"/>
      <c r="BJ43" s="2"/>
      <c r="BK43" s="2"/>
      <c r="BL43" s="2">
        <v>1</v>
      </c>
      <c r="BM43" s="54"/>
      <c r="BN43" s="11">
        <f t="shared" ref="BN43:CX43" si="74">M43*$K43/100</f>
        <v>0</v>
      </c>
      <c r="BO43" s="11">
        <f t="shared" si="74"/>
        <v>0</v>
      </c>
      <c r="BP43" s="11">
        <f t="shared" si="74"/>
        <v>0</v>
      </c>
      <c r="BQ43" s="11">
        <f t="shared" si="74"/>
        <v>0</v>
      </c>
      <c r="BR43" s="11">
        <f t="shared" si="74"/>
        <v>0</v>
      </c>
      <c r="BS43" s="236">
        <f t="shared" si="74"/>
        <v>0</v>
      </c>
      <c r="BT43" s="11">
        <f t="shared" si="74"/>
        <v>0</v>
      </c>
      <c r="BU43" s="11">
        <f t="shared" si="74"/>
        <v>0</v>
      </c>
      <c r="BV43" s="11">
        <f t="shared" si="74"/>
        <v>0</v>
      </c>
      <c r="BW43" s="11">
        <f t="shared" si="74"/>
        <v>0</v>
      </c>
      <c r="BX43" s="11">
        <f t="shared" si="74"/>
        <v>0</v>
      </c>
      <c r="BY43" s="11">
        <f t="shared" si="74"/>
        <v>0</v>
      </c>
      <c r="BZ43" s="11">
        <f t="shared" si="74"/>
        <v>0</v>
      </c>
      <c r="CA43" s="11">
        <f t="shared" si="74"/>
        <v>0</v>
      </c>
      <c r="CB43" s="11">
        <f t="shared" si="74"/>
        <v>0</v>
      </c>
      <c r="CC43" s="11">
        <f t="shared" si="74"/>
        <v>0</v>
      </c>
      <c r="CD43" s="11">
        <f t="shared" si="74"/>
        <v>0</v>
      </c>
      <c r="CE43" s="236">
        <f t="shared" si="74"/>
        <v>0</v>
      </c>
      <c r="CF43" s="11">
        <f t="shared" si="74"/>
        <v>0</v>
      </c>
      <c r="CG43" s="11">
        <f t="shared" si="74"/>
        <v>0</v>
      </c>
      <c r="CH43" s="11">
        <f t="shared" si="74"/>
        <v>0</v>
      </c>
      <c r="CI43" s="11">
        <f t="shared" si="74"/>
        <v>0</v>
      </c>
      <c r="CJ43" s="11">
        <f t="shared" si="74"/>
        <v>0</v>
      </c>
      <c r="CK43" s="11">
        <f t="shared" si="74"/>
        <v>0</v>
      </c>
      <c r="CL43" s="11">
        <f t="shared" si="74"/>
        <v>0</v>
      </c>
      <c r="CM43" s="11">
        <f t="shared" si="74"/>
        <v>0</v>
      </c>
      <c r="CN43" s="11">
        <f t="shared" si="74"/>
        <v>0</v>
      </c>
      <c r="CO43" s="11">
        <f t="shared" si="74"/>
        <v>0</v>
      </c>
      <c r="CP43" s="11">
        <f t="shared" si="74"/>
        <v>3.2992616039544918E-2</v>
      </c>
      <c r="CQ43" s="11">
        <f t="shared" si="74"/>
        <v>3.2992616039544918E-2</v>
      </c>
      <c r="CR43" s="11">
        <f t="shared" si="74"/>
        <v>4.3990154719393215E-2</v>
      </c>
      <c r="CS43" s="11">
        <f t="shared" si="74"/>
        <v>0</v>
      </c>
      <c r="CT43" s="11">
        <f t="shared" si="74"/>
        <v>0</v>
      </c>
      <c r="CU43" s="11">
        <f t="shared" si="74"/>
        <v>0</v>
      </c>
      <c r="CV43" s="11">
        <f t="shared" si="74"/>
        <v>0</v>
      </c>
      <c r="CW43" s="11">
        <f t="shared" si="74"/>
        <v>0</v>
      </c>
      <c r="CX43" s="11">
        <f t="shared" si="74"/>
        <v>0</v>
      </c>
      <c r="CY43" s="50"/>
      <c r="CZ43" s="2"/>
      <c r="DA43" s="2"/>
      <c r="DB43" s="58">
        <f t="shared" ref="DB43:DB70" si="75">SUM(BN43:CY43)</f>
        <v>0.10997538679848305</v>
      </c>
      <c r="DC43" s="41">
        <f t="shared" ref="DC43:DC74" si="76">K43</f>
        <v>0.10997538679848305</v>
      </c>
      <c r="DD43" s="2"/>
      <c r="DE43" s="2"/>
      <c r="DF43" s="2"/>
      <c r="DG43" s="2"/>
      <c r="DH43" s="2"/>
      <c r="DI43" s="2"/>
      <c r="DJ43" s="2"/>
      <c r="DK43" s="2"/>
    </row>
    <row r="44" spans="1:115" ht="8.4" customHeight="1" x14ac:dyDescent="0.25">
      <c r="A44" s="639"/>
      <c r="B44" s="633"/>
      <c r="C44" s="609"/>
      <c r="D44" s="636"/>
      <c r="E44" s="560"/>
      <c r="F44" s="558"/>
      <c r="G44" s="560"/>
      <c r="H44" s="558"/>
      <c r="I44" s="637"/>
      <c r="J44" s="594"/>
      <c r="K44" s="596"/>
      <c r="L44" s="101"/>
      <c r="M44" s="368"/>
      <c r="N44" s="369"/>
      <c r="O44" s="369"/>
      <c r="P44" s="369"/>
      <c r="Q44" s="369"/>
      <c r="R44" s="370"/>
      <c r="S44" s="368"/>
      <c r="T44" s="369"/>
      <c r="U44" s="369"/>
      <c r="V44" s="369"/>
      <c r="W44" s="369"/>
      <c r="X44" s="368"/>
      <c r="Y44" s="369"/>
      <c r="Z44" s="369"/>
      <c r="AA44" s="369"/>
      <c r="AB44" s="369"/>
      <c r="AC44" s="369"/>
      <c r="AD44" s="370"/>
      <c r="AE44" s="368"/>
      <c r="AF44" s="369"/>
      <c r="AG44" s="369"/>
      <c r="AH44" s="369"/>
      <c r="AI44" s="369"/>
      <c r="AJ44" s="368"/>
      <c r="AK44" s="369"/>
      <c r="AL44" s="369"/>
      <c r="AM44" s="369"/>
      <c r="AN44" s="369"/>
      <c r="AO44" s="369"/>
      <c r="AP44" s="370"/>
      <c r="AQ44" s="368"/>
      <c r="AR44" s="369"/>
      <c r="AS44" s="368"/>
      <c r="AT44" s="369"/>
      <c r="AU44" s="368"/>
      <c r="AV44" s="368"/>
      <c r="AW44" s="374"/>
      <c r="AX44" s="85"/>
      <c r="AY44" s="5"/>
      <c r="AZ44" s="331"/>
      <c r="BE44" s="2"/>
      <c r="BF44" s="2"/>
      <c r="BG44" s="2"/>
      <c r="BH44" s="2"/>
      <c r="BI44" s="2"/>
      <c r="BJ44" s="2"/>
      <c r="BK44" s="2"/>
      <c r="BL44" s="2">
        <v>0</v>
      </c>
      <c r="BM44" s="53"/>
      <c r="BN44" s="11">
        <f t="shared" ref="BN44:CX44" si="77">M44*$K43/100</f>
        <v>0</v>
      </c>
      <c r="BO44" s="11">
        <f t="shared" si="77"/>
        <v>0</v>
      </c>
      <c r="BP44" s="11">
        <f t="shared" si="77"/>
        <v>0</v>
      </c>
      <c r="BQ44" s="11">
        <f t="shared" si="77"/>
        <v>0</v>
      </c>
      <c r="BR44" s="11">
        <f t="shared" si="77"/>
        <v>0</v>
      </c>
      <c r="BS44" s="236">
        <f t="shared" si="77"/>
        <v>0</v>
      </c>
      <c r="BT44" s="11">
        <f t="shared" si="77"/>
        <v>0</v>
      </c>
      <c r="BU44" s="11">
        <f t="shared" si="77"/>
        <v>0</v>
      </c>
      <c r="BV44" s="11">
        <f t="shared" si="77"/>
        <v>0</v>
      </c>
      <c r="BW44" s="11">
        <f t="shared" si="77"/>
        <v>0</v>
      </c>
      <c r="BX44" s="11">
        <f t="shared" si="77"/>
        <v>0</v>
      </c>
      <c r="BY44" s="11">
        <f t="shared" si="77"/>
        <v>0</v>
      </c>
      <c r="BZ44" s="11">
        <f t="shared" si="77"/>
        <v>0</v>
      </c>
      <c r="CA44" s="11">
        <f t="shared" si="77"/>
        <v>0</v>
      </c>
      <c r="CB44" s="11">
        <f t="shared" si="77"/>
        <v>0</v>
      </c>
      <c r="CC44" s="11">
        <f t="shared" si="77"/>
        <v>0</v>
      </c>
      <c r="CD44" s="11">
        <f t="shared" si="77"/>
        <v>0</v>
      </c>
      <c r="CE44" s="236">
        <f t="shared" si="77"/>
        <v>0</v>
      </c>
      <c r="CF44" s="11">
        <f t="shared" si="77"/>
        <v>0</v>
      </c>
      <c r="CG44" s="11">
        <f t="shared" si="77"/>
        <v>0</v>
      </c>
      <c r="CH44" s="11">
        <f t="shared" si="77"/>
        <v>0</v>
      </c>
      <c r="CI44" s="11">
        <f t="shared" si="77"/>
        <v>0</v>
      </c>
      <c r="CJ44" s="11">
        <f t="shared" si="77"/>
        <v>0</v>
      </c>
      <c r="CK44" s="11">
        <f t="shared" si="77"/>
        <v>0</v>
      </c>
      <c r="CL44" s="11">
        <f t="shared" si="77"/>
        <v>0</v>
      </c>
      <c r="CM44" s="11">
        <f t="shared" si="77"/>
        <v>0</v>
      </c>
      <c r="CN44" s="11">
        <f t="shared" si="77"/>
        <v>0</v>
      </c>
      <c r="CO44" s="11">
        <f t="shared" si="77"/>
        <v>0</v>
      </c>
      <c r="CP44" s="11">
        <f t="shared" si="77"/>
        <v>0</v>
      </c>
      <c r="CQ44" s="11">
        <f t="shared" si="77"/>
        <v>0</v>
      </c>
      <c r="CR44" s="11">
        <f t="shared" si="77"/>
        <v>0</v>
      </c>
      <c r="CS44" s="11">
        <f t="shared" si="77"/>
        <v>0</v>
      </c>
      <c r="CT44" s="11">
        <f t="shared" si="77"/>
        <v>0</v>
      </c>
      <c r="CU44" s="11">
        <f t="shared" si="77"/>
        <v>0</v>
      </c>
      <c r="CV44" s="11">
        <f t="shared" si="77"/>
        <v>0</v>
      </c>
      <c r="CW44" s="11">
        <f t="shared" si="77"/>
        <v>0</v>
      </c>
      <c r="CX44" s="11">
        <f t="shared" si="77"/>
        <v>0</v>
      </c>
      <c r="CY44" s="50"/>
      <c r="CZ44" s="2"/>
      <c r="DA44" s="2"/>
      <c r="DB44" s="58">
        <f t="shared" si="75"/>
        <v>0</v>
      </c>
      <c r="DC44" s="41">
        <f t="shared" si="76"/>
        <v>0</v>
      </c>
      <c r="DD44" s="2"/>
      <c r="DE44" s="2"/>
      <c r="DF44" s="2"/>
      <c r="DG44" s="2"/>
      <c r="DH44" s="2"/>
      <c r="DI44" s="2"/>
      <c r="DJ44" s="2"/>
      <c r="DK44" s="2"/>
    </row>
    <row r="45" spans="1:115" ht="8.4" customHeight="1" x14ac:dyDescent="0.25">
      <c r="A45" s="604">
        <v>1.5</v>
      </c>
      <c r="B45" s="632" t="s">
        <v>119</v>
      </c>
      <c r="C45" s="608" t="s">
        <v>6</v>
      </c>
      <c r="D45" s="610">
        <v>1</v>
      </c>
      <c r="E45" s="559">
        <f>F45*100/SUM($K$45:$K$50)</f>
        <v>0</v>
      </c>
      <c r="F45" s="557">
        <f t="shared" ref="F45" si="78">K45*SUM(M45:AG45)/100</f>
        <v>0</v>
      </c>
      <c r="G45" s="559"/>
      <c r="H45" s="557">
        <f t="shared" ref="H45" si="79">SUM(L46:AJ46)</f>
        <v>54.391000000000005</v>
      </c>
      <c r="I45" s="612">
        <f>'BOQ แก้ไขสัญญา'!AF31</f>
        <v>3175884</v>
      </c>
      <c r="J45" s="593">
        <f t="shared" si="0"/>
        <v>3175884</v>
      </c>
      <c r="K45" s="595">
        <f>J45*100/GTotal</f>
        <v>1.3316344422771842</v>
      </c>
      <c r="L45" s="101"/>
      <c r="M45" s="354"/>
      <c r="N45" s="355"/>
      <c r="O45" s="355"/>
      <c r="P45" s="355"/>
      <c r="Q45" s="355"/>
      <c r="R45" s="356"/>
      <c r="S45" s="354"/>
      <c r="T45" s="355"/>
      <c r="U45" s="355"/>
      <c r="V45" s="355"/>
      <c r="W45" s="355"/>
      <c r="X45" s="354"/>
      <c r="Y45" s="355"/>
      <c r="Z45" s="355"/>
      <c r="AA45" s="355"/>
      <c r="AB45" s="355"/>
      <c r="AC45" s="355"/>
      <c r="AD45" s="356"/>
      <c r="AE45" s="354"/>
      <c r="AF45" s="355"/>
      <c r="AG45" s="355"/>
      <c r="AH45" s="355"/>
      <c r="AI45" s="355"/>
      <c r="AJ45" s="354"/>
      <c r="AK45" s="355"/>
      <c r="AL45" s="355"/>
      <c r="AM45" s="355"/>
      <c r="AN45" s="355"/>
      <c r="AO45" s="358">
        <v>10</v>
      </c>
      <c r="AP45" s="359">
        <v>10</v>
      </c>
      <c r="AQ45" s="357">
        <v>10</v>
      </c>
      <c r="AR45" s="358">
        <v>20</v>
      </c>
      <c r="AS45" s="358">
        <v>20</v>
      </c>
      <c r="AT45" s="358">
        <v>20</v>
      </c>
      <c r="AU45" s="357">
        <v>10</v>
      </c>
      <c r="AV45" s="357"/>
      <c r="AW45" s="377"/>
      <c r="AX45" s="85"/>
      <c r="AY45" s="5"/>
      <c r="AZ45" s="331"/>
      <c r="BE45" s="2"/>
      <c r="BF45" s="2"/>
      <c r="BG45" s="2"/>
      <c r="BH45" s="2"/>
      <c r="BI45" s="2"/>
      <c r="BJ45" s="2"/>
      <c r="BK45" s="2"/>
      <c r="BL45" s="2">
        <v>1</v>
      </c>
      <c r="BM45" s="54"/>
      <c r="BN45" s="11">
        <f t="shared" ref="BN45:CX45" si="80">M45*$K45/100</f>
        <v>0</v>
      </c>
      <c r="BO45" s="11">
        <f t="shared" si="80"/>
        <v>0</v>
      </c>
      <c r="BP45" s="11">
        <f t="shared" si="80"/>
        <v>0</v>
      </c>
      <c r="BQ45" s="11">
        <f t="shared" si="80"/>
        <v>0</v>
      </c>
      <c r="BR45" s="11">
        <f t="shared" si="80"/>
        <v>0</v>
      </c>
      <c r="BS45" s="236">
        <f t="shared" si="80"/>
        <v>0</v>
      </c>
      <c r="BT45" s="11">
        <f t="shared" si="80"/>
        <v>0</v>
      </c>
      <c r="BU45" s="11">
        <f t="shared" si="80"/>
        <v>0</v>
      </c>
      <c r="BV45" s="11">
        <f t="shared" si="80"/>
        <v>0</v>
      </c>
      <c r="BW45" s="11">
        <f t="shared" si="80"/>
        <v>0</v>
      </c>
      <c r="BX45" s="11">
        <f t="shared" si="80"/>
        <v>0</v>
      </c>
      <c r="BY45" s="11">
        <f t="shared" si="80"/>
        <v>0</v>
      </c>
      <c r="BZ45" s="11">
        <f t="shared" si="80"/>
        <v>0</v>
      </c>
      <c r="CA45" s="11">
        <f t="shared" si="80"/>
        <v>0</v>
      </c>
      <c r="CB45" s="11">
        <f t="shared" si="80"/>
        <v>0</v>
      </c>
      <c r="CC45" s="11">
        <f t="shared" si="80"/>
        <v>0</v>
      </c>
      <c r="CD45" s="11">
        <f t="shared" si="80"/>
        <v>0</v>
      </c>
      <c r="CE45" s="236">
        <f t="shared" si="80"/>
        <v>0</v>
      </c>
      <c r="CF45" s="11">
        <f t="shared" si="80"/>
        <v>0</v>
      </c>
      <c r="CG45" s="11">
        <f t="shared" si="80"/>
        <v>0</v>
      </c>
      <c r="CH45" s="11">
        <f t="shared" si="80"/>
        <v>0</v>
      </c>
      <c r="CI45" s="11">
        <f t="shared" si="80"/>
        <v>0</v>
      </c>
      <c r="CJ45" s="11">
        <f t="shared" si="80"/>
        <v>0</v>
      </c>
      <c r="CK45" s="11">
        <f t="shared" si="80"/>
        <v>0</v>
      </c>
      <c r="CL45" s="11">
        <f t="shared" si="80"/>
        <v>0</v>
      </c>
      <c r="CM45" s="11">
        <f t="shared" si="80"/>
        <v>0</v>
      </c>
      <c r="CN45" s="11">
        <f t="shared" si="80"/>
        <v>0</v>
      </c>
      <c r="CO45" s="11">
        <f t="shared" si="80"/>
        <v>0</v>
      </c>
      <c r="CP45" s="11">
        <f t="shared" si="80"/>
        <v>0.13316344422771842</v>
      </c>
      <c r="CQ45" s="11">
        <f t="shared" si="80"/>
        <v>0.13316344422771842</v>
      </c>
      <c r="CR45" s="11">
        <f t="shared" si="80"/>
        <v>0.13316344422771842</v>
      </c>
      <c r="CS45" s="11">
        <f t="shared" si="80"/>
        <v>0.26632688845543684</v>
      </c>
      <c r="CT45" s="11">
        <f t="shared" si="80"/>
        <v>0.26632688845543684</v>
      </c>
      <c r="CU45" s="11">
        <f t="shared" si="80"/>
        <v>0.26632688845543684</v>
      </c>
      <c r="CV45" s="11">
        <f t="shared" si="80"/>
        <v>0.13316344422771842</v>
      </c>
      <c r="CW45" s="11">
        <f t="shared" si="80"/>
        <v>0</v>
      </c>
      <c r="CX45" s="11">
        <f t="shared" si="80"/>
        <v>0</v>
      </c>
      <c r="CY45" s="50"/>
      <c r="CZ45" s="2"/>
      <c r="DA45" s="2"/>
      <c r="DB45" s="58">
        <f t="shared" si="75"/>
        <v>1.331634442277184</v>
      </c>
      <c r="DC45" s="41">
        <f t="shared" si="76"/>
        <v>1.3316344422771842</v>
      </c>
      <c r="DD45" s="2"/>
      <c r="DE45" s="2"/>
      <c r="DF45" s="2"/>
      <c r="DG45" s="2"/>
      <c r="DH45" s="2"/>
      <c r="DI45" s="2"/>
      <c r="DJ45" s="2"/>
      <c r="DK45" s="2"/>
    </row>
    <row r="46" spans="1:115" ht="8.4" customHeight="1" x14ac:dyDescent="0.25">
      <c r="A46" s="605"/>
      <c r="B46" s="633"/>
      <c r="C46" s="609"/>
      <c r="D46" s="611"/>
      <c r="E46" s="560"/>
      <c r="F46" s="558"/>
      <c r="G46" s="560"/>
      <c r="H46" s="558"/>
      <c r="I46" s="637"/>
      <c r="J46" s="594"/>
      <c r="K46" s="596"/>
      <c r="L46" s="101"/>
      <c r="M46" s="360"/>
      <c r="N46" s="456">
        <v>0.54800000000000004</v>
      </c>
      <c r="O46" s="361"/>
      <c r="P46" s="361"/>
      <c r="Q46" s="361"/>
      <c r="R46" s="362"/>
      <c r="S46" s="360"/>
      <c r="T46" s="361"/>
      <c r="U46" s="361"/>
      <c r="V46" s="361"/>
      <c r="W46" s="361"/>
      <c r="X46" s="360"/>
      <c r="Y46" s="361"/>
      <c r="Z46" s="361"/>
      <c r="AA46" s="456">
        <v>17.003</v>
      </c>
      <c r="AB46" s="456">
        <v>36.840000000000003</v>
      </c>
      <c r="AC46" s="361"/>
      <c r="AD46" s="362"/>
      <c r="AE46" s="360"/>
      <c r="AF46" s="361"/>
      <c r="AG46" s="361"/>
      <c r="AH46" s="361"/>
      <c r="AI46" s="361"/>
      <c r="AJ46" s="360"/>
      <c r="AK46" s="361"/>
      <c r="AL46" s="361"/>
      <c r="AM46" s="361"/>
      <c r="AN46" s="361"/>
      <c r="AO46" s="363"/>
      <c r="AP46" s="364"/>
      <c r="AQ46" s="365"/>
      <c r="AR46" s="363"/>
      <c r="AS46" s="363"/>
      <c r="AT46" s="363"/>
      <c r="AU46" s="365"/>
      <c r="AV46" s="365"/>
      <c r="AW46" s="378"/>
      <c r="AX46" s="85"/>
      <c r="AY46" s="5"/>
      <c r="AZ46" s="331"/>
      <c r="BE46" s="2"/>
      <c r="BF46" s="2"/>
      <c r="BG46" s="2"/>
      <c r="BH46" s="2"/>
      <c r="BI46" s="2"/>
      <c r="BJ46" s="2"/>
      <c r="BK46" s="2"/>
      <c r="BL46" s="2">
        <v>0</v>
      </c>
      <c r="BM46" s="53"/>
      <c r="BN46" s="11">
        <f t="shared" ref="BN46:CX46" si="81">M46*$K45/100</f>
        <v>0</v>
      </c>
      <c r="BO46" s="11">
        <f t="shared" si="81"/>
        <v>7.2973567436789696E-3</v>
      </c>
      <c r="BP46" s="11">
        <f t="shared" si="81"/>
        <v>0</v>
      </c>
      <c r="BQ46" s="11">
        <f t="shared" si="81"/>
        <v>0</v>
      </c>
      <c r="BR46" s="11">
        <f t="shared" si="81"/>
        <v>0</v>
      </c>
      <c r="BS46" s="236">
        <f t="shared" si="81"/>
        <v>0</v>
      </c>
      <c r="BT46" s="11">
        <f t="shared" si="81"/>
        <v>0</v>
      </c>
      <c r="BU46" s="11">
        <f t="shared" si="81"/>
        <v>0</v>
      </c>
      <c r="BV46" s="11">
        <f t="shared" si="81"/>
        <v>0</v>
      </c>
      <c r="BW46" s="11">
        <f t="shared" si="81"/>
        <v>0</v>
      </c>
      <c r="BX46" s="11">
        <f t="shared" si="81"/>
        <v>0</v>
      </c>
      <c r="BY46" s="11">
        <f t="shared" si="81"/>
        <v>0</v>
      </c>
      <c r="BZ46" s="11">
        <f t="shared" si="81"/>
        <v>0</v>
      </c>
      <c r="CA46" s="11">
        <f t="shared" si="81"/>
        <v>0</v>
      </c>
      <c r="CB46" s="11">
        <f t="shared" si="81"/>
        <v>0.22641780422038962</v>
      </c>
      <c r="CC46" s="11">
        <f t="shared" si="81"/>
        <v>0.49057412853491472</v>
      </c>
      <c r="CD46" s="11">
        <f t="shared" si="81"/>
        <v>0</v>
      </c>
      <c r="CE46" s="236">
        <f t="shared" si="81"/>
        <v>0</v>
      </c>
      <c r="CF46" s="11">
        <f t="shared" si="81"/>
        <v>0</v>
      </c>
      <c r="CG46" s="11">
        <f t="shared" si="81"/>
        <v>0</v>
      </c>
      <c r="CH46" s="11">
        <f t="shared" si="81"/>
        <v>0</v>
      </c>
      <c r="CI46" s="11">
        <f t="shared" si="81"/>
        <v>0</v>
      </c>
      <c r="CJ46" s="11">
        <f t="shared" si="81"/>
        <v>0</v>
      </c>
      <c r="CK46" s="11">
        <f t="shared" si="81"/>
        <v>0</v>
      </c>
      <c r="CL46" s="11">
        <f t="shared" si="81"/>
        <v>0</v>
      </c>
      <c r="CM46" s="11">
        <f t="shared" si="81"/>
        <v>0</v>
      </c>
      <c r="CN46" s="11">
        <f t="shared" si="81"/>
        <v>0</v>
      </c>
      <c r="CO46" s="11">
        <f t="shared" si="81"/>
        <v>0</v>
      </c>
      <c r="CP46" s="11">
        <f t="shared" si="81"/>
        <v>0</v>
      </c>
      <c r="CQ46" s="11">
        <f t="shared" si="81"/>
        <v>0</v>
      </c>
      <c r="CR46" s="11">
        <f t="shared" si="81"/>
        <v>0</v>
      </c>
      <c r="CS46" s="11">
        <f t="shared" si="81"/>
        <v>0</v>
      </c>
      <c r="CT46" s="11">
        <f t="shared" si="81"/>
        <v>0</v>
      </c>
      <c r="CU46" s="11">
        <f t="shared" si="81"/>
        <v>0</v>
      </c>
      <c r="CV46" s="11">
        <f t="shared" si="81"/>
        <v>0</v>
      </c>
      <c r="CW46" s="11">
        <f t="shared" si="81"/>
        <v>0</v>
      </c>
      <c r="CX46" s="11">
        <f t="shared" si="81"/>
        <v>0</v>
      </c>
      <c r="CY46" s="50"/>
      <c r="CZ46" s="2"/>
      <c r="DA46" s="2"/>
      <c r="DB46" s="58">
        <f t="shared" si="75"/>
        <v>0.7242892894989833</v>
      </c>
      <c r="DC46" s="41">
        <f t="shared" si="76"/>
        <v>0</v>
      </c>
      <c r="DD46" s="2"/>
      <c r="DE46" s="2"/>
      <c r="DF46" s="2"/>
      <c r="DG46" s="2"/>
      <c r="DH46" s="2"/>
      <c r="DI46" s="2"/>
      <c r="DJ46" s="2"/>
      <c r="DK46" s="2"/>
    </row>
    <row r="47" spans="1:115" ht="8.4" customHeight="1" x14ac:dyDescent="0.25">
      <c r="A47" s="638">
        <v>-1</v>
      </c>
      <c r="B47" s="632" t="s">
        <v>35</v>
      </c>
      <c r="C47" s="608" t="s">
        <v>6</v>
      </c>
      <c r="D47" s="610">
        <v>1</v>
      </c>
      <c r="E47" s="559">
        <f t="shared" ref="E47" si="82">F47*100/SUM($K$45:$K$50)</f>
        <v>0</v>
      </c>
      <c r="F47" s="557">
        <f t="shared" ref="F47" si="83">K47*SUM(M47:AG47)/100</f>
        <v>0</v>
      </c>
      <c r="G47" s="634"/>
      <c r="H47" s="557">
        <f t="shared" ref="H47" si="84">SUM(L48:AJ48)</f>
        <v>0</v>
      </c>
      <c r="I47" s="612">
        <f>'BOQ แก้ไขสัญญา'!AF32</f>
        <v>358105</v>
      </c>
      <c r="J47" s="593">
        <f t="shared" si="0"/>
        <v>358105</v>
      </c>
      <c r="K47" s="595">
        <f>J47*100/GTotal</f>
        <v>0.15015187958743803</v>
      </c>
      <c r="L47" s="101"/>
      <c r="M47" s="354"/>
      <c r="N47" s="355"/>
      <c r="O47" s="355"/>
      <c r="P47" s="355"/>
      <c r="Q47" s="355"/>
      <c r="R47" s="356"/>
      <c r="S47" s="354"/>
      <c r="T47" s="355"/>
      <c r="U47" s="355"/>
      <c r="V47" s="355"/>
      <c r="W47" s="355"/>
      <c r="X47" s="354"/>
      <c r="Y47" s="355"/>
      <c r="Z47" s="355"/>
      <c r="AA47" s="355"/>
      <c r="AB47" s="355"/>
      <c r="AC47" s="355"/>
      <c r="AD47" s="356"/>
      <c r="AE47" s="354"/>
      <c r="AF47" s="355"/>
      <c r="AG47" s="355"/>
      <c r="AH47" s="355"/>
      <c r="AI47" s="355"/>
      <c r="AJ47" s="354"/>
      <c r="AK47" s="355"/>
      <c r="AL47" s="355"/>
      <c r="AM47" s="355"/>
      <c r="AN47" s="355"/>
      <c r="AO47" s="358"/>
      <c r="AP47" s="359"/>
      <c r="AQ47" s="357"/>
      <c r="AR47" s="358">
        <v>25</v>
      </c>
      <c r="AS47" s="358">
        <v>25</v>
      </c>
      <c r="AT47" s="358">
        <v>25</v>
      </c>
      <c r="AU47" s="357">
        <v>25</v>
      </c>
      <c r="AV47" s="357"/>
      <c r="AW47" s="377"/>
      <c r="AX47" s="85"/>
      <c r="AY47" s="5"/>
      <c r="AZ47" s="331"/>
      <c r="BE47" s="2"/>
      <c r="BF47" s="2"/>
      <c r="BG47" s="2"/>
      <c r="BH47" s="2"/>
      <c r="BI47" s="2"/>
      <c r="BJ47" s="2"/>
      <c r="BK47" s="2"/>
      <c r="BL47" s="2">
        <v>1</v>
      </c>
      <c r="BM47" s="54"/>
      <c r="BN47" s="11">
        <f t="shared" ref="BN47:CX47" si="85">M47*$K47/100</f>
        <v>0</v>
      </c>
      <c r="BO47" s="11">
        <f t="shared" si="85"/>
        <v>0</v>
      </c>
      <c r="BP47" s="11">
        <f t="shared" si="85"/>
        <v>0</v>
      </c>
      <c r="BQ47" s="11">
        <f t="shared" si="85"/>
        <v>0</v>
      </c>
      <c r="BR47" s="11">
        <f t="shared" si="85"/>
        <v>0</v>
      </c>
      <c r="BS47" s="236">
        <f t="shared" si="85"/>
        <v>0</v>
      </c>
      <c r="BT47" s="11">
        <f t="shared" si="85"/>
        <v>0</v>
      </c>
      <c r="BU47" s="11">
        <f t="shared" si="85"/>
        <v>0</v>
      </c>
      <c r="BV47" s="11">
        <f t="shared" si="85"/>
        <v>0</v>
      </c>
      <c r="BW47" s="11">
        <f t="shared" si="85"/>
        <v>0</v>
      </c>
      <c r="BX47" s="11">
        <f t="shared" si="85"/>
        <v>0</v>
      </c>
      <c r="BY47" s="11">
        <f t="shared" si="85"/>
        <v>0</v>
      </c>
      <c r="BZ47" s="11">
        <f t="shared" si="85"/>
        <v>0</v>
      </c>
      <c r="CA47" s="11">
        <f t="shared" si="85"/>
        <v>0</v>
      </c>
      <c r="CB47" s="11">
        <f t="shared" si="85"/>
        <v>0</v>
      </c>
      <c r="CC47" s="11">
        <f t="shared" si="85"/>
        <v>0</v>
      </c>
      <c r="CD47" s="11">
        <f t="shared" si="85"/>
        <v>0</v>
      </c>
      <c r="CE47" s="236">
        <f t="shared" si="85"/>
        <v>0</v>
      </c>
      <c r="CF47" s="11">
        <f t="shared" si="85"/>
        <v>0</v>
      </c>
      <c r="CG47" s="11">
        <f t="shared" si="85"/>
        <v>0</v>
      </c>
      <c r="CH47" s="11">
        <f t="shared" si="85"/>
        <v>0</v>
      </c>
      <c r="CI47" s="11">
        <f t="shared" si="85"/>
        <v>0</v>
      </c>
      <c r="CJ47" s="11">
        <f t="shared" si="85"/>
        <v>0</v>
      </c>
      <c r="CK47" s="11">
        <f t="shared" si="85"/>
        <v>0</v>
      </c>
      <c r="CL47" s="11">
        <f t="shared" si="85"/>
        <v>0</v>
      </c>
      <c r="CM47" s="11">
        <f t="shared" si="85"/>
        <v>0</v>
      </c>
      <c r="CN47" s="11">
        <f t="shared" si="85"/>
        <v>0</v>
      </c>
      <c r="CO47" s="11">
        <f t="shared" si="85"/>
        <v>0</v>
      </c>
      <c r="CP47" s="11">
        <f t="shared" si="85"/>
        <v>0</v>
      </c>
      <c r="CQ47" s="11">
        <f t="shared" si="85"/>
        <v>0</v>
      </c>
      <c r="CR47" s="11">
        <f t="shared" si="85"/>
        <v>0</v>
      </c>
      <c r="CS47" s="11">
        <f t="shared" si="85"/>
        <v>3.7537969896859508E-2</v>
      </c>
      <c r="CT47" s="11">
        <f t="shared" si="85"/>
        <v>3.7537969896859508E-2</v>
      </c>
      <c r="CU47" s="11">
        <f t="shared" si="85"/>
        <v>3.7537969896859508E-2</v>
      </c>
      <c r="CV47" s="11">
        <f t="shared" si="85"/>
        <v>3.7537969896859508E-2</v>
      </c>
      <c r="CW47" s="11">
        <f t="shared" si="85"/>
        <v>0</v>
      </c>
      <c r="CX47" s="11">
        <f t="shared" si="85"/>
        <v>0</v>
      </c>
      <c r="CY47" s="50"/>
      <c r="CZ47" s="2"/>
      <c r="DA47" s="2"/>
      <c r="DB47" s="58">
        <f t="shared" si="75"/>
        <v>0.15015187958743803</v>
      </c>
      <c r="DC47" s="41">
        <f t="shared" si="76"/>
        <v>0.15015187958743803</v>
      </c>
      <c r="DD47" s="2"/>
      <c r="DE47" s="2"/>
      <c r="DF47" s="2"/>
      <c r="DG47" s="2"/>
      <c r="DH47" s="2"/>
      <c r="DI47" s="2"/>
      <c r="DJ47" s="2"/>
      <c r="DK47" s="2"/>
    </row>
    <row r="48" spans="1:115" ht="8.4" customHeight="1" x14ac:dyDescent="0.25">
      <c r="A48" s="639"/>
      <c r="B48" s="633"/>
      <c r="C48" s="609"/>
      <c r="D48" s="611"/>
      <c r="E48" s="560"/>
      <c r="F48" s="558"/>
      <c r="G48" s="560"/>
      <c r="H48" s="558"/>
      <c r="I48" s="637"/>
      <c r="J48" s="594"/>
      <c r="K48" s="596"/>
      <c r="L48" s="101"/>
      <c r="M48" s="368"/>
      <c r="N48" s="361"/>
      <c r="O48" s="361"/>
      <c r="P48" s="361"/>
      <c r="Q48" s="361"/>
      <c r="R48" s="362"/>
      <c r="S48" s="360"/>
      <c r="T48" s="361"/>
      <c r="U48" s="361"/>
      <c r="V48" s="361"/>
      <c r="W48" s="361"/>
      <c r="X48" s="360"/>
      <c r="Y48" s="361"/>
      <c r="Z48" s="361"/>
      <c r="AA48" s="361"/>
      <c r="AB48" s="361"/>
      <c r="AC48" s="361"/>
      <c r="AD48" s="362"/>
      <c r="AE48" s="360"/>
      <c r="AF48" s="361"/>
      <c r="AG48" s="361"/>
      <c r="AH48" s="361"/>
      <c r="AI48" s="361"/>
      <c r="AJ48" s="360"/>
      <c r="AK48" s="361"/>
      <c r="AL48" s="361"/>
      <c r="AM48" s="361"/>
      <c r="AN48" s="361"/>
      <c r="AO48" s="363"/>
      <c r="AP48" s="364"/>
      <c r="AQ48" s="365"/>
      <c r="AR48" s="363"/>
      <c r="AS48" s="363"/>
      <c r="AT48" s="363"/>
      <c r="AU48" s="365"/>
      <c r="AV48" s="365"/>
      <c r="AW48" s="378"/>
      <c r="AX48" s="85"/>
      <c r="AY48" s="5"/>
      <c r="AZ48" s="331"/>
      <c r="BE48" s="2"/>
      <c r="BF48" s="2"/>
      <c r="BG48" s="2"/>
      <c r="BH48" s="2"/>
      <c r="BI48" s="2"/>
      <c r="BJ48" s="2"/>
      <c r="BK48" s="2"/>
      <c r="BL48" s="2">
        <v>0</v>
      </c>
      <c r="BM48" s="53"/>
      <c r="BN48" s="11">
        <f t="shared" ref="BN48:CX48" si="86">M48*$K47/100</f>
        <v>0</v>
      </c>
      <c r="BO48" s="11">
        <f t="shared" si="86"/>
        <v>0</v>
      </c>
      <c r="BP48" s="11">
        <f t="shared" si="86"/>
        <v>0</v>
      </c>
      <c r="BQ48" s="11">
        <f t="shared" si="86"/>
        <v>0</v>
      </c>
      <c r="BR48" s="11">
        <f t="shared" si="86"/>
        <v>0</v>
      </c>
      <c r="BS48" s="236">
        <f t="shared" si="86"/>
        <v>0</v>
      </c>
      <c r="BT48" s="11">
        <f t="shared" si="86"/>
        <v>0</v>
      </c>
      <c r="BU48" s="11">
        <f t="shared" si="86"/>
        <v>0</v>
      </c>
      <c r="BV48" s="11">
        <f t="shared" si="86"/>
        <v>0</v>
      </c>
      <c r="BW48" s="11">
        <f t="shared" si="86"/>
        <v>0</v>
      </c>
      <c r="BX48" s="11">
        <f t="shared" si="86"/>
        <v>0</v>
      </c>
      <c r="BY48" s="11">
        <f t="shared" si="86"/>
        <v>0</v>
      </c>
      <c r="BZ48" s="11">
        <f t="shared" si="86"/>
        <v>0</v>
      </c>
      <c r="CA48" s="11">
        <f t="shared" si="86"/>
        <v>0</v>
      </c>
      <c r="CB48" s="11">
        <f t="shared" si="86"/>
        <v>0</v>
      </c>
      <c r="CC48" s="11">
        <f t="shared" si="86"/>
        <v>0</v>
      </c>
      <c r="CD48" s="11">
        <f t="shared" si="86"/>
        <v>0</v>
      </c>
      <c r="CE48" s="236">
        <f t="shared" si="86"/>
        <v>0</v>
      </c>
      <c r="CF48" s="11">
        <f t="shared" si="86"/>
        <v>0</v>
      </c>
      <c r="CG48" s="11">
        <f t="shared" si="86"/>
        <v>0</v>
      </c>
      <c r="CH48" s="11">
        <f t="shared" si="86"/>
        <v>0</v>
      </c>
      <c r="CI48" s="11">
        <f t="shared" si="86"/>
        <v>0</v>
      </c>
      <c r="CJ48" s="11">
        <f t="shared" si="86"/>
        <v>0</v>
      </c>
      <c r="CK48" s="11">
        <f t="shared" si="86"/>
        <v>0</v>
      </c>
      <c r="CL48" s="11">
        <f t="shared" si="86"/>
        <v>0</v>
      </c>
      <c r="CM48" s="11">
        <f t="shared" si="86"/>
        <v>0</v>
      </c>
      <c r="CN48" s="11">
        <f t="shared" si="86"/>
        <v>0</v>
      </c>
      <c r="CO48" s="11">
        <f t="shared" si="86"/>
        <v>0</v>
      </c>
      <c r="CP48" s="11">
        <f t="shared" si="86"/>
        <v>0</v>
      </c>
      <c r="CQ48" s="11">
        <f t="shared" si="86"/>
        <v>0</v>
      </c>
      <c r="CR48" s="11">
        <f t="shared" si="86"/>
        <v>0</v>
      </c>
      <c r="CS48" s="11">
        <f t="shared" si="86"/>
        <v>0</v>
      </c>
      <c r="CT48" s="11">
        <f t="shared" si="86"/>
        <v>0</v>
      </c>
      <c r="CU48" s="11">
        <f t="shared" si="86"/>
        <v>0</v>
      </c>
      <c r="CV48" s="11">
        <f t="shared" si="86"/>
        <v>0</v>
      </c>
      <c r="CW48" s="11">
        <f t="shared" si="86"/>
        <v>0</v>
      </c>
      <c r="CX48" s="11">
        <f t="shared" si="86"/>
        <v>0</v>
      </c>
      <c r="CY48" s="50"/>
      <c r="CZ48" s="2"/>
      <c r="DA48" s="2"/>
      <c r="DB48" s="58">
        <f t="shared" si="75"/>
        <v>0</v>
      </c>
      <c r="DC48" s="41">
        <f t="shared" si="76"/>
        <v>0</v>
      </c>
      <c r="DD48" s="2"/>
      <c r="DE48" s="2"/>
      <c r="DF48" s="2"/>
      <c r="DG48" s="2"/>
      <c r="DH48" s="2"/>
      <c r="DI48" s="2"/>
      <c r="DJ48" s="2"/>
      <c r="DK48" s="2"/>
    </row>
    <row r="49" spans="1:115" ht="8.4" customHeight="1" x14ac:dyDescent="0.25">
      <c r="A49" s="638">
        <v>-2</v>
      </c>
      <c r="B49" s="632" t="s">
        <v>121</v>
      </c>
      <c r="C49" s="608" t="s">
        <v>6</v>
      </c>
      <c r="D49" s="610">
        <v>1</v>
      </c>
      <c r="E49" s="559">
        <f t="shared" ref="E49" si="87">F49*100/SUM($K$45:$K$50)</f>
        <v>0</v>
      </c>
      <c r="F49" s="557">
        <f t="shared" ref="F49" si="88">K49*SUM(M49:AG49)/100</f>
        <v>0</v>
      </c>
      <c r="G49" s="559"/>
      <c r="H49" s="557">
        <f t="shared" ref="H49" si="89">SUM(L50:AJ50)</f>
        <v>0</v>
      </c>
      <c r="I49" s="612">
        <f>'BOQ แก้ไขสัญญา'!AF33</f>
        <v>295042</v>
      </c>
      <c r="J49" s="593">
        <f t="shared" si="0"/>
        <v>295042</v>
      </c>
      <c r="K49" s="595">
        <f>J49*100/GTotal</f>
        <v>0.12370983610180504</v>
      </c>
      <c r="L49" s="101"/>
      <c r="M49" s="354"/>
      <c r="N49" s="355"/>
      <c r="O49" s="355"/>
      <c r="P49" s="355"/>
      <c r="Q49" s="355"/>
      <c r="R49" s="356"/>
      <c r="S49" s="354"/>
      <c r="T49" s="355"/>
      <c r="U49" s="355"/>
      <c r="V49" s="355"/>
      <c r="W49" s="355"/>
      <c r="X49" s="354"/>
      <c r="Y49" s="355"/>
      <c r="Z49" s="355"/>
      <c r="AA49" s="355"/>
      <c r="AB49" s="355"/>
      <c r="AC49" s="355"/>
      <c r="AD49" s="356"/>
      <c r="AE49" s="354"/>
      <c r="AF49" s="355"/>
      <c r="AG49" s="355"/>
      <c r="AH49" s="355"/>
      <c r="AI49" s="355"/>
      <c r="AJ49" s="354"/>
      <c r="AK49" s="355"/>
      <c r="AL49" s="355"/>
      <c r="AM49" s="355"/>
      <c r="AN49" s="355"/>
      <c r="AO49" s="358"/>
      <c r="AP49" s="359"/>
      <c r="AQ49" s="357"/>
      <c r="AR49" s="358"/>
      <c r="AS49" s="358">
        <v>30</v>
      </c>
      <c r="AT49" s="358">
        <v>30</v>
      </c>
      <c r="AU49" s="358">
        <v>40</v>
      </c>
      <c r="AV49" s="357"/>
      <c r="AW49" s="377"/>
      <c r="AX49" s="85"/>
      <c r="AY49" s="5"/>
      <c r="AZ49" s="331"/>
      <c r="BE49" s="2"/>
      <c r="BF49" s="2"/>
      <c r="BG49" s="2"/>
      <c r="BH49" s="2"/>
      <c r="BI49" s="2"/>
      <c r="BJ49" s="2"/>
      <c r="BK49" s="2"/>
      <c r="BL49" s="2">
        <v>1</v>
      </c>
      <c r="BM49" s="54"/>
      <c r="BN49" s="11">
        <f t="shared" ref="BN49:CX49" si="90">M49*$K49/100</f>
        <v>0</v>
      </c>
      <c r="BO49" s="11">
        <f t="shared" si="90"/>
        <v>0</v>
      </c>
      <c r="BP49" s="11">
        <f t="shared" si="90"/>
        <v>0</v>
      </c>
      <c r="BQ49" s="11">
        <f t="shared" si="90"/>
        <v>0</v>
      </c>
      <c r="BR49" s="11">
        <f t="shared" si="90"/>
        <v>0</v>
      </c>
      <c r="BS49" s="236">
        <f t="shared" si="90"/>
        <v>0</v>
      </c>
      <c r="BT49" s="11">
        <f t="shared" si="90"/>
        <v>0</v>
      </c>
      <c r="BU49" s="11">
        <f t="shared" si="90"/>
        <v>0</v>
      </c>
      <c r="BV49" s="11">
        <f t="shared" si="90"/>
        <v>0</v>
      </c>
      <c r="BW49" s="11">
        <f t="shared" si="90"/>
        <v>0</v>
      </c>
      <c r="BX49" s="11">
        <f t="shared" si="90"/>
        <v>0</v>
      </c>
      <c r="BY49" s="11">
        <f t="shared" si="90"/>
        <v>0</v>
      </c>
      <c r="BZ49" s="11">
        <f t="shared" si="90"/>
        <v>0</v>
      </c>
      <c r="CA49" s="11">
        <f t="shared" si="90"/>
        <v>0</v>
      </c>
      <c r="CB49" s="11">
        <f t="shared" si="90"/>
        <v>0</v>
      </c>
      <c r="CC49" s="11">
        <f t="shared" si="90"/>
        <v>0</v>
      </c>
      <c r="CD49" s="11">
        <f t="shared" si="90"/>
        <v>0</v>
      </c>
      <c r="CE49" s="236">
        <f t="shared" si="90"/>
        <v>0</v>
      </c>
      <c r="CF49" s="11">
        <f t="shared" si="90"/>
        <v>0</v>
      </c>
      <c r="CG49" s="11">
        <f t="shared" si="90"/>
        <v>0</v>
      </c>
      <c r="CH49" s="11">
        <f t="shared" si="90"/>
        <v>0</v>
      </c>
      <c r="CI49" s="11">
        <f t="shared" si="90"/>
        <v>0</v>
      </c>
      <c r="CJ49" s="11">
        <f t="shared" si="90"/>
        <v>0</v>
      </c>
      <c r="CK49" s="11">
        <f t="shared" si="90"/>
        <v>0</v>
      </c>
      <c r="CL49" s="11">
        <f t="shared" si="90"/>
        <v>0</v>
      </c>
      <c r="CM49" s="11">
        <f t="shared" si="90"/>
        <v>0</v>
      </c>
      <c r="CN49" s="11">
        <f t="shared" si="90"/>
        <v>0</v>
      </c>
      <c r="CO49" s="11">
        <f t="shared" si="90"/>
        <v>0</v>
      </c>
      <c r="CP49" s="11">
        <f t="shared" si="90"/>
        <v>0</v>
      </c>
      <c r="CQ49" s="11">
        <f t="shared" si="90"/>
        <v>0</v>
      </c>
      <c r="CR49" s="11">
        <f t="shared" si="90"/>
        <v>0</v>
      </c>
      <c r="CS49" s="11">
        <f t="shared" si="90"/>
        <v>0</v>
      </c>
      <c r="CT49" s="11">
        <f t="shared" si="90"/>
        <v>3.7112950830541516E-2</v>
      </c>
      <c r="CU49" s="11">
        <f t="shared" si="90"/>
        <v>3.7112950830541516E-2</v>
      </c>
      <c r="CV49" s="11">
        <f t="shared" si="90"/>
        <v>4.9483934440722015E-2</v>
      </c>
      <c r="CW49" s="11">
        <f t="shared" si="90"/>
        <v>0</v>
      </c>
      <c r="CX49" s="11">
        <f t="shared" si="90"/>
        <v>0</v>
      </c>
      <c r="CY49" s="50"/>
      <c r="CZ49" s="2"/>
      <c r="DA49" s="2"/>
      <c r="DB49" s="58">
        <f t="shared" si="75"/>
        <v>0.12370983610180505</v>
      </c>
      <c r="DC49" s="41">
        <f t="shared" si="76"/>
        <v>0.12370983610180504</v>
      </c>
      <c r="DD49" s="2"/>
      <c r="DE49" s="2"/>
      <c r="DF49" s="2"/>
      <c r="DG49" s="2"/>
      <c r="DH49" s="2"/>
      <c r="DI49" s="2"/>
      <c r="DJ49" s="2"/>
      <c r="DK49" s="2"/>
    </row>
    <row r="50" spans="1:115" ht="8.4" customHeight="1" x14ac:dyDescent="0.25">
      <c r="A50" s="639"/>
      <c r="B50" s="633"/>
      <c r="C50" s="609"/>
      <c r="D50" s="611"/>
      <c r="E50" s="560"/>
      <c r="F50" s="558"/>
      <c r="G50" s="560"/>
      <c r="H50" s="558"/>
      <c r="I50" s="637"/>
      <c r="J50" s="594"/>
      <c r="K50" s="596"/>
      <c r="L50" s="101"/>
      <c r="M50" s="360"/>
      <c r="N50" s="361"/>
      <c r="O50" s="361"/>
      <c r="P50" s="361"/>
      <c r="Q50" s="361"/>
      <c r="R50" s="362"/>
      <c r="S50" s="360"/>
      <c r="T50" s="361"/>
      <c r="U50" s="361"/>
      <c r="V50" s="361"/>
      <c r="W50" s="361"/>
      <c r="X50" s="360"/>
      <c r="Y50" s="361"/>
      <c r="Z50" s="361"/>
      <c r="AA50" s="361"/>
      <c r="AB50" s="361"/>
      <c r="AC50" s="361"/>
      <c r="AD50" s="362"/>
      <c r="AE50" s="360"/>
      <c r="AF50" s="361"/>
      <c r="AG50" s="361"/>
      <c r="AH50" s="361"/>
      <c r="AI50" s="360"/>
      <c r="AJ50" s="360"/>
      <c r="AK50" s="360"/>
      <c r="AL50" s="361"/>
      <c r="AM50" s="361"/>
      <c r="AN50" s="360"/>
      <c r="AO50" s="365"/>
      <c r="AP50" s="364"/>
      <c r="AQ50" s="365"/>
      <c r="AR50" s="365"/>
      <c r="AS50" s="365"/>
      <c r="AT50" s="365"/>
      <c r="AU50" s="365"/>
      <c r="AV50" s="365"/>
      <c r="AW50" s="378"/>
      <c r="AX50" s="85"/>
      <c r="AY50" s="5"/>
      <c r="AZ50" s="331"/>
      <c r="BE50" s="2"/>
      <c r="BF50" s="2"/>
      <c r="BG50" s="2"/>
      <c r="BH50" s="2"/>
      <c r="BI50" s="2"/>
      <c r="BJ50" s="2"/>
      <c r="BK50" s="2"/>
      <c r="BL50" s="2">
        <v>0</v>
      </c>
      <c r="BM50" s="53"/>
      <c r="BN50" s="11">
        <f t="shared" ref="BN50:CX50" si="91">M50*$K49/100</f>
        <v>0</v>
      </c>
      <c r="BO50" s="11">
        <f t="shared" si="91"/>
        <v>0</v>
      </c>
      <c r="BP50" s="11">
        <f t="shared" si="91"/>
        <v>0</v>
      </c>
      <c r="BQ50" s="11">
        <f t="shared" si="91"/>
        <v>0</v>
      </c>
      <c r="BR50" s="11">
        <f t="shared" si="91"/>
        <v>0</v>
      </c>
      <c r="BS50" s="236">
        <f t="shared" si="91"/>
        <v>0</v>
      </c>
      <c r="BT50" s="11">
        <f t="shared" si="91"/>
        <v>0</v>
      </c>
      <c r="BU50" s="11">
        <f t="shared" si="91"/>
        <v>0</v>
      </c>
      <c r="BV50" s="11">
        <f t="shared" si="91"/>
        <v>0</v>
      </c>
      <c r="BW50" s="11">
        <f t="shared" si="91"/>
        <v>0</v>
      </c>
      <c r="BX50" s="11">
        <f t="shared" si="91"/>
        <v>0</v>
      </c>
      <c r="BY50" s="11">
        <f t="shared" si="91"/>
        <v>0</v>
      </c>
      <c r="BZ50" s="11">
        <f t="shared" si="91"/>
        <v>0</v>
      </c>
      <c r="CA50" s="11">
        <f t="shared" si="91"/>
        <v>0</v>
      </c>
      <c r="CB50" s="11">
        <f t="shared" si="91"/>
        <v>0</v>
      </c>
      <c r="CC50" s="11">
        <f t="shared" si="91"/>
        <v>0</v>
      </c>
      <c r="CD50" s="11">
        <f t="shared" si="91"/>
        <v>0</v>
      </c>
      <c r="CE50" s="236">
        <f t="shared" si="91"/>
        <v>0</v>
      </c>
      <c r="CF50" s="11">
        <f t="shared" si="91"/>
        <v>0</v>
      </c>
      <c r="CG50" s="11">
        <f t="shared" si="91"/>
        <v>0</v>
      </c>
      <c r="CH50" s="11">
        <f t="shared" si="91"/>
        <v>0</v>
      </c>
      <c r="CI50" s="11">
        <f t="shared" si="91"/>
        <v>0</v>
      </c>
      <c r="CJ50" s="11">
        <f t="shared" si="91"/>
        <v>0</v>
      </c>
      <c r="CK50" s="11">
        <f t="shared" si="91"/>
        <v>0</v>
      </c>
      <c r="CL50" s="11">
        <f t="shared" si="91"/>
        <v>0</v>
      </c>
      <c r="CM50" s="11">
        <f t="shared" si="91"/>
        <v>0</v>
      </c>
      <c r="CN50" s="11">
        <f t="shared" si="91"/>
        <v>0</v>
      </c>
      <c r="CO50" s="11">
        <f t="shared" si="91"/>
        <v>0</v>
      </c>
      <c r="CP50" s="11">
        <f t="shared" si="91"/>
        <v>0</v>
      </c>
      <c r="CQ50" s="11">
        <f t="shared" si="91"/>
        <v>0</v>
      </c>
      <c r="CR50" s="11">
        <f t="shared" si="91"/>
        <v>0</v>
      </c>
      <c r="CS50" s="11">
        <f t="shared" si="91"/>
        <v>0</v>
      </c>
      <c r="CT50" s="11">
        <f t="shared" si="91"/>
        <v>0</v>
      </c>
      <c r="CU50" s="11">
        <f t="shared" si="91"/>
        <v>0</v>
      </c>
      <c r="CV50" s="11">
        <f t="shared" si="91"/>
        <v>0</v>
      </c>
      <c r="CW50" s="11">
        <f t="shared" si="91"/>
        <v>0</v>
      </c>
      <c r="CX50" s="11">
        <f t="shared" si="91"/>
        <v>0</v>
      </c>
      <c r="CY50" s="50"/>
      <c r="CZ50" s="2"/>
      <c r="DA50" s="2"/>
      <c r="DB50" s="58">
        <f t="shared" si="75"/>
        <v>0</v>
      </c>
      <c r="DC50" s="41">
        <f t="shared" si="76"/>
        <v>0</v>
      </c>
      <c r="DD50" s="2"/>
      <c r="DE50" s="2"/>
      <c r="DF50" s="2"/>
      <c r="DG50" s="2"/>
      <c r="DH50" s="2"/>
      <c r="DI50" s="2"/>
      <c r="DJ50" s="2"/>
      <c r="DK50" s="2"/>
    </row>
    <row r="51" spans="1:115" ht="8.4" customHeight="1" x14ac:dyDescent="0.25">
      <c r="A51" s="604">
        <v>1.6</v>
      </c>
      <c r="B51" s="632" t="s">
        <v>120</v>
      </c>
      <c r="C51" s="608" t="s">
        <v>6</v>
      </c>
      <c r="D51" s="610">
        <v>1</v>
      </c>
      <c r="E51" s="559">
        <f>F51*100/SUM($K$51:$K$56)</f>
        <v>0</v>
      </c>
      <c r="F51" s="557">
        <f t="shared" ref="F51" si="92">K51*SUM(M51:AG51)/100</f>
        <v>0</v>
      </c>
      <c r="G51" s="559"/>
      <c r="H51" s="557">
        <f t="shared" ref="H51" si="93">SUM(L52:AJ52)</f>
        <v>82.375</v>
      </c>
      <c r="I51" s="612">
        <f>'BOQ แก้ไขสัญญา'!AF35</f>
        <v>3323085</v>
      </c>
      <c r="J51" s="593">
        <f t="shared" si="0"/>
        <v>3323085</v>
      </c>
      <c r="K51" s="595">
        <f>J51*100/GTotal</f>
        <v>1.3933551857103965</v>
      </c>
      <c r="L51" s="101"/>
      <c r="M51" s="354"/>
      <c r="N51" s="354"/>
      <c r="O51" s="355"/>
      <c r="P51" s="355"/>
      <c r="Q51" s="355"/>
      <c r="R51" s="356"/>
      <c r="S51" s="354"/>
      <c r="T51" s="355"/>
      <c r="U51" s="355"/>
      <c r="V51" s="355"/>
      <c r="W51" s="354"/>
      <c r="X51" s="355"/>
      <c r="Y51" s="355"/>
      <c r="Z51" s="355"/>
      <c r="AA51" s="354"/>
      <c r="AB51" s="355"/>
      <c r="AC51" s="355"/>
      <c r="AD51" s="356"/>
      <c r="AE51" s="354"/>
      <c r="AF51" s="354"/>
      <c r="AG51" s="355"/>
      <c r="AH51" s="355"/>
      <c r="AI51" s="354"/>
      <c r="AJ51" s="379">
        <v>4</v>
      </c>
      <c r="AK51" s="380">
        <v>4</v>
      </c>
      <c r="AL51" s="380">
        <v>4</v>
      </c>
      <c r="AM51" s="380">
        <v>4</v>
      </c>
      <c r="AN51" s="379">
        <v>4</v>
      </c>
      <c r="AO51" s="357">
        <v>4</v>
      </c>
      <c r="AP51" s="359">
        <v>8</v>
      </c>
      <c r="AQ51" s="357">
        <v>8</v>
      </c>
      <c r="AR51" s="357">
        <v>10</v>
      </c>
      <c r="AS51" s="358">
        <v>10</v>
      </c>
      <c r="AT51" s="358">
        <v>10</v>
      </c>
      <c r="AU51" s="358">
        <v>10</v>
      </c>
      <c r="AV51" s="358">
        <v>10</v>
      </c>
      <c r="AW51" s="358">
        <v>10</v>
      </c>
      <c r="AX51" s="85"/>
      <c r="AY51" s="5"/>
      <c r="AZ51" s="331">
        <v>60</v>
      </c>
      <c r="BE51" s="2"/>
      <c r="BF51" s="2"/>
      <c r="BG51" s="2"/>
      <c r="BH51" s="2"/>
      <c r="BI51" s="2"/>
      <c r="BJ51" s="2"/>
      <c r="BK51" s="2"/>
      <c r="BL51" s="2">
        <v>1</v>
      </c>
      <c r="BM51" s="54"/>
      <c r="BN51" s="11">
        <f t="shared" ref="BN51:CX51" si="94">M51*$K51/100</f>
        <v>0</v>
      </c>
      <c r="BO51" s="11">
        <f t="shared" si="94"/>
        <v>0</v>
      </c>
      <c r="BP51" s="11">
        <f t="shared" si="94"/>
        <v>0</v>
      </c>
      <c r="BQ51" s="11">
        <f t="shared" si="94"/>
        <v>0</v>
      </c>
      <c r="BR51" s="11">
        <f t="shared" si="94"/>
        <v>0</v>
      </c>
      <c r="BS51" s="236">
        <f t="shared" si="94"/>
        <v>0</v>
      </c>
      <c r="BT51" s="11">
        <f t="shared" si="94"/>
        <v>0</v>
      </c>
      <c r="BU51" s="11">
        <f t="shared" si="94"/>
        <v>0</v>
      </c>
      <c r="BV51" s="11">
        <f t="shared" si="94"/>
        <v>0</v>
      </c>
      <c r="BW51" s="11">
        <f t="shared" si="94"/>
        <v>0</v>
      </c>
      <c r="BX51" s="11">
        <f t="shared" si="94"/>
        <v>0</v>
      </c>
      <c r="BY51" s="11">
        <f t="shared" si="94"/>
        <v>0</v>
      </c>
      <c r="BZ51" s="11">
        <f t="shared" si="94"/>
        <v>0</v>
      </c>
      <c r="CA51" s="11">
        <f t="shared" si="94"/>
        <v>0</v>
      </c>
      <c r="CB51" s="11">
        <f t="shared" si="94"/>
        <v>0</v>
      </c>
      <c r="CC51" s="11">
        <f t="shared" si="94"/>
        <v>0</v>
      </c>
      <c r="CD51" s="11">
        <f t="shared" si="94"/>
        <v>0</v>
      </c>
      <c r="CE51" s="236">
        <f t="shared" si="94"/>
        <v>0</v>
      </c>
      <c r="CF51" s="11">
        <f t="shared" si="94"/>
        <v>0</v>
      </c>
      <c r="CG51" s="11">
        <f t="shared" si="94"/>
        <v>0</v>
      </c>
      <c r="CH51" s="11">
        <f t="shared" si="94"/>
        <v>0</v>
      </c>
      <c r="CI51" s="11">
        <f t="shared" si="94"/>
        <v>0</v>
      </c>
      <c r="CJ51" s="11">
        <f t="shared" si="94"/>
        <v>0</v>
      </c>
      <c r="CK51" s="11">
        <f t="shared" si="94"/>
        <v>5.5734207428415859E-2</v>
      </c>
      <c r="CL51" s="11">
        <f t="shared" si="94"/>
        <v>5.5734207428415859E-2</v>
      </c>
      <c r="CM51" s="11">
        <f t="shared" si="94"/>
        <v>5.5734207428415859E-2</v>
      </c>
      <c r="CN51" s="11">
        <f t="shared" si="94"/>
        <v>5.5734207428415859E-2</v>
      </c>
      <c r="CO51" s="11">
        <f t="shared" si="94"/>
        <v>5.5734207428415859E-2</v>
      </c>
      <c r="CP51" s="11">
        <f t="shared" si="94"/>
        <v>5.5734207428415859E-2</v>
      </c>
      <c r="CQ51" s="11">
        <f t="shared" si="94"/>
        <v>0.11146841485683172</v>
      </c>
      <c r="CR51" s="11">
        <f t="shared" si="94"/>
        <v>0.11146841485683172</v>
      </c>
      <c r="CS51" s="11">
        <f t="shared" si="94"/>
        <v>0.13933551857103965</v>
      </c>
      <c r="CT51" s="11">
        <f t="shared" si="94"/>
        <v>0.13933551857103965</v>
      </c>
      <c r="CU51" s="11">
        <f t="shared" si="94"/>
        <v>0.13933551857103965</v>
      </c>
      <c r="CV51" s="11">
        <f t="shared" si="94"/>
        <v>0.13933551857103965</v>
      </c>
      <c r="CW51" s="11">
        <f t="shared" si="94"/>
        <v>0.13933551857103965</v>
      </c>
      <c r="CX51" s="11">
        <f t="shared" si="94"/>
        <v>0.13933551857103965</v>
      </c>
      <c r="CY51" s="50"/>
      <c r="CZ51" s="2"/>
      <c r="DA51" s="2"/>
      <c r="DB51" s="58">
        <f t="shared" si="75"/>
        <v>1.3933551857103965</v>
      </c>
      <c r="DC51" s="41">
        <f t="shared" si="76"/>
        <v>1.3933551857103965</v>
      </c>
      <c r="DD51" s="2"/>
      <c r="DE51" s="2"/>
      <c r="DF51" s="2"/>
      <c r="DG51" s="2"/>
      <c r="DH51" s="2"/>
      <c r="DI51" s="2"/>
      <c r="DJ51" s="2"/>
      <c r="DK51" s="2"/>
    </row>
    <row r="52" spans="1:115" ht="8.4" customHeight="1" x14ac:dyDescent="0.25">
      <c r="A52" s="605"/>
      <c r="B52" s="633"/>
      <c r="C52" s="609"/>
      <c r="D52" s="636"/>
      <c r="E52" s="560"/>
      <c r="F52" s="558"/>
      <c r="G52" s="560"/>
      <c r="H52" s="558"/>
      <c r="I52" s="637"/>
      <c r="J52" s="594"/>
      <c r="K52" s="596"/>
      <c r="L52" s="101"/>
      <c r="M52" s="360"/>
      <c r="N52" s="368">
        <v>0.52300000000000002</v>
      </c>
      <c r="O52" s="369"/>
      <c r="P52" s="369"/>
      <c r="Q52" s="369"/>
      <c r="R52" s="370"/>
      <c r="S52" s="368"/>
      <c r="T52" s="369"/>
      <c r="U52" s="369"/>
      <c r="V52" s="369"/>
      <c r="W52" s="368"/>
      <c r="X52" s="369"/>
      <c r="Y52" s="369"/>
      <c r="Z52" s="369"/>
      <c r="AA52" s="554">
        <v>40.926000000000002</v>
      </c>
      <c r="AB52" s="553">
        <v>40.926000000000002</v>
      </c>
      <c r="AC52" s="369"/>
      <c r="AD52" s="370"/>
      <c r="AE52" s="368"/>
      <c r="AF52" s="368"/>
      <c r="AG52" s="369"/>
      <c r="AH52" s="369"/>
      <c r="AI52" s="368"/>
      <c r="AJ52" s="381"/>
      <c r="AK52" s="382"/>
      <c r="AL52" s="382"/>
      <c r="AM52" s="382"/>
      <c r="AN52" s="381"/>
      <c r="AO52" s="372"/>
      <c r="AP52" s="373"/>
      <c r="AQ52" s="372"/>
      <c r="AR52" s="372"/>
      <c r="AS52" s="371"/>
      <c r="AT52" s="371"/>
      <c r="AU52" s="371"/>
      <c r="AV52" s="371"/>
      <c r="AW52" s="371"/>
      <c r="AX52" s="85"/>
      <c r="AY52" s="5"/>
      <c r="AZ52" s="331"/>
      <c r="BE52" s="2"/>
      <c r="BF52" s="2"/>
      <c r="BG52" s="2"/>
      <c r="BH52" s="2"/>
      <c r="BI52" s="2"/>
      <c r="BJ52" s="2"/>
      <c r="BK52" s="2"/>
      <c r="BL52" s="2">
        <v>0</v>
      </c>
      <c r="BM52" s="53"/>
      <c r="BN52" s="11">
        <f t="shared" ref="BN52:CX52" si="95">M52*$K51/100</f>
        <v>0</v>
      </c>
      <c r="BO52" s="11">
        <f t="shared" si="95"/>
        <v>7.2872476212653735E-3</v>
      </c>
      <c r="BP52" s="11">
        <f t="shared" si="95"/>
        <v>0</v>
      </c>
      <c r="BQ52" s="11">
        <f t="shared" si="95"/>
        <v>0</v>
      </c>
      <c r="BR52" s="11">
        <f t="shared" si="95"/>
        <v>0</v>
      </c>
      <c r="BS52" s="236">
        <f t="shared" si="95"/>
        <v>0</v>
      </c>
      <c r="BT52" s="11">
        <f t="shared" si="95"/>
        <v>0</v>
      </c>
      <c r="BU52" s="11">
        <f t="shared" si="95"/>
        <v>0</v>
      </c>
      <c r="BV52" s="11">
        <f t="shared" si="95"/>
        <v>0</v>
      </c>
      <c r="BW52" s="11">
        <f t="shared" si="95"/>
        <v>0</v>
      </c>
      <c r="BX52" s="11">
        <f t="shared" si="95"/>
        <v>0</v>
      </c>
      <c r="BY52" s="11">
        <f t="shared" si="95"/>
        <v>0</v>
      </c>
      <c r="BZ52" s="11">
        <f t="shared" si="95"/>
        <v>0</v>
      </c>
      <c r="CA52" s="11">
        <f t="shared" si="95"/>
        <v>0</v>
      </c>
      <c r="CB52" s="11">
        <f t="shared" si="95"/>
        <v>0.57024454330383689</v>
      </c>
      <c r="CC52" s="11">
        <f t="shared" si="95"/>
        <v>0.57024454330383689</v>
      </c>
      <c r="CD52" s="11">
        <f t="shared" si="95"/>
        <v>0</v>
      </c>
      <c r="CE52" s="236">
        <f t="shared" si="95"/>
        <v>0</v>
      </c>
      <c r="CF52" s="11">
        <f t="shared" si="95"/>
        <v>0</v>
      </c>
      <c r="CG52" s="11">
        <f t="shared" si="95"/>
        <v>0</v>
      </c>
      <c r="CH52" s="11">
        <f t="shared" si="95"/>
        <v>0</v>
      </c>
      <c r="CI52" s="11">
        <f t="shared" si="95"/>
        <v>0</v>
      </c>
      <c r="CJ52" s="11">
        <f t="shared" si="95"/>
        <v>0</v>
      </c>
      <c r="CK52" s="11">
        <f t="shared" si="95"/>
        <v>0</v>
      </c>
      <c r="CL52" s="11">
        <f t="shared" si="95"/>
        <v>0</v>
      </c>
      <c r="CM52" s="11">
        <f t="shared" si="95"/>
        <v>0</v>
      </c>
      <c r="CN52" s="11">
        <f t="shared" si="95"/>
        <v>0</v>
      </c>
      <c r="CO52" s="11">
        <f t="shared" si="95"/>
        <v>0</v>
      </c>
      <c r="CP52" s="11">
        <f t="shared" si="95"/>
        <v>0</v>
      </c>
      <c r="CQ52" s="11">
        <f t="shared" si="95"/>
        <v>0</v>
      </c>
      <c r="CR52" s="11">
        <f t="shared" si="95"/>
        <v>0</v>
      </c>
      <c r="CS52" s="11">
        <f t="shared" si="95"/>
        <v>0</v>
      </c>
      <c r="CT52" s="11">
        <f t="shared" si="95"/>
        <v>0</v>
      </c>
      <c r="CU52" s="11">
        <f t="shared" si="95"/>
        <v>0</v>
      </c>
      <c r="CV52" s="11">
        <f t="shared" si="95"/>
        <v>0</v>
      </c>
      <c r="CW52" s="11">
        <f t="shared" si="95"/>
        <v>0</v>
      </c>
      <c r="CX52" s="11">
        <f t="shared" si="95"/>
        <v>0</v>
      </c>
      <c r="CY52" s="50"/>
      <c r="CZ52" s="2"/>
      <c r="DA52" s="2"/>
      <c r="DB52" s="58">
        <f t="shared" si="75"/>
        <v>1.1477763342289391</v>
      </c>
      <c r="DC52" s="41">
        <f t="shared" si="76"/>
        <v>0</v>
      </c>
      <c r="DD52" s="2"/>
      <c r="DE52" s="2"/>
      <c r="DF52" s="2"/>
      <c r="DG52" s="2"/>
      <c r="DH52" s="2"/>
      <c r="DI52" s="2"/>
      <c r="DJ52" s="2"/>
      <c r="DK52" s="2"/>
    </row>
    <row r="53" spans="1:115" ht="8.4" customHeight="1" x14ac:dyDescent="0.25">
      <c r="A53" s="638">
        <v>-1</v>
      </c>
      <c r="B53" s="632" t="s">
        <v>35</v>
      </c>
      <c r="C53" s="608" t="s">
        <v>6</v>
      </c>
      <c r="D53" s="610">
        <v>1</v>
      </c>
      <c r="E53" s="559">
        <f t="shared" ref="E53" si="96">F53*100/SUM($K$51:$K$56)</f>
        <v>0</v>
      </c>
      <c r="F53" s="557">
        <f t="shared" ref="F53" si="97">K53*SUM(M53:AG53)/100</f>
        <v>0</v>
      </c>
      <c r="G53" s="559"/>
      <c r="H53" s="557">
        <f t="shared" ref="H53" si="98">SUM(L54:AJ54)</f>
        <v>0</v>
      </c>
      <c r="I53" s="612">
        <f>'BOQ แก้ไขสัญญา'!AF36</f>
        <v>358105</v>
      </c>
      <c r="J53" s="593">
        <f t="shared" si="0"/>
        <v>358105</v>
      </c>
      <c r="K53" s="595">
        <f>J53*100/GTotal</f>
        <v>0.15015187958743803</v>
      </c>
      <c r="L53" s="101"/>
      <c r="M53" s="354"/>
      <c r="N53" s="354"/>
      <c r="O53" s="355"/>
      <c r="P53" s="355"/>
      <c r="Q53" s="355"/>
      <c r="R53" s="356"/>
      <c r="S53" s="354"/>
      <c r="T53" s="355"/>
      <c r="U53" s="355"/>
      <c r="V53" s="355"/>
      <c r="W53" s="354"/>
      <c r="X53" s="355"/>
      <c r="Y53" s="355"/>
      <c r="Z53" s="355"/>
      <c r="AA53" s="354"/>
      <c r="AB53" s="355"/>
      <c r="AC53" s="355"/>
      <c r="AD53" s="356"/>
      <c r="AE53" s="354"/>
      <c r="AF53" s="354"/>
      <c r="AG53" s="355"/>
      <c r="AH53" s="355"/>
      <c r="AI53" s="354"/>
      <c r="AJ53" s="379"/>
      <c r="AK53" s="380">
        <v>0</v>
      </c>
      <c r="AL53" s="380">
        <v>5</v>
      </c>
      <c r="AM53" s="380">
        <v>5</v>
      </c>
      <c r="AN53" s="379">
        <v>10</v>
      </c>
      <c r="AO53" s="357">
        <v>10</v>
      </c>
      <c r="AP53" s="359">
        <v>15</v>
      </c>
      <c r="AQ53" s="357">
        <v>15</v>
      </c>
      <c r="AR53" s="357">
        <v>15</v>
      </c>
      <c r="AS53" s="358">
        <v>15</v>
      </c>
      <c r="AT53" s="358">
        <v>5</v>
      </c>
      <c r="AU53" s="358">
        <v>5</v>
      </c>
      <c r="AV53" s="358"/>
      <c r="AW53" s="358"/>
      <c r="AX53" s="85"/>
      <c r="AY53" s="5"/>
      <c r="AZ53" s="331"/>
      <c r="BE53" s="2"/>
      <c r="BF53" s="2"/>
      <c r="BG53" s="2"/>
      <c r="BH53" s="2"/>
      <c r="BI53" s="2"/>
      <c r="BJ53" s="2"/>
      <c r="BK53" s="2"/>
      <c r="BL53" s="2">
        <v>1</v>
      </c>
      <c r="BM53" s="54"/>
      <c r="BN53" s="11">
        <f t="shared" ref="BN53:CX53" si="99">M53*$K53/100</f>
        <v>0</v>
      </c>
      <c r="BO53" s="11">
        <f t="shared" si="99"/>
        <v>0</v>
      </c>
      <c r="BP53" s="11">
        <f t="shared" si="99"/>
        <v>0</v>
      </c>
      <c r="BQ53" s="11">
        <f t="shared" si="99"/>
        <v>0</v>
      </c>
      <c r="BR53" s="11">
        <f t="shared" si="99"/>
        <v>0</v>
      </c>
      <c r="BS53" s="236">
        <f t="shared" si="99"/>
        <v>0</v>
      </c>
      <c r="BT53" s="11">
        <f t="shared" si="99"/>
        <v>0</v>
      </c>
      <c r="BU53" s="11">
        <f t="shared" si="99"/>
        <v>0</v>
      </c>
      <c r="BV53" s="11">
        <f t="shared" si="99"/>
        <v>0</v>
      </c>
      <c r="BW53" s="11">
        <f t="shared" si="99"/>
        <v>0</v>
      </c>
      <c r="BX53" s="11">
        <f t="shared" si="99"/>
        <v>0</v>
      </c>
      <c r="BY53" s="11">
        <f t="shared" si="99"/>
        <v>0</v>
      </c>
      <c r="BZ53" s="11">
        <f t="shared" si="99"/>
        <v>0</v>
      </c>
      <c r="CA53" s="11">
        <f t="shared" si="99"/>
        <v>0</v>
      </c>
      <c r="CB53" s="11">
        <f t="shared" si="99"/>
        <v>0</v>
      </c>
      <c r="CC53" s="11">
        <f t="shared" si="99"/>
        <v>0</v>
      </c>
      <c r="CD53" s="11">
        <f t="shared" si="99"/>
        <v>0</v>
      </c>
      <c r="CE53" s="236">
        <f t="shared" si="99"/>
        <v>0</v>
      </c>
      <c r="CF53" s="11">
        <f t="shared" si="99"/>
        <v>0</v>
      </c>
      <c r="CG53" s="11">
        <f t="shared" si="99"/>
        <v>0</v>
      </c>
      <c r="CH53" s="11">
        <f t="shared" si="99"/>
        <v>0</v>
      </c>
      <c r="CI53" s="11">
        <f t="shared" si="99"/>
        <v>0</v>
      </c>
      <c r="CJ53" s="11">
        <f t="shared" si="99"/>
        <v>0</v>
      </c>
      <c r="CK53" s="11">
        <f t="shared" si="99"/>
        <v>0</v>
      </c>
      <c r="CL53" s="11">
        <f t="shared" si="99"/>
        <v>0</v>
      </c>
      <c r="CM53" s="11">
        <f t="shared" si="99"/>
        <v>7.5075939793719012E-3</v>
      </c>
      <c r="CN53" s="11">
        <f t="shared" si="99"/>
        <v>7.5075939793719012E-3</v>
      </c>
      <c r="CO53" s="11">
        <f t="shared" si="99"/>
        <v>1.5015187958743802E-2</v>
      </c>
      <c r="CP53" s="11">
        <f t="shared" si="99"/>
        <v>1.5015187958743802E-2</v>
      </c>
      <c r="CQ53" s="11">
        <f t="shared" si="99"/>
        <v>2.2522781938115702E-2</v>
      </c>
      <c r="CR53" s="11">
        <f t="shared" si="99"/>
        <v>2.2522781938115702E-2</v>
      </c>
      <c r="CS53" s="11">
        <f t="shared" si="99"/>
        <v>2.2522781938115702E-2</v>
      </c>
      <c r="CT53" s="11">
        <f t="shared" si="99"/>
        <v>2.2522781938115702E-2</v>
      </c>
      <c r="CU53" s="11">
        <f t="shared" si="99"/>
        <v>7.5075939793719012E-3</v>
      </c>
      <c r="CV53" s="11">
        <f t="shared" si="99"/>
        <v>7.5075939793719012E-3</v>
      </c>
      <c r="CW53" s="11">
        <f t="shared" si="99"/>
        <v>0</v>
      </c>
      <c r="CX53" s="11">
        <f t="shared" si="99"/>
        <v>0</v>
      </c>
      <c r="CY53" s="50"/>
      <c r="CZ53" s="2"/>
      <c r="DA53" s="2"/>
      <c r="DB53" s="58">
        <f t="shared" si="75"/>
        <v>0.150151879587438</v>
      </c>
      <c r="DC53" s="41">
        <f t="shared" si="76"/>
        <v>0.15015187958743803</v>
      </c>
      <c r="DD53" s="2"/>
      <c r="DE53" s="2"/>
      <c r="DF53" s="2"/>
      <c r="DG53" s="2"/>
      <c r="DH53" s="2"/>
      <c r="DI53" s="2"/>
      <c r="DJ53" s="2"/>
      <c r="DK53" s="2"/>
    </row>
    <row r="54" spans="1:115" ht="8.4" customHeight="1" x14ac:dyDescent="0.25">
      <c r="A54" s="639"/>
      <c r="B54" s="633"/>
      <c r="C54" s="609"/>
      <c r="D54" s="611"/>
      <c r="E54" s="560"/>
      <c r="F54" s="558"/>
      <c r="G54" s="560"/>
      <c r="H54" s="558"/>
      <c r="I54" s="637"/>
      <c r="J54" s="594"/>
      <c r="K54" s="596"/>
      <c r="L54" s="101"/>
      <c r="M54" s="368"/>
      <c r="N54" s="360"/>
      <c r="O54" s="361"/>
      <c r="P54" s="361"/>
      <c r="Q54" s="361"/>
      <c r="R54" s="362"/>
      <c r="S54" s="360"/>
      <c r="T54" s="361"/>
      <c r="U54" s="361"/>
      <c r="V54" s="361"/>
      <c r="W54" s="360"/>
      <c r="X54" s="361"/>
      <c r="Y54" s="361"/>
      <c r="Z54" s="361"/>
      <c r="AA54" s="360"/>
      <c r="AB54" s="361"/>
      <c r="AC54" s="361"/>
      <c r="AD54" s="362"/>
      <c r="AE54" s="360"/>
      <c r="AF54" s="360"/>
      <c r="AG54" s="361"/>
      <c r="AH54" s="361"/>
      <c r="AI54" s="360"/>
      <c r="AJ54" s="383"/>
      <c r="AK54" s="384"/>
      <c r="AL54" s="384"/>
      <c r="AM54" s="384"/>
      <c r="AN54" s="383"/>
      <c r="AO54" s="365"/>
      <c r="AP54" s="364"/>
      <c r="AQ54" s="365"/>
      <c r="AR54" s="365"/>
      <c r="AS54" s="363"/>
      <c r="AT54" s="363"/>
      <c r="AU54" s="363"/>
      <c r="AV54" s="363"/>
      <c r="AW54" s="363"/>
      <c r="AX54" s="85"/>
      <c r="AY54" s="5"/>
      <c r="AZ54" s="331"/>
      <c r="BE54" s="2"/>
      <c r="BF54" s="2"/>
      <c r="BG54" s="2"/>
      <c r="BH54" s="2"/>
      <c r="BI54" s="2"/>
      <c r="BJ54" s="2"/>
      <c r="BK54" s="2"/>
      <c r="BL54" s="2">
        <v>0</v>
      </c>
      <c r="BM54" s="53"/>
      <c r="BN54" s="11">
        <f t="shared" ref="BN54:CX54" si="100">M54*$K53/100</f>
        <v>0</v>
      </c>
      <c r="BO54" s="11">
        <f t="shared" si="100"/>
        <v>0</v>
      </c>
      <c r="BP54" s="11">
        <f t="shared" si="100"/>
        <v>0</v>
      </c>
      <c r="BQ54" s="11">
        <f t="shared" si="100"/>
        <v>0</v>
      </c>
      <c r="BR54" s="11">
        <f t="shared" si="100"/>
        <v>0</v>
      </c>
      <c r="BS54" s="236">
        <f t="shared" si="100"/>
        <v>0</v>
      </c>
      <c r="BT54" s="11">
        <f t="shared" si="100"/>
        <v>0</v>
      </c>
      <c r="BU54" s="11">
        <f t="shared" si="100"/>
        <v>0</v>
      </c>
      <c r="BV54" s="11">
        <f t="shared" si="100"/>
        <v>0</v>
      </c>
      <c r="BW54" s="11">
        <f t="shared" si="100"/>
        <v>0</v>
      </c>
      <c r="BX54" s="11">
        <f t="shared" si="100"/>
        <v>0</v>
      </c>
      <c r="BY54" s="11">
        <f t="shared" si="100"/>
        <v>0</v>
      </c>
      <c r="BZ54" s="11">
        <f t="shared" si="100"/>
        <v>0</v>
      </c>
      <c r="CA54" s="11">
        <f t="shared" si="100"/>
        <v>0</v>
      </c>
      <c r="CB54" s="11">
        <f t="shared" si="100"/>
        <v>0</v>
      </c>
      <c r="CC54" s="11">
        <f t="shared" si="100"/>
        <v>0</v>
      </c>
      <c r="CD54" s="11">
        <f t="shared" si="100"/>
        <v>0</v>
      </c>
      <c r="CE54" s="236">
        <f t="shared" si="100"/>
        <v>0</v>
      </c>
      <c r="CF54" s="11">
        <f t="shared" si="100"/>
        <v>0</v>
      </c>
      <c r="CG54" s="11">
        <f t="shared" si="100"/>
        <v>0</v>
      </c>
      <c r="CH54" s="11">
        <f t="shared" si="100"/>
        <v>0</v>
      </c>
      <c r="CI54" s="11">
        <f t="shared" si="100"/>
        <v>0</v>
      </c>
      <c r="CJ54" s="11">
        <f t="shared" si="100"/>
        <v>0</v>
      </c>
      <c r="CK54" s="11">
        <f t="shared" si="100"/>
        <v>0</v>
      </c>
      <c r="CL54" s="11">
        <f t="shared" si="100"/>
        <v>0</v>
      </c>
      <c r="CM54" s="11">
        <f t="shared" si="100"/>
        <v>0</v>
      </c>
      <c r="CN54" s="11">
        <f t="shared" si="100"/>
        <v>0</v>
      </c>
      <c r="CO54" s="11">
        <f t="shared" si="100"/>
        <v>0</v>
      </c>
      <c r="CP54" s="11">
        <f t="shared" si="100"/>
        <v>0</v>
      </c>
      <c r="CQ54" s="11">
        <f t="shared" si="100"/>
        <v>0</v>
      </c>
      <c r="CR54" s="11">
        <f t="shared" si="100"/>
        <v>0</v>
      </c>
      <c r="CS54" s="11">
        <f t="shared" si="100"/>
        <v>0</v>
      </c>
      <c r="CT54" s="11">
        <f t="shared" si="100"/>
        <v>0</v>
      </c>
      <c r="CU54" s="11">
        <f t="shared" si="100"/>
        <v>0</v>
      </c>
      <c r="CV54" s="11">
        <f t="shared" si="100"/>
        <v>0</v>
      </c>
      <c r="CW54" s="11">
        <f t="shared" si="100"/>
        <v>0</v>
      </c>
      <c r="CX54" s="11">
        <f t="shared" si="100"/>
        <v>0</v>
      </c>
      <c r="CY54" s="50"/>
      <c r="CZ54" s="2"/>
      <c r="DA54" s="2"/>
      <c r="DB54" s="58">
        <f t="shared" si="75"/>
        <v>0</v>
      </c>
      <c r="DC54" s="41">
        <f t="shared" si="76"/>
        <v>0</v>
      </c>
      <c r="DD54" s="2"/>
      <c r="DE54" s="2"/>
      <c r="DF54" s="2"/>
      <c r="DG54" s="2"/>
      <c r="DH54" s="2"/>
      <c r="DI54" s="2"/>
      <c r="DJ54" s="2"/>
      <c r="DK54" s="2"/>
    </row>
    <row r="55" spans="1:115" ht="8.4" customHeight="1" x14ac:dyDescent="0.25">
      <c r="A55" s="638">
        <v>-2</v>
      </c>
      <c r="B55" s="632" t="s">
        <v>121</v>
      </c>
      <c r="C55" s="608" t="s">
        <v>6</v>
      </c>
      <c r="D55" s="610">
        <v>1</v>
      </c>
      <c r="E55" s="559">
        <f t="shared" ref="E55" si="101">F55*100/SUM($K$51:$K$56)</f>
        <v>0</v>
      </c>
      <c r="F55" s="557">
        <f t="shared" ref="F55" si="102">K55*SUM(M55:AG55)/100</f>
        <v>0</v>
      </c>
      <c r="G55" s="634"/>
      <c r="H55" s="557">
        <f t="shared" ref="H55" si="103">SUM(L56:AJ56)</f>
        <v>0</v>
      </c>
      <c r="I55" s="612">
        <f>'BOQ แก้ไขสัญญา'!AF37</f>
        <v>295042</v>
      </c>
      <c r="J55" s="593">
        <f t="shared" si="0"/>
        <v>295042</v>
      </c>
      <c r="K55" s="595">
        <f>J55*100/GTotal</f>
        <v>0.12370983610180504</v>
      </c>
      <c r="L55" s="101"/>
      <c r="M55" s="354"/>
      <c r="N55" s="354"/>
      <c r="O55" s="355"/>
      <c r="P55" s="355"/>
      <c r="Q55" s="355"/>
      <c r="R55" s="356"/>
      <c r="S55" s="354"/>
      <c r="T55" s="355"/>
      <c r="U55" s="355"/>
      <c r="V55" s="355"/>
      <c r="W55" s="354"/>
      <c r="X55" s="355"/>
      <c r="Y55" s="355"/>
      <c r="Z55" s="355"/>
      <c r="AA55" s="354"/>
      <c r="AB55" s="355"/>
      <c r="AC55" s="355"/>
      <c r="AD55" s="356"/>
      <c r="AE55" s="354"/>
      <c r="AF55" s="354"/>
      <c r="AG55" s="355"/>
      <c r="AH55" s="355"/>
      <c r="AI55" s="354"/>
      <c r="AJ55" s="379"/>
      <c r="AK55" s="380"/>
      <c r="AL55" s="380"/>
      <c r="AM55" s="380"/>
      <c r="AN55" s="379"/>
      <c r="AO55" s="357"/>
      <c r="AP55" s="359"/>
      <c r="AQ55" s="357">
        <v>10</v>
      </c>
      <c r="AR55" s="357">
        <v>10</v>
      </c>
      <c r="AS55" s="358">
        <v>15</v>
      </c>
      <c r="AT55" s="358">
        <v>15</v>
      </c>
      <c r="AU55" s="358">
        <v>15</v>
      </c>
      <c r="AV55" s="358">
        <v>15</v>
      </c>
      <c r="AW55" s="358">
        <v>20</v>
      </c>
      <c r="AX55" s="85"/>
      <c r="AY55" s="5"/>
      <c r="AZ55" s="331"/>
      <c r="BE55" s="2"/>
      <c r="BF55" s="2"/>
      <c r="BG55" s="2"/>
      <c r="BH55" s="2"/>
      <c r="BI55" s="2"/>
      <c r="BJ55" s="2"/>
      <c r="BK55" s="2"/>
      <c r="BL55" s="2">
        <v>1</v>
      </c>
      <c r="BM55" s="54"/>
      <c r="BN55" s="11">
        <f t="shared" ref="BN55:CX55" si="104">M55*$K55/100</f>
        <v>0</v>
      </c>
      <c r="BO55" s="11">
        <f t="shared" si="104"/>
        <v>0</v>
      </c>
      <c r="BP55" s="11">
        <f t="shared" si="104"/>
        <v>0</v>
      </c>
      <c r="BQ55" s="11">
        <f t="shared" si="104"/>
        <v>0</v>
      </c>
      <c r="BR55" s="11">
        <f t="shared" si="104"/>
        <v>0</v>
      </c>
      <c r="BS55" s="236">
        <f t="shared" si="104"/>
        <v>0</v>
      </c>
      <c r="BT55" s="11">
        <f t="shared" si="104"/>
        <v>0</v>
      </c>
      <c r="BU55" s="11">
        <f t="shared" si="104"/>
        <v>0</v>
      </c>
      <c r="BV55" s="11">
        <f t="shared" si="104"/>
        <v>0</v>
      </c>
      <c r="BW55" s="11">
        <f t="shared" si="104"/>
        <v>0</v>
      </c>
      <c r="BX55" s="11">
        <f t="shared" si="104"/>
        <v>0</v>
      </c>
      <c r="BY55" s="11">
        <f t="shared" si="104"/>
        <v>0</v>
      </c>
      <c r="BZ55" s="11">
        <f t="shared" si="104"/>
        <v>0</v>
      </c>
      <c r="CA55" s="11">
        <f t="shared" si="104"/>
        <v>0</v>
      </c>
      <c r="CB55" s="11">
        <f t="shared" si="104"/>
        <v>0</v>
      </c>
      <c r="CC55" s="11">
        <f t="shared" si="104"/>
        <v>0</v>
      </c>
      <c r="CD55" s="11">
        <f t="shared" si="104"/>
        <v>0</v>
      </c>
      <c r="CE55" s="236">
        <f t="shared" si="104"/>
        <v>0</v>
      </c>
      <c r="CF55" s="11">
        <f t="shared" si="104"/>
        <v>0</v>
      </c>
      <c r="CG55" s="11">
        <f t="shared" si="104"/>
        <v>0</v>
      </c>
      <c r="CH55" s="11">
        <f t="shared" si="104"/>
        <v>0</v>
      </c>
      <c r="CI55" s="11">
        <f t="shared" si="104"/>
        <v>0</v>
      </c>
      <c r="CJ55" s="11">
        <f t="shared" si="104"/>
        <v>0</v>
      </c>
      <c r="CK55" s="11">
        <f t="shared" si="104"/>
        <v>0</v>
      </c>
      <c r="CL55" s="11">
        <f t="shared" si="104"/>
        <v>0</v>
      </c>
      <c r="CM55" s="11">
        <f t="shared" si="104"/>
        <v>0</v>
      </c>
      <c r="CN55" s="11">
        <f t="shared" si="104"/>
        <v>0</v>
      </c>
      <c r="CO55" s="11">
        <f t="shared" si="104"/>
        <v>0</v>
      </c>
      <c r="CP55" s="11">
        <f t="shared" si="104"/>
        <v>0</v>
      </c>
      <c r="CQ55" s="11">
        <f t="shared" si="104"/>
        <v>0</v>
      </c>
      <c r="CR55" s="11">
        <f t="shared" si="104"/>
        <v>1.2370983610180504E-2</v>
      </c>
      <c r="CS55" s="11">
        <f t="shared" si="104"/>
        <v>1.2370983610180504E-2</v>
      </c>
      <c r="CT55" s="11">
        <f t="shared" si="104"/>
        <v>1.8556475415270758E-2</v>
      </c>
      <c r="CU55" s="11">
        <f t="shared" si="104"/>
        <v>1.8556475415270758E-2</v>
      </c>
      <c r="CV55" s="11">
        <f t="shared" si="104"/>
        <v>1.8556475415270758E-2</v>
      </c>
      <c r="CW55" s="11">
        <f t="shared" si="104"/>
        <v>1.8556475415270758E-2</v>
      </c>
      <c r="CX55" s="11">
        <f t="shared" si="104"/>
        <v>2.4741967220361007E-2</v>
      </c>
      <c r="CY55" s="50"/>
      <c r="CZ55" s="2"/>
      <c r="DA55" s="2"/>
      <c r="DB55" s="58">
        <f t="shared" si="75"/>
        <v>0.12370983610180505</v>
      </c>
      <c r="DC55" s="41">
        <f t="shared" si="76"/>
        <v>0.12370983610180504</v>
      </c>
      <c r="DD55" s="2"/>
      <c r="DE55" s="2"/>
      <c r="DF55" s="2"/>
      <c r="DG55" s="2"/>
      <c r="DH55" s="2"/>
      <c r="DI55" s="2"/>
      <c r="DJ55" s="2"/>
      <c r="DK55" s="2"/>
    </row>
    <row r="56" spans="1:115" ht="8.4" customHeight="1" x14ac:dyDescent="0.25">
      <c r="A56" s="639"/>
      <c r="B56" s="633"/>
      <c r="C56" s="609"/>
      <c r="D56" s="636"/>
      <c r="E56" s="560"/>
      <c r="F56" s="558"/>
      <c r="G56" s="560"/>
      <c r="H56" s="558"/>
      <c r="I56" s="637"/>
      <c r="J56" s="594"/>
      <c r="K56" s="596"/>
      <c r="L56" s="101"/>
      <c r="M56" s="360"/>
      <c r="N56" s="368"/>
      <c r="O56" s="369"/>
      <c r="P56" s="369"/>
      <c r="Q56" s="369"/>
      <c r="R56" s="370"/>
      <c r="S56" s="368"/>
      <c r="T56" s="369"/>
      <c r="U56" s="369"/>
      <c r="V56" s="369"/>
      <c r="W56" s="368"/>
      <c r="X56" s="369"/>
      <c r="Y56" s="369"/>
      <c r="Z56" s="369"/>
      <c r="AA56" s="369"/>
      <c r="AB56" s="368"/>
      <c r="AC56" s="369"/>
      <c r="AD56" s="370"/>
      <c r="AE56" s="368"/>
      <c r="AF56" s="369"/>
      <c r="AG56" s="369"/>
      <c r="AH56" s="369"/>
      <c r="AI56" s="368"/>
      <c r="AJ56" s="382"/>
      <c r="AK56" s="381"/>
      <c r="AL56" s="382"/>
      <c r="AM56" s="382"/>
      <c r="AN56" s="381"/>
      <c r="AO56" s="372"/>
      <c r="AP56" s="373"/>
      <c r="AQ56" s="372"/>
      <c r="AR56" s="372"/>
      <c r="AS56" s="372"/>
      <c r="AT56" s="372"/>
      <c r="AU56" s="372"/>
      <c r="AV56" s="372"/>
      <c r="AW56" s="385"/>
      <c r="AX56" s="85"/>
      <c r="AY56" s="5"/>
      <c r="AZ56" s="331"/>
      <c r="BE56" s="2"/>
      <c r="BF56" s="2"/>
      <c r="BG56" s="2"/>
      <c r="BH56" s="2"/>
      <c r="BI56" s="2"/>
      <c r="BJ56" s="2"/>
      <c r="BK56" s="2"/>
      <c r="BL56" s="2">
        <v>0</v>
      </c>
      <c r="BM56" s="53"/>
      <c r="BN56" s="11">
        <f t="shared" ref="BN56:CX56" si="105">M56*$K55/100</f>
        <v>0</v>
      </c>
      <c r="BO56" s="11">
        <f t="shared" si="105"/>
        <v>0</v>
      </c>
      <c r="BP56" s="11">
        <f t="shared" si="105"/>
        <v>0</v>
      </c>
      <c r="BQ56" s="11">
        <f t="shared" si="105"/>
        <v>0</v>
      </c>
      <c r="BR56" s="11">
        <f t="shared" si="105"/>
        <v>0</v>
      </c>
      <c r="BS56" s="236">
        <f t="shared" si="105"/>
        <v>0</v>
      </c>
      <c r="BT56" s="11">
        <f t="shared" si="105"/>
        <v>0</v>
      </c>
      <c r="BU56" s="11">
        <f t="shared" si="105"/>
        <v>0</v>
      </c>
      <c r="BV56" s="11">
        <f t="shared" si="105"/>
        <v>0</v>
      </c>
      <c r="BW56" s="11">
        <f t="shared" si="105"/>
        <v>0</v>
      </c>
      <c r="BX56" s="11">
        <f t="shared" si="105"/>
        <v>0</v>
      </c>
      <c r="BY56" s="11">
        <f t="shared" si="105"/>
        <v>0</v>
      </c>
      <c r="BZ56" s="11">
        <f t="shared" si="105"/>
        <v>0</v>
      </c>
      <c r="CA56" s="11">
        <f t="shared" si="105"/>
        <v>0</v>
      </c>
      <c r="CB56" s="11">
        <f t="shared" si="105"/>
        <v>0</v>
      </c>
      <c r="CC56" s="11">
        <f t="shared" si="105"/>
        <v>0</v>
      </c>
      <c r="CD56" s="11">
        <f t="shared" si="105"/>
        <v>0</v>
      </c>
      <c r="CE56" s="236">
        <f t="shared" si="105"/>
        <v>0</v>
      </c>
      <c r="CF56" s="11">
        <f t="shared" si="105"/>
        <v>0</v>
      </c>
      <c r="CG56" s="11">
        <f t="shared" si="105"/>
        <v>0</v>
      </c>
      <c r="CH56" s="11">
        <f t="shared" si="105"/>
        <v>0</v>
      </c>
      <c r="CI56" s="11">
        <f t="shared" si="105"/>
        <v>0</v>
      </c>
      <c r="CJ56" s="11">
        <f t="shared" si="105"/>
        <v>0</v>
      </c>
      <c r="CK56" s="11">
        <f t="shared" si="105"/>
        <v>0</v>
      </c>
      <c r="CL56" s="11">
        <f t="shared" si="105"/>
        <v>0</v>
      </c>
      <c r="CM56" s="11">
        <f t="shared" si="105"/>
        <v>0</v>
      </c>
      <c r="CN56" s="11">
        <f t="shared" si="105"/>
        <v>0</v>
      </c>
      <c r="CO56" s="11">
        <f t="shared" si="105"/>
        <v>0</v>
      </c>
      <c r="CP56" s="11">
        <f t="shared" si="105"/>
        <v>0</v>
      </c>
      <c r="CQ56" s="11">
        <f t="shared" si="105"/>
        <v>0</v>
      </c>
      <c r="CR56" s="11">
        <f t="shared" si="105"/>
        <v>0</v>
      </c>
      <c r="CS56" s="11">
        <f t="shared" si="105"/>
        <v>0</v>
      </c>
      <c r="CT56" s="11">
        <f t="shared" si="105"/>
        <v>0</v>
      </c>
      <c r="CU56" s="11">
        <f t="shared" si="105"/>
        <v>0</v>
      </c>
      <c r="CV56" s="11">
        <f t="shared" si="105"/>
        <v>0</v>
      </c>
      <c r="CW56" s="11">
        <f t="shared" si="105"/>
        <v>0</v>
      </c>
      <c r="CX56" s="11">
        <f t="shared" si="105"/>
        <v>0</v>
      </c>
      <c r="CY56" s="50"/>
      <c r="CZ56" s="2"/>
      <c r="DA56" s="2"/>
      <c r="DB56" s="58">
        <f t="shared" si="75"/>
        <v>0</v>
      </c>
      <c r="DC56" s="41">
        <f t="shared" si="76"/>
        <v>0</v>
      </c>
      <c r="DD56" s="2"/>
      <c r="DE56" s="2"/>
      <c r="DF56" s="2"/>
      <c r="DG56" s="2"/>
      <c r="DH56" s="2"/>
      <c r="DI56" s="2"/>
      <c r="DJ56" s="2"/>
      <c r="DK56" s="2"/>
    </row>
    <row r="57" spans="1:115" ht="8.4" customHeight="1" x14ac:dyDescent="0.25">
      <c r="A57" s="604">
        <v>1.7</v>
      </c>
      <c r="B57" s="632" t="s">
        <v>65</v>
      </c>
      <c r="C57" s="608" t="s">
        <v>6</v>
      </c>
      <c r="D57" s="610">
        <v>1</v>
      </c>
      <c r="E57" s="559">
        <f>F57*100/SUM($K$57:$K$62)</f>
        <v>0</v>
      </c>
      <c r="F57" s="557">
        <f t="shared" ref="F57" si="106">K57*SUM(M57:AG57)/100</f>
        <v>0</v>
      </c>
      <c r="G57" s="559"/>
      <c r="H57" s="557">
        <f t="shared" ref="H57" si="107">SUM(L58:AJ58)</f>
        <v>42.96</v>
      </c>
      <c r="I57" s="612">
        <f>'BOQ แก้ไขสัญญา'!AF39</f>
        <v>14559639</v>
      </c>
      <c r="J57" s="593">
        <f t="shared" si="0"/>
        <v>14559639</v>
      </c>
      <c r="K57" s="595">
        <f>J57*100/GTotal</f>
        <v>6.1047937391674703</v>
      </c>
      <c r="L57" s="101"/>
      <c r="M57" s="354"/>
      <c r="N57" s="354"/>
      <c r="O57" s="355"/>
      <c r="P57" s="355"/>
      <c r="Q57" s="355"/>
      <c r="R57" s="356"/>
      <c r="S57" s="354"/>
      <c r="T57" s="355"/>
      <c r="U57" s="355"/>
      <c r="V57" s="355"/>
      <c r="W57" s="354"/>
      <c r="X57" s="355"/>
      <c r="Y57" s="355"/>
      <c r="Z57" s="355"/>
      <c r="AA57" s="355"/>
      <c r="AB57" s="354"/>
      <c r="AC57" s="355"/>
      <c r="AD57" s="356"/>
      <c r="AE57" s="354"/>
      <c r="AF57" s="355"/>
      <c r="AG57" s="355"/>
      <c r="AH57" s="355"/>
      <c r="AI57" s="354"/>
      <c r="AJ57" s="380"/>
      <c r="AK57" s="380">
        <v>5</v>
      </c>
      <c r="AL57" s="380">
        <v>5</v>
      </c>
      <c r="AM57" s="380">
        <v>5</v>
      </c>
      <c r="AN57" s="379">
        <v>5</v>
      </c>
      <c r="AO57" s="358">
        <v>10</v>
      </c>
      <c r="AP57" s="359">
        <v>10</v>
      </c>
      <c r="AQ57" s="357">
        <v>10</v>
      </c>
      <c r="AR57" s="358">
        <v>10</v>
      </c>
      <c r="AS57" s="358">
        <v>10</v>
      </c>
      <c r="AT57" s="357">
        <v>10</v>
      </c>
      <c r="AU57" s="358">
        <v>10</v>
      </c>
      <c r="AV57" s="357">
        <v>5</v>
      </c>
      <c r="AW57" s="358">
        <v>5</v>
      </c>
      <c r="AX57" s="85"/>
      <c r="AY57" s="5"/>
      <c r="AZ57" s="331"/>
      <c r="BE57" s="2"/>
      <c r="BF57" s="2"/>
      <c r="BG57" s="2"/>
      <c r="BH57" s="2"/>
      <c r="BI57" s="2"/>
      <c r="BJ57" s="2"/>
      <c r="BK57" s="2"/>
      <c r="BL57" s="2">
        <v>1</v>
      </c>
      <c r="BM57" s="54"/>
      <c r="BN57" s="11">
        <f t="shared" ref="BN57:CX57" si="108">M57*$K57/100</f>
        <v>0</v>
      </c>
      <c r="BO57" s="11">
        <f t="shared" si="108"/>
        <v>0</v>
      </c>
      <c r="BP57" s="11">
        <f t="shared" si="108"/>
        <v>0</v>
      </c>
      <c r="BQ57" s="11">
        <f t="shared" si="108"/>
        <v>0</v>
      </c>
      <c r="BR57" s="11">
        <f t="shared" si="108"/>
        <v>0</v>
      </c>
      <c r="BS57" s="236">
        <f t="shared" si="108"/>
        <v>0</v>
      </c>
      <c r="BT57" s="11">
        <f t="shared" si="108"/>
        <v>0</v>
      </c>
      <c r="BU57" s="11">
        <f t="shared" si="108"/>
        <v>0</v>
      </c>
      <c r="BV57" s="11">
        <f t="shared" si="108"/>
        <v>0</v>
      </c>
      <c r="BW57" s="11">
        <f t="shared" si="108"/>
        <v>0</v>
      </c>
      <c r="BX57" s="11">
        <f t="shared" si="108"/>
        <v>0</v>
      </c>
      <c r="BY57" s="11">
        <f t="shared" si="108"/>
        <v>0</v>
      </c>
      <c r="BZ57" s="11">
        <f t="shared" si="108"/>
        <v>0</v>
      </c>
      <c r="CA57" s="11">
        <f t="shared" si="108"/>
        <v>0</v>
      </c>
      <c r="CB57" s="11">
        <f t="shared" si="108"/>
        <v>0</v>
      </c>
      <c r="CC57" s="11">
        <f t="shared" si="108"/>
        <v>0</v>
      </c>
      <c r="CD57" s="11">
        <f t="shared" si="108"/>
        <v>0</v>
      </c>
      <c r="CE57" s="236">
        <f t="shared" si="108"/>
        <v>0</v>
      </c>
      <c r="CF57" s="11">
        <f t="shared" si="108"/>
        <v>0</v>
      </c>
      <c r="CG57" s="11">
        <f t="shared" si="108"/>
        <v>0</v>
      </c>
      <c r="CH57" s="11">
        <f t="shared" si="108"/>
        <v>0</v>
      </c>
      <c r="CI57" s="11">
        <f t="shared" si="108"/>
        <v>0</v>
      </c>
      <c r="CJ57" s="11">
        <f t="shared" si="108"/>
        <v>0</v>
      </c>
      <c r="CK57" s="11">
        <f t="shared" si="108"/>
        <v>0</v>
      </c>
      <c r="CL57" s="11">
        <f t="shared" si="108"/>
        <v>0.3052396869583735</v>
      </c>
      <c r="CM57" s="11">
        <f t="shared" si="108"/>
        <v>0.3052396869583735</v>
      </c>
      <c r="CN57" s="11">
        <f t="shared" si="108"/>
        <v>0.3052396869583735</v>
      </c>
      <c r="CO57" s="11">
        <f t="shared" si="108"/>
        <v>0.3052396869583735</v>
      </c>
      <c r="CP57" s="11">
        <f t="shared" si="108"/>
        <v>0.610479373916747</v>
      </c>
      <c r="CQ57" s="11">
        <f t="shared" si="108"/>
        <v>0.610479373916747</v>
      </c>
      <c r="CR57" s="11">
        <f t="shared" si="108"/>
        <v>0.610479373916747</v>
      </c>
      <c r="CS57" s="11">
        <f t="shared" si="108"/>
        <v>0.610479373916747</v>
      </c>
      <c r="CT57" s="11">
        <f t="shared" si="108"/>
        <v>0.610479373916747</v>
      </c>
      <c r="CU57" s="11">
        <f t="shared" si="108"/>
        <v>0.610479373916747</v>
      </c>
      <c r="CV57" s="11">
        <f t="shared" si="108"/>
        <v>0.610479373916747</v>
      </c>
      <c r="CW57" s="11">
        <f t="shared" si="108"/>
        <v>0.3052396869583735</v>
      </c>
      <c r="CX57" s="11">
        <f t="shared" si="108"/>
        <v>0.3052396869583735</v>
      </c>
      <c r="CY57" s="50"/>
      <c r="CZ57" s="2"/>
      <c r="DA57" s="2"/>
      <c r="DB57" s="58">
        <f t="shared" si="75"/>
        <v>6.1047937391674694</v>
      </c>
      <c r="DC57" s="41">
        <f t="shared" si="76"/>
        <v>6.1047937391674703</v>
      </c>
      <c r="DD57" s="2"/>
      <c r="DE57" s="2"/>
      <c r="DF57" s="2"/>
      <c r="DG57" s="2"/>
      <c r="DH57" s="2"/>
      <c r="DI57" s="2"/>
      <c r="DJ57" s="2"/>
      <c r="DK57" s="2"/>
    </row>
    <row r="58" spans="1:115" ht="8.4" customHeight="1" x14ac:dyDescent="0.25">
      <c r="A58" s="605"/>
      <c r="B58" s="633"/>
      <c r="C58" s="609"/>
      <c r="D58" s="611"/>
      <c r="E58" s="560"/>
      <c r="F58" s="558"/>
      <c r="G58" s="560"/>
      <c r="H58" s="558"/>
      <c r="I58" s="637"/>
      <c r="J58" s="594"/>
      <c r="K58" s="596"/>
      <c r="L58" s="101"/>
      <c r="M58" s="360"/>
      <c r="N58" s="539">
        <v>0.23899999999999999</v>
      </c>
      <c r="O58" s="361"/>
      <c r="P58" s="361"/>
      <c r="Q58" s="361"/>
      <c r="R58" s="362"/>
      <c r="S58" s="360"/>
      <c r="T58" s="361"/>
      <c r="U58" s="361"/>
      <c r="V58" s="361"/>
      <c r="W58" s="360"/>
      <c r="X58" s="361"/>
      <c r="Y58" s="361"/>
      <c r="Z58" s="361"/>
      <c r="AA58" s="456">
        <v>23.626999999999999</v>
      </c>
      <c r="AB58" s="539">
        <v>19.094000000000001</v>
      </c>
      <c r="AC58" s="361"/>
      <c r="AD58" s="362"/>
      <c r="AE58" s="360"/>
      <c r="AF58" s="361"/>
      <c r="AG58" s="361"/>
      <c r="AH58" s="361"/>
      <c r="AI58" s="361"/>
      <c r="AJ58" s="384"/>
      <c r="AK58" s="384"/>
      <c r="AL58" s="384"/>
      <c r="AM58" s="383"/>
      <c r="AN58" s="384"/>
      <c r="AO58" s="363"/>
      <c r="AP58" s="364"/>
      <c r="AQ58" s="365"/>
      <c r="AR58" s="363"/>
      <c r="AS58" s="363"/>
      <c r="AT58" s="363"/>
      <c r="AU58" s="363"/>
      <c r="AV58" s="365"/>
      <c r="AW58" s="363"/>
      <c r="AX58" s="85"/>
      <c r="AY58" s="5"/>
      <c r="AZ58" s="331"/>
      <c r="BE58" s="2"/>
      <c r="BF58" s="2"/>
      <c r="BG58" s="2"/>
      <c r="BH58" s="2"/>
      <c r="BI58" s="2"/>
      <c r="BJ58" s="2"/>
      <c r="BK58" s="2"/>
      <c r="BL58" s="2">
        <v>0</v>
      </c>
      <c r="BM58" s="53"/>
      <c r="BN58" s="11">
        <f t="shared" ref="BN58:CX58" si="109">M58*$K57/100</f>
        <v>0</v>
      </c>
      <c r="BO58" s="11">
        <f t="shared" si="109"/>
        <v>1.4590457036610254E-2</v>
      </c>
      <c r="BP58" s="11">
        <f t="shared" si="109"/>
        <v>0</v>
      </c>
      <c r="BQ58" s="11">
        <f t="shared" si="109"/>
        <v>0</v>
      </c>
      <c r="BR58" s="11">
        <f t="shared" si="109"/>
        <v>0</v>
      </c>
      <c r="BS58" s="236">
        <f t="shared" si="109"/>
        <v>0</v>
      </c>
      <c r="BT58" s="11">
        <f t="shared" si="109"/>
        <v>0</v>
      </c>
      <c r="BU58" s="11">
        <f t="shared" si="109"/>
        <v>0</v>
      </c>
      <c r="BV58" s="11">
        <f t="shared" si="109"/>
        <v>0</v>
      </c>
      <c r="BW58" s="11">
        <f t="shared" si="109"/>
        <v>0</v>
      </c>
      <c r="BX58" s="11">
        <f t="shared" si="109"/>
        <v>0</v>
      </c>
      <c r="BY58" s="11">
        <f t="shared" si="109"/>
        <v>0</v>
      </c>
      <c r="BZ58" s="11">
        <f t="shared" si="109"/>
        <v>0</v>
      </c>
      <c r="CA58" s="11">
        <f t="shared" si="109"/>
        <v>0</v>
      </c>
      <c r="CB58" s="11">
        <f t="shared" si="109"/>
        <v>1.442379616753098</v>
      </c>
      <c r="CC58" s="11">
        <f t="shared" si="109"/>
        <v>1.1656493165566368</v>
      </c>
      <c r="CD58" s="11">
        <f t="shared" si="109"/>
        <v>0</v>
      </c>
      <c r="CE58" s="236">
        <f t="shared" si="109"/>
        <v>0</v>
      </c>
      <c r="CF58" s="11">
        <f t="shared" si="109"/>
        <v>0</v>
      </c>
      <c r="CG58" s="11">
        <f t="shared" si="109"/>
        <v>0</v>
      </c>
      <c r="CH58" s="11">
        <f t="shared" si="109"/>
        <v>0</v>
      </c>
      <c r="CI58" s="11">
        <f t="shared" si="109"/>
        <v>0</v>
      </c>
      <c r="CJ58" s="11">
        <f t="shared" si="109"/>
        <v>0</v>
      </c>
      <c r="CK58" s="11">
        <f t="shared" si="109"/>
        <v>0</v>
      </c>
      <c r="CL58" s="11">
        <f t="shared" si="109"/>
        <v>0</v>
      </c>
      <c r="CM58" s="11">
        <f t="shared" si="109"/>
        <v>0</v>
      </c>
      <c r="CN58" s="11">
        <f t="shared" si="109"/>
        <v>0</v>
      </c>
      <c r="CO58" s="11">
        <f t="shared" si="109"/>
        <v>0</v>
      </c>
      <c r="CP58" s="11">
        <f t="shared" si="109"/>
        <v>0</v>
      </c>
      <c r="CQ58" s="11">
        <f t="shared" si="109"/>
        <v>0</v>
      </c>
      <c r="CR58" s="11">
        <f t="shared" si="109"/>
        <v>0</v>
      </c>
      <c r="CS58" s="11">
        <f t="shared" si="109"/>
        <v>0</v>
      </c>
      <c r="CT58" s="11">
        <f t="shared" si="109"/>
        <v>0</v>
      </c>
      <c r="CU58" s="11">
        <f t="shared" si="109"/>
        <v>0</v>
      </c>
      <c r="CV58" s="11">
        <f t="shared" si="109"/>
        <v>0</v>
      </c>
      <c r="CW58" s="11">
        <f t="shared" si="109"/>
        <v>0</v>
      </c>
      <c r="CX58" s="11">
        <f t="shared" si="109"/>
        <v>0</v>
      </c>
      <c r="CY58" s="50"/>
      <c r="CZ58" s="2"/>
      <c r="DA58" s="2"/>
      <c r="DB58" s="58">
        <f t="shared" si="75"/>
        <v>2.6226193903463448</v>
      </c>
      <c r="DC58" s="41">
        <f t="shared" si="76"/>
        <v>0</v>
      </c>
      <c r="DD58" s="2"/>
      <c r="DE58" s="2"/>
      <c r="DF58" s="2"/>
      <c r="DG58" s="2"/>
      <c r="DH58" s="2"/>
      <c r="DI58" s="2"/>
      <c r="DJ58" s="2"/>
      <c r="DK58" s="2"/>
    </row>
    <row r="59" spans="1:115" ht="8.4" customHeight="1" x14ac:dyDescent="0.25">
      <c r="A59" s="638">
        <v>-1</v>
      </c>
      <c r="B59" s="632" t="s">
        <v>35</v>
      </c>
      <c r="C59" s="608" t="s">
        <v>6</v>
      </c>
      <c r="D59" s="610">
        <v>1</v>
      </c>
      <c r="E59" s="559">
        <f t="shared" ref="E59" si="110">F59*100/SUM($K$57:$K$62)</f>
        <v>0</v>
      </c>
      <c r="F59" s="557">
        <f t="shared" ref="F59" si="111">K59*SUM(M59:AG59)/100</f>
        <v>0</v>
      </c>
      <c r="G59" s="634"/>
      <c r="H59" s="557">
        <f t="shared" ref="H59" si="112">SUM(L60:AJ60)</f>
        <v>0</v>
      </c>
      <c r="I59" s="612">
        <f>'BOQ แก้ไขสัญญา'!AF40</f>
        <v>1620450</v>
      </c>
      <c r="J59" s="593">
        <f t="shared" si="0"/>
        <v>1620450</v>
      </c>
      <c r="K59" s="595">
        <f>J59*100/GTotal</f>
        <v>0.67944768511320419</v>
      </c>
      <c r="L59" s="101"/>
      <c r="M59" s="354"/>
      <c r="N59" s="354"/>
      <c r="O59" s="355"/>
      <c r="P59" s="355"/>
      <c r="Q59" s="355"/>
      <c r="R59" s="356"/>
      <c r="S59" s="354"/>
      <c r="T59" s="355"/>
      <c r="U59" s="355"/>
      <c r="V59" s="355"/>
      <c r="W59" s="354"/>
      <c r="X59" s="355"/>
      <c r="Y59" s="355"/>
      <c r="Z59" s="355"/>
      <c r="AA59" s="355"/>
      <c r="AB59" s="354"/>
      <c r="AC59" s="355"/>
      <c r="AD59" s="356"/>
      <c r="AE59" s="354"/>
      <c r="AF59" s="355"/>
      <c r="AG59" s="355"/>
      <c r="AH59" s="355"/>
      <c r="AI59" s="355"/>
      <c r="AJ59" s="380"/>
      <c r="AK59" s="380"/>
      <c r="AL59" s="380"/>
      <c r="AM59" s="379">
        <v>5</v>
      </c>
      <c r="AN59" s="380">
        <v>5</v>
      </c>
      <c r="AO59" s="358">
        <v>10</v>
      </c>
      <c r="AP59" s="359">
        <v>10</v>
      </c>
      <c r="AQ59" s="357">
        <v>15</v>
      </c>
      <c r="AR59" s="358">
        <v>15</v>
      </c>
      <c r="AS59" s="358">
        <v>15</v>
      </c>
      <c r="AT59" s="358">
        <v>15</v>
      </c>
      <c r="AU59" s="358">
        <v>5</v>
      </c>
      <c r="AV59" s="357">
        <v>5</v>
      </c>
      <c r="AW59" s="358"/>
      <c r="AX59" s="85"/>
      <c r="AY59" s="5"/>
      <c r="AZ59" s="331"/>
      <c r="BE59" s="2"/>
      <c r="BF59" s="2"/>
      <c r="BG59" s="2"/>
      <c r="BH59" s="2"/>
      <c r="BI59" s="2"/>
      <c r="BJ59" s="2"/>
      <c r="BK59" s="2"/>
      <c r="BL59" s="2">
        <v>1</v>
      </c>
      <c r="BM59" s="54"/>
      <c r="BN59" s="11">
        <f t="shared" ref="BN59:CX59" si="113">M59*$K59/100</f>
        <v>0</v>
      </c>
      <c r="BO59" s="11">
        <f t="shared" si="113"/>
        <v>0</v>
      </c>
      <c r="BP59" s="11">
        <f t="shared" si="113"/>
        <v>0</v>
      </c>
      <c r="BQ59" s="11">
        <f t="shared" si="113"/>
        <v>0</v>
      </c>
      <c r="BR59" s="11">
        <f t="shared" si="113"/>
        <v>0</v>
      </c>
      <c r="BS59" s="236">
        <f t="shared" si="113"/>
        <v>0</v>
      </c>
      <c r="BT59" s="11">
        <f t="shared" si="113"/>
        <v>0</v>
      </c>
      <c r="BU59" s="11">
        <f t="shared" si="113"/>
        <v>0</v>
      </c>
      <c r="BV59" s="11">
        <f t="shared" si="113"/>
        <v>0</v>
      </c>
      <c r="BW59" s="11">
        <f t="shared" si="113"/>
        <v>0</v>
      </c>
      <c r="BX59" s="11">
        <f t="shared" si="113"/>
        <v>0</v>
      </c>
      <c r="BY59" s="11">
        <f t="shared" si="113"/>
        <v>0</v>
      </c>
      <c r="BZ59" s="11">
        <f t="shared" si="113"/>
        <v>0</v>
      </c>
      <c r="CA59" s="11">
        <f t="shared" si="113"/>
        <v>0</v>
      </c>
      <c r="CB59" s="11">
        <f t="shared" si="113"/>
        <v>0</v>
      </c>
      <c r="CC59" s="11">
        <f t="shared" si="113"/>
        <v>0</v>
      </c>
      <c r="CD59" s="11">
        <f t="shared" si="113"/>
        <v>0</v>
      </c>
      <c r="CE59" s="236">
        <f t="shared" si="113"/>
        <v>0</v>
      </c>
      <c r="CF59" s="11">
        <f t="shared" si="113"/>
        <v>0</v>
      </c>
      <c r="CG59" s="11">
        <f t="shared" si="113"/>
        <v>0</v>
      </c>
      <c r="CH59" s="11">
        <f t="shared" si="113"/>
        <v>0</v>
      </c>
      <c r="CI59" s="11">
        <f t="shared" si="113"/>
        <v>0</v>
      </c>
      <c r="CJ59" s="11">
        <f t="shared" si="113"/>
        <v>0</v>
      </c>
      <c r="CK59" s="11">
        <f t="shared" si="113"/>
        <v>0</v>
      </c>
      <c r="CL59" s="11">
        <f t="shared" si="113"/>
        <v>0</v>
      </c>
      <c r="CM59" s="11">
        <f t="shared" si="113"/>
        <v>0</v>
      </c>
      <c r="CN59" s="11">
        <f t="shared" si="113"/>
        <v>3.397238425566021E-2</v>
      </c>
      <c r="CO59" s="11">
        <f t="shared" si="113"/>
        <v>3.397238425566021E-2</v>
      </c>
      <c r="CP59" s="11">
        <f t="shared" si="113"/>
        <v>6.7944768511320419E-2</v>
      </c>
      <c r="CQ59" s="11">
        <f t="shared" si="113"/>
        <v>6.7944768511320419E-2</v>
      </c>
      <c r="CR59" s="11">
        <f t="shared" si="113"/>
        <v>0.10191715276698061</v>
      </c>
      <c r="CS59" s="11">
        <f t="shared" si="113"/>
        <v>0.10191715276698061</v>
      </c>
      <c r="CT59" s="11">
        <f t="shared" si="113"/>
        <v>0.10191715276698061</v>
      </c>
      <c r="CU59" s="11">
        <f t="shared" si="113"/>
        <v>0.10191715276698061</v>
      </c>
      <c r="CV59" s="11">
        <f t="shared" si="113"/>
        <v>3.397238425566021E-2</v>
      </c>
      <c r="CW59" s="11">
        <f t="shared" si="113"/>
        <v>3.397238425566021E-2</v>
      </c>
      <c r="CX59" s="11">
        <f t="shared" si="113"/>
        <v>0</v>
      </c>
      <c r="CY59" s="50"/>
      <c r="CZ59" s="2"/>
      <c r="DA59" s="2"/>
      <c r="DB59" s="58">
        <f t="shared" si="75"/>
        <v>0.67944768511320408</v>
      </c>
      <c r="DC59" s="41">
        <f t="shared" si="76"/>
        <v>0.67944768511320419</v>
      </c>
      <c r="DD59" s="2"/>
      <c r="DE59" s="2"/>
      <c r="DF59" s="2"/>
      <c r="DG59" s="2"/>
      <c r="DH59" s="2"/>
      <c r="DI59" s="2"/>
      <c r="DJ59" s="2"/>
      <c r="DK59" s="2"/>
    </row>
    <row r="60" spans="1:115" ht="8.4" customHeight="1" x14ac:dyDescent="0.25">
      <c r="A60" s="639"/>
      <c r="B60" s="633"/>
      <c r="C60" s="609"/>
      <c r="D60" s="636"/>
      <c r="E60" s="560"/>
      <c r="F60" s="558"/>
      <c r="G60" s="560"/>
      <c r="H60" s="558"/>
      <c r="I60" s="637"/>
      <c r="J60" s="594"/>
      <c r="K60" s="596"/>
      <c r="L60" s="101"/>
      <c r="M60" s="360"/>
      <c r="N60" s="368"/>
      <c r="O60" s="369"/>
      <c r="P60" s="369"/>
      <c r="Q60" s="369"/>
      <c r="R60" s="370"/>
      <c r="S60" s="368"/>
      <c r="T60" s="369"/>
      <c r="U60" s="369"/>
      <c r="V60" s="369"/>
      <c r="W60" s="368"/>
      <c r="X60" s="369"/>
      <c r="Y60" s="369"/>
      <c r="Z60" s="369"/>
      <c r="AA60" s="369"/>
      <c r="AB60" s="368"/>
      <c r="AC60" s="369"/>
      <c r="AD60" s="370"/>
      <c r="AE60" s="368"/>
      <c r="AF60" s="369"/>
      <c r="AG60" s="369"/>
      <c r="AH60" s="369"/>
      <c r="AI60" s="369"/>
      <c r="AJ60" s="382"/>
      <c r="AK60" s="382"/>
      <c r="AL60" s="382"/>
      <c r="AM60" s="381"/>
      <c r="AN60" s="382"/>
      <c r="AO60" s="371"/>
      <c r="AP60" s="373"/>
      <c r="AQ60" s="372"/>
      <c r="AR60" s="371"/>
      <c r="AS60" s="371"/>
      <c r="AT60" s="371"/>
      <c r="AU60" s="371"/>
      <c r="AV60" s="372"/>
      <c r="AW60" s="371"/>
      <c r="AX60" s="85"/>
      <c r="AY60" s="5"/>
      <c r="AZ60" s="331"/>
      <c r="BE60" s="2"/>
      <c r="BF60" s="2"/>
      <c r="BG60" s="2"/>
      <c r="BH60" s="2"/>
      <c r="BI60" s="2"/>
      <c r="BJ60" s="2"/>
      <c r="BK60" s="2"/>
      <c r="BL60" s="2">
        <v>0</v>
      </c>
      <c r="BM60" s="53"/>
      <c r="BN60" s="11">
        <f t="shared" ref="BN60:CX60" si="114">M60*$K59/100</f>
        <v>0</v>
      </c>
      <c r="BO60" s="11">
        <f t="shared" si="114"/>
        <v>0</v>
      </c>
      <c r="BP60" s="11">
        <f t="shared" si="114"/>
        <v>0</v>
      </c>
      <c r="BQ60" s="11">
        <f t="shared" si="114"/>
        <v>0</v>
      </c>
      <c r="BR60" s="11">
        <f t="shared" si="114"/>
        <v>0</v>
      </c>
      <c r="BS60" s="236">
        <f t="shared" si="114"/>
        <v>0</v>
      </c>
      <c r="BT60" s="11">
        <f t="shared" si="114"/>
        <v>0</v>
      </c>
      <c r="BU60" s="11">
        <f t="shared" si="114"/>
        <v>0</v>
      </c>
      <c r="BV60" s="11">
        <f t="shared" si="114"/>
        <v>0</v>
      </c>
      <c r="BW60" s="11">
        <f t="shared" si="114"/>
        <v>0</v>
      </c>
      <c r="BX60" s="11">
        <f t="shared" si="114"/>
        <v>0</v>
      </c>
      <c r="BY60" s="11">
        <f t="shared" si="114"/>
        <v>0</v>
      </c>
      <c r="BZ60" s="11">
        <f t="shared" si="114"/>
        <v>0</v>
      </c>
      <c r="CA60" s="11">
        <f t="shared" si="114"/>
        <v>0</v>
      </c>
      <c r="CB60" s="11">
        <f t="shared" si="114"/>
        <v>0</v>
      </c>
      <c r="CC60" s="11">
        <f t="shared" si="114"/>
        <v>0</v>
      </c>
      <c r="CD60" s="11">
        <f t="shared" si="114"/>
        <v>0</v>
      </c>
      <c r="CE60" s="236">
        <f t="shared" si="114"/>
        <v>0</v>
      </c>
      <c r="CF60" s="11">
        <f t="shared" si="114"/>
        <v>0</v>
      </c>
      <c r="CG60" s="11">
        <f t="shared" si="114"/>
        <v>0</v>
      </c>
      <c r="CH60" s="11">
        <f t="shared" si="114"/>
        <v>0</v>
      </c>
      <c r="CI60" s="11">
        <f t="shared" si="114"/>
        <v>0</v>
      </c>
      <c r="CJ60" s="11">
        <f t="shared" si="114"/>
        <v>0</v>
      </c>
      <c r="CK60" s="11">
        <f t="shared" si="114"/>
        <v>0</v>
      </c>
      <c r="CL60" s="11">
        <f t="shared" si="114"/>
        <v>0</v>
      </c>
      <c r="CM60" s="11">
        <f t="shared" si="114"/>
        <v>0</v>
      </c>
      <c r="CN60" s="11">
        <f t="shared" si="114"/>
        <v>0</v>
      </c>
      <c r="CO60" s="11">
        <f t="shared" si="114"/>
        <v>0</v>
      </c>
      <c r="CP60" s="11">
        <f t="shared" si="114"/>
        <v>0</v>
      </c>
      <c r="CQ60" s="11">
        <f t="shared" si="114"/>
        <v>0</v>
      </c>
      <c r="CR60" s="11">
        <f t="shared" si="114"/>
        <v>0</v>
      </c>
      <c r="CS60" s="11">
        <f t="shared" si="114"/>
        <v>0</v>
      </c>
      <c r="CT60" s="11">
        <f t="shared" si="114"/>
        <v>0</v>
      </c>
      <c r="CU60" s="11">
        <f t="shared" si="114"/>
        <v>0</v>
      </c>
      <c r="CV60" s="11">
        <f t="shared" si="114"/>
        <v>0</v>
      </c>
      <c r="CW60" s="11">
        <f t="shared" si="114"/>
        <v>0</v>
      </c>
      <c r="CX60" s="11">
        <f t="shared" si="114"/>
        <v>0</v>
      </c>
      <c r="CY60" s="50"/>
      <c r="CZ60" s="2"/>
      <c r="DA60" s="2"/>
      <c r="DB60" s="58">
        <f t="shared" si="75"/>
        <v>0</v>
      </c>
      <c r="DC60" s="41">
        <f t="shared" si="76"/>
        <v>0</v>
      </c>
      <c r="DD60" s="2"/>
      <c r="DE60" s="2"/>
      <c r="DF60" s="2"/>
      <c r="DG60" s="2"/>
      <c r="DH60" s="2"/>
      <c r="DI60" s="2"/>
      <c r="DJ60" s="2"/>
      <c r="DK60" s="2"/>
    </row>
    <row r="61" spans="1:115" ht="8.4" customHeight="1" x14ac:dyDescent="0.25">
      <c r="A61" s="638">
        <v>-2</v>
      </c>
      <c r="B61" s="632" t="s">
        <v>121</v>
      </c>
      <c r="C61" s="608" t="s">
        <v>6</v>
      </c>
      <c r="D61" s="610">
        <v>1</v>
      </c>
      <c r="E61" s="559">
        <f t="shared" ref="E61" si="115">F61*100/SUM($K$57:$K$62)</f>
        <v>0</v>
      </c>
      <c r="F61" s="557">
        <f t="shared" ref="F61" si="116">K61*SUM(M61:AG61)/100</f>
        <v>0</v>
      </c>
      <c r="G61" s="559"/>
      <c r="H61" s="557">
        <f t="shared" ref="H61" si="117">SUM(L62:AJ62)</f>
        <v>0</v>
      </c>
      <c r="I61" s="612">
        <f>'BOQ แก้ไขสัญญา'!AF41</f>
        <v>1340232</v>
      </c>
      <c r="J61" s="593">
        <f t="shared" si="0"/>
        <v>1340232</v>
      </c>
      <c r="K61" s="595">
        <f>J61*100/GTotal</f>
        <v>0.56195348817590163</v>
      </c>
      <c r="L61" s="101"/>
      <c r="M61" s="354"/>
      <c r="N61" s="354"/>
      <c r="O61" s="355"/>
      <c r="P61" s="355"/>
      <c r="Q61" s="355"/>
      <c r="R61" s="356"/>
      <c r="S61" s="354"/>
      <c r="T61" s="355"/>
      <c r="U61" s="355"/>
      <c r="V61" s="355"/>
      <c r="W61" s="354"/>
      <c r="X61" s="355"/>
      <c r="Y61" s="355"/>
      <c r="Z61" s="355"/>
      <c r="AA61" s="355"/>
      <c r="AB61" s="354"/>
      <c r="AC61" s="355"/>
      <c r="AD61" s="356"/>
      <c r="AE61" s="354"/>
      <c r="AF61" s="355"/>
      <c r="AG61" s="355"/>
      <c r="AH61" s="355"/>
      <c r="AI61" s="355"/>
      <c r="AJ61" s="380"/>
      <c r="AK61" s="380"/>
      <c r="AL61" s="380"/>
      <c r="AM61" s="379"/>
      <c r="AN61" s="380"/>
      <c r="AO61" s="358">
        <v>5</v>
      </c>
      <c r="AP61" s="359">
        <v>5</v>
      </c>
      <c r="AQ61" s="357">
        <v>10</v>
      </c>
      <c r="AR61" s="358">
        <v>15</v>
      </c>
      <c r="AS61" s="358">
        <v>15</v>
      </c>
      <c r="AT61" s="358">
        <v>20</v>
      </c>
      <c r="AU61" s="358">
        <v>20</v>
      </c>
      <c r="AV61" s="357">
        <v>5</v>
      </c>
      <c r="AW61" s="358">
        <v>5</v>
      </c>
      <c r="AX61" s="85"/>
      <c r="AY61" s="5"/>
      <c r="AZ61" s="331">
        <v>50</v>
      </c>
      <c r="BE61" s="2"/>
      <c r="BF61" s="2"/>
      <c r="BG61" s="2"/>
      <c r="BH61" s="2"/>
      <c r="BI61" s="2"/>
      <c r="BJ61" s="2"/>
      <c r="BK61" s="2"/>
      <c r="BL61" s="2">
        <v>1</v>
      </c>
      <c r="BM61" s="54"/>
      <c r="BN61" s="11">
        <f t="shared" ref="BN61:CX61" si="118">M61*$K61/100</f>
        <v>0</v>
      </c>
      <c r="BO61" s="11">
        <f t="shared" si="118"/>
        <v>0</v>
      </c>
      <c r="BP61" s="11">
        <f t="shared" si="118"/>
        <v>0</v>
      </c>
      <c r="BQ61" s="11">
        <f t="shared" si="118"/>
        <v>0</v>
      </c>
      <c r="BR61" s="11">
        <f t="shared" si="118"/>
        <v>0</v>
      </c>
      <c r="BS61" s="236">
        <f t="shared" si="118"/>
        <v>0</v>
      </c>
      <c r="BT61" s="11">
        <f t="shared" si="118"/>
        <v>0</v>
      </c>
      <c r="BU61" s="11">
        <f t="shared" si="118"/>
        <v>0</v>
      </c>
      <c r="BV61" s="11">
        <f t="shared" si="118"/>
        <v>0</v>
      </c>
      <c r="BW61" s="11">
        <f t="shared" si="118"/>
        <v>0</v>
      </c>
      <c r="BX61" s="11">
        <f t="shared" si="118"/>
        <v>0</v>
      </c>
      <c r="BY61" s="11">
        <f t="shared" si="118"/>
        <v>0</v>
      </c>
      <c r="BZ61" s="11">
        <f t="shared" si="118"/>
        <v>0</v>
      </c>
      <c r="CA61" s="11">
        <f t="shared" si="118"/>
        <v>0</v>
      </c>
      <c r="CB61" s="11">
        <f t="shared" si="118"/>
        <v>0</v>
      </c>
      <c r="CC61" s="11">
        <f t="shared" si="118"/>
        <v>0</v>
      </c>
      <c r="CD61" s="11">
        <f t="shared" si="118"/>
        <v>0</v>
      </c>
      <c r="CE61" s="236">
        <f t="shared" si="118"/>
        <v>0</v>
      </c>
      <c r="CF61" s="11">
        <f t="shared" si="118"/>
        <v>0</v>
      </c>
      <c r="CG61" s="11">
        <f t="shared" si="118"/>
        <v>0</v>
      </c>
      <c r="CH61" s="11">
        <f t="shared" si="118"/>
        <v>0</v>
      </c>
      <c r="CI61" s="11">
        <f t="shared" si="118"/>
        <v>0</v>
      </c>
      <c r="CJ61" s="11">
        <f t="shared" si="118"/>
        <v>0</v>
      </c>
      <c r="CK61" s="11">
        <f t="shared" si="118"/>
        <v>0</v>
      </c>
      <c r="CL61" s="11">
        <f t="shared" si="118"/>
        <v>0</v>
      </c>
      <c r="CM61" s="11">
        <f t="shared" si="118"/>
        <v>0</v>
      </c>
      <c r="CN61" s="11">
        <f t="shared" si="118"/>
        <v>0</v>
      </c>
      <c r="CO61" s="11">
        <f t="shared" si="118"/>
        <v>0</v>
      </c>
      <c r="CP61" s="11">
        <f t="shared" si="118"/>
        <v>2.8097674408795081E-2</v>
      </c>
      <c r="CQ61" s="11">
        <f t="shared" si="118"/>
        <v>2.8097674408795081E-2</v>
      </c>
      <c r="CR61" s="11">
        <f t="shared" si="118"/>
        <v>5.6195348817590161E-2</v>
      </c>
      <c r="CS61" s="11">
        <f t="shared" si="118"/>
        <v>8.4293023226385239E-2</v>
      </c>
      <c r="CT61" s="11">
        <f t="shared" si="118"/>
        <v>8.4293023226385239E-2</v>
      </c>
      <c r="CU61" s="11">
        <f t="shared" si="118"/>
        <v>0.11239069763518032</v>
      </c>
      <c r="CV61" s="11">
        <f t="shared" si="118"/>
        <v>0.11239069763518032</v>
      </c>
      <c r="CW61" s="11">
        <f t="shared" si="118"/>
        <v>2.8097674408795081E-2</v>
      </c>
      <c r="CX61" s="11">
        <f t="shared" si="118"/>
        <v>2.8097674408795081E-2</v>
      </c>
      <c r="CY61" s="50"/>
      <c r="CZ61" s="2"/>
      <c r="DA61" s="2"/>
      <c r="DB61" s="58">
        <f t="shared" si="75"/>
        <v>0.56195348817590163</v>
      </c>
      <c r="DC61" s="41">
        <f t="shared" si="76"/>
        <v>0.56195348817590163</v>
      </c>
      <c r="DD61" s="2"/>
      <c r="DE61" s="2"/>
      <c r="DF61" s="2"/>
      <c r="DG61" s="2"/>
      <c r="DH61" s="2"/>
      <c r="DI61" s="2"/>
      <c r="DJ61" s="2"/>
      <c r="DK61" s="2"/>
    </row>
    <row r="62" spans="1:115" ht="8.4" customHeight="1" x14ac:dyDescent="0.25">
      <c r="A62" s="639"/>
      <c r="B62" s="633"/>
      <c r="C62" s="609"/>
      <c r="D62" s="611"/>
      <c r="E62" s="560"/>
      <c r="F62" s="558"/>
      <c r="G62" s="634"/>
      <c r="H62" s="558"/>
      <c r="I62" s="637"/>
      <c r="J62" s="594"/>
      <c r="K62" s="596"/>
      <c r="L62" s="101"/>
      <c r="M62" s="368"/>
      <c r="N62" s="360"/>
      <c r="O62" s="361"/>
      <c r="P62" s="361"/>
      <c r="Q62" s="361"/>
      <c r="R62" s="362"/>
      <c r="S62" s="360"/>
      <c r="T62" s="361"/>
      <c r="U62" s="361"/>
      <c r="V62" s="361"/>
      <c r="W62" s="360"/>
      <c r="X62" s="361"/>
      <c r="Y62" s="361"/>
      <c r="Z62" s="361"/>
      <c r="AA62" s="361"/>
      <c r="AB62" s="360"/>
      <c r="AC62" s="361"/>
      <c r="AD62" s="362"/>
      <c r="AE62" s="360"/>
      <c r="AF62" s="361"/>
      <c r="AG62" s="361"/>
      <c r="AH62" s="361"/>
      <c r="AI62" s="361"/>
      <c r="AJ62" s="384"/>
      <c r="AK62" s="383"/>
      <c r="AL62" s="384"/>
      <c r="AM62" s="384"/>
      <c r="AN62" s="384"/>
      <c r="AO62" s="365"/>
      <c r="AP62" s="364"/>
      <c r="AQ62" s="365"/>
      <c r="AR62" s="365"/>
      <c r="AS62" s="365"/>
      <c r="AT62" s="365"/>
      <c r="AU62" s="365"/>
      <c r="AV62" s="365"/>
      <c r="AW62" s="378"/>
      <c r="AX62" s="85"/>
      <c r="AY62" s="5"/>
      <c r="AZ62" s="331"/>
      <c r="BE62" s="2"/>
      <c r="BF62" s="2"/>
      <c r="BG62" s="2"/>
      <c r="BH62" s="2"/>
      <c r="BI62" s="2"/>
      <c r="BJ62" s="2"/>
      <c r="BK62" s="2"/>
      <c r="BL62" s="2">
        <v>0</v>
      </c>
      <c r="BM62" s="53"/>
      <c r="BN62" s="11">
        <f t="shared" ref="BN62:CX62" si="119">M62*$K61/100</f>
        <v>0</v>
      </c>
      <c r="BO62" s="11">
        <f t="shared" si="119"/>
        <v>0</v>
      </c>
      <c r="BP62" s="11">
        <f t="shared" si="119"/>
        <v>0</v>
      </c>
      <c r="BQ62" s="11">
        <f t="shared" si="119"/>
        <v>0</v>
      </c>
      <c r="BR62" s="11">
        <f t="shared" si="119"/>
        <v>0</v>
      </c>
      <c r="BS62" s="236">
        <f t="shared" si="119"/>
        <v>0</v>
      </c>
      <c r="BT62" s="11">
        <f t="shared" si="119"/>
        <v>0</v>
      </c>
      <c r="BU62" s="11">
        <f t="shared" si="119"/>
        <v>0</v>
      </c>
      <c r="BV62" s="11">
        <f t="shared" si="119"/>
        <v>0</v>
      </c>
      <c r="BW62" s="11">
        <f t="shared" si="119"/>
        <v>0</v>
      </c>
      <c r="BX62" s="11">
        <f t="shared" si="119"/>
        <v>0</v>
      </c>
      <c r="BY62" s="11">
        <f t="shared" si="119"/>
        <v>0</v>
      </c>
      <c r="BZ62" s="11">
        <f t="shared" si="119"/>
        <v>0</v>
      </c>
      <c r="CA62" s="11">
        <f t="shared" si="119"/>
        <v>0</v>
      </c>
      <c r="CB62" s="11">
        <f t="shared" si="119"/>
        <v>0</v>
      </c>
      <c r="CC62" s="11">
        <f t="shared" si="119"/>
        <v>0</v>
      </c>
      <c r="CD62" s="11">
        <f t="shared" si="119"/>
        <v>0</v>
      </c>
      <c r="CE62" s="236">
        <f t="shared" si="119"/>
        <v>0</v>
      </c>
      <c r="CF62" s="11">
        <f t="shared" si="119"/>
        <v>0</v>
      </c>
      <c r="CG62" s="11">
        <f t="shared" si="119"/>
        <v>0</v>
      </c>
      <c r="CH62" s="11">
        <f t="shared" si="119"/>
        <v>0</v>
      </c>
      <c r="CI62" s="11">
        <f t="shared" si="119"/>
        <v>0</v>
      </c>
      <c r="CJ62" s="11">
        <f t="shared" si="119"/>
        <v>0</v>
      </c>
      <c r="CK62" s="11">
        <f t="shared" si="119"/>
        <v>0</v>
      </c>
      <c r="CL62" s="11">
        <f t="shared" si="119"/>
        <v>0</v>
      </c>
      <c r="CM62" s="11">
        <f t="shared" si="119"/>
        <v>0</v>
      </c>
      <c r="CN62" s="11">
        <f t="shared" si="119"/>
        <v>0</v>
      </c>
      <c r="CO62" s="11">
        <f t="shared" si="119"/>
        <v>0</v>
      </c>
      <c r="CP62" s="11">
        <f t="shared" si="119"/>
        <v>0</v>
      </c>
      <c r="CQ62" s="11">
        <f t="shared" si="119"/>
        <v>0</v>
      </c>
      <c r="CR62" s="11">
        <f t="shared" si="119"/>
        <v>0</v>
      </c>
      <c r="CS62" s="11">
        <f t="shared" si="119"/>
        <v>0</v>
      </c>
      <c r="CT62" s="11">
        <f t="shared" si="119"/>
        <v>0</v>
      </c>
      <c r="CU62" s="11">
        <f t="shared" si="119"/>
        <v>0</v>
      </c>
      <c r="CV62" s="11">
        <f t="shared" si="119"/>
        <v>0</v>
      </c>
      <c r="CW62" s="11">
        <f t="shared" si="119"/>
        <v>0</v>
      </c>
      <c r="CX62" s="11">
        <f t="shared" si="119"/>
        <v>0</v>
      </c>
      <c r="CY62" s="50"/>
      <c r="CZ62" s="2"/>
      <c r="DA62" s="2"/>
      <c r="DB62" s="58">
        <f t="shared" si="75"/>
        <v>0</v>
      </c>
      <c r="DC62" s="41">
        <f t="shared" si="76"/>
        <v>0</v>
      </c>
      <c r="DD62" s="2"/>
      <c r="DE62" s="2"/>
      <c r="DF62" s="2"/>
      <c r="DG62" s="2"/>
      <c r="DH62" s="2"/>
      <c r="DI62" s="2"/>
      <c r="DJ62" s="2"/>
      <c r="DK62" s="2"/>
    </row>
    <row r="63" spans="1:115" ht="8.4" customHeight="1" x14ac:dyDescent="0.25">
      <c r="A63" s="604">
        <v>1.8</v>
      </c>
      <c r="B63" s="632" t="s">
        <v>142</v>
      </c>
      <c r="C63" s="608" t="s">
        <v>6</v>
      </c>
      <c r="D63" s="610">
        <v>1</v>
      </c>
      <c r="E63" s="559">
        <f>F63*100/SUM($K$63:$K$68)</f>
        <v>0</v>
      </c>
      <c r="F63" s="557">
        <f t="shared" ref="F63" si="120">K63*SUM(M63:AG63)/100</f>
        <v>0</v>
      </c>
      <c r="G63" s="559"/>
      <c r="H63" s="557">
        <f t="shared" ref="H63:H75" si="121">SUM(L64:AJ64)</f>
        <v>19.939</v>
      </c>
      <c r="I63" s="612">
        <f>'BOQ แก้ไขสัญญา'!AF43</f>
        <v>16172985</v>
      </c>
      <c r="J63" s="593">
        <f t="shared" si="0"/>
        <v>16172985</v>
      </c>
      <c r="K63" s="595">
        <f>J63*100/GTotal</f>
        <v>6.7812627477679497</v>
      </c>
      <c r="L63" s="101"/>
      <c r="M63" s="354"/>
      <c r="N63" s="354"/>
      <c r="O63" s="355"/>
      <c r="P63" s="355"/>
      <c r="Q63" s="355"/>
      <c r="R63" s="356"/>
      <c r="S63" s="354"/>
      <c r="T63" s="355"/>
      <c r="U63" s="355"/>
      <c r="V63" s="355"/>
      <c r="W63" s="354"/>
      <c r="X63" s="355"/>
      <c r="Y63" s="355"/>
      <c r="Z63" s="355"/>
      <c r="AA63" s="355"/>
      <c r="AB63" s="354"/>
      <c r="AC63" s="355"/>
      <c r="AD63" s="356"/>
      <c r="AE63" s="354"/>
      <c r="AF63" s="355"/>
      <c r="AG63" s="355"/>
      <c r="AH63" s="355"/>
      <c r="AI63" s="355"/>
      <c r="AJ63" s="380">
        <v>4</v>
      </c>
      <c r="AK63" s="380">
        <v>4</v>
      </c>
      <c r="AL63" s="379">
        <v>4</v>
      </c>
      <c r="AM63" s="380">
        <v>4</v>
      </c>
      <c r="AN63" s="380">
        <v>4</v>
      </c>
      <c r="AO63" s="357">
        <v>4</v>
      </c>
      <c r="AP63" s="359">
        <v>4</v>
      </c>
      <c r="AQ63" s="357">
        <v>4</v>
      </c>
      <c r="AR63" s="358">
        <v>4</v>
      </c>
      <c r="AS63" s="358">
        <v>10</v>
      </c>
      <c r="AT63" s="358">
        <v>10</v>
      </c>
      <c r="AU63" s="357">
        <v>14</v>
      </c>
      <c r="AV63" s="358">
        <v>15</v>
      </c>
      <c r="AW63" s="358">
        <v>15</v>
      </c>
      <c r="AX63" s="85"/>
      <c r="AY63" s="5"/>
      <c r="AZ63" s="331"/>
      <c r="BE63" s="2"/>
      <c r="BF63" s="2"/>
      <c r="BG63" s="2"/>
      <c r="BH63" s="2"/>
      <c r="BI63" s="2"/>
      <c r="BJ63" s="2"/>
      <c r="BK63" s="2"/>
      <c r="BL63" s="2">
        <v>1</v>
      </c>
      <c r="BM63" s="54"/>
      <c r="BN63" s="11">
        <f t="shared" ref="BN63:CX63" si="122">M63*$K63/100</f>
        <v>0</v>
      </c>
      <c r="BO63" s="11">
        <f t="shared" si="122"/>
        <v>0</v>
      </c>
      <c r="BP63" s="11">
        <f t="shared" si="122"/>
        <v>0</v>
      </c>
      <c r="BQ63" s="11">
        <f t="shared" si="122"/>
        <v>0</v>
      </c>
      <c r="BR63" s="11">
        <f t="shared" si="122"/>
        <v>0</v>
      </c>
      <c r="BS63" s="236">
        <f t="shared" si="122"/>
        <v>0</v>
      </c>
      <c r="BT63" s="11">
        <f t="shared" si="122"/>
        <v>0</v>
      </c>
      <c r="BU63" s="11">
        <f t="shared" si="122"/>
        <v>0</v>
      </c>
      <c r="BV63" s="11">
        <f t="shared" si="122"/>
        <v>0</v>
      </c>
      <c r="BW63" s="11">
        <f t="shared" si="122"/>
        <v>0</v>
      </c>
      <c r="BX63" s="11">
        <f t="shared" si="122"/>
        <v>0</v>
      </c>
      <c r="BY63" s="11">
        <f t="shared" si="122"/>
        <v>0</v>
      </c>
      <c r="BZ63" s="11">
        <f t="shared" si="122"/>
        <v>0</v>
      </c>
      <c r="CA63" s="11">
        <f t="shared" si="122"/>
        <v>0</v>
      </c>
      <c r="CB63" s="11">
        <f t="shared" si="122"/>
        <v>0</v>
      </c>
      <c r="CC63" s="11">
        <f t="shared" si="122"/>
        <v>0</v>
      </c>
      <c r="CD63" s="11">
        <f t="shared" si="122"/>
        <v>0</v>
      </c>
      <c r="CE63" s="236">
        <f t="shared" si="122"/>
        <v>0</v>
      </c>
      <c r="CF63" s="11">
        <f t="shared" si="122"/>
        <v>0</v>
      </c>
      <c r="CG63" s="11">
        <f t="shared" si="122"/>
        <v>0</v>
      </c>
      <c r="CH63" s="11">
        <f t="shared" si="122"/>
        <v>0</v>
      </c>
      <c r="CI63" s="11">
        <f t="shared" si="122"/>
        <v>0</v>
      </c>
      <c r="CJ63" s="11">
        <f t="shared" si="122"/>
        <v>0</v>
      </c>
      <c r="CK63" s="11">
        <f t="shared" si="122"/>
        <v>0.27125050991071797</v>
      </c>
      <c r="CL63" s="11">
        <f t="shared" si="122"/>
        <v>0.27125050991071797</v>
      </c>
      <c r="CM63" s="11">
        <f t="shared" si="122"/>
        <v>0.27125050991071797</v>
      </c>
      <c r="CN63" s="11">
        <f t="shared" si="122"/>
        <v>0.27125050991071797</v>
      </c>
      <c r="CO63" s="11">
        <f t="shared" si="122"/>
        <v>0.27125050991071797</v>
      </c>
      <c r="CP63" s="11">
        <f t="shared" si="122"/>
        <v>0.27125050991071797</v>
      </c>
      <c r="CQ63" s="11">
        <f t="shared" si="122"/>
        <v>0.27125050991071797</v>
      </c>
      <c r="CR63" s="11">
        <f t="shared" si="122"/>
        <v>0.27125050991071797</v>
      </c>
      <c r="CS63" s="11">
        <f t="shared" si="122"/>
        <v>0.27125050991071797</v>
      </c>
      <c r="CT63" s="11">
        <f t="shared" si="122"/>
        <v>0.67812627477679499</v>
      </c>
      <c r="CU63" s="11">
        <f t="shared" si="122"/>
        <v>0.67812627477679499</v>
      </c>
      <c r="CV63" s="11">
        <f t="shared" si="122"/>
        <v>0.94937678468751296</v>
      </c>
      <c r="CW63" s="11">
        <f t="shared" si="122"/>
        <v>1.0171894121651923</v>
      </c>
      <c r="CX63" s="11">
        <f t="shared" si="122"/>
        <v>1.0171894121651923</v>
      </c>
      <c r="CY63" s="50"/>
      <c r="CZ63" s="2"/>
      <c r="DA63" s="2"/>
      <c r="DB63" s="58">
        <f t="shared" si="75"/>
        <v>6.7812627477679488</v>
      </c>
      <c r="DC63" s="41">
        <f t="shared" si="76"/>
        <v>6.7812627477679497</v>
      </c>
      <c r="DD63" s="2"/>
      <c r="DE63" s="2"/>
      <c r="DF63" s="2"/>
      <c r="DG63" s="2"/>
      <c r="DH63" s="2"/>
      <c r="DI63" s="2"/>
      <c r="DJ63" s="2"/>
      <c r="DK63" s="2"/>
    </row>
    <row r="64" spans="1:115" ht="8.4" customHeight="1" x14ac:dyDescent="0.25">
      <c r="A64" s="605"/>
      <c r="B64" s="633"/>
      <c r="C64" s="609"/>
      <c r="D64" s="636"/>
      <c r="E64" s="560"/>
      <c r="F64" s="558"/>
      <c r="G64" s="560"/>
      <c r="H64" s="558"/>
      <c r="I64" s="637"/>
      <c r="J64" s="594"/>
      <c r="K64" s="596"/>
      <c r="L64" s="101"/>
      <c r="M64" s="360"/>
      <c r="N64" s="554">
        <v>0.215</v>
      </c>
      <c r="O64" s="369"/>
      <c r="P64" s="369"/>
      <c r="Q64" s="369"/>
      <c r="R64" s="370"/>
      <c r="S64" s="368"/>
      <c r="T64" s="369"/>
      <c r="U64" s="369"/>
      <c r="V64" s="369"/>
      <c r="W64" s="368"/>
      <c r="X64" s="369"/>
      <c r="Y64" s="369"/>
      <c r="Z64" s="369"/>
      <c r="AA64" s="553">
        <v>5.3789999999999996</v>
      </c>
      <c r="AB64" s="554">
        <v>14.345000000000001</v>
      </c>
      <c r="AC64" s="369"/>
      <c r="AD64" s="370"/>
      <c r="AE64" s="368"/>
      <c r="AF64" s="369"/>
      <c r="AG64" s="369"/>
      <c r="AH64" s="369"/>
      <c r="AI64" s="369"/>
      <c r="AJ64" s="382"/>
      <c r="AK64" s="382"/>
      <c r="AL64" s="381"/>
      <c r="AM64" s="382"/>
      <c r="AN64" s="382"/>
      <c r="AO64" s="372"/>
      <c r="AP64" s="373"/>
      <c r="AQ64" s="372"/>
      <c r="AR64" s="371"/>
      <c r="AS64" s="371"/>
      <c r="AT64" s="371"/>
      <c r="AU64" s="372"/>
      <c r="AV64" s="371"/>
      <c r="AW64" s="371"/>
      <c r="AX64" s="85"/>
      <c r="AY64" s="5"/>
      <c r="AZ64" s="331"/>
      <c r="BE64" s="2"/>
      <c r="BF64" s="2"/>
      <c r="BG64" s="2"/>
      <c r="BH64" s="2"/>
      <c r="BI64" s="2"/>
      <c r="BJ64" s="2"/>
      <c r="BK64" s="2"/>
      <c r="BL64" s="2">
        <v>0</v>
      </c>
      <c r="BM64" s="53"/>
      <c r="BN64" s="11">
        <f t="shared" ref="BN64:CX64" si="123">M64*$K63/100</f>
        <v>0</v>
      </c>
      <c r="BO64" s="11">
        <f t="shared" si="123"/>
        <v>1.4579714907701092E-2</v>
      </c>
      <c r="BP64" s="11">
        <f t="shared" si="123"/>
        <v>0</v>
      </c>
      <c r="BQ64" s="11">
        <f t="shared" si="123"/>
        <v>0</v>
      </c>
      <c r="BR64" s="11">
        <f t="shared" si="123"/>
        <v>0</v>
      </c>
      <c r="BS64" s="236">
        <f t="shared" si="123"/>
        <v>0</v>
      </c>
      <c r="BT64" s="11">
        <f t="shared" si="123"/>
        <v>0</v>
      </c>
      <c r="BU64" s="11">
        <f t="shared" si="123"/>
        <v>0</v>
      </c>
      <c r="BV64" s="11">
        <f t="shared" si="123"/>
        <v>0</v>
      </c>
      <c r="BW64" s="11">
        <f t="shared" si="123"/>
        <v>0</v>
      </c>
      <c r="BX64" s="11">
        <f t="shared" si="123"/>
        <v>0</v>
      </c>
      <c r="BY64" s="11">
        <f t="shared" si="123"/>
        <v>0</v>
      </c>
      <c r="BZ64" s="11">
        <f t="shared" si="123"/>
        <v>0</v>
      </c>
      <c r="CA64" s="11">
        <f t="shared" si="123"/>
        <v>0</v>
      </c>
      <c r="CB64" s="11">
        <f t="shared" si="123"/>
        <v>0.36476412320243795</v>
      </c>
      <c r="CC64" s="11">
        <f t="shared" si="123"/>
        <v>0.97277214116731248</v>
      </c>
      <c r="CD64" s="11">
        <f t="shared" si="123"/>
        <v>0</v>
      </c>
      <c r="CE64" s="236">
        <f t="shared" si="123"/>
        <v>0</v>
      </c>
      <c r="CF64" s="11">
        <f t="shared" si="123"/>
        <v>0</v>
      </c>
      <c r="CG64" s="11">
        <f t="shared" si="123"/>
        <v>0</v>
      </c>
      <c r="CH64" s="11">
        <f t="shared" si="123"/>
        <v>0</v>
      </c>
      <c r="CI64" s="11">
        <f t="shared" si="123"/>
        <v>0</v>
      </c>
      <c r="CJ64" s="11">
        <f t="shared" si="123"/>
        <v>0</v>
      </c>
      <c r="CK64" s="11">
        <f t="shared" si="123"/>
        <v>0</v>
      </c>
      <c r="CL64" s="11">
        <f t="shared" si="123"/>
        <v>0</v>
      </c>
      <c r="CM64" s="11">
        <f t="shared" si="123"/>
        <v>0</v>
      </c>
      <c r="CN64" s="11">
        <f t="shared" si="123"/>
        <v>0</v>
      </c>
      <c r="CO64" s="11">
        <f t="shared" si="123"/>
        <v>0</v>
      </c>
      <c r="CP64" s="11">
        <f t="shared" si="123"/>
        <v>0</v>
      </c>
      <c r="CQ64" s="11">
        <f t="shared" si="123"/>
        <v>0</v>
      </c>
      <c r="CR64" s="11">
        <f t="shared" si="123"/>
        <v>0</v>
      </c>
      <c r="CS64" s="11">
        <f t="shared" si="123"/>
        <v>0</v>
      </c>
      <c r="CT64" s="11">
        <f t="shared" si="123"/>
        <v>0</v>
      </c>
      <c r="CU64" s="11">
        <f t="shared" si="123"/>
        <v>0</v>
      </c>
      <c r="CV64" s="11">
        <f t="shared" si="123"/>
        <v>0</v>
      </c>
      <c r="CW64" s="11">
        <f t="shared" si="123"/>
        <v>0</v>
      </c>
      <c r="CX64" s="11">
        <f t="shared" si="123"/>
        <v>0</v>
      </c>
      <c r="CY64" s="50"/>
      <c r="CZ64" s="2"/>
      <c r="DA64" s="2"/>
      <c r="DB64" s="58">
        <f t="shared" si="75"/>
        <v>1.3521159792774515</v>
      </c>
      <c r="DC64" s="41">
        <f t="shared" si="76"/>
        <v>0</v>
      </c>
      <c r="DD64" s="2"/>
      <c r="DE64" s="2"/>
      <c r="DF64" s="2"/>
      <c r="DG64" s="2"/>
      <c r="DH64" s="2"/>
      <c r="DI64" s="2"/>
      <c r="DJ64" s="2"/>
      <c r="DK64" s="2"/>
    </row>
    <row r="65" spans="1:115" ht="8.4" customHeight="1" x14ac:dyDescent="0.25">
      <c r="A65" s="638">
        <v>-1</v>
      </c>
      <c r="B65" s="632" t="s">
        <v>35</v>
      </c>
      <c r="C65" s="608" t="s">
        <v>6</v>
      </c>
      <c r="D65" s="610">
        <v>1</v>
      </c>
      <c r="E65" s="559">
        <f t="shared" ref="E65" si="124">F65*100/SUM($K$63:$K$68)</f>
        <v>0</v>
      </c>
      <c r="F65" s="557">
        <f t="shared" ref="F65" si="125">K65*SUM(M65:AG65)/100</f>
        <v>0</v>
      </c>
      <c r="G65" s="559"/>
      <c r="H65" s="557">
        <f t="shared" si="121"/>
        <v>0</v>
      </c>
      <c r="I65" s="612">
        <f>'BOQ แก้ไขสัญญา'!AF44</f>
        <v>1828365</v>
      </c>
      <c r="J65" s="593">
        <f t="shared" si="0"/>
        <v>1828365</v>
      </c>
      <c r="K65" s="595">
        <f>J65*100/GTotal</f>
        <v>0.76662554647906667</v>
      </c>
      <c r="L65" s="101"/>
      <c r="M65" s="354"/>
      <c r="N65" s="354"/>
      <c r="O65" s="355"/>
      <c r="P65" s="355"/>
      <c r="Q65" s="355"/>
      <c r="R65" s="356"/>
      <c r="S65" s="354"/>
      <c r="T65" s="355"/>
      <c r="U65" s="355"/>
      <c r="V65" s="355"/>
      <c r="W65" s="354"/>
      <c r="X65" s="355"/>
      <c r="Y65" s="355"/>
      <c r="Z65" s="355"/>
      <c r="AA65" s="355"/>
      <c r="AB65" s="354"/>
      <c r="AC65" s="355"/>
      <c r="AD65" s="356"/>
      <c r="AE65" s="354"/>
      <c r="AF65" s="355"/>
      <c r="AG65" s="355"/>
      <c r="AH65" s="355"/>
      <c r="AI65" s="355"/>
      <c r="AJ65" s="380"/>
      <c r="AK65" s="380"/>
      <c r="AL65" s="379">
        <v>5</v>
      </c>
      <c r="AM65" s="380">
        <v>5</v>
      </c>
      <c r="AN65" s="380">
        <v>10</v>
      </c>
      <c r="AO65" s="357">
        <v>10</v>
      </c>
      <c r="AP65" s="359">
        <v>15</v>
      </c>
      <c r="AQ65" s="357">
        <v>15</v>
      </c>
      <c r="AR65" s="358">
        <v>15</v>
      </c>
      <c r="AS65" s="358">
        <v>15</v>
      </c>
      <c r="AT65" s="358">
        <v>5</v>
      </c>
      <c r="AU65" s="357">
        <v>5</v>
      </c>
      <c r="AV65" s="358"/>
      <c r="AW65" s="358"/>
      <c r="AX65" s="85"/>
      <c r="AY65" s="5"/>
      <c r="AZ65" s="331"/>
      <c r="BE65" s="2"/>
      <c r="BF65" s="2"/>
      <c r="BG65" s="2"/>
      <c r="BH65" s="2"/>
      <c r="BI65" s="2"/>
      <c r="BJ65" s="2"/>
      <c r="BK65" s="2"/>
      <c r="BL65" s="2">
        <v>1</v>
      </c>
      <c r="BM65" s="54"/>
      <c r="BN65" s="11">
        <f t="shared" ref="BN65:CX65" si="126">M65*$K65/100</f>
        <v>0</v>
      </c>
      <c r="BO65" s="11">
        <f t="shared" si="126"/>
        <v>0</v>
      </c>
      <c r="BP65" s="11">
        <f t="shared" si="126"/>
        <v>0</v>
      </c>
      <c r="BQ65" s="11">
        <f t="shared" si="126"/>
        <v>0</v>
      </c>
      <c r="BR65" s="11">
        <f t="shared" si="126"/>
        <v>0</v>
      </c>
      <c r="BS65" s="236">
        <f t="shared" si="126"/>
        <v>0</v>
      </c>
      <c r="BT65" s="11">
        <f t="shared" si="126"/>
        <v>0</v>
      </c>
      <c r="BU65" s="11">
        <f t="shared" si="126"/>
        <v>0</v>
      </c>
      <c r="BV65" s="11">
        <f t="shared" si="126"/>
        <v>0</v>
      </c>
      <c r="BW65" s="11">
        <f t="shared" si="126"/>
        <v>0</v>
      </c>
      <c r="BX65" s="11">
        <f t="shared" si="126"/>
        <v>0</v>
      </c>
      <c r="BY65" s="11">
        <f t="shared" si="126"/>
        <v>0</v>
      </c>
      <c r="BZ65" s="11">
        <f t="shared" si="126"/>
        <v>0</v>
      </c>
      <c r="CA65" s="11">
        <f t="shared" si="126"/>
        <v>0</v>
      </c>
      <c r="CB65" s="11">
        <f t="shared" si="126"/>
        <v>0</v>
      </c>
      <c r="CC65" s="11">
        <f t="shared" si="126"/>
        <v>0</v>
      </c>
      <c r="CD65" s="11">
        <f t="shared" si="126"/>
        <v>0</v>
      </c>
      <c r="CE65" s="236">
        <f t="shared" si="126"/>
        <v>0</v>
      </c>
      <c r="CF65" s="11">
        <f t="shared" si="126"/>
        <v>0</v>
      </c>
      <c r="CG65" s="11">
        <f t="shared" si="126"/>
        <v>0</v>
      </c>
      <c r="CH65" s="11">
        <f t="shared" si="126"/>
        <v>0</v>
      </c>
      <c r="CI65" s="11">
        <f t="shared" si="126"/>
        <v>0</v>
      </c>
      <c r="CJ65" s="11">
        <f t="shared" si="126"/>
        <v>0</v>
      </c>
      <c r="CK65" s="11">
        <f t="shared" si="126"/>
        <v>0</v>
      </c>
      <c r="CL65" s="11">
        <f t="shared" si="126"/>
        <v>0</v>
      </c>
      <c r="CM65" s="11">
        <f t="shared" si="126"/>
        <v>3.8331277323953333E-2</v>
      </c>
      <c r="CN65" s="11">
        <f t="shared" si="126"/>
        <v>3.8331277323953333E-2</v>
      </c>
      <c r="CO65" s="11">
        <f t="shared" si="126"/>
        <v>7.6662554647906667E-2</v>
      </c>
      <c r="CP65" s="11">
        <f t="shared" si="126"/>
        <v>7.6662554647906667E-2</v>
      </c>
      <c r="CQ65" s="11">
        <f t="shared" si="126"/>
        <v>0.11499383197186001</v>
      </c>
      <c r="CR65" s="11">
        <f t="shared" si="126"/>
        <v>0.11499383197186001</v>
      </c>
      <c r="CS65" s="11">
        <f t="shared" si="126"/>
        <v>0.11499383197186001</v>
      </c>
      <c r="CT65" s="11">
        <f t="shared" si="126"/>
        <v>0.11499383197186001</v>
      </c>
      <c r="CU65" s="11">
        <f t="shared" si="126"/>
        <v>3.8331277323953333E-2</v>
      </c>
      <c r="CV65" s="11">
        <f t="shared" si="126"/>
        <v>3.8331277323953333E-2</v>
      </c>
      <c r="CW65" s="11">
        <f t="shared" si="126"/>
        <v>0</v>
      </c>
      <c r="CX65" s="11">
        <f t="shared" si="126"/>
        <v>0</v>
      </c>
      <c r="CY65" s="50"/>
      <c r="CZ65" s="2"/>
      <c r="DA65" s="2"/>
      <c r="DB65" s="58">
        <f t="shared" si="75"/>
        <v>0.76662554647906678</v>
      </c>
      <c r="DC65" s="41">
        <f t="shared" si="76"/>
        <v>0.76662554647906667</v>
      </c>
      <c r="DD65" s="2"/>
      <c r="DE65" s="2"/>
      <c r="DF65" s="2"/>
      <c r="DG65" s="2"/>
      <c r="DH65" s="2"/>
      <c r="DI65" s="2"/>
      <c r="DJ65" s="2"/>
      <c r="DK65" s="2"/>
    </row>
    <row r="66" spans="1:115" ht="8.4" customHeight="1" x14ac:dyDescent="0.25">
      <c r="A66" s="639"/>
      <c r="B66" s="633"/>
      <c r="C66" s="609"/>
      <c r="D66" s="611"/>
      <c r="E66" s="560"/>
      <c r="F66" s="558"/>
      <c r="G66" s="560"/>
      <c r="H66" s="558"/>
      <c r="I66" s="637"/>
      <c r="J66" s="594"/>
      <c r="K66" s="596"/>
      <c r="L66" s="101"/>
      <c r="M66" s="360"/>
      <c r="N66" s="360"/>
      <c r="O66" s="361"/>
      <c r="P66" s="361"/>
      <c r="Q66" s="361"/>
      <c r="R66" s="362"/>
      <c r="S66" s="360"/>
      <c r="T66" s="361"/>
      <c r="U66" s="361"/>
      <c r="V66" s="361"/>
      <c r="W66" s="360"/>
      <c r="X66" s="361"/>
      <c r="Y66" s="361"/>
      <c r="Z66" s="361"/>
      <c r="AA66" s="361"/>
      <c r="AB66" s="360"/>
      <c r="AC66" s="361"/>
      <c r="AD66" s="362"/>
      <c r="AE66" s="360"/>
      <c r="AF66" s="361"/>
      <c r="AG66" s="361"/>
      <c r="AH66" s="361"/>
      <c r="AI66" s="361"/>
      <c r="AJ66" s="384"/>
      <c r="AK66" s="384"/>
      <c r="AL66" s="383"/>
      <c r="AM66" s="384"/>
      <c r="AN66" s="384"/>
      <c r="AO66" s="365"/>
      <c r="AP66" s="364"/>
      <c r="AQ66" s="365"/>
      <c r="AR66" s="363"/>
      <c r="AS66" s="363"/>
      <c r="AT66" s="363"/>
      <c r="AU66" s="365"/>
      <c r="AV66" s="363"/>
      <c r="AW66" s="363"/>
      <c r="AX66" s="85"/>
      <c r="AY66" s="5"/>
      <c r="AZ66" s="331"/>
      <c r="BE66" s="2"/>
      <c r="BF66" s="2"/>
      <c r="BG66" s="2"/>
      <c r="BH66" s="2"/>
      <c r="BI66" s="2"/>
      <c r="BJ66" s="2"/>
      <c r="BK66" s="2"/>
      <c r="BL66" s="2">
        <v>0</v>
      </c>
      <c r="BM66" s="53"/>
      <c r="BN66" s="11">
        <f t="shared" ref="BN66:CX66" si="127">M66*$K65/100</f>
        <v>0</v>
      </c>
      <c r="BO66" s="11">
        <f t="shared" si="127"/>
        <v>0</v>
      </c>
      <c r="BP66" s="11">
        <f t="shared" si="127"/>
        <v>0</v>
      </c>
      <c r="BQ66" s="11">
        <f t="shared" si="127"/>
        <v>0</v>
      </c>
      <c r="BR66" s="11">
        <f t="shared" si="127"/>
        <v>0</v>
      </c>
      <c r="BS66" s="236">
        <f t="shared" si="127"/>
        <v>0</v>
      </c>
      <c r="BT66" s="11">
        <f t="shared" si="127"/>
        <v>0</v>
      </c>
      <c r="BU66" s="11">
        <f t="shared" si="127"/>
        <v>0</v>
      </c>
      <c r="BV66" s="11">
        <f t="shared" si="127"/>
        <v>0</v>
      </c>
      <c r="BW66" s="11">
        <f t="shared" si="127"/>
        <v>0</v>
      </c>
      <c r="BX66" s="11">
        <f t="shared" si="127"/>
        <v>0</v>
      </c>
      <c r="BY66" s="11">
        <f t="shared" si="127"/>
        <v>0</v>
      </c>
      <c r="BZ66" s="11">
        <f t="shared" si="127"/>
        <v>0</v>
      </c>
      <c r="CA66" s="11">
        <f t="shared" si="127"/>
        <v>0</v>
      </c>
      <c r="CB66" s="11">
        <f t="shared" si="127"/>
        <v>0</v>
      </c>
      <c r="CC66" s="11">
        <f t="shared" si="127"/>
        <v>0</v>
      </c>
      <c r="CD66" s="11">
        <f t="shared" si="127"/>
        <v>0</v>
      </c>
      <c r="CE66" s="236">
        <f t="shared" si="127"/>
        <v>0</v>
      </c>
      <c r="CF66" s="11">
        <f t="shared" si="127"/>
        <v>0</v>
      </c>
      <c r="CG66" s="11">
        <f t="shared" si="127"/>
        <v>0</v>
      </c>
      <c r="CH66" s="11">
        <f t="shared" si="127"/>
        <v>0</v>
      </c>
      <c r="CI66" s="11">
        <f t="shared" si="127"/>
        <v>0</v>
      </c>
      <c r="CJ66" s="11">
        <f t="shared" si="127"/>
        <v>0</v>
      </c>
      <c r="CK66" s="11">
        <f t="shared" si="127"/>
        <v>0</v>
      </c>
      <c r="CL66" s="11">
        <f t="shared" si="127"/>
        <v>0</v>
      </c>
      <c r="CM66" s="11">
        <f t="shared" si="127"/>
        <v>0</v>
      </c>
      <c r="CN66" s="11">
        <f t="shared" si="127"/>
        <v>0</v>
      </c>
      <c r="CO66" s="11">
        <f t="shared" si="127"/>
        <v>0</v>
      </c>
      <c r="CP66" s="11">
        <f t="shared" si="127"/>
        <v>0</v>
      </c>
      <c r="CQ66" s="11">
        <f t="shared" si="127"/>
        <v>0</v>
      </c>
      <c r="CR66" s="11">
        <f t="shared" si="127"/>
        <v>0</v>
      </c>
      <c r="CS66" s="11">
        <f t="shared" si="127"/>
        <v>0</v>
      </c>
      <c r="CT66" s="11">
        <f t="shared" si="127"/>
        <v>0</v>
      </c>
      <c r="CU66" s="11">
        <f t="shared" si="127"/>
        <v>0</v>
      </c>
      <c r="CV66" s="11">
        <f t="shared" si="127"/>
        <v>0</v>
      </c>
      <c r="CW66" s="11">
        <f t="shared" si="127"/>
        <v>0</v>
      </c>
      <c r="CX66" s="11">
        <f t="shared" si="127"/>
        <v>0</v>
      </c>
      <c r="CY66" s="50"/>
      <c r="CZ66" s="2"/>
      <c r="DA66" s="2"/>
      <c r="DB66" s="58">
        <f t="shared" si="75"/>
        <v>0</v>
      </c>
      <c r="DC66" s="41">
        <f t="shared" si="76"/>
        <v>0</v>
      </c>
      <c r="DD66" s="2"/>
      <c r="DE66" s="2"/>
      <c r="DF66" s="2"/>
      <c r="DG66" s="2"/>
      <c r="DH66" s="2"/>
      <c r="DI66" s="2"/>
      <c r="DJ66" s="2"/>
      <c r="DK66" s="2"/>
    </row>
    <row r="67" spans="1:115" ht="8.4" customHeight="1" x14ac:dyDescent="0.25">
      <c r="A67" s="638">
        <v>-2</v>
      </c>
      <c r="B67" s="632" t="s">
        <v>121</v>
      </c>
      <c r="C67" s="608" t="s">
        <v>6</v>
      </c>
      <c r="D67" s="610">
        <v>1</v>
      </c>
      <c r="E67" s="559">
        <f t="shared" ref="E67" si="128">F67*100/SUM($K$63:$K$68)</f>
        <v>0</v>
      </c>
      <c r="F67" s="557">
        <f t="shared" ref="F67" si="129">K67*SUM(M67:AG67)/100</f>
        <v>0</v>
      </c>
      <c r="G67" s="634"/>
      <c r="H67" s="557">
        <f t="shared" si="121"/>
        <v>0</v>
      </c>
      <c r="I67" s="612">
        <f>'BOQ แก้ไขสัญญา'!AF45</f>
        <v>2138194</v>
      </c>
      <c r="J67" s="593">
        <f t="shared" si="0"/>
        <v>2138194</v>
      </c>
      <c r="K67" s="595">
        <f>J67*100/GTotal</f>
        <v>0.89653550780520375</v>
      </c>
      <c r="L67" s="101"/>
      <c r="M67" s="354"/>
      <c r="N67" s="354"/>
      <c r="O67" s="355"/>
      <c r="P67" s="355"/>
      <c r="Q67" s="355"/>
      <c r="R67" s="356"/>
      <c r="S67" s="354"/>
      <c r="T67" s="355"/>
      <c r="U67" s="355"/>
      <c r="V67" s="355"/>
      <c r="W67" s="354"/>
      <c r="X67" s="355"/>
      <c r="Y67" s="355"/>
      <c r="Z67" s="355"/>
      <c r="AA67" s="355"/>
      <c r="AB67" s="354"/>
      <c r="AC67" s="355"/>
      <c r="AD67" s="356"/>
      <c r="AE67" s="354"/>
      <c r="AF67" s="355"/>
      <c r="AG67" s="355"/>
      <c r="AH67" s="355"/>
      <c r="AI67" s="355"/>
      <c r="AJ67" s="355"/>
      <c r="AK67" s="355"/>
      <c r="AL67" s="354"/>
      <c r="AM67" s="355"/>
      <c r="AN67" s="355"/>
      <c r="AO67" s="357"/>
      <c r="AP67" s="359"/>
      <c r="AQ67" s="357">
        <v>10</v>
      </c>
      <c r="AR67" s="358">
        <v>10</v>
      </c>
      <c r="AS67" s="358">
        <v>15</v>
      </c>
      <c r="AT67" s="358">
        <v>15</v>
      </c>
      <c r="AU67" s="357">
        <v>15</v>
      </c>
      <c r="AV67" s="358">
        <v>15</v>
      </c>
      <c r="AW67" s="358">
        <v>20</v>
      </c>
      <c r="AX67" s="85"/>
      <c r="AY67" s="5"/>
      <c r="AZ67" s="331"/>
      <c r="BE67" s="2"/>
      <c r="BF67" s="2"/>
      <c r="BG67" s="2"/>
      <c r="BH67" s="2"/>
      <c r="BI67" s="2"/>
      <c r="BJ67" s="2"/>
      <c r="BK67" s="2"/>
      <c r="BL67" s="2">
        <v>1</v>
      </c>
      <c r="BM67" s="54"/>
      <c r="BN67" s="11">
        <f t="shared" ref="BN67:CX67" si="130">M67*$K67/100</f>
        <v>0</v>
      </c>
      <c r="BO67" s="11">
        <f t="shared" si="130"/>
        <v>0</v>
      </c>
      <c r="BP67" s="11">
        <f t="shared" si="130"/>
        <v>0</v>
      </c>
      <c r="BQ67" s="11">
        <f t="shared" si="130"/>
        <v>0</v>
      </c>
      <c r="BR67" s="11">
        <f t="shared" si="130"/>
        <v>0</v>
      </c>
      <c r="BS67" s="236">
        <f t="shared" si="130"/>
        <v>0</v>
      </c>
      <c r="BT67" s="11">
        <f t="shared" si="130"/>
        <v>0</v>
      </c>
      <c r="BU67" s="11">
        <f t="shared" si="130"/>
        <v>0</v>
      </c>
      <c r="BV67" s="11">
        <f t="shared" si="130"/>
        <v>0</v>
      </c>
      <c r="BW67" s="11">
        <f t="shared" si="130"/>
        <v>0</v>
      </c>
      <c r="BX67" s="11">
        <f t="shared" si="130"/>
        <v>0</v>
      </c>
      <c r="BY67" s="11">
        <f t="shared" si="130"/>
        <v>0</v>
      </c>
      <c r="BZ67" s="11">
        <f t="shared" si="130"/>
        <v>0</v>
      </c>
      <c r="CA67" s="11">
        <f t="shared" si="130"/>
        <v>0</v>
      </c>
      <c r="CB67" s="11">
        <f t="shared" si="130"/>
        <v>0</v>
      </c>
      <c r="CC67" s="11">
        <f t="shared" si="130"/>
        <v>0</v>
      </c>
      <c r="CD67" s="11">
        <f t="shared" si="130"/>
        <v>0</v>
      </c>
      <c r="CE67" s="236">
        <f t="shared" si="130"/>
        <v>0</v>
      </c>
      <c r="CF67" s="11">
        <f t="shared" si="130"/>
        <v>0</v>
      </c>
      <c r="CG67" s="11">
        <f t="shared" si="130"/>
        <v>0</v>
      </c>
      <c r="CH67" s="11">
        <f t="shared" si="130"/>
        <v>0</v>
      </c>
      <c r="CI67" s="11">
        <f t="shared" si="130"/>
        <v>0</v>
      </c>
      <c r="CJ67" s="11">
        <f t="shared" si="130"/>
        <v>0</v>
      </c>
      <c r="CK67" s="11">
        <f t="shared" si="130"/>
        <v>0</v>
      </c>
      <c r="CL67" s="11">
        <f t="shared" si="130"/>
        <v>0</v>
      </c>
      <c r="CM67" s="11">
        <f t="shared" si="130"/>
        <v>0</v>
      </c>
      <c r="CN67" s="11">
        <f t="shared" si="130"/>
        <v>0</v>
      </c>
      <c r="CO67" s="11">
        <f t="shared" si="130"/>
        <v>0</v>
      </c>
      <c r="CP67" s="11">
        <f t="shared" si="130"/>
        <v>0</v>
      </c>
      <c r="CQ67" s="11">
        <f t="shared" si="130"/>
        <v>0</v>
      </c>
      <c r="CR67" s="11">
        <f t="shared" si="130"/>
        <v>8.9653550780520383E-2</v>
      </c>
      <c r="CS67" s="11">
        <f t="shared" si="130"/>
        <v>8.9653550780520383E-2</v>
      </c>
      <c r="CT67" s="11">
        <f t="shared" si="130"/>
        <v>0.13448032617078057</v>
      </c>
      <c r="CU67" s="11">
        <f t="shared" si="130"/>
        <v>0.13448032617078057</v>
      </c>
      <c r="CV67" s="11">
        <f t="shared" si="130"/>
        <v>0.13448032617078057</v>
      </c>
      <c r="CW67" s="11">
        <f t="shared" si="130"/>
        <v>0.13448032617078057</v>
      </c>
      <c r="CX67" s="11">
        <f t="shared" si="130"/>
        <v>0.17930710156104077</v>
      </c>
      <c r="CY67" s="50"/>
      <c r="CZ67" s="2"/>
      <c r="DA67" s="2"/>
      <c r="DB67" s="58">
        <f t="shared" si="75"/>
        <v>0.89653550780520375</v>
      </c>
      <c r="DC67" s="41">
        <f t="shared" si="76"/>
        <v>0.89653550780520375</v>
      </c>
      <c r="DD67" s="2"/>
      <c r="DE67" s="2"/>
      <c r="DF67" s="2"/>
      <c r="DG67" s="2"/>
      <c r="DH67" s="2"/>
      <c r="DI67" s="2"/>
      <c r="DJ67" s="2"/>
      <c r="DK67" s="2"/>
    </row>
    <row r="68" spans="1:115" ht="8.4" customHeight="1" x14ac:dyDescent="0.25">
      <c r="A68" s="639"/>
      <c r="B68" s="633"/>
      <c r="C68" s="609"/>
      <c r="D68" s="636"/>
      <c r="E68" s="560"/>
      <c r="F68" s="558"/>
      <c r="G68" s="560"/>
      <c r="H68" s="558"/>
      <c r="I68" s="637"/>
      <c r="J68" s="594"/>
      <c r="K68" s="596"/>
      <c r="L68" s="101"/>
      <c r="M68" s="360"/>
      <c r="N68" s="368"/>
      <c r="O68" s="369"/>
      <c r="P68" s="369"/>
      <c r="Q68" s="369"/>
      <c r="R68" s="370"/>
      <c r="S68" s="368"/>
      <c r="T68" s="369"/>
      <c r="U68" s="369"/>
      <c r="V68" s="369"/>
      <c r="W68" s="369"/>
      <c r="X68" s="368"/>
      <c r="Y68" s="369"/>
      <c r="Z68" s="369"/>
      <c r="AA68" s="368"/>
      <c r="AB68" s="369"/>
      <c r="AC68" s="369"/>
      <c r="AD68" s="370"/>
      <c r="AE68" s="368"/>
      <c r="AF68" s="368"/>
      <c r="AG68" s="369"/>
      <c r="AH68" s="369"/>
      <c r="AI68" s="369"/>
      <c r="AJ68" s="369"/>
      <c r="AK68" s="368"/>
      <c r="AL68" s="369"/>
      <c r="AM68" s="369"/>
      <c r="AN68" s="368"/>
      <c r="AO68" s="372"/>
      <c r="AP68" s="373"/>
      <c r="AQ68" s="372"/>
      <c r="AR68" s="372"/>
      <c r="AS68" s="372"/>
      <c r="AT68" s="372"/>
      <c r="AU68" s="372"/>
      <c r="AV68" s="372"/>
      <c r="AW68" s="385"/>
      <c r="AX68" s="85"/>
      <c r="AY68" s="5"/>
      <c r="AZ68" s="331"/>
      <c r="BE68" s="2"/>
      <c r="BF68" s="2"/>
      <c r="BG68" s="2"/>
      <c r="BH68" s="2"/>
      <c r="BI68" s="2"/>
      <c r="BJ68" s="2"/>
      <c r="BK68" s="2"/>
      <c r="BL68" s="2">
        <v>0</v>
      </c>
      <c r="BM68" s="53"/>
      <c r="BN68" s="11">
        <f t="shared" ref="BN68:CX68" si="131">M68*$K67/100</f>
        <v>0</v>
      </c>
      <c r="BO68" s="11">
        <f t="shared" si="131"/>
        <v>0</v>
      </c>
      <c r="BP68" s="11">
        <f t="shared" si="131"/>
        <v>0</v>
      </c>
      <c r="BQ68" s="11">
        <f t="shared" si="131"/>
        <v>0</v>
      </c>
      <c r="BR68" s="11">
        <f t="shared" si="131"/>
        <v>0</v>
      </c>
      <c r="BS68" s="236">
        <f t="shared" si="131"/>
        <v>0</v>
      </c>
      <c r="BT68" s="11">
        <f t="shared" si="131"/>
        <v>0</v>
      </c>
      <c r="BU68" s="11">
        <f t="shared" si="131"/>
        <v>0</v>
      </c>
      <c r="BV68" s="11">
        <f t="shared" si="131"/>
        <v>0</v>
      </c>
      <c r="BW68" s="11">
        <f t="shared" si="131"/>
        <v>0</v>
      </c>
      <c r="BX68" s="11">
        <f t="shared" si="131"/>
        <v>0</v>
      </c>
      <c r="BY68" s="11">
        <f t="shared" si="131"/>
        <v>0</v>
      </c>
      <c r="BZ68" s="11">
        <f t="shared" si="131"/>
        <v>0</v>
      </c>
      <c r="CA68" s="11">
        <f t="shared" si="131"/>
        <v>0</v>
      </c>
      <c r="CB68" s="11">
        <f t="shared" si="131"/>
        <v>0</v>
      </c>
      <c r="CC68" s="11">
        <f t="shared" si="131"/>
        <v>0</v>
      </c>
      <c r="CD68" s="11">
        <f t="shared" si="131"/>
        <v>0</v>
      </c>
      <c r="CE68" s="236">
        <f t="shared" si="131"/>
        <v>0</v>
      </c>
      <c r="CF68" s="11">
        <f t="shared" si="131"/>
        <v>0</v>
      </c>
      <c r="CG68" s="11">
        <f t="shared" si="131"/>
        <v>0</v>
      </c>
      <c r="CH68" s="11">
        <f t="shared" si="131"/>
        <v>0</v>
      </c>
      <c r="CI68" s="11">
        <f t="shared" si="131"/>
        <v>0</v>
      </c>
      <c r="CJ68" s="11">
        <f t="shared" si="131"/>
        <v>0</v>
      </c>
      <c r="CK68" s="11">
        <f t="shared" si="131"/>
        <v>0</v>
      </c>
      <c r="CL68" s="11">
        <f t="shared" si="131"/>
        <v>0</v>
      </c>
      <c r="CM68" s="11">
        <f t="shared" si="131"/>
        <v>0</v>
      </c>
      <c r="CN68" s="11">
        <f t="shared" si="131"/>
        <v>0</v>
      </c>
      <c r="CO68" s="11">
        <f t="shared" si="131"/>
        <v>0</v>
      </c>
      <c r="CP68" s="11">
        <f t="shared" si="131"/>
        <v>0</v>
      </c>
      <c r="CQ68" s="11">
        <f t="shared" si="131"/>
        <v>0</v>
      </c>
      <c r="CR68" s="11">
        <f t="shared" si="131"/>
        <v>0</v>
      </c>
      <c r="CS68" s="11">
        <f t="shared" si="131"/>
        <v>0</v>
      </c>
      <c r="CT68" s="11">
        <f t="shared" si="131"/>
        <v>0</v>
      </c>
      <c r="CU68" s="11">
        <f t="shared" si="131"/>
        <v>0</v>
      </c>
      <c r="CV68" s="11">
        <f t="shared" si="131"/>
        <v>0</v>
      </c>
      <c r="CW68" s="11">
        <f t="shared" si="131"/>
        <v>0</v>
      </c>
      <c r="CX68" s="11">
        <f t="shared" si="131"/>
        <v>0</v>
      </c>
      <c r="CY68" s="50"/>
      <c r="CZ68" s="2"/>
      <c r="DA68" s="2"/>
      <c r="DB68" s="58">
        <f t="shared" si="75"/>
        <v>0</v>
      </c>
      <c r="DC68" s="41">
        <f t="shared" si="76"/>
        <v>0</v>
      </c>
      <c r="DD68" s="2"/>
      <c r="DE68" s="2"/>
      <c r="DF68" s="2"/>
      <c r="DG68" s="2"/>
      <c r="DH68" s="2"/>
      <c r="DI68" s="2"/>
      <c r="DJ68" s="2"/>
      <c r="DK68" s="2"/>
    </row>
    <row r="69" spans="1:115" ht="8.4" customHeight="1" x14ac:dyDescent="0.25">
      <c r="A69" s="604">
        <v>1.9</v>
      </c>
      <c r="B69" s="632" t="s">
        <v>66</v>
      </c>
      <c r="C69" s="608" t="s">
        <v>6</v>
      </c>
      <c r="D69" s="610">
        <v>1</v>
      </c>
      <c r="E69" s="559">
        <f>F69*100/SUM(K69)</f>
        <v>0</v>
      </c>
      <c r="F69" s="557">
        <f t="shared" ref="F69" si="132">K69*SUM(M69:AG69)/100</f>
        <v>0</v>
      </c>
      <c r="G69" s="559"/>
      <c r="H69" s="557">
        <f t="shared" si="121"/>
        <v>0</v>
      </c>
      <c r="I69" s="612">
        <f>'BOQ แก้ไขสัญญา'!AF47</f>
        <v>344287</v>
      </c>
      <c r="J69" s="593">
        <f t="shared" si="0"/>
        <v>344287</v>
      </c>
      <c r="K69" s="595">
        <f>J69*100/GTotal</f>
        <v>0.14435805187729933</v>
      </c>
      <c r="L69" s="101"/>
      <c r="M69" s="354"/>
      <c r="N69" s="355"/>
      <c r="O69" s="355"/>
      <c r="P69" s="355"/>
      <c r="Q69" s="355"/>
      <c r="R69" s="356"/>
      <c r="S69" s="354"/>
      <c r="T69" s="355"/>
      <c r="U69" s="355"/>
      <c r="V69" s="355"/>
      <c r="W69" s="355"/>
      <c r="X69" s="354"/>
      <c r="Y69" s="355"/>
      <c r="Z69" s="355"/>
      <c r="AA69" s="355"/>
      <c r="AB69" s="355"/>
      <c r="AC69" s="355"/>
      <c r="AD69" s="356"/>
      <c r="AE69" s="354"/>
      <c r="AF69" s="355"/>
      <c r="AG69" s="355"/>
      <c r="AH69" s="358">
        <v>10</v>
      </c>
      <c r="AI69" s="358">
        <v>10</v>
      </c>
      <c r="AJ69" s="358">
        <v>15</v>
      </c>
      <c r="AK69" s="357">
        <v>15</v>
      </c>
      <c r="AL69" s="358">
        <v>20</v>
      </c>
      <c r="AM69" s="358">
        <v>20</v>
      </c>
      <c r="AN69" s="357">
        <v>10</v>
      </c>
      <c r="AO69" s="357"/>
      <c r="AP69" s="359"/>
      <c r="AQ69" s="357"/>
      <c r="AR69" s="357"/>
      <c r="AS69" s="357"/>
      <c r="AT69" s="357"/>
      <c r="AU69" s="357"/>
      <c r="AV69" s="357"/>
      <c r="AW69" s="377"/>
      <c r="AX69" s="85"/>
      <c r="AY69" s="5"/>
      <c r="AZ69" s="331"/>
      <c r="BE69" s="2"/>
      <c r="BF69" s="2"/>
      <c r="BG69" s="2"/>
      <c r="BH69" s="2"/>
      <c r="BI69" s="2"/>
      <c r="BJ69" s="2"/>
      <c r="BK69" s="2"/>
      <c r="BL69" s="2">
        <v>1</v>
      </c>
      <c r="BM69" s="54"/>
      <c r="BN69" s="11">
        <f t="shared" ref="BN69:CX69" si="133">M69*$K69/100</f>
        <v>0</v>
      </c>
      <c r="BO69" s="11">
        <f t="shared" si="133"/>
        <v>0</v>
      </c>
      <c r="BP69" s="11">
        <f t="shared" si="133"/>
        <v>0</v>
      </c>
      <c r="BQ69" s="11">
        <f t="shared" si="133"/>
        <v>0</v>
      </c>
      <c r="BR69" s="11">
        <f t="shared" si="133"/>
        <v>0</v>
      </c>
      <c r="BS69" s="236">
        <f t="shared" si="133"/>
        <v>0</v>
      </c>
      <c r="BT69" s="11">
        <f t="shared" si="133"/>
        <v>0</v>
      </c>
      <c r="BU69" s="11">
        <f t="shared" si="133"/>
        <v>0</v>
      </c>
      <c r="BV69" s="11">
        <f t="shared" si="133"/>
        <v>0</v>
      </c>
      <c r="BW69" s="11">
        <f t="shared" si="133"/>
        <v>0</v>
      </c>
      <c r="BX69" s="11">
        <f t="shared" si="133"/>
        <v>0</v>
      </c>
      <c r="BY69" s="11">
        <f t="shared" si="133"/>
        <v>0</v>
      </c>
      <c r="BZ69" s="11">
        <f t="shared" si="133"/>
        <v>0</v>
      </c>
      <c r="CA69" s="11">
        <f t="shared" si="133"/>
        <v>0</v>
      </c>
      <c r="CB69" s="11">
        <f t="shared" si="133"/>
        <v>0</v>
      </c>
      <c r="CC69" s="11">
        <f t="shared" si="133"/>
        <v>0</v>
      </c>
      <c r="CD69" s="11">
        <f t="shared" si="133"/>
        <v>0</v>
      </c>
      <c r="CE69" s="236">
        <f t="shared" si="133"/>
        <v>0</v>
      </c>
      <c r="CF69" s="11">
        <f t="shared" si="133"/>
        <v>0</v>
      </c>
      <c r="CG69" s="11">
        <f t="shared" si="133"/>
        <v>0</v>
      </c>
      <c r="CH69" s="11">
        <f t="shared" si="133"/>
        <v>0</v>
      </c>
      <c r="CI69" s="11">
        <f t="shared" si="133"/>
        <v>1.4435805187729933E-2</v>
      </c>
      <c r="CJ69" s="11">
        <f t="shared" si="133"/>
        <v>1.4435805187729933E-2</v>
      </c>
      <c r="CK69" s="11">
        <f t="shared" si="133"/>
        <v>2.1653707781594901E-2</v>
      </c>
      <c r="CL69" s="11">
        <f t="shared" si="133"/>
        <v>2.1653707781594901E-2</v>
      </c>
      <c r="CM69" s="11">
        <f t="shared" si="133"/>
        <v>2.8871610375459867E-2</v>
      </c>
      <c r="CN69" s="11">
        <f t="shared" si="133"/>
        <v>2.8871610375459867E-2</v>
      </c>
      <c r="CO69" s="11">
        <f t="shared" si="133"/>
        <v>1.4435805187729933E-2</v>
      </c>
      <c r="CP69" s="11">
        <f t="shared" si="133"/>
        <v>0</v>
      </c>
      <c r="CQ69" s="11">
        <f t="shared" si="133"/>
        <v>0</v>
      </c>
      <c r="CR69" s="11">
        <f t="shared" si="133"/>
        <v>0</v>
      </c>
      <c r="CS69" s="11">
        <f t="shared" si="133"/>
        <v>0</v>
      </c>
      <c r="CT69" s="11">
        <f t="shared" si="133"/>
        <v>0</v>
      </c>
      <c r="CU69" s="11">
        <f t="shared" si="133"/>
        <v>0</v>
      </c>
      <c r="CV69" s="11">
        <f t="shared" si="133"/>
        <v>0</v>
      </c>
      <c r="CW69" s="11">
        <f t="shared" si="133"/>
        <v>0</v>
      </c>
      <c r="CX69" s="11">
        <f t="shared" si="133"/>
        <v>0</v>
      </c>
      <c r="CY69" s="50"/>
      <c r="CZ69" s="2"/>
      <c r="DA69" s="2"/>
      <c r="DB69" s="58">
        <f t="shared" si="75"/>
        <v>0.14435805187729933</v>
      </c>
      <c r="DC69" s="41">
        <f t="shared" si="76"/>
        <v>0.14435805187729933</v>
      </c>
      <c r="DD69" s="2"/>
      <c r="DE69" s="2"/>
      <c r="DF69" s="2"/>
      <c r="DG69" s="2"/>
      <c r="DH69" s="2"/>
      <c r="DI69" s="2"/>
      <c r="DJ69" s="2"/>
      <c r="DK69" s="2"/>
    </row>
    <row r="70" spans="1:115" ht="8.4" customHeight="1" x14ac:dyDescent="0.25">
      <c r="A70" s="605"/>
      <c r="B70" s="633"/>
      <c r="C70" s="609"/>
      <c r="D70" s="636"/>
      <c r="E70" s="560"/>
      <c r="F70" s="558"/>
      <c r="G70" s="560"/>
      <c r="H70" s="558"/>
      <c r="I70" s="637"/>
      <c r="J70" s="594"/>
      <c r="K70" s="596"/>
      <c r="L70" s="101"/>
      <c r="M70" s="360"/>
      <c r="N70" s="369"/>
      <c r="O70" s="369"/>
      <c r="P70" s="369"/>
      <c r="Q70" s="369"/>
      <c r="R70" s="370"/>
      <c r="S70" s="368"/>
      <c r="T70" s="369"/>
      <c r="U70" s="369"/>
      <c r="V70" s="369"/>
      <c r="W70" s="369"/>
      <c r="X70" s="368"/>
      <c r="Y70" s="369"/>
      <c r="Z70" s="369"/>
      <c r="AA70" s="369"/>
      <c r="AB70" s="369"/>
      <c r="AC70" s="369"/>
      <c r="AD70" s="370"/>
      <c r="AE70" s="368"/>
      <c r="AF70" s="369"/>
      <c r="AG70" s="369"/>
      <c r="AH70" s="371"/>
      <c r="AI70" s="371"/>
      <c r="AJ70" s="371"/>
      <c r="AK70" s="372"/>
      <c r="AL70" s="371"/>
      <c r="AM70" s="363"/>
      <c r="AN70" s="372"/>
      <c r="AO70" s="372"/>
      <c r="AP70" s="373"/>
      <c r="AQ70" s="372"/>
      <c r="AR70" s="372"/>
      <c r="AS70" s="372"/>
      <c r="AT70" s="372"/>
      <c r="AU70" s="372"/>
      <c r="AV70" s="372"/>
      <c r="AW70" s="385"/>
      <c r="AX70" s="85"/>
      <c r="AY70" s="5"/>
      <c r="AZ70" s="331"/>
      <c r="BE70" s="2"/>
      <c r="BF70" s="2"/>
      <c r="BG70" s="2"/>
      <c r="BH70" s="2"/>
      <c r="BI70" s="2"/>
      <c r="BJ70" s="2"/>
      <c r="BK70" s="2"/>
      <c r="BL70" s="2">
        <v>0</v>
      </c>
      <c r="BM70" s="53"/>
      <c r="BN70" s="11">
        <f t="shared" ref="BN70:CX70" si="134">M70*$K69/100</f>
        <v>0</v>
      </c>
      <c r="BO70" s="11">
        <f t="shared" si="134"/>
        <v>0</v>
      </c>
      <c r="BP70" s="11">
        <f t="shared" si="134"/>
        <v>0</v>
      </c>
      <c r="BQ70" s="11">
        <f t="shared" si="134"/>
        <v>0</v>
      </c>
      <c r="BR70" s="11">
        <f t="shared" si="134"/>
        <v>0</v>
      </c>
      <c r="BS70" s="236">
        <f t="shared" si="134"/>
        <v>0</v>
      </c>
      <c r="BT70" s="11">
        <f t="shared" si="134"/>
        <v>0</v>
      </c>
      <c r="BU70" s="11">
        <f t="shared" si="134"/>
        <v>0</v>
      </c>
      <c r="BV70" s="11">
        <f t="shared" si="134"/>
        <v>0</v>
      </c>
      <c r="BW70" s="11">
        <f t="shared" si="134"/>
        <v>0</v>
      </c>
      <c r="BX70" s="11">
        <f t="shared" si="134"/>
        <v>0</v>
      </c>
      <c r="BY70" s="11">
        <f t="shared" si="134"/>
        <v>0</v>
      </c>
      <c r="BZ70" s="11">
        <f t="shared" si="134"/>
        <v>0</v>
      </c>
      <c r="CA70" s="11">
        <f t="shared" si="134"/>
        <v>0</v>
      </c>
      <c r="CB70" s="11">
        <f t="shared" si="134"/>
        <v>0</v>
      </c>
      <c r="CC70" s="11">
        <f t="shared" si="134"/>
        <v>0</v>
      </c>
      <c r="CD70" s="11">
        <f t="shared" si="134"/>
        <v>0</v>
      </c>
      <c r="CE70" s="236">
        <f t="shared" si="134"/>
        <v>0</v>
      </c>
      <c r="CF70" s="11">
        <f t="shared" si="134"/>
        <v>0</v>
      </c>
      <c r="CG70" s="11">
        <f t="shared" si="134"/>
        <v>0</v>
      </c>
      <c r="CH70" s="11">
        <f t="shared" si="134"/>
        <v>0</v>
      </c>
      <c r="CI70" s="11">
        <f t="shared" si="134"/>
        <v>0</v>
      </c>
      <c r="CJ70" s="11">
        <f t="shared" si="134"/>
        <v>0</v>
      </c>
      <c r="CK70" s="11">
        <f t="shared" si="134"/>
        <v>0</v>
      </c>
      <c r="CL70" s="11">
        <f t="shared" si="134"/>
        <v>0</v>
      </c>
      <c r="CM70" s="11">
        <f t="shared" si="134"/>
        <v>0</v>
      </c>
      <c r="CN70" s="11">
        <f t="shared" si="134"/>
        <v>0</v>
      </c>
      <c r="CO70" s="11">
        <f t="shared" si="134"/>
        <v>0</v>
      </c>
      <c r="CP70" s="11">
        <f t="shared" si="134"/>
        <v>0</v>
      </c>
      <c r="CQ70" s="11">
        <f t="shared" si="134"/>
        <v>0</v>
      </c>
      <c r="CR70" s="11">
        <f t="shared" si="134"/>
        <v>0</v>
      </c>
      <c r="CS70" s="11">
        <f t="shared" si="134"/>
        <v>0</v>
      </c>
      <c r="CT70" s="11">
        <f t="shared" si="134"/>
        <v>0</v>
      </c>
      <c r="CU70" s="11">
        <f t="shared" si="134"/>
        <v>0</v>
      </c>
      <c r="CV70" s="11">
        <f t="shared" si="134"/>
        <v>0</v>
      </c>
      <c r="CW70" s="11">
        <f t="shared" si="134"/>
        <v>0</v>
      </c>
      <c r="CX70" s="11">
        <f t="shared" si="134"/>
        <v>0</v>
      </c>
      <c r="CY70" s="50"/>
      <c r="CZ70" s="2"/>
      <c r="DA70" s="2"/>
      <c r="DB70" s="58">
        <f t="shared" si="75"/>
        <v>0</v>
      </c>
      <c r="DC70" s="41">
        <f t="shared" si="76"/>
        <v>0</v>
      </c>
      <c r="DD70" s="2"/>
      <c r="DE70" s="2"/>
      <c r="DF70" s="2"/>
      <c r="DG70" s="2"/>
      <c r="DH70" s="2"/>
      <c r="DI70" s="2"/>
      <c r="DJ70" s="2"/>
      <c r="DK70" s="2"/>
    </row>
    <row r="71" spans="1:115" ht="8.4" customHeight="1" x14ac:dyDescent="0.25">
      <c r="A71" s="630">
        <v>1.1000000000000001</v>
      </c>
      <c r="B71" s="632" t="s">
        <v>67</v>
      </c>
      <c r="C71" s="608" t="s">
        <v>6</v>
      </c>
      <c r="D71" s="610">
        <v>1</v>
      </c>
      <c r="E71" s="559">
        <f t="shared" ref="E71" si="135">F71*100/SUM(K71)</f>
        <v>0</v>
      </c>
      <c r="F71" s="557">
        <f t="shared" ref="F71" si="136">K71*SUM(M71:AG71)/100</f>
        <v>0</v>
      </c>
      <c r="G71" s="559"/>
      <c r="H71" s="557">
        <f t="shared" si="121"/>
        <v>0</v>
      </c>
      <c r="I71" s="612">
        <f>'BOQ แก้ไขสัญญา'!AF48</f>
        <v>1601756</v>
      </c>
      <c r="J71" s="593">
        <f t="shared" ref="J71:J111" si="137">D71*I71</f>
        <v>1601756</v>
      </c>
      <c r="K71" s="595">
        <f>J71*100/GTotal</f>
        <v>0.67160937166600976</v>
      </c>
      <c r="L71" s="101"/>
      <c r="M71" s="355"/>
      <c r="N71" s="355"/>
      <c r="O71" s="355"/>
      <c r="P71" s="355"/>
      <c r="Q71" s="355"/>
      <c r="R71" s="356"/>
      <c r="S71" s="354"/>
      <c r="T71" s="355"/>
      <c r="U71" s="355"/>
      <c r="V71" s="355"/>
      <c r="W71" s="355"/>
      <c r="X71" s="354"/>
      <c r="Y71" s="355"/>
      <c r="Z71" s="355"/>
      <c r="AA71" s="355"/>
      <c r="AB71" s="355"/>
      <c r="AC71" s="355"/>
      <c r="AD71" s="356"/>
      <c r="AE71" s="354"/>
      <c r="AF71" s="355"/>
      <c r="AG71" s="355"/>
      <c r="AH71" s="358"/>
      <c r="AI71" s="358"/>
      <c r="AJ71" s="358"/>
      <c r="AK71" s="358">
        <v>10</v>
      </c>
      <c r="AL71" s="358">
        <v>10</v>
      </c>
      <c r="AM71" s="358">
        <v>15</v>
      </c>
      <c r="AN71" s="357">
        <v>15</v>
      </c>
      <c r="AO71" s="358">
        <v>20</v>
      </c>
      <c r="AP71" s="359">
        <v>20</v>
      </c>
      <c r="AQ71" s="357">
        <v>10</v>
      </c>
      <c r="AR71" s="357"/>
      <c r="AS71" s="357"/>
      <c r="AT71" s="357"/>
      <c r="AU71" s="357"/>
      <c r="AV71" s="357"/>
      <c r="AW71" s="377"/>
      <c r="AX71" s="85"/>
      <c r="AY71" s="5"/>
      <c r="AZ71" s="331">
        <v>40</v>
      </c>
      <c r="BE71" s="2"/>
      <c r="BF71" s="2"/>
      <c r="BG71" s="2"/>
      <c r="BH71" s="2"/>
      <c r="BI71" s="2"/>
      <c r="BJ71" s="2"/>
      <c r="BK71" s="2"/>
      <c r="BL71" s="2">
        <v>1</v>
      </c>
      <c r="BM71" s="54"/>
      <c r="BN71" s="11">
        <f t="shared" ref="BN71:CX71" si="138">M71*$K71/100</f>
        <v>0</v>
      </c>
      <c r="BO71" s="11">
        <f t="shared" si="138"/>
        <v>0</v>
      </c>
      <c r="BP71" s="11">
        <f t="shared" si="138"/>
        <v>0</v>
      </c>
      <c r="BQ71" s="11">
        <f t="shared" si="138"/>
        <v>0</v>
      </c>
      <c r="BR71" s="11">
        <f t="shared" si="138"/>
        <v>0</v>
      </c>
      <c r="BS71" s="236">
        <f t="shared" si="138"/>
        <v>0</v>
      </c>
      <c r="BT71" s="11">
        <f t="shared" si="138"/>
        <v>0</v>
      </c>
      <c r="BU71" s="11">
        <f t="shared" si="138"/>
        <v>0</v>
      </c>
      <c r="BV71" s="11">
        <f t="shared" si="138"/>
        <v>0</v>
      </c>
      <c r="BW71" s="11">
        <f t="shared" si="138"/>
        <v>0</v>
      </c>
      <c r="BX71" s="11">
        <f t="shared" si="138"/>
        <v>0</v>
      </c>
      <c r="BY71" s="11">
        <f t="shared" si="138"/>
        <v>0</v>
      </c>
      <c r="BZ71" s="11">
        <f t="shared" si="138"/>
        <v>0</v>
      </c>
      <c r="CA71" s="11">
        <f t="shared" si="138"/>
        <v>0</v>
      </c>
      <c r="CB71" s="11">
        <f t="shared" si="138"/>
        <v>0</v>
      </c>
      <c r="CC71" s="11">
        <f t="shared" si="138"/>
        <v>0</v>
      </c>
      <c r="CD71" s="11">
        <f t="shared" si="138"/>
        <v>0</v>
      </c>
      <c r="CE71" s="236">
        <f t="shared" si="138"/>
        <v>0</v>
      </c>
      <c r="CF71" s="11">
        <f t="shared" si="138"/>
        <v>0</v>
      </c>
      <c r="CG71" s="11">
        <f t="shared" si="138"/>
        <v>0</v>
      </c>
      <c r="CH71" s="11">
        <f t="shared" si="138"/>
        <v>0</v>
      </c>
      <c r="CI71" s="11">
        <f t="shared" si="138"/>
        <v>0</v>
      </c>
      <c r="CJ71" s="11">
        <f t="shared" si="138"/>
        <v>0</v>
      </c>
      <c r="CK71" s="11">
        <f t="shared" si="138"/>
        <v>0</v>
      </c>
      <c r="CL71" s="11">
        <f t="shared" si="138"/>
        <v>6.7160937166600973E-2</v>
      </c>
      <c r="CM71" s="11">
        <f t="shared" si="138"/>
        <v>6.7160937166600973E-2</v>
      </c>
      <c r="CN71" s="11">
        <f t="shared" si="138"/>
        <v>0.10074140574990147</v>
      </c>
      <c r="CO71" s="11">
        <f t="shared" si="138"/>
        <v>0.10074140574990147</v>
      </c>
      <c r="CP71" s="11">
        <f t="shared" si="138"/>
        <v>0.13432187433320195</v>
      </c>
      <c r="CQ71" s="11">
        <f t="shared" si="138"/>
        <v>0.13432187433320195</v>
      </c>
      <c r="CR71" s="11">
        <f t="shared" si="138"/>
        <v>6.7160937166600973E-2</v>
      </c>
      <c r="CS71" s="11">
        <f t="shared" si="138"/>
        <v>0</v>
      </c>
      <c r="CT71" s="11">
        <f t="shared" si="138"/>
        <v>0</v>
      </c>
      <c r="CU71" s="11">
        <f t="shared" si="138"/>
        <v>0</v>
      </c>
      <c r="CV71" s="11">
        <f t="shared" si="138"/>
        <v>0</v>
      </c>
      <c r="CW71" s="11">
        <f t="shared" si="138"/>
        <v>0</v>
      </c>
      <c r="CX71" s="11">
        <f t="shared" si="138"/>
        <v>0</v>
      </c>
      <c r="CY71" s="50"/>
      <c r="CZ71" s="2"/>
      <c r="DA71" s="2"/>
      <c r="DB71" s="58">
        <f t="shared" ref="DB71:DB88" si="139">SUM(BN71:CY71)</f>
        <v>0.67160937166600976</v>
      </c>
      <c r="DC71" s="41">
        <f t="shared" si="76"/>
        <v>0.67160937166600976</v>
      </c>
      <c r="DD71" s="2"/>
      <c r="DE71" s="2"/>
      <c r="DF71" s="2"/>
      <c r="DG71" s="2"/>
      <c r="DH71" s="2"/>
      <c r="DI71" s="2"/>
      <c r="DJ71" s="2"/>
      <c r="DK71" s="2"/>
    </row>
    <row r="72" spans="1:115" ht="8.4" customHeight="1" x14ac:dyDescent="0.25">
      <c r="A72" s="631"/>
      <c r="B72" s="633"/>
      <c r="C72" s="609"/>
      <c r="D72" s="611"/>
      <c r="E72" s="560"/>
      <c r="F72" s="558"/>
      <c r="G72" s="560"/>
      <c r="H72" s="558"/>
      <c r="I72" s="613"/>
      <c r="J72" s="594"/>
      <c r="K72" s="596"/>
      <c r="L72" s="101"/>
      <c r="M72" s="361"/>
      <c r="N72" s="361"/>
      <c r="O72" s="361"/>
      <c r="P72" s="361"/>
      <c r="Q72" s="361"/>
      <c r="R72" s="362"/>
      <c r="S72" s="360"/>
      <c r="T72" s="361"/>
      <c r="U72" s="361"/>
      <c r="V72" s="361"/>
      <c r="W72" s="361"/>
      <c r="X72" s="360"/>
      <c r="Y72" s="361"/>
      <c r="Z72" s="361"/>
      <c r="AA72" s="361"/>
      <c r="AB72" s="361"/>
      <c r="AC72" s="361"/>
      <c r="AD72" s="362"/>
      <c r="AE72" s="360"/>
      <c r="AF72" s="361"/>
      <c r="AG72" s="361"/>
      <c r="AH72" s="363"/>
      <c r="AI72" s="363"/>
      <c r="AJ72" s="363"/>
      <c r="AK72" s="371"/>
      <c r="AL72" s="371"/>
      <c r="AM72" s="371"/>
      <c r="AN72" s="372"/>
      <c r="AO72" s="371"/>
      <c r="AP72" s="364"/>
      <c r="AQ72" s="372"/>
      <c r="AR72" s="365"/>
      <c r="AS72" s="365"/>
      <c r="AT72" s="365"/>
      <c r="AU72" s="365"/>
      <c r="AV72" s="365"/>
      <c r="AW72" s="378"/>
      <c r="AX72" s="85"/>
      <c r="AY72" s="5"/>
      <c r="AZ72" s="331"/>
      <c r="BE72" s="2"/>
      <c r="BF72" s="2"/>
      <c r="BG72" s="2"/>
      <c r="BH72" s="2"/>
      <c r="BI72" s="2"/>
      <c r="BJ72" s="2"/>
      <c r="BK72" s="2"/>
      <c r="BL72" s="2">
        <v>0</v>
      </c>
      <c r="BM72" s="53"/>
      <c r="BN72" s="11">
        <f t="shared" ref="BN72:CX72" si="140">M72*$K71/100</f>
        <v>0</v>
      </c>
      <c r="BO72" s="11">
        <f t="shared" si="140"/>
        <v>0</v>
      </c>
      <c r="BP72" s="11">
        <f t="shared" si="140"/>
        <v>0</v>
      </c>
      <c r="BQ72" s="11">
        <f t="shared" si="140"/>
        <v>0</v>
      </c>
      <c r="BR72" s="11">
        <f t="shared" si="140"/>
        <v>0</v>
      </c>
      <c r="BS72" s="236">
        <f t="shared" si="140"/>
        <v>0</v>
      </c>
      <c r="BT72" s="11">
        <f t="shared" si="140"/>
        <v>0</v>
      </c>
      <c r="BU72" s="11">
        <f t="shared" si="140"/>
        <v>0</v>
      </c>
      <c r="BV72" s="11">
        <f t="shared" si="140"/>
        <v>0</v>
      </c>
      <c r="BW72" s="11">
        <f t="shared" si="140"/>
        <v>0</v>
      </c>
      <c r="BX72" s="11">
        <f t="shared" si="140"/>
        <v>0</v>
      </c>
      <c r="BY72" s="11">
        <f t="shared" si="140"/>
        <v>0</v>
      </c>
      <c r="BZ72" s="11">
        <f t="shared" si="140"/>
        <v>0</v>
      </c>
      <c r="CA72" s="11">
        <f t="shared" si="140"/>
        <v>0</v>
      </c>
      <c r="CB72" s="11">
        <f t="shared" si="140"/>
        <v>0</v>
      </c>
      <c r="CC72" s="11">
        <f t="shared" si="140"/>
        <v>0</v>
      </c>
      <c r="CD72" s="11">
        <f t="shared" si="140"/>
        <v>0</v>
      </c>
      <c r="CE72" s="236">
        <f t="shared" si="140"/>
        <v>0</v>
      </c>
      <c r="CF72" s="11">
        <f t="shared" si="140"/>
        <v>0</v>
      </c>
      <c r="CG72" s="11">
        <f t="shared" si="140"/>
        <v>0</v>
      </c>
      <c r="CH72" s="11">
        <f t="shared" si="140"/>
        <v>0</v>
      </c>
      <c r="CI72" s="11">
        <f t="shared" si="140"/>
        <v>0</v>
      </c>
      <c r="CJ72" s="11">
        <f t="shared" si="140"/>
        <v>0</v>
      </c>
      <c r="CK72" s="11">
        <f t="shared" si="140"/>
        <v>0</v>
      </c>
      <c r="CL72" s="11">
        <f t="shared" si="140"/>
        <v>0</v>
      </c>
      <c r="CM72" s="11">
        <f t="shared" si="140"/>
        <v>0</v>
      </c>
      <c r="CN72" s="11">
        <f t="shared" si="140"/>
        <v>0</v>
      </c>
      <c r="CO72" s="11">
        <f t="shared" si="140"/>
        <v>0</v>
      </c>
      <c r="CP72" s="11">
        <f t="shared" si="140"/>
        <v>0</v>
      </c>
      <c r="CQ72" s="11">
        <f t="shared" si="140"/>
        <v>0</v>
      </c>
      <c r="CR72" s="11">
        <f t="shared" si="140"/>
        <v>0</v>
      </c>
      <c r="CS72" s="11">
        <f t="shared" si="140"/>
        <v>0</v>
      </c>
      <c r="CT72" s="11">
        <f t="shared" si="140"/>
        <v>0</v>
      </c>
      <c r="CU72" s="11">
        <f t="shared" si="140"/>
        <v>0</v>
      </c>
      <c r="CV72" s="11">
        <f t="shared" si="140"/>
        <v>0</v>
      </c>
      <c r="CW72" s="11">
        <f t="shared" si="140"/>
        <v>0</v>
      </c>
      <c r="CX72" s="11">
        <f t="shared" si="140"/>
        <v>0</v>
      </c>
      <c r="CY72" s="50"/>
      <c r="CZ72" s="2"/>
      <c r="DA72" s="2"/>
      <c r="DB72" s="58">
        <f t="shared" si="139"/>
        <v>0</v>
      </c>
      <c r="DC72" s="41">
        <f t="shared" si="76"/>
        <v>0</v>
      </c>
      <c r="DD72" s="2"/>
      <c r="DE72" s="2"/>
      <c r="DF72" s="2"/>
      <c r="DG72" s="2"/>
      <c r="DH72" s="2"/>
      <c r="DI72" s="2"/>
      <c r="DJ72" s="2"/>
      <c r="DK72" s="2"/>
    </row>
    <row r="73" spans="1:115" ht="8.4" customHeight="1" x14ac:dyDescent="0.25">
      <c r="A73" s="630">
        <v>1.1100000000000001</v>
      </c>
      <c r="B73" s="632" t="s">
        <v>69</v>
      </c>
      <c r="C73" s="608" t="s">
        <v>6</v>
      </c>
      <c r="D73" s="610">
        <v>1</v>
      </c>
      <c r="E73" s="559">
        <f t="shared" ref="E73" si="141">F73*100/SUM(K73)</f>
        <v>0</v>
      </c>
      <c r="F73" s="557">
        <f t="shared" ref="F73" si="142">K73*SUM(M73:AG73)/100</f>
        <v>0</v>
      </c>
      <c r="G73" s="634"/>
      <c r="H73" s="557">
        <f t="shared" si="121"/>
        <v>0</v>
      </c>
      <c r="I73" s="612">
        <f>'BOQ แก้ไขสัญญา'!AF49</f>
        <v>333944</v>
      </c>
      <c r="J73" s="593">
        <f t="shared" si="137"/>
        <v>333944</v>
      </c>
      <c r="K73" s="595">
        <f>J73*100/GTotal</f>
        <v>0.14002127665614111</v>
      </c>
      <c r="L73" s="101"/>
      <c r="M73" s="355"/>
      <c r="N73" s="355"/>
      <c r="O73" s="355"/>
      <c r="P73" s="355"/>
      <c r="Q73" s="355"/>
      <c r="R73" s="356"/>
      <c r="S73" s="354"/>
      <c r="T73" s="355"/>
      <c r="U73" s="355"/>
      <c r="V73" s="355"/>
      <c r="W73" s="355"/>
      <c r="X73" s="354"/>
      <c r="Y73" s="355"/>
      <c r="Z73" s="355"/>
      <c r="AA73" s="355"/>
      <c r="AB73" s="355"/>
      <c r="AC73" s="355"/>
      <c r="AD73" s="356"/>
      <c r="AE73" s="354"/>
      <c r="AF73" s="355"/>
      <c r="AG73" s="355"/>
      <c r="AH73" s="358"/>
      <c r="AI73" s="358"/>
      <c r="AJ73" s="358"/>
      <c r="AK73" s="357"/>
      <c r="AL73" s="358"/>
      <c r="AM73" s="358"/>
      <c r="AN73" s="358">
        <v>10</v>
      </c>
      <c r="AO73" s="358">
        <v>10</v>
      </c>
      <c r="AP73" s="359">
        <v>15</v>
      </c>
      <c r="AQ73" s="357">
        <v>15</v>
      </c>
      <c r="AR73" s="358">
        <v>20</v>
      </c>
      <c r="AS73" s="358">
        <v>20</v>
      </c>
      <c r="AT73" s="357">
        <v>10</v>
      </c>
      <c r="AU73" s="357"/>
      <c r="AV73" s="357"/>
      <c r="AW73" s="377"/>
      <c r="AX73" s="85"/>
      <c r="AY73" s="5"/>
      <c r="AZ73" s="331"/>
      <c r="BE73" s="2"/>
      <c r="BF73" s="2"/>
      <c r="BG73" s="2"/>
      <c r="BH73" s="2"/>
      <c r="BI73" s="2"/>
      <c r="BJ73" s="2"/>
      <c r="BK73" s="2"/>
      <c r="BL73" s="2">
        <v>1</v>
      </c>
      <c r="BM73" s="54"/>
      <c r="BN73" s="11">
        <f t="shared" ref="BN73:CX73" si="143">M73*$K73/100</f>
        <v>0</v>
      </c>
      <c r="BO73" s="11">
        <f t="shared" si="143"/>
        <v>0</v>
      </c>
      <c r="BP73" s="11">
        <f t="shared" si="143"/>
        <v>0</v>
      </c>
      <c r="BQ73" s="11">
        <f t="shared" si="143"/>
        <v>0</v>
      </c>
      <c r="BR73" s="11">
        <f t="shared" si="143"/>
        <v>0</v>
      </c>
      <c r="BS73" s="236">
        <f t="shared" si="143"/>
        <v>0</v>
      </c>
      <c r="BT73" s="11">
        <f t="shared" si="143"/>
        <v>0</v>
      </c>
      <c r="BU73" s="11">
        <f t="shared" si="143"/>
        <v>0</v>
      </c>
      <c r="BV73" s="11">
        <f t="shared" si="143"/>
        <v>0</v>
      </c>
      <c r="BW73" s="11">
        <f t="shared" si="143"/>
        <v>0</v>
      </c>
      <c r="BX73" s="11">
        <f t="shared" si="143"/>
        <v>0</v>
      </c>
      <c r="BY73" s="11">
        <f t="shared" si="143"/>
        <v>0</v>
      </c>
      <c r="BZ73" s="11">
        <f t="shared" si="143"/>
        <v>0</v>
      </c>
      <c r="CA73" s="11">
        <f t="shared" si="143"/>
        <v>0</v>
      </c>
      <c r="CB73" s="11">
        <f t="shared" si="143"/>
        <v>0</v>
      </c>
      <c r="CC73" s="11">
        <f t="shared" si="143"/>
        <v>0</v>
      </c>
      <c r="CD73" s="11">
        <f t="shared" si="143"/>
        <v>0</v>
      </c>
      <c r="CE73" s="10">
        <f t="shared" si="143"/>
        <v>0</v>
      </c>
      <c r="CF73" s="11">
        <f t="shared" si="143"/>
        <v>0</v>
      </c>
      <c r="CG73" s="11">
        <f t="shared" si="143"/>
        <v>0</v>
      </c>
      <c r="CH73" s="11">
        <f t="shared" si="143"/>
        <v>0</v>
      </c>
      <c r="CI73" s="11">
        <f t="shared" si="143"/>
        <v>0</v>
      </c>
      <c r="CJ73" s="11">
        <f t="shared" si="143"/>
        <v>0</v>
      </c>
      <c r="CK73" s="11">
        <f t="shared" si="143"/>
        <v>0</v>
      </c>
      <c r="CL73" s="11">
        <f t="shared" si="143"/>
        <v>0</v>
      </c>
      <c r="CM73" s="11">
        <f t="shared" si="143"/>
        <v>0</v>
      </c>
      <c r="CN73" s="11">
        <f t="shared" si="143"/>
        <v>0</v>
      </c>
      <c r="CO73" s="11">
        <f t="shared" si="143"/>
        <v>1.400212766561411E-2</v>
      </c>
      <c r="CP73" s="11">
        <f t="shared" si="143"/>
        <v>1.400212766561411E-2</v>
      </c>
      <c r="CQ73" s="11">
        <f t="shared" si="143"/>
        <v>2.1003191498421166E-2</v>
      </c>
      <c r="CR73" s="11">
        <f t="shared" si="143"/>
        <v>2.1003191498421166E-2</v>
      </c>
      <c r="CS73" s="11">
        <f t="shared" si="143"/>
        <v>2.8004255331228221E-2</v>
      </c>
      <c r="CT73" s="11">
        <f t="shared" si="143"/>
        <v>2.8004255331228221E-2</v>
      </c>
      <c r="CU73" s="11">
        <f t="shared" si="143"/>
        <v>1.400212766561411E-2</v>
      </c>
      <c r="CV73" s="11">
        <f t="shared" si="143"/>
        <v>0</v>
      </c>
      <c r="CW73" s="11">
        <f t="shared" si="143"/>
        <v>0</v>
      </c>
      <c r="CX73" s="11">
        <f t="shared" si="143"/>
        <v>0</v>
      </c>
      <c r="CY73" s="50"/>
      <c r="CZ73" s="2"/>
      <c r="DA73" s="2"/>
      <c r="DB73" s="58">
        <f t="shared" si="139"/>
        <v>0.14002127665614111</v>
      </c>
      <c r="DC73" s="41">
        <f t="shared" si="76"/>
        <v>0.14002127665614111</v>
      </c>
      <c r="DD73" s="2"/>
      <c r="DE73" s="2"/>
      <c r="DF73" s="2"/>
      <c r="DG73" s="2"/>
      <c r="DH73" s="2"/>
      <c r="DI73" s="2"/>
      <c r="DJ73" s="2"/>
      <c r="DK73" s="2"/>
    </row>
    <row r="74" spans="1:115" ht="8.4" customHeight="1" x14ac:dyDescent="0.25">
      <c r="A74" s="631"/>
      <c r="B74" s="633"/>
      <c r="C74" s="609"/>
      <c r="D74" s="611"/>
      <c r="E74" s="560"/>
      <c r="F74" s="558"/>
      <c r="G74" s="560"/>
      <c r="H74" s="558"/>
      <c r="I74" s="613"/>
      <c r="J74" s="594"/>
      <c r="K74" s="596"/>
      <c r="L74" s="101"/>
      <c r="M74" s="361"/>
      <c r="N74" s="361"/>
      <c r="O74" s="361"/>
      <c r="P74" s="361"/>
      <c r="Q74" s="361"/>
      <c r="R74" s="362"/>
      <c r="S74" s="360"/>
      <c r="T74" s="361"/>
      <c r="U74" s="361"/>
      <c r="V74" s="361"/>
      <c r="W74" s="361"/>
      <c r="X74" s="360"/>
      <c r="Y74" s="361"/>
      <c r="Z74" s="361"/>
      <c r="AA74" s="361"/>
      <c r="AB74" s="361"/>
      <c r="AC74" s="361"/>
      <c r="AD74" s="362"/>
      <c r="AE74" s="360"/>
      <c r="AF74" s="361"/>
      <c r="AG74" s="361"/>
      <c r="AH74" s="363"/>
      <c r="AI74" s="363"/>
      <c r="AJ74" s="363"/>
      <c r="AK74" s="365"/>
      <c r="AL74" s="363"/>
      <c r="AM74" s="363"/>
      <c r="AN74" s="371"/>
      <c r="AO74" s="371"/>
      <c r="AP74" s="373"/>
      <c r="AQ74" s="372"/>
      <c r="AR74" s="371"/>
      <c r="AS74" s="363"/>
      <c r="AT74" s="372"/>
      <c r="AU74" s="365"/>
      <c r="AV74" s="365"/>
      <c r="AW74" s="378"/>
      <c r="AX74" s="85"/>
      <c r="AY74" s="5"/>
      <c r="AZ74" s="331"/>
      <c r="BE74" s="2"/>
      <c r="BF74" s="2"/>
      <c r="BG74" s="2"/>
      <c r="BH74" s="2"/>
      <c r="BI74" s="2"/>
      <c r="BJ74" s="2"/>
      <c r="BK74" s="2"/>
      <c r="BL74" s="2">
        <v>0</v>
      </c>
      <c r="BM74" s="53"/>
      <c r="BN74" s="11">
        <f t="shared" ref="BN74:CX74" si="144">M74*$K73/100</f>
        <v>0</v>
      </c>
      <c r="BO74" s="11">
        <f t="shared" si="144"/>
        <v>0</v>
      </c>
      <c r="BP74" s="11">
        <f t="shared" si="144"/>
        <v>0</v>
      </c>
      <c r="BQ74" s="11">
        <f t="shared" si="144"/>
        <v>0</v>
      </c>
      <c r="BR74" s="11">
        <f t="shared" si="144"/>
        <v>0</v>
      </c>
      <c r="BS74" s="236">
        <f t="shared" si="144"/>
        <v>0</v>
      </c>
      <c r="BT74" s="11">
        <f t="shared" si="144"/>
        <v>0</v>
      </c>
      <c r="BU74" s="11">
        <f t="shared" si="144"/>
        <v>0</v>
      </c>
      <c r="BV74" s="11">
        <f t="shared" si="144"/>
        <v>0</v>
      </c>
      <c r="BW74" s="11">
        <f t="shared" si="144"/>
        <v>0</v>
      </c>
      <c r="BX74" s="11">
        <f t="shared" si="144"/>
        <v>0</v>
      </c>
      <c r="BY74" s="11">
        <f t="shared" si="144"/>
        <v>0</v>
      </c>
      <c r="BZ74" s="11">
        <f t="shared" si="144"/>
        <v>0</v>
      </c>
      <c r="CA74" s="11">
        <f t="shared" si="144"/>
        <v>0</v>
      </c>
      <c r="CB74" s="11">
        <f t="shared" si="144"/>
        <v>0</v>
      </c>
      <c r="CC74" s="11">
        <f t="shared" si="144"/>
        <v>0</v>
      </c>
      <c r="CD74" s="11">
        <f t="shared" si="144"/>
        <v>0</v>
      </c>
      <c r="CE74" s="10">
        <f t="shared" si="144"/>
        <v>0</v>
      </c>
      <c r="CF74" s="11">
        <f t="shared" si="144"/>
        <v>0</v>
      </c>
      <c r="CG74" s="11">
        <f t="shared" si="144"/>
        <v>0</v>
      </c>
      <c r="CH74" s="11">
        <f t="shared" si="144"/>
        <v>0</v>
      </c>
      <c r="CI74" s="11">
        <f t="shared" si="144"/>
        <v>0</v>
      </c>
      <c r="CJ74" s="11">
        <f t="shared" si="144"/>
        <v>0</v>
      </c>
      <c r="CK74" s="11">
        <f t="shared" si="144"/>
        <v>0</v>
      </c>
      <c r="CL74" s="11">
        <f t="shared" si="144"/>
        <v>0</v>
      </c>
      <c r="CM74" s="11">
        <f t="shared" si="144"/>
        <v>0</v>
      </c>
      <c r="CN74" s="11">
        <f t="shared" si="144"/>
        <v>0</v>
      </c>
      <c r="CO74" s="11">
        <f t="shared" si="144"/>
        <v>0</v>
      </c>
      <c r="CP74" s="11">
        <f t="shared" si="144"/>
        <v>0</v>
      </c>
      <c r="CQ74" s="11">
        <f t="shared" si="144"/>
        <v>0</v>
      </c>
      <c r="CR74" s="11">
        <f t="shared" si="144"/>
        <v>0</v>
      </c>
      <c r="CS74" s="11">
        <f t="shared" si="144"/>
        <v>0</v>
      </c>
      <c r="CT74" s="11">
        <f t="shared" si="144"/>
        <v>0</v>
      </c>
      <c r="CU74" s="11">
        <f t="shared" si="144"/>
        <v>0</v>
      </c>
      <c r="CV74" s="11">
        <f t="shared" si="144"/>
        <v>0</v>
      </c>
      <c r="CW74" s="11">
        <f t="shared" si="144"/>
        <v>0</v>
      </c>
      <c r="CX74" s="11">
        <f t="shared" si="144"/>
        <v>0</v>
      </c>
      <c r="CY74" s="50"/>
      <c r="CZ74" s="2"/>
      <c r="DA74" s="2"/>
      <c r="DB74" s="58">
        <f t="shared" si="139"/>
        <v>0</v>
      </c>
      <c r="DC74" s="41">
        <f t="shared" si="76"/>
        <v>0</v>
      </c>
      <c r="DD74" s="2"/>
      <c r="DE74" s="2"/>
      <c r="DF74" s="2"/>
      <c r="DG74" s="2"/>
      <c r="DH74" s="2"/>
      <c r="DI74" s="2"/>
      <c r="DJ74" s="2"/>
      <c r="DK74" s="2"/>
    </row>
    <row r="75" spans="1:115" ht="8.4" customHeight="1" x14ac:dyDescent="0.25">
      <c r="A75" s="630">
        <v>1.1200000000000001</v>
      </c>
      <c r="B75" s="632" t="s">
        <v>70</v>
      </c>
      <c r="C75" s="608" t="s">
        <v>6</v>
      </c>
      <c r="D75" s="610">
        <v>1</v>
      </c>
      <c r="E75" s="559">
        <f t="shared" ref="E75" si="145">F75*100/SUM(K75)</f>
        <v>0</v>
      </c>
      <c r="F75" s="557">
        <f t="shared" ref="F75" si="146">K75*SUM(M75:AG75)/100</f>
        <v>0</v>
      </c>
      <c r="G75" s="634"/>
      <c r="H75" s="557">
        <f t="shared" si="121"/>
        <v>0</v>
      </c>
      <c r="I75" s="612">
        <f>'BOQ แก้ไขสัญญา'!AF50</f>
        <v>1597253</v>
      </c>
      <c r="J75" s="593">
        <f t="shared" si="137"/>
        <v>1597253</v>
      </c>
      <c r="K75" s="595">
        <f>J75*100/GTotal</f>
        <v>0.66972128321769919</v>
      </c>
      <c r="L75" s="101"/>
      <c r="M75" s="355"/>
      <c r="N75" s="355"/>
      <c r="O75" s="355"/>
      <c r="P75" s="355"/>
      <c r="Q75" s="355"/>
      <c r="R75" s="356"/>
      <c r="S75" s="354"/>
      <c r="T75" s="355"/>
      <c r="U75" s="355"/>
      <c r="V75" s="355"/>
      <c r="W75" s="355"/>
      <c r="X75" s="354"/>
      <c r="Y75" s="355"/>
      <c r="Z75" s="355"/>
      <c r="AA75" s="355"/>
      <c r="AB75" s="355"/>
      <c r="AC75" s="355"/>
      <c r="AD75" s="356"/>
      <c r="AE75" s="354"/>
      <c r="AF75" s="355"/>
      <c r="AG75" s="355"/>
      <c r="AH75" s="358"/>
      <c r="AI75" s="358"/>
      <c r="AJ75" s="358"/>
      <c r="AK75" s="357"/>
      <c r="AL75" s="358"/>
      <c r="AM75" s="358"/>
      <c r="AN75" s="357"/>
      <c r="AO75" s="357"/>
      <c r="AP75" s="359"/>
      <c r="AQ75" s="357"/>
      <c r="AR75" s="358">
        <v>10</v>
      </c>
      <c r="AS75" s="358">
        <v>10</v>
      </c>
      <c r="AT75" s="358">
        <v>20</v>
      </c>
      <c r="AU75" s="357">
        <v>20</v>
      </c>
      <c r="AV75" s="358">
        <v>20</v>
      </c>
      <c r="AW75" s="358">
        <v>20</v>
      </c>
      <c r="AX75" s="85"/>
      <c r="AY75" s="5"/>
      <c r="AZ75" s="331"/>
      <c r="BE75" s="2"/>
      <c r="BF75" s="2"/>
      <c r="BG75" s="2"/>
      <c r="BH75" s="2"/>
      <c r="BI75" s="2"/>
      <c r="BJ75" s="2"/>
      <c r="BK75" s="2"/>
      <c r="BL75" s="2">
        <v>1</v>
      </c>
      <c r="BM75" s="54"/>
      <c r="BN75" s="11">
        <f t="shared" ref="BN75:CX75" si="147">M75*$K75/100</f>
        <v>0</v>
      </c>
      <c r="BO75" s="11">
        <f t="shared" si="147"/>
        <v>0</v>
      </c>
      <c r="BP75" s="11">
        <f t="shared" si="147"/>
        <v>0</v>
      </c>
      <c r="BQ75" s="11">
        <f t="shared" si="147"/>
        <v>0</v>
      </c>
      <c r="BR75" s="11">
        <f t="shared" si="147"/>
        <v>0</v>
      </c>
      <c r="BS75" s="10">
        <f t="shared" si="147"/>
        <v>0</v>
      </c>
      <c r="BT75" s="11">
        <f t="shared" si="147"/>
        <v>0</v>
      </c>
      <c r="BU75" s="11">
        <f t="shared" si="147"/>
        <v>0</v>
      </c>
      <c r="BV75" s="11">
        <f t="shared" si="147"/>
        <v>0</v>
      </c>
      <c r="BW75" s="11">
        <f t="shared" si="147"/>
        <v>0</v>
      </c>
      <c r="BX75" s="11">
        <f t="shared" si="147"/>
        <v>0</v>
      </c>
      <c r="BY75" s="11">
        <f t="shared" si="147"/>
        <v>0</v>
      </c>
      <c r="BZ75" s="11">
        <f t="shared" si="147"/>
        <v>0</v>
      </c>
      <c r="CA75" s="11">
        <f t="shared" si="147"/>
        <v>0</v>
      </c>
      <c r="CB75" s="11">
        <f t="shared" si="147"/>
        <v>0</v>
      </c>
      <c r="CC75" s="11">
        <f t="shared" si="147"/>
        <v>0</v>
      </c>
      <c r="CD75" s="11">
        <f t="shared" si="147"/>
        <v>0</v>
      </c>
      <c r="CE75" s="10">
        <f t="shared" si="147"/>
        <v>0</v>
      </c>
      <c r="CF75" s="11">
        <f t="shared" si="147"/>
        <v>0</v>
      </c>
      <c r="CG75" s="11">
        <f t="shared" si="147"/>
        <v>0</v>
      </c>
      <c r="CH75" s="11">
        <f t="shared" si="147"/>
        <v>0</v>
      </c>
      <c r="CI75" s="11">
        <f t="shared" si="147"/>
        <v>0</v>
      </c>
      <c r="CJ75" s="11">
        <f t="shared" si="147"/>
        <v>0</v>
      </c>
      <c r="CK75" s="11">
        <f t="shared" si="147"/>
        <v>0</v>
      </c>
      <c r="CL75" s="11">
        <f t="shared" si="147"/>
        <v>0</v>
      </c>
      <c r="CM75" s="11">
        <f t="shared" si="147"/>
        <v>0</v>
      </c>
      <c r="CN75" s="11">
        <f t="shared" si="147"/>
        <v>0</v>
      </c>
      <c r="CO75" s="11">
        <f t="shared" si="147"/>
        <v>0</v>
      </c>
      <c r="CP75" s="11">
        <f t="shared" si="147"/>
        <v>0</v>
      </c>
      <c r="CQ75" s="11">
        <f t="shared" si="147"/>
        <v>0</v>
      </c>
      <c r="CR75" s="11">
        <f t="shared" si="147"/>
        <v>0</v>
      </c>
      <c r="CS75" s="11">
        <f t="shared" si="147"/>
        <v>6.6972128321769922E-2</v>
      </c>
      <c r="CT75" s="11">
        <f t="shared" si="147"/>
        <v>6.6972128321769922E-2</v>
      </c>
      <c r="CU75" s="11">
        <f t="shared" si="147"/>
        <v>0.13394425664353984</v>
      </c>
      <c r="CV75" s="11">
        <f t="shared" si="147"/>
        <v>0.13394425664353984</v>
      </c>
      <c r="CW75" s="11">
        <f t="shared" si="147"/>
        <v>0.13394425664353984</v>
      </c>
      <c r="CX75" s="11">
        <f t="shared" si="147"/>
        <v>0.13394425664353984</v>
      </c>
      <c r="CY75" s="50"/>
      <c r="CZ75" s="2"/>
      <c r="DA75" s="2"/>
      <c r="DB75" s="58">
        <f t="shared" si="139"/>
        <v>0.66972128321769919</v>
      </c>
      <c r="DC75" s="41">
        <f t="shared" ref="DC75:DC106" si="148">K75</f>
        <v>0.66972128321769919</v>
      </c>
      <c r="DD75" s="2"/>
      <c r="DE75" s="2"/>
      <c r="DF75" s="2"/>
      <c r="DG75" s="2"/>
      <c r="DH75" s="2"/>
      <c r="DI75" s="2"/>
      <c r="DJ75" s="2"/>
      <c r="DK75" s="2"/>
    </row>
    <row r="76" spans="1:115" ht="8.4" customHeight="1" x14ac:dyDescent="0.25">
      <c r="A76" s="631"/>
      <c r="B76" s="633"/>
      <c r="C76" s="609"/>
      <c r="D76" s="611"/>
      <c r="E76" s="560"/>
      <c r="F76" s="558"/>
      <c r="G76" s="635"/>
      <c r="H76" s="558"/>
      <c r="I76" s="613"/>
      <c r="J76" s="594"/>
      <c r="K76" s="596"/>
      <c r="L76" s="101"/>
      <c r="M76" s="361"/>
      <c r="N76" s="361"/>
      <c r="O76" s="361"/>
      <c r="P76" s="361"/>
      <c r="Q76" s="361"/>
      <c r="R76" s="362"/>
      <c r="S76" s="360"/>
      <c r="T76" s="361"/>
      <c r="U76" s="361"/>
      <c r="V76" s="361"/>
      <c r="W76" s="361"/>
      <c r="X76" s="360"/>
      <c r="Y76" s="361"/>
      <c r="Z76" s="361"/>
      <c r="AA76" s="361"/>
      <c r="AB76" s="361"/>
      <c r="AC76" s="361"/>
      <c r="AD76" s="362"/>
      <c r="AE76" s="360"/>
      <c r="AF76" s="361"/>
      <c r="AG76" s="361"/>
      <c r="AH76" s="363"/>
      <c r="AI76" s="363"/>
      <c r="AJ76" s="363"/>
      <c r="AK76" s="365"/>
      <c r="AL76" s="363"/>
      <c r="AM76" s="363"/>
      <c r="AN76" s="365"/>
      <c r="AO76" s="365"/>
      <c r="AP76" s="364"/>
      <c r="AQ76" s="365"/>
      <c r="AR76" s="371"/>
      <c r="AS76" s="371"/>
      <c r="AT76" s="371"/>
      <c r="AU76" s="372"/>
      <c r="AV76" s="371"/>
      <c r="AW76" s="371"/>
      <c r="AX76" s="85"/>
      <c r="AY76" s="5"/>
      <c r="AZ76" s="331"/>
      <c r="BE76" s="2"/>
      <c r="BF76" s="2"/>
      <c r="BG76" s="2"/>
      <c r="BH76" s="2"/>
      <c r="BI76" s="2"/>
      <c r="BJ76" s="2"/>
      <c r="BK76" s="2"/>
      <c r="BL76" s="2">
        <v>0</v>
      </c>
      <c r="BM76" s="53"/>
      <c r="BN76" s="11">
        <f t="shared" ref="BN76:CX76" si="149">M76*$K75/100</f>
        <v>0</v>
      </c>
      <c r="BO76" s="11">
        <f t="shared" si="149"/>
        <v>0</v>
      </c>
      <c r="BP76" s="11">
        <f t="shared" si="149"/>
        <v>0</v>
      </c>
      <c r="BQ76" s="11">
        <f t="shared" si="149"/>
        <v>0</v>
      </c>
      <c r="BR76" s="11">
        <f t="shared" si="149"/>
        <v>0</v>
      </c>
      <c r="BS76" s="10">
        <f t="shared" si="149"/>
        <v>0</v>
      </c>
      <c r="BT76" s="11">
        <f t="shared" si="149"/>
        <v>0</v>
      </c>
      <c r="BU76" s="11">
        <f t="shared" si="149"/>
        <v>0</v>
      </c>
      <c r="BV76" s="11">
        <f t="shared" si="149"/>
        <v>0</v>
      </c>
      <c r="BW76" s="11">
        <f t="shared" si="149"/>
        <v>0</v>
      </c>
      <c r="BX76" s="11">
        <f t="shared" si="149"/>
        <v>0</v>
      </c>
      <c r="BY76" s="11">
        <f t="shared" si="149"/>
        <v>0</v>
      </c>
      <c r="BZ76" s="11">
        <f t="shared" si="149"/>
        <v>0</v>
      </c>
      <c r="CA76" s="11">
        <f t="shared" si="149"/>
        <v>0</v>
      </c>
      <c r="CB76" s="11">
        <f t="shared" si="149"/>
        <v>0</v>
      </c>
      <c r="CC76" s="11">
        <f t="shared" si="149"/>
        <v>0</v>
      </c>
      <c r="CD76" s="11">
        <f t="shared" si="149"/>
        <v>0</v>
      </c>
      <c r="CE76" s="10">
        <f t="shared" si="149"/>
        <v>0</v>
      </c>
      <c r="CF76" s="11">
        <f t="shared" si="149"/>
        <v>0</v>
      </c>
      <c r="CG76" s="11">
        <f t="shared" si="149"/>
        <v>0</v>
      </c>
      <c r="CH76" s="11">
        <f t="shared" si="149"/>
        <v>0</v>
      </c>
      <c r="CI76" s="11">
        <f t="shared" si="149"/>
        <v>0</v>
      </c>
      <c r="CJ76" s="11">
        <f t="shared" si="149"/>
        <v>0</v>
      </c>
      <c r="CK76" s="11">
        <f t="shared" si="149"/>
        <v>0</v>
      </c>
      <c r="CL76" s="11">
        <f t="shared" si="149"/>
        <v>0</v>
      </c>
      <c r="CM76" s="11">
        <f t="shared" si="149"/>
        <v>0</v>
      </c>
      <c r="CN76" s="11">
        <f t="shared" si="149"/>
        <v>0</v>
      </c>
      <c r="CO76" s="11">
        <f t="shared" si="149"/>
        <v>0</v>
      </c>
      <c r="CP76" s="11">
        <f t="shared" si="149"/>
        <v>0</v>
      </c>
      <c r="CQ76" s="11">
        <f t="shared" si="149"/>
        <v>0</v>
      </c>
      <c r="CR76" s="11">
        <f t="shared" si="149"/>
        <v>0</v>
      </c>
      <c r="CS76" s="11">
        <f t="shared" si="149"/>
        <v>0</v>
      </c>
      <c r="CT76" s="11">
        <f t="shared" si="149"/>
        <v>0</v>
      </c>
      <c r="CU76" s="11">
        <f t="shared" si="149"/>
        <v>0</v>
      </c>
      <c r="CV76" s="11">
        <f t="shared" si="149"/>
        <v>0</v>
      </c>
      <c r="CW76" s="11">
        <f t="shared" si="149"/>
        <v>0</v>
      </c>
      <c r="CX76" s="11">
        <f t="shared" si="149"/>
        <v>0</v>
      </c>
      <c r="CY76" s="50"/>
      <c r="CZ76" s="2"/>
      <c r="DA76" s="2"/>
      <c r="DB76" s="58">
        <f t="shared" si="139"/>
        <v>0</v>
      </c>
      <c r="DC76" s="41">
        <f t="shared" si="148"/>
        <v>0</v>
      </c>
      <c r="DD76" s="2"/>
      <c r="DE76" s="2"/>
      <c r="DF76" s="2"/>
      <c r="DG76" s="2"/>
      <c r="DH76" s="2"/>
      <c r="DI76" s="2"/>
      <c r="DJ76" s="2"/>
      <c r="DK76" s="2"/>
    </row>
    <row r="77" spans="1:115" ht="8.4" customHeight="1" x14ac:dyDescent="0.25">
      <c r="A77" s="614">
        <v>2</v>
      </c>
      <c r="B77" s="616" t="s">
        <v>71</v>
      </c>
      <c r="C77" s="618"/>
      <c r="D77" s="620"/>
      <c r="E77" s="62"/>
      <c r="F77" s="63"/>
      <c r="G77" s="62"/>
      <c r="H77" s="63"/>
      <c r="I77" s="620"/>
      <c r="J77" s="620"/>
      <c r="K77" s="623"/>
      <c r="L77" s="101"/>
      <c r="M77" s="386"/>
      <c r="N77" s="387"/>
      <c r="O77" s="387"/>
      <c r="P77" s="387"/>
      <c r="Q77" s="387"/>
      <c r="R77" s="388"/>
      <c r="S77" s="386"/>
      <c r="T77" s="387"/>
      <c r="U77" s="387"/>
      <c r="V77" s="387"/>
      <c r="W77" s="387"/>
      <c r="X77" s="386"/>
      <c r="Y77" s="387"/>
      <c r="Z77" s="387"/>
      <c r="AA77" s="387"/>
      <c r="AB77" s="387"/>
      <c r="AC77" s="387"/>
      <c r="AD77" s="388"/>
      <c r="AE77" s="386"/>
      <c r="AF77" s="387"/>
      <c r="AG77" s="387"/>
      <c r="AH77" s="387"/>
      <c r="AI77" s="387"/>
      <c r="AJ77" s="387"/>
      <c r="AK77" s="386"/>
      <c r="AL77" s="387"/>
      <c r="AM77" s="387"/>
      <c r="AN77" s="386"/>
      <c r="AO77" s="386"/>
      <c r="AP77" s="388"/>
      <c r="AQ77" s="386"/>
      <c r="AR77" s="386"/>
      <c r="AS77" s="386"/>
      <c r="AT77" s="386"/>
      <c r="AU77" s="386"/>
      <c r="AV77" s="386"/>
      <c r="AW77" s="389"/>
      <c r="AX77" s="85"/>
      <c r="AY77" s="5"/>
      <c r="AZ77" s="331"/>
      <c r="BE77" s="2"/>
      <c r="BF77" s="2"/>
      <c r="BG77" s="2"/>
      <c r="BH77" s="2"/>
      <c r="BI77" s="2"/>
      <c r="BJ77" s="2"/>
      <c r="BK77" s="2"/>
      <c r="BL77" s="2"/>
      <c r="BM77" s="54"/>
      <c r="BN77" s="56"/>
      <c r="BO77" s="29"/>
      <c r="BP77" s="29"/>
      <c r="BQ77" s="29"/>
      <c r="BR77" s="29"/>
      <c r="BS77" s="30"/>
      <c r="BT77" s="31"/>
      <c r="BU77" s="29"/>
      <c r="BV77" s="29"/>
      <c r="BW77" s="29"/>
      <c r="BX77" s="29"/>
      <c r="BY77" s="31"/>
      <c r="BZ77" s="29"/>
      <c r="CA77" s="29"/>
      <c r="CB77" s="29"/>
      <c r="CC77" s="29"/>
      <c r="CD77" s="29"/>
      <c r="CE77" s="30"/>
      <c r="CF77" s="31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51"/>
      <c r="CZ77" s="2"/>
      <c r="DA77" s="2"/>
      <c r="DB77" s="58">
        <f t="shared" si="139"/>
        <v>0</v>
      </c>
      <c r="DC77" s="41">
        <f t="shared" si="148"/>
        <v>0</v>
      </c>
      <c r="DD77" s="2"/>
      <c r="DE77" s="2"/>
      <c r="DF77" s="2"/>
      <c r="DG77" s="2"/>
      <c r="DH77" s="2"/>
      <c r="DI77" s="2"/>
      <c r="DJ77" s="2"/>
      <c r="DK77" s="2"/>
    </row>
    <row r="78" spans="1:115" ht="8.4" customHeight="1" x14ac:dyDescent="0.25">
      <c r="A78" s="627"/>
      <c r="B78" s="628"/>
      <c r="C78" s="629"/>
      <c r="D78" s="622"/>
      <c r="E78" s="64"/>
      <c r="F78" s="65"/>
      <c r="G78" s="64"/>
      <c r="H78" s="65"/>
      <c r="I78" s="622"/>
      <c r="J78" s="622"/>
      <c r="K78" s="624"/>
      <c r="L78" s="101"/>
      <c r="M78" s="390"/>
      <c r="N78" s="391"/>
      <c r="O78" s="391"/>
      <c r="P78" s="391"/>
      <c r="Q78" s="391"/>
      <c r="R78" s="392"/>
      <c r="S78" s="390"/>
      <c r="T78" s="391"/>
      <c r="U78" s="391"/>
      <c r="V78" s="391"/>
      <c r="W78" s="391"/>
      <c r="X78" s="390"/>
      <c r="Y78" s="391"/>
      <c r="Z78" s="391"/>
      <c r="AA78" s="391"/>
      <c r="AB78" s="391"/>
      <c r="AC78" s="391"/>
      <c r="AD78" s="392"/>
      <c r="AE78" s="390"/>
      <c r="AF78" s="391"/>
      <c r="AG78" s="391"/>
      <c r="AH78" s="391"/>
      <c r="AI78" s="391"/>
      <c r="AJ78" s="391"/>
      <c r="AK78" s="390"/>
      <c r="AL78" s="391"/>
      <c r="AM78" s="391"/>
      <c r="AN78" s="390"/>
      <c r="AO78" s="390"/>
      <c r="AP78" s="392"/>
      <c r="AQ78" s="390"/>
      <c r="AR78" s="390"/>
      <c r="AS78" s="390"/>
      <c r="AT78" s="390"/>
      <c r="AU78" s="390"/>
      <c r="AV78" s="390"/>
      <c r="AW78" s="393"/>
      <c r="AX78" s="85"/>
      <c r="AY78" s="5"/>
      <c r="AZ78" s="331"/>
      <c r="BE78" s="2"/>
      <c r="BF78" s="2"/>
      <c r="BG78" s="2"/>
      <c r="BH78" s="2"/>
      <c r="BI78" s="2"/>
      <c r="BJ78" s="2"/>
      <c r="BK78" s="2"/>
      <c r="BL78" s="2"/>
      <c r="BM78" s="53"/>
      <c r="BN78" s="56"/>
      <c r="BO78" s="26"/>
      <c r="BP78" s="26"/>
      <c r="BQ78" s="26"/>
      <c r="BR78" s="26"/>
      <c r="BS78" s="27"/>
      <c r="BT78" s="28"/>
      <c r="BU78" s="26"/>
      <c r="BV78" s="26"/>
      <c r="BW78" s="26"/>
      <c r="BX78" s="26"/>
      <c r="BY78" s="28"/>
      <c r="BZ78" s="26"/>
      <c r="CA78" s="26"/>
      <c r="CB78" s="26"/>
      <c r="CC78" s="26"/>
      <c r="CD78" s="26"/>
      <c r="CE78" s="27"/>
      <c r="CF78" s="28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51"/>
      <c r="CZ78" s="2"/>
      <c r="DA78" s="2"/>
      <c r="DB78" s="58">
        <f t="shared" si="139"/>
        <v>0</v>
      </c>
      <c r="DC78" s="41">
        <f t="shared" si="148"/>
        <v>0</v>
      </c>
      <c r="DD78" s="2"/>
      <c r="DE78" s="2"/>
      <c r="DF78" s="2"/>
      <c r="DG78" s="2"/>
      <c r="DH78" s="2"/>
      <c r="DI78" s="2"/>
      <c r="DJ78" s="2"/>
      <c r="DK78" s="2"/>
    </row>
    <row r="79" spans="1:115" ht="8.4" customHeight="1" x14ac:dyDescent="0.25">
      <c r="A79" s="604">
        <v>2.1</v>
      </c>
      <c r="B79" s="632" t="s">
        <v>72</v>
      </c>
      <c r="C79" s="608" t="s">
        <v>6</v>
      </c>
      <c r="D79" s="610">
        <v>1</v>
      </c>
      <c r="E79" s="559">
        <f t="shared" ref="E79" si="150">F79*100/SUM(K79)</f>
        <v>0</v>
      </c>
      <c r="F79" s="557">
        <f t="shared" ref="F79" si="151">K79*SUM(M79:AG79)/100</f>
        <v>0</v>
      </c>
      <c r="G79" s="559">
        <f>D79*H79/100</f>
        <v>0</v>
      </c>
      <c r="H79" s="557">
        <f>SUM(L80:AJ80)</f>
        <v>0</v>
      </c>
      <c r="I79" s="612">
        <f>'BOQ แก้ไขสัญญา'!AF52</f>
        <v>3297434</v>
      </c>
      <c r="J79" s="593">
        <f t="shared" si="137"/>
        <v>3297434</v>
      </c>
      <c r="K79" s="595">
        <f>J79*100/GTotal</f>
        <v>1.3825998322154791</v>
      </c>
      <c r="L79" s="101"/>
      <c r="M79" s="354"/>
      <c r="N79" s="355"/>
      <c r="O79" s="355"/>
      <c r="P79" s="355"/>
      <c r="Q79" s="355"/>
      <c r="R79" s="356"/>
      <c r="S79" s="354"/>
      <c r="T79" s="355"/>
      <c r="U79" s="355"/>
      <c r="V79" s="355"/>
      <c r="W79" s="355"/>
      <c r="X79" s="354"/>
      <c r="Y79" s="355"/>
      <c r="Z79" s="355"/>
      <c r="AA79" s="355"/>
      <c r="AB79" s="355"/>
      <c r="AC79" s="355"/>
      <c r="AD79" s="356"/>
      <c r="AE79" s="354"/>
      <c r="AF79" s="355"/>
      <c r="AG79" s="355"/>
      <c r="AH79" s="355"/>
      <c r="AI79" s="355"/>
      <c r="AJ79" s="355"/>
      <c r="AK79" s="354"/>
      <c r="AL79" s="355"/>
      <c r="AM79" s="355"/>
      <c r="AN79" s="357"/>
      <c r="AO79" s="357"/>
      <c r="AP79" s="359"/>
      <c r="AQ79" s="357"/>
      <c r="AR79" s="358">
        <v>20</v>
      </c>
      <c r="AS79" s="358">
        <v>20</v>
      </c>
      <c r="AT79" s="357">
        <v>20</v>
      </c>
      <c r="AU79" s="358">
        <v>20</v>
      </c>
      <c r="AV79" s="358">
        <v>20</v>
      </c>
      <c r="AW79" s="377"/>
      <c r="AX79" s="85"/>
      <c r="AY79" s="5"/>
      <c r="AZ79" s="331"/>
      <c r="BE79" s="2"/>
      <c r="BF79" s="2"/>
      <c r="BG79" s="2"/>
      <c r="BH79" s="2"/>
      <c r="BI79" s="2"/>
      <c r="BJ79" s="2"/>
      <c r="BK79" s="2"/>
      <c r="BL79" s="2">
        <v>1</v>
      </c>
      <c r="BM79" s="54"/>
      <c r="BN79" s="11">
        <f t="shared" ref="BN79:CX79" si="152">M79*$K79/100</f>
        <v>0</v>
      </c>
      <c r="BO79" s="11">
        <f t="shared" si="152"/>
        <v>0</v>
      </c>
      <c r="BP79" s="11">
        <f t="shared" si="152"/>
        <v>0</v>
      </c>
      <c r="BQ79" s="11">
        <f t="shared" si="152"/>
        <v>0</v>
      </c>
      <c r="BR79" s="11">
        <f t="shared" si="152"/>
        <v>0</v>
      </c>
      <c r="BS79" s="10">
        <f t="shared" si="152"/>
        <v>0</v>
      </c>
      <c r="BT79" s="11">
        <f t="shared" si="152"/>
        <v>0</v>
      </c>
      <c r="BU79" s="11">
        <f t="shared" si="152"/>
        <v>0</v>
      </c>
      <c r="BV79" s="11">
        <f t="shared" si="152"/>
        <v>0</v>
      </c>
      <c r="BW79" s="11">
        <f t="shared" si="152"/>
        <v>0</v>
      </c>
      <c r="BX79" s="11">
        <f t="shared" si="152"/>
        <v>0</v>
      </c>
      <c r="BY79" s="11">
        <f t="shared" si="152"/>
        <v>0</v>
      </c>
      <c r="BZ79" s="11">
        <f t="shared" si="152"/>
        <v>0</v>
      </c>
      <c r="CA79" s="11">
        <f t="shared" si="152"/>
        <v>0</v>
      </c>
      <c r="CB79" s="11">
        <f t="shared" si="152"/>
        <v>0</v>
      </c>
      <c r="CC79" s="11">
        <f t="shared" si="152"/>
        <v>0</v>
      </c>
      <c r="CD79" s="11">
        <f t="shared" si="152"/>
        <v>0</v>
      </c>
      <c r="CE79" s="10">
        <f t="shared" si="152"/>
        <v>0</v>
      </c>
      <c r="CF79" s="11">
        <f t="shared" si="152"/>
        <v>0</v>
      </c>
      <c r="CG79" s="11">
        <f t="shared" si="152"/>
        <v>0</v>
      </c>
      <c r="CH79" s="11">
        <f t="shared" si="152"/>
        <v>0</v>
      </c>
      <c r="CI79" s="11">
        <f t="shared" si="152"/>
        <v>0</v>
      </c>
      <c r="CJ79" s="11">
        <f t="shared" si="152"/>
        <v>0</v>
      </c>
      <c r="CK79" s="9">
        <f t="shared" si="152"/>
        <v>0</v>
      </c>
      <c r="CL79" s="9">
        <f t="shared" si="152"/>
        <v>0</v>
      </c>
      <c r="CM79" s="9">
        <f t="shared" si="152"/>
        <v>0</v>
      </c>
      <c r="CN79" s="9">
        <f t="shared" si="152"/>
        <v>0</v>
      </c>
      <c r="CO79" s="9">
        <f t="shared" si="152"/>
        <v>0</v>
      </c>
      <c r="CP79" s="9">
        <f t="shared" si="152"/>
        <v>0</v>
      </c>
      <c r="CQ79" s="9">
        <f t="shared" si="152"/>
        <v>0</v>
      </c>
      <c r="CR79" s="9">
        <f t="shared" si="152"/>
        <v>0</v>
      </c>
      <c r="CS79" s="9">
        <f t="shared" si="152"/>
        <v>0.27651996644309584</v>
      </c>
      <c r="CT79" s="9">
        <f t="shared" si="152"/>
        <v>0.27651996644309584</v>
      </c>
      <c r="CU79" s="9">
        <f t="shared" si="152"/>
        <v>0.27651996644309584</v>
      </c>
      <c r="CV79" s="9">
        <f t="shared" si="152"/>
        <v>0.27651996644309584</v>
      </c>
      <c r="CW79" s="9">
        <f t="shared" si="152"/>
        <v>0.27651996644309584</v>
      </c>
      <c r="CX79" s="9">
        <f t="shared" si="152"/>
        <v>0</v>
      </c>
      <c r="CY79" s="50"/>
      <c r="CZ79" s="2"/>
      <c r="DA79" s="2"/>
      <c r="DB79" s="58">
        <f t="shared" si="139"/>
        <v>1.3825998322154791</v>
      </c>
      <c r="DC79" s="41">
        <f t="shared" si="148"/>
        <v>1.3825998322154791</v>
      </c>
      <c r="DD79" s="2"/>
      <c r="DE79" s="2"/>
      <c r="DF79" s="2"/>
      <c r="DG79" s="2"/>
      <c r="DH79" s="2"/>
      <c r="DI79" s="2"/>
      <c r="DJ79" s="2"/>
      <c r="DK79" s="2"/>
    </row>
    <row r="80" spans="1:115" ht="8.4" customHeight="1" x14ac:dyDescent="0.25">
      <c r="A80" s="605"/>
      <c r="B80" s="633"/>
      <c r="C80" s="609"/>
      <c r="D80" s="611"/>
      <c r="E80" s="560"/>
      <c r="F80" s="558"/>
      <c r="G80" s="560"/>
      <c r="H80" s="558"/>
      <c r="I80" s="613"/>
      <c r="J80" s="594"/>
      <c r="K80" s="596"/>
      <c r="L80" s="101"/>
      <c r="M80" s="360"/>
      <c r="N80" s="361"/>
      <c r="O80" s="361"/>
      <c r="P80" s="361"/>
      <c r="Q80" s="361"/>
      <c r="R80" s="362"/>
      <c r="S80" s="360"/>
      <c r="T80" s="361"/>
      <c r="U80" s="361"/>
      <c r="V80" s="361"/>
      <c r="W80" s="361"/>
      <c r="X80" s="360"/>
      <c r="Y80" s="361"/>
      <c r="Z80" s="361"/>
      <c r="AA80" s="361"/>
      <c r="AB80" s="361"/>
      <c r="AC80" s="361"/>
      <c r="AD80" s="362"/>
      <c r="AE80" s="360"/>
      <c r="AF80" s="361"/>
      <c r="AG80" s="361"/>
      <c r="AH80" s="361"/>
      <c r="AI80" s="361"/>
      <c r="AJ80" s="361"/>
      <c r="AK80" s="360"/>
      <c r="AL80" s="361"/>
      <c r="AM80" s="361"/>
      <c r="AN80" s="365"/>
      <c r="AO80" s="363"/>
      <c r="AP80" s="378"/>
      <c r="AQ80" s="365"/>
      <c r="AR80" s="365"/>
      <c r="AS80" s="365"/>
      <c r="AT80" s="365"/>
      <c r="AU80" s="365"/>
      <c r="AV80" s="365"/>
      <c r="AW80" s="378"/>
      <c r="AX80" s="85"/>
      <c r="AY80" s="5"/>
      <c r="AZ80" s="331"/>
      <c r="BE80" s="2"/>
      <c r="BF80" s="2"/>
      <c r="BG80" s="2"/>
      <c r="BH80" s="2"/>
      <c r="BI80" s="2"/>
      <c r="BJ80" s="2"/>
      <c r="BK80" s="2"/>
      <c r="BL80" s="2">
        <v>0</v>
      </c>
      <c r="BM80" s="53"/>
      <c r="BN80" s="11">
        <f t="shared" ref="BN80:CX80" si="153">M80*$K79/100</f>
        <v>0</v>
      </c>
      <c r="BO80" s="11">
        <f t="shared" si="153"/>
        <v>0</v>
      </c>
      <c r="BP80" s="11">
        <f t="shared" si="153"/>
        <v>0</v>
      </c>
      <c r="BQ80" s="11">
        <f t="shared" si="153"/>
        <v>0</v>
      </c>
      <c r="BR80" s="11">
        <f t="shared" si="153"/>
        <v>0</v>
      </c>
      <c r="BS80" s="10">
        <f t="shared" si="153"/>
        <v>0</v>
      </c>
      <c r="BT80" s="11">
        <f t="shared" si="153"/>
        <v>0</v>
      </c>
      <c r="BU80" s="11">
        <f t="shared" si="153"/>
        <v>0</v>
      </c>
      <c r="BV80" s="11">
        <f t="shared" si="153"/>
        <v>0</v>
      </c>
      <c r="BW80" s="11">
        <f t="shared" si="153"/>
        <v>0</v>
      </c>
      <c r="BX80" s="11">
        <f t="shared" si="153"/>
        <v>0</v>
      </c>
      <c r="BY80" s="11">
        <f t="shared" si="153"/>
        <v>0</v>
      </c>
      <c r="BZ80" s="11">
        <f t="shared" si="153"/>
        <v>0</v>
      </c>
      <c r="CA80" s="11">
        <f t="shared" si="153"/>
        <v>0</v>
      </c>
      <c r="CB80" s="11">
        <f t="shared" si="153"/>
        <v>0</v>
      </c>
      <c r="CC80" s="11">
        <f t="shared" si="153"/>
        <v>0</v>
      </c>
      <c r="CD80" s="11">
        <f t="shared" si="153"/>
        <v>0</v>
      </c>
      <c r="CE80" s="10">
        <f t="shared" si="153"/>
        <v>0</v>
      </c>
      <c r="CF80" s="11">
        <f t="shared" si="153"/>
        <v>0</v>
      </c>
      <c r="CG80" s="11">
        <f t="shared" si="153"/>
        <v>0</v>
      </c>
      <c r="CH80" s="11">
        <f t="shared" si="153"/>
        <v>0</v>
      </c>
      <c r="CI80" s="11">
        <f t="shared" si="153"/>
        <v>0</v>
      </c>
      <c r="CJ80" s="11">
        <f t="shared" si="153"/>
        <v>0</v>
      </c>
      <c r="CK80" s="9">
        <f t="shared" si="153"/>
        <v>0</v>
      </c>
      <c r="CL80" s="9">
        <f t="shared" si="153"/>
        <v>0</v>
      </c>
      <c r="CM80" s="9">
        <f t="shared" si="153"/>
        <v>0</v>
      </c>
      <c r="CN80" s="9">
        <f t="shared" si="153"/>
        <v>0</v>
      </c>
      <c r="CO80" s="9">
        <f t="shared" si="153"/>
        <v>0</v>
      </c>
      <c r="CP80" s="9">
        <f t="shared" si="153"/>
        <v>0</v>
      </c>
      <c r="CQ80" s="9">
        <f t="shared" si="153"/>
        <v>0</v>
      </c>
      <c r="CR80" s="9">
        <f t="shared" si="153"/>
        <v>0</v>
      </c>
      <c r="CS80" s="9">
        <f t="shared" si="153"/>
        <v>0</v>
      </c>
      <c r="CT80" s="9">
        <f t="shared" si="153"/>
        <v>0</v>
      </c>
      <c r="CU80" s="9">
        <f t="shared" si="153"/>
        <v>0</v>
      </c>
      <c r="CV80" s="9">
        <f t="shared" si="153"/>
        <v>0</v>
      </c>
      <c r="CW80" s="9">
        <f t="shared" si="153"/>
        <v>0</v>
      </c>
      <c r="CX80" s="9">
        <f t="shared" si="153"/>
        <v>0</v>
      </c>
      <c r="CY80" s="50"/>
      <c r="CZ80" s="2"/>
      <c r="DA80" s="2"/>
      <c r="DB80" s="58">
        <f t="shared" si="139"/>
        <v>0</v>
      </c>
      <c r="DC80" s="41">
        <f t="shared" si="148"/>
        <v>0</v>
      </c>
      <c r="DD80" s="2"/>
      <c r="DE80" s="2"/>
      <c r="DF80" s="2"/>
      <c r="DG80" s="2"/>
      <c r="DH80" s="2"/>
      <c r="DI80" s="2"/>
      <c r="DJ80" s="2"/>
      <c r="DK80" s="2"/>
    </row>
    <row r="81" spans="1:115" ht="8.4" customHeight="1" x14ac:dyDescent="0.25">
      <c r="A81" s="604">
        <v>2.2000000000000002</v>
      </c>
      <c r="B81" s="632" t="s">
        <v>122</v>
      </c>
      <c r="C81" s="608" t="s">
        <v>6</v>
      </c>
      <c r="D81" s="610">
        <v>1</v>
      </c>
      <c r="E81" s="559">
        <f t="shared" ref="E81" si="154">F81*100/SUM(K81)</f>
        <v>0</v>
      </c>
      <c r="F81" s="557">
        <f t="shared" ref="F81" si="155">K81*SUM(M81:AG81)/100</f>
        <v>0</v>
      </c>
      <c r="G81" s="559">
        <f>D81*H81/100</f>
        <v>1.57E-3</v>
      </c>
      <c r="H81" s="557">
        <f>SUM(L82:AJ82)</f>
        <v>0.157</v>
      </c>
      <c r="I81" s="612">
        <f>'BOQ แก้ไขสัญญา'!AF53</f>
        <v>22731675</v>
      </c>
      <c r="J81" s="593">
        <f t="shared" si="137"/>
        <v>22731675</v>
      </c>
      <c r="K81" s="595">
        <f>J81*100/GTotal</f>
        <v>9.5312931330776607</v>
      </c>
      <c r="L81" s="101"/>
      <c r="M81" s="354"/>
      <c r="N81" s="355"/>
      <c r="O81" s="355"/>
      <c r="P81" s="355"/>
      <c r="Q81" s="355"/>
      <c r="R81" s="356"/>
      <c r="S81" s="354"/>
      <c r="T81" s="355"/>
      <c r="U81" s="355"/>
      <c r="V81" s="355"/>
      <c r="W81" s="355"/>
      <c r="X81" s="354"/>
      <c r="Y81" s="355"/>
      <c r="Z81" s="355"/>
      <c r="AA81" s="355"/>
      <c r="AB81" s="355"/>
      <c r="AC81" s="355"/>
      <c r="AD81" s="356"/>
      <c r="AE81" s="354"/>
      <c r="AF81" s="355"/>
      <c r="AG81" s="355"/>
      <c r="AH81" s="355"/>
      <c r="AI81" s="355"/>
      <c r="AJ81" s="355"/>
      <c r="AK81" s="354"/>
      <c r="AL81" s="355"/>
      <c r="AM81" s="355"/>
      <c r="AN81" s="358">
        <v>10</v>
      </c>
      <c r="AO81" s="358">
        <v>10</v>
      </c>
      <c r="AP81" s="394">
        <v>10</v>
      </c>
      <c r="AQ81" s="375">
        <v>10</v>
      </c>
      <c r="AR81" s="358">
        <v>10</v>
      </c>
      <c r="AS81" s="358">
        <v>10</v>
      </c>
      <c r="AT81" s="358">
        <v>10</v>
      </c>
      <c r="AU81" s="358">
        <v>10</v>
      </c>
      <c r="AV81" s="357">
        <v>10</v>
      </c>
      <c r="AW81" s="358">
        <v>10</v>
      </c>
      <c r="AX81" s="85"/>
      <c r="AY81" s="5"/>
      <c r="AZ81" s="331"/>
      <c r="BE81" s="2"/>
      <c r="BF81" s="2"/>
      <c r="BG81" s="2"/>
      <c r="BH81" s="2"/>
      <c r="BI81" s="2"/>
      <c r="BJ81" s="2"/>
      <c r="BK81" s="2"/>
      <c r="BL81" s="2">
        <v>1</v>
      </c>
      <c r="BM81" s="54"/>
      <c r="BN81" s="11">
        <f t="shared" ref="BN81:CX81" si="156">M81*$K81/100</f>
        <v>0</v>
      </c>
      <c r="BO81" s="11">
        <f t="shared" si="156"/>
        <v>0</v>
      </c>
      <c r="BP81" s="11">
        <f t="shared" si="156"/>
        <v>0</v>
      </c>
      <c r="BQ81" s="11">
        <f t="shared" si="156"/>
        <v>0</v>
      </c>
      <c r="BR81" s="11">
        <f t="shared" si="156"/>
        <v>0</v>
      </c>
      <c r="BS81" s="10">
        <f t="shared" si="156"/>
        <v>0</v>
      </c>
      <c r="BT81" s="11">
        <f t="shared" si="156"/>
        <v>0</v>
      </c>
      <c r="BU81" s="11">
        <f t="shared" si="156"/>
        <v>0</v>
      </c>
      <c r="BV81" s="11">
        <f t="shared" si="156"/>
        <v>0</v>
      </c>
      <c r="BW81" s="11">
        <f t="shared" si="156"/>
        <v>0</v>
      </c>
      <c r="BX81" s="11">
        <f t="shared" si="156"/>
        <v>0</v>
      </c>
      <c r="BY81" s="11">
        <f t="shared" si="156"/>
        <v>0</v>
      </c>
      <c r="BZ81" s="11">
        <f t="shared" si="156"/>
        <v>0</v>
      </c>
      <c r="CA81" s="11">
        <f t="shared" si="156"/>
        <v>0</v>
      </c>
      <c r="CB81" s="11">
        <f t="shared" si="156"/>
        <v>0</v>
      </c>
      <c r="CC81" s="11">
        <f t="shared" si="156"/>
        <v>0</v>
      </c>
      <c r="CD81" s="11">
        <f t="shared" si="156"/>
        <v>0</v>
      </c>
      <c r="CE81" s="10">
        <f t="shared" si="156"/>
        <v>0</v>
      </c>
      <c r="CF81" s="11">
        <f t="shared" si="156"/>
        <v>0</v>
      </c>
      <c r="CG81" s="11">
        <f t="shared" si="156"/>
        <v>0</v>
      </c>
      <c r="CH81" s="11">
        <f t="shared" si="156"/>
        <v>0</v>
      </c>
      <c r="CI81" s="11">
        <f t="shared" si="156"/>
        <v>0</v>
      </c>
      <c r="CJ81" s="11">
        <f t="shared" si="156"/>
        <v>0</v>
      </c>
      <c r="CK81" s="9">
        <f t="shared" si="156"/>
        <v>0</v>
      </c>
      <c r="CL81" s="9">
        <f t="shared" si="156"/>
        <v>0</v>
      </c>
      <c r="CM81" s="9">
        <f t="shared" si="156"/>
        <v>0</v>
      </c>
      <c r="CN81" s="9">
        <f t="shared" si="156"/>
        <v>0</v>
      </c>
      <c r="CO81" s="9">
        <f t="shared" si="156"/>
        <v>0.95312931330776607</v>
      </c>
      <c r="CP81" s="9">
        <f t="shared" si="156"/>
        <v>0.95312931330776607</v>
      </c>
      <c r="CQ81" s="9">
        <f t="shared" si="156"/>
        <v>0.95312931330776607</v>
      </c>
      <c r="CR81" s="9">
        <f t="shared" si="156"/>
        <v>0.95312931330776607</v>
      </c>
      <c r="CS81" s="9">
        <f t="shared" si="156"/>
        <v>0.95312931330776607</v>
      </c>
      <c r="CT81" s="9">
        <f t="shared" si="156"/>
        <v>0.95312931330776607</v>
      </c>
      <c r="CU81" s="9">
        <f t="shared" si="156"/>
        <v>0.95312931330776607</v>
      </c>
      <c r="CV81" s="9">
        <f t="shared" si="156"/>
        <v>0.95312931330776607</v>
      </c>
      <c r="CW81" s="9">
        <f t="shared" si="156"/>
        <v>0.95312931330776607</v>
      </c>
      <c r="CX81" s="9">
        <f t="shared" si="156"/>
        <v>0.95312931330776607</v>
      </c>
      <c r="CY81" s="50"/>
      <c r="CZ81" s="2"/>
      <c r="DA81" s="2"/>
      <c r="DB81" s="58">
        <f t="shared" si="139"/>
        <v>9.5312931330776607</v>
      </c>
      <c r="DC81" s="41">
        <f t="shared" si="148"/>
        <v>9.5312931330776607</v>
      </c>
      <c r="DD81" s="2"/>
      <c r="DE81" s="2"/>
      <c r="DF81" s="2"/>
      <c r="DG81" s="2"/>
      <c r="DH81" s="2"/>
      <c r="DI81" s="2"/>
      <c r="DJ81" s="2"/>
      <c r="DK81" s="2"/>
    </row>
    <row r="82" spans="1:115" ht="8.4" customHeight="1" x14ac:dyDescent="0.25">
      <c r="A82" s="605"/>
      <c r="B82" s="633"/>
      <c r="C82" s="609"/>
      <c r="D82" s="611"/>
      <c r="E82" s="560"/>
      <c r="F82" s="558"/>
      <c r="G82" s="560"/>
      <c r="H82" s="558"/>
      <c r="I82" s="613"/>
      <c r="J82" s="594"/>
      <c r="K82" s="603"/>
      <c r="L82" s="101"/>
      <c r="M82" s="360"/>
      <c r="N82" s="456">
        <v>0.157</v>
      </c>
      <c r="O82" s="361"/>
      <c r="P82" s="361"/>
      <c r="Q82" s="361"/>
      <c r="R82" s="362"/>
      <c r="S82" s="360"/>
      <c r="T82" s="361"/>
      <c r="U82" s="361"/>
      <c r="V82" s="361"/>
      <c r="W82" s="361"/>
      <c r="X82" s="360"/>
      <c r="Y82" s="361"/>
      <c r="Z82" s="361"/>
      <c r="AA82" s="361"/>
      <c r="AB82" s="361"/>
      <c r="AC82" s="361"/>
      <c r="AD82" s="362"/>
      <c r="AE82" s="360"/>
      <c r="AF82" s="361"/>
      <c r="AG82" s="361"/>
      <c r="AH82" s="361"/>
      <c r="AI82" s="361"/>
      <c r="AJ82" s="361"/>
      <c r="AK82" s="360"/>
      <c r="AL82" s="361"/>
      <c r="AM82" s="361"/>
      <c r="AN82" s="360"/>
      <c r="AO82" s="360"/>
      <c r="AP82" s="362"/>
      <c r="AQ82" s="360"/>
      <c r="AR82" s="360"/>
      <c r="AS82" s="360"/>
      <c r="AT82" s="360"/>
      <c r="AU82" s="360"/>
      <c r="AV82" s="360"/>
      <c r="AW82" s="366"/>
      <c r="AX82" s="85"/>
      <c r="AY82" s="5"/>
      <c r="AZ82" s="331">
        <v>30</v>
      </c>
      <c r="BE82" s="2"/>
      <c r="BF82" s="2"/>
      <c r="BG82" s="2"/>
      <c r="BH82" s="2"/>
      <c r="BI82" s="2"/>
      <c r="BJ82" s="2"/>
      <c r="BK82" s="2"/>
      <c r="BL82" s="2">
        <v>0</v>
      </c>
      <c r="BM82" s="53"/>
      <c r="BN82" s="11">
        <f t="shared" ref="BN82:CX82" si="157">M82*$K81/100</f>
        <v>0</v>
      </c>
      <c r="BO82" s="11">
        <f t="shared" si="157"/>
        <v>1.4964130218931927E-2</v>
      </c>
      <c r="BP82" s="11">
        <f t="shared" si="157"/>
        <v>0</v>
      </c>
      <c r="BQ82" s="11">
        <f t="shared" si="157"/>
        <v>0</v>
      </c>
      <c r="BR82" s="11">
        <f t="shared" si="157"/>
        <v>0</v>
      </c>
      <c r="BS82" s="10">
        <f t="shared" si="157"/>
        <v>0</v>
      </c>
      <c r="BT82" s="11">
        <f t="shared" si="157"/>
        <v>0</v>
      </c>
      <c r="BU82" s="11">
        <f t="shared" si="157"/>
        <v>0</v>
      </c>
      <c r="BV82" s="11">
        <f t="shared" si="157"/>
        <v>0</v>
      </c>
      <c r="BW82" s="11">
        <f t="shared" si="157"/>
        <v>0</v>
      </c>
      <c r="BX82" s="11">
        <f t="shared" si="157"/>
        <v>0</v>
      </c>
      <c r="BY82" s="11">
        <f t="shared" si="157"/>
        <v>0</v>
      </c>
      <c r="BZ82" s="11">
        <f t="shared" si="157"/>
        <v>0</v>
      </c>
      <c r="CA82" s="11">
        <f t="shared" si="157"/>
        <v>0</v>
      </c>
      <c r="CB82" s="11">
        <f t="shared" si="157"/>
        <v>0</v>
      </c>
      <c r="CC82" s="11">
        <f t="shared" si="157"/>
        <v>0</v>
      </c>
      <c r="CD82" s="11">
        <f t="shared" si="157"/>
        <v>0</v>
      </c>
      <c r="CE82" s="10">
        <f t="shared" si="157"/>
        <v>0</v>
      </c>
      <c r="CF82" s="11">
        <f t="shared" si="157"/>
        <v>0</v>
      </c>
      <c r="CG82" s="11">
        <f t="shared" si="157"/>
        <v>0</v>
      </c>
      <c r="CH82" s="11">
        <f t="shared" si="157"/>
        <v>0</v>
      </c>
      <c r="CI82" s="11">
        <f t="shared" si="157"/>
        <v>0</v>
      </c>
      <c r="CJ82" s="11">
        <f t="shared" si="157"/>
        <v>0</v>
      </c>
      <c r="CK82" s="9">
        <f t="shared" si="157"/>
        <v>0</v>
      </c>
      <c r="CL82" s="9">
        <f t="shared" si="157"/>
        <v>0</v>
      </c>
      <c r="CM82" s="9">
        <f t="shared" si="157"/>
        <v>0</v>
      </c>
      <c r="CN82" s="9">
        <f t="shared" si="157"/>
        <v>0</v>
      </c>
      <c r="CO82" s="9">
        <f t="shared" si="157"/>
        <v>0</v>
      </c>
      <c r="CP82" s="9">
        <f t="shared" si="157"/>
        <v>0</v>
      </c>
      <c r="CQ82" s="9">
        <f t="shared" si="157"/>
        <v>0</v>
      </c>
      <c r="CR82" s="9">
        <f t="shared" si="157"/>
        <v>0</v>
      </c>
      <c r="CS82" s="9">
        <f t="shared" si="157"/>
        <v>0</v>
      </c>
      <c r="CT82" s="9">
        <f t="shared" si="157"/>
        <v>0</v>
      </c>
      <c r="CU82" s="9">
        <f t="shared" si="157"/>
        <v>0</v>
      </c>
      <c r="CV82" s="9">
        <f t="shared" si="157"/>
        <v>0</v>
      </c>
      <c r="CW82" s="9">
        <f t="shared" si="157"/>
        <v>0</v>
      </c>
      <c r="CX82" s="9">
        <f t="shared" si="157"/>
        <v>0</v>
      </c>
      <c r="CY82" s="50"/>
      <c r="CZ82" s="2"/>
      <c r="DA82" s="2"/>
      <c r="DB82" s="58">
        <f t="shared" si="139"/>
        <v>1.4964130218931927E-2</v>
      </c>
      <c r="DC82" s="41">
        <f t="shared" si="148"/>
        <v>0</v>
      </c>
      <c r="DD82" s="2"/>
      <c r="DE82" s="2"/>
      <c r="DF82" s="2"/>
      <c r="DG82" s="2"/>
      <c r="DH82" s="2"/>
      <c r="DI82" s="2"/>
      <c r="DJ82" s="2"/>
      <c r="DK82" s="2"/>
    </row>
    <row r="83" spans="1:115" ht="8.4" customHeight="1" x14ac:dyDescent="0.25">
      <c r="A83" s="614">
        <v>3</v>
      </c>
      <c r="B83" s="616" t="s">
        <v>29</v>
      </c>
      <c r="C83" s="618"/>
      <c r="D83" s="620"/>
      <c r="E83" s="62"/>
      <c r="F83" s="63"/>
      <c r="G83" s="62"/>
      <c r="H83" s="63"/>
      <c r="I83" s="620"/>
      <c r="J83" s="620"/>
      <c r="K83" s="623"/>
      <c r="L83" s="101"/>
      <c r="M83" s="386"/>
      <c r="N83" s="387"/>
      <c r="O83" s="387"/>
      <c r="P83" s="387"/>
      <c r="Q83" s="387"/>
      <c r="R83" s="388"/>
      <c r="S83" s="386"/>
      <c r="T83" s="387"/>
      <c r="U83" s="387"/>
      <c r="V83" s="387"/>
      <c r="W83" s="387"/>
      <c r="X83" s="386"/>
      <c r="Y83" s="387"/>
      <c r="Z83" s="387"/>
      <c r="AA83" s="387"/>
      <c r="AB83" s="387"/>
      <c r="AC83" s="387"/>
      <c r="AD83" s="388"/>
      <c r="AE83" s="386"/>
      <c r="AF83" s="387"/>
      <c r="AG83" s="387"/>
      <c r="AH83" s="387"/>
      <c r="AI83" s="387"/>
      <c r="AJ83" s="387"/>
      <c r="AK83" s="386"/>
      <c r="AL83" s="387"/>
      <c r="AM83" s="387"/>
      <c r="AN83" s="386"/>
      <c r="AO83" s="386"/>
      <c r="AP83" s="388"/>
      <c r="AQ83" s="386"/>
      <c r="AR83" s="386"/>
      <c r="AS83" s="386"/>
      <c r="AT83" s="386"/>
      <c r="AU83" s="386"/>
      <c r="AV83" s="386"/>
      <c r="AW83" s="389"/>
      <c r="AX83" s="85"/>
      <c r="AY83" s="5"/>
      <c r="AZ83" s="331"/>
      <c r="BE83" s="2"/>
      <c r="BF83" s="2"/>
      <c r="BG83" s="2"/>
      <c r="BH83" s="2"/>
      <c r="BI83" s="2"/>
      <c r="BJ83" s="2"/>
      <c r="BK83" s="2"/>
      <c r="BL83" s="2"/>
      <c r="BM83" s="54"/>
      <c r="BN83" s="31"/>
      <c r="BO83" s="29"/>
      <c r="BP83" s="29"/>
      <c r="BQ83" s="29"/>
      <c r="BR83" s="29"/>
      <c r="BS83" s="30"/>
      <c r="BT83" s="31"/>
      <c r="BU83" s="29"/>
      <c r="BV83" s="29"/>
      <c r="BW83" s="29"/>
      <c r="BX83" s="29"/>
      <c r="BY83" s="31"/>
      <c r="BZ83" s="29"/>
      <c r="CA83" s="29"/>
      <c r="CB83" s="29"/>
      <c r="CC83" s="29"/>
      <c r="CD83" s="29"/>
      <c r="CE83" s="30"/>
      <c r="CF83" s="31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51"/>
      <c r="CZ83" s="2"/>
      <c r="DA83" s="2"/>
      <c r="DB83" s="58">
        <f t="shared" si="139"/>
        <v>0</v>
      </c>
      <c r="DC83" s="41">
        <f t="shared" si="148"/>
        <v>0</v>
      </c>
      <c r="DD83" s="2"/>
      <c r="DE83" s="2"/>
      <c r="DF83" s="2"/>
      <c r="DG83" s="2"/>
      <c r="DH83" s="2"/>
      <c r="DI83" s="2"/>
      <c r="DJ83" s="2"/>
      <c r="DK83" s="2"/>
    </row>
    <row r="84" spans="1:115" ht="8.4" customHeight="1" x14ac:dyDescent="0.25">
      <c r="A84" s="627"/>
      <c r="B84" s="628"/>
      <c r="C84" s="629"/>
      <c r="D84" s="622"/>
      <c r="E84" s="64"/>
      <c r="F84" s="65"/>
      <c r="G84" s="64"/>
      <c r="H84" s="65"/>
      <c r="I84" s="622"/>
      <c r="J84" s="622"/>
      <c r="K84" s="624"/>
      <c r="L84" s="101"/>
      <c r="M84" s="390"/>
      <c r="N84" s="391"/>
      <c r="O84" s="391"/>
      <c r="P84" s="391"/>
      <c r="Q84" s="391"/>
      <c r="R84" s="392"/>
      <c r="S84" s="390"/>
      <c r="T84" s="391"/>
      <c r="U84" s="391"/>
      <c r="V84" s="391"/>
      <c r="W84" s="391"/>
      <c r="X84" s="390"/>
      <c r="Y84" s="391"/>
      <c r="Z84" s="391"/>
      <c r="AA84" s="391"/>
      <c r="AB84" s="391"/>
      <c r="AC84" s="391"/>
      <c r="AD84" s="392"/>
      <c r="AE84" s="390"/>
      <c r="AF84" s="391"/>
      <c r="AG84" s="391"/>
      <c r="AH84" s="391"/>
      <c r="AI84" s="391"/>
      <c r="AJ84" s="391"/>
      <c r="AK84" s="390"/>
      <c r="AL84" s="391"/>
      <c r="AM84" s="391"/>
      <c r="AN84" s="390"/>
      <c r="AO84" s="390"/>
      <c r="AP84" s="392"/>
      <c r="AQ84" s="390"/>
      <c r="AR84" s="390"/>
      <c r="AS84" s="390"/>
      <c r="AT84" s="390"/>
      <c r="AU84" s="390"/>
      <c r="AV84" s="390"/>
      <c r="AW84" s="393"/>
      <c r="AX84" s="85"/>
      <c r="AY84" s="5"/>
      <c r="AZ84" s="331"/>
      <c r="BE84" s="2"/>
      <c r="BF84" s="2"/>
      <c r="BG84" s="2"/>
      <c r="BH84" s="2"/>
      <c r="BI84" s="2"/>
      <c r="BJ84" s="2"/>
      <c r="BK84" s="2"/>
      <c r="BL84" s="2"/>
      <c r="BM84" s="53"/>
      <c r="BN84" s="28"/>
      <c r="BO84" s="26"/>
      <c r="BP84" s="26"/>
      <c r="BQ84" s="26"/>
      <c r="BR84" s="26"/>
      <c r="BS84" s="27"/>
      <c r="BT84" s="28"/>
      <c r="BU84" s="26"/>
      <c r="BV84" s="26"/>
      <c r="BW84" s="26"/>
      <c r="BX84" s="26"/>
      <c r="BY84" s="28"/>
      <c r="BZ84" s="26"/>
      <c r="CA84" s="26"/>
      <c r="CB84" s="26"/>
      <c r="CC84" s="26"/>
      <c r="CD84" s="26"/>
      <c r="CE84" s="33"/>
      <c r="CF84" s="28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51"/>
      <c r="CZ84" s="2"/>
      <c r="DA84" s="2"/>
      <c r="DB84" s="58">
        <f t="shared" si="139"/>
        <v>0</v>
      </c>
      <c r="DC84" s="41">
        <f t="shared" si="148"/>
        <v>0</v>
      </c>
      <c r="DD84" s="2"/>
      <c r="DE84" s="2"/>
      <c r="DF84" s="2"/>
      <c r="DG84" s="2"/>
      <c r="DH84" s="2"/>
      <c r="DI84" s="2"/>
      <c r="DJ84" s="2"/>
      <c r="DK84" s="2"/>
    </row>
    <row r="85" spans="1:115" ht="8.4" customHeight="1" x14ac:dyDescent="0.25">
      <c r="A85" s="604">
        <v>3.1</v>
      </c>
      <c r="B85" s="606" t="s">
        <v>105</v>
      </c>
      <c r="C85" s="608" t="s">
        <v>6</v>
      </c>
      <c r="D85" s="610">
        <v>1</v>
      </c>
      <c r="E85" s="559">
        <f t="shared" ref="E85:E93" si="158">F85*100/SUM(K85)</f>
        <v>0</v>
      </c>
      <c r="F85" s="557">
        <f t="shared" ref="F85" si="159">K85*SUM(M85:AG85)/100</f>
        <v>0</v>
      </c>
      <c r="G85" s="559">
        <f>D85*H85/100</f>
        <v>0.1623</v>
      </c>
      <c r="H85" s="557">
        <f>SUM(L86:AJ86)</f>
        <v>16.23</v>
      </c>
      <c r="I85" s="612">
        <f>'BOQ แก้ไขสัญญา'!AF55</f>
        <v>20579504</v>
      </c>
      <c r="J85" s="593">
        <f t="shared" si="137"/>
        <v>20579504</v>
      </c>
      <c r="K85" s="595">
        <f>J85*100/GTotal</f>
        <v>8.6288971295491539</v>
      </c>
      <c r="L85" s="101"/>
      <c r="M85" s="354"/>
      <c r="N85" s="355"/>
      <c r="O85" s="355"/>
      <c r="P85" s="355"/>
      <c r="Q85" s="355"/>
      <c r="R85" s="356"/>
      <c r="S85" s="354"/>
      <c r="T85" s="355"/>
      <c r="U85" s="355"/>
      <c r="V85" s="355"/>
      <c r="W85" s="355"/>
      <c r="X85" s="354"/>
      <c r="Y85" s="355"/>
      <c r="Z85" s="355"/>
      <c r="AA85" s="355"/>
      <c r="AB85" s="355"/>
      <c r="AC85" s="355"/>
      <c r="AD85" s="356"/>
      <c r="AE85" s="354"/>
      <c r="AF85" s="355"/>
      <c r="AG85" s="355"/>
      <c r="AH85" s="355"/>
      <c r="AI85" s="355"/>
      <c r="AJ85" s="358"/>
      <c r="AK85" s="357"/>
      <c r="AL85" s="358"/>
      <c r="AM85" s="358">
        <v>4</v>
      </c>
      <c r="AN85" s="357">
        <v>4</v>
      </c>
      <c r="AO85" s="358">
        <v>4</v>
      </c>
      <c r="AP85" s="359">
        <v>4</v>
      </c>
      <c r="AQ85" s="357">
        <v>4</v>
      </c>
      <c r="AR85" s="357">
        <v>4</v>
      </c>
      <c r="AS85" s="395">
        <v>10</v>
      </c>
      <c r="AT85" s="358">
        <v>10</v>
      </c>
      <c r="AU85" s="357">
        <v>10</v>
      </c>
      <c r="AV85" s="357">
        <v>25</v>
      </c>
      <c r="AW85" s="357">
        <v>21</v>
      </c>
      <c r="AX85" s="85"/>
      <c r="AY85" s="5"/>
      <c r="AZ85" s="331"/>
      <c r="BE85" s="2"/>
      <c r="BF85" s="2"/>
      <c r="BG85" s="2"/>
      <c r="BH85" s="2"/>
      <c r="BI85" s="2"/>
      <c r="BJ85" s="2"/>
      <c r="BK85" s="2"/>
      <c r="BL85" s="2">
        <v>1</v>
      </c>
      <c r="BM85" s="54"/>
      <c r="BN85" s="11">
        <f t="shared" ref="BN85:CX85" si="160">M85*$K85/100</f>
        <v>0</v>
      </c>
      <c r="BO85" s="11">
        <f t="shared" si="160"/>
        <v>0</v>
      </c>
      <c r="BP85" s="11">
        <f t="shared" si="160"/>
        <v>0</v>
      </c>
      <c r="BQ85" s="11">
        <f t="shared" si="160"/>
        <v>0</v>
      </c>
      <c r="BR85" s="11">
        <f t="shared" si="160"/>
        <v>0</v>
      </c>
      <c r="BS85" s="10">
        <f t="shared" si="160"/>
        <v>0</v>
      </c>
      <c r="BT85" s="11">
        <f t="shared" si="160"/>
        <v>0</v>
      </c>
      <c r="BU85" s="11">
        <f t="shared" si="160"/>
        <v>0</v>
      </c>
      <c r="BV85" s="11">
        <f t="shared" si="160"/>
        <v>0</v>
      </c>
      <c r="BW85" s="11">
        <f t="shared" si="160"/>
        <v>0</v>
      </c>
      <c r="BX85" s="11">
        <f t="shared" si="160"/>
        <v>0</v>
      </c>
      <c r="BY85" s="11">
        <f t="shared" si="160"/>
        <v>0</v>
      </c>
      <c r="BZ85" s="11">
        <f t="shared" si="160"/>
        <v>0</v>
      </c>
      <c r="CA85" s="11">
        <f t="shared" si="160"/>
        <v>0</v>
      </c>
      <c r="CB85" s="11">
        <f t="shared" si="160"/>
        <v>0</v>
      </c>
      <c r="CC85" s="11">
        <f t="shared" si="160"/>
        <v>0</v>
      </c>
      <c r="CD85" s="11">
        <f t="shared" si="160"/>
        <v>0</v>
      </c>
      <c r="CE85" s="236">
        <f t="shared" si="160"/>
        <v>0</v>
      </c>
      <c r="CF85" s="11">
        <f t="shared" si="160"/>
        <v>0</v>
      </c>
      <c r="CG85" s="11">
        <f t="shared" si="160"/>
        <v>0</v>
      </c>
      <c r="CH85" s="11">
        <f t="shared" si="160"/>
        <v>0</v>
      </c>
      <c r="CI85" s="11">
        <f t="shared" si="160"/>
        <v>0</v>
      </c>
      <c r="CJ85" s="11">
        <f t="shared" si="160"/>
        <v>0</v>
      </c>
      <c r="CK85" s="246">
        <f t="shared" si="160"/>
        <v>0</v>
      </c>
      <c r="CL85" s="246">
        <f t="shared" si="160"/>
        <v>0</v>
      </c>
      <c r="CM85" s="246">
        <f t="shared" si="160"/>
        <v>0</v>
      </c>
      <c r="CN85" s="246">
        <f t="shared" si="160"/>
        <v>0.34515588518196616</v>
      </c>
      <c r="CO85" s="246">
        <f t="shared" si="160"/>
        <v>0.34515588518196616</v>
      </c>
      <c r="CP85" s="246">
        <f t="shared" si="160"/>
        <v>0.34515588518196616</v>
      </c>
      <c r="CQ85" s="246">
        <f t="shared" si="160"/>
        <v>0.34515588518196616</v>
      </c>
      <c r="CR85" s="246">
        <f t="shared" si="160"/>
        <v>0.34515588518196616</v>
      </c>
      <c r="CS85" s="246">
        <f t="shared" si="160"/>
        <v>0.34515588518196616</v>
      </c>
      <c r="CT85" s="246">
        <f t="shared" si="160"/>
        <v>0.86288971295491534</v>
      </c>
      <c r="CU85" s="246">
        <f t="shared" si="160"/>
        <v>0.86288971295491534</v>
      </c>
      <c r="CV85" s="246">
        <f t="shared" si="160"/>
        <v>0.86288971295491534</v>
      </c>
      <c r="CW85" s="246">
        <f t="shared" si="160"/>
        <v>2.1572242823872885</v>
      </c>
      <c r="CX85" s="246">
        <f t="shared" si="160"/>
        <v>1.8120683972053222</v>
      </c>
      <c r="CY85" s="50"/>
      <c r="CZ85" s="2"/>
      <c r="DA85" s="2"/>
      <c r="DB85" s="58">
        <f t="shared" si="139"/>
        <v>8.6288971295491539</v>
      </c>
      <c r="DC85" s="41">
        <f t="shared" si="148"/>
        <v>8.6288971295491539</v>
      </c>
      <c r="DD85" s="2"/>
      <c r="DE85" s="2"/>
      <c r="DF85" s="2"/>
      <c r="DG85" s="2"/>
      <c r="DH85" s="2"/>
      <c r="DI85" s="2"/>
      <c r="DJ85" s="2"/>
      <c r="DK85" s="2"/>
    </row>
    <row r="86" spans="1:115" ht="8.4" customHeight="1" x14ac:dyDescent="0.25">
      <c r="A86" s="605"/>
      <c r="B86" s="607"/>
      <c r="C86" s="609"/>
      <c r="D86" s="611"/>
      <c r="E86" s="560"/>
      <c r="F86" s="558"/>
      <c r="G86" s="560"/>
      <c r="H86" s="558"/>
      <c r="I86" s="613"/>
      <c r="J86" s="594"/>
      <c r="K86" s="596"/>
      <c r="L86" s="101"/>
      <c r="M86" s="360"/>
      <c r="N86" s="361"/>
      <c r="O86" s="361"/>
      <c r="P86" s="361"/>
      <c r="Q86" s="361"/>
      <c r="R86" s="362"/>
      <c r="S86" s="360"/>
      <c r="T86" s="361"/>
      <c r="U86" s="361"/>
      <c r="V86" s="361"/>
      <c r="W86" s="361"/>
      <c r="X86" s="360"/>
      <c r="Y86" s="361"/>
      <c r="Z86" s="361"/>
      <c r="AA86" s="456">
        <v>16.23</v>
      </c>
      <c r="AB86" s="361"/>
      <c r="AC86" s="361"/>
      <c r="AD86" s="362"/>
      <c r="AE86" s="360"/>
      <c r="AF86" s="361"/>
      <c r="AG86" s="361"/>
      <c r="AH86" s="361"/>
      <c r="AI86" s="361"/>
      <c r="AJ86" s="363"/>
      <c r="AK86" s="365"/>
      <c r="AL86" s="363"/>
      <c r="AM86" s="363"/>
      <c r="AN86" s="365"/>
      <c r="AO86" s="365"/>
      <c r="AP86" s="364"/>
      <c r="AQ86" s="365"/>
      <c r="AR86" s="365"/>
      <c r="AS86" s="365"/>
      <c r="AT86" s="365"/>
      <c r="AU86" s="365"/>
      <c r="AV86" s="365"/>
      <c r="AW86" s="378"/>
      <c r="AX86" s="85"/>
      <c r="AY86" s="5"/>
      <c r="AZ86" s="331"/>
      <c r="BE86" s="2"/>
      <c r="BF86" s="2"/>
      <c r="BG86" s="2"/>
      <c r="BH86" s="2"/>
      <c r="BI86" s="2"/>
      <c r="BJ86" s="2"/>
      <c r="BK86" s="2"/>
      <c r="BL86" s="2">
        <v>0</v>
      </c>
      <c r="BM86" s="53"/>
      <c r="BN86" s="11">
        <f t="shared" ref="BN86:CX86" si="161">M86*$K85/100</f>
        <v>0</v>
      </c>
      <c r="BO86" s="11">
        <f t="shared" si="161"/>
        <v>0</v>
      </c>
      <c r="BP86" s="11">
        <f t="shared" si="161"/>
        <v>0</v>
      </c>
      <c r="BQ86" s="11">
        <f t="shared" si="161"/>
        <v>0</v>
      </c>
      <c r="BR86" s="11">
        <f t="shared" si="161"/>
        <v>0</v>
      </c>
      <c r="BS86" s="10">
        <f t="shared" si="161"/>
        <v>0</v>
      </c>
      <c r="BT86" s="11">
        <f t="shared" si="161"/>
        <v>0</v>
      </c>
      <c r="BU86" s="11">
        <f t="shared" si="161"/>
        <v>0</v>
      </c>
      <c r="BV86" s="11">
        <f t="shared" si="161"/>
        <v>0</v>
      </c>
      <c r="BW86" s="11">
        <f t="shared" si="161"/>
        <v>0</v>
      </c>
      <c r="BX86" s="11">
        <f t="shared" si="161"/>
        <v>0</v>
      </c>
      <c r="BY86" s="11">
        <f t="shared" si="161"/>
        <v>0</v>
      </c>
      <c r="BZ86" s="11">
        <f t="shared" si="161"/>
        <v>0</v>
      </c>
      <c r="CA86" s="11">
        <f t="shared" si="161"/>
        <v>0</v>
      </c>
      <c r="CB86" s="11">
        <f t="shared" si="161"/>
        <v>1.4004700041258278</v>
      </c>
      <c r="CC86" s="11">
        <f t="shared" si="161"/>
        <v>0</v>
      </c>
      <c r="CD86" s="11">
        <f t="shared" si="161"/>
        <v>0</v>
      </c>
      <c r="CE86" s="236">
        <f t="shared" si="161"/>
        <v>0</v>
      </c>
      <c r="CF86" s="11">
        <f t="shared" si="161"/>
        <v>0</v>
      </c>
      <c r="CG86" s="11">
        <f t="shared" si="161"/>
        <v>0</v>
      </c>
      <c r="CH86" s="11">
        <f t="shared" si="161"/>
        <v>0</v>
      </c>
      <c r="CI86" s="11">
        <f t="shared" si="161"/>
        <v>0</v>
      </c>
      <c r="CJ86" s="11">
        <f t="shared" si="161"/>
        <v>0</v>
      </c>
      <c r="CK86" s="11">
        <f t="shared" si="161"/>
        <v>0</v>
      </c>
      <c r="CL86" s="11">
        <f t="shared" si="161"/>
        <v>0</v>
      </c>
      <c r="CM86" s="11">
        <f t="shared" si="161"/>
        <v>0</v>
      </c>
      <c r="CN86" s="11">
        <f t="shared" si="161"/>
        <v>0</v>
      </c>
      <c r="CO86" s="11">
        <f t="shared" si="161"/>
        <v>0</v>
      </c>
      <c r="CP86" s="11">
        <f t="shared" si="161"/>
        <v>0</v>
      </c>
      <c r="CQ86" s="11">
        <f t="shared" si="161"/>
        <v>0</v>
      </c>
      <c r="CR86" s="11">
        <f t="shared" si="161"/>
        <v>0</v>
      </c>
      <c r="CS86" s="11">
        <f t="shared" si="161"/>
        <v>0</v>
      </c>
      <c r="CT86" s="11">
        <f t="shared" si="161"/>
        <v>0</v>
      </c>
      <c r="CU86" s="11">
        <f t="shared" si="161"/>
        <v>0</v>
      </c>
      <c r="CV86" s="11">
        <f t="shared" si="161"/>
        <v>0</v>
      </c>
      <c r="CW86" s="11">
        <f t="shared" si="161"/>
        <v>0</v>
      </c>
      <c r="CX86" s="11">
        <f t="shared" si="161"/>
        <v>0</v>
      </c>
      <c r="CY86" s="50"/>
      <c r="CZ86" s="2"/>
      <c r="DA86" s="2"/>
      <c r="DB86" s="58">
        <f t="shared" si="139"/>
        <v>1.4004700041258278</v>
      </c>
      <c r="DC86" s="41">
        <f t="shared" si="148"/>
        <v>0</v>
      </c>
      <c r="DD86" s="2"/>
      <c r="DE86" s="2"/>
      <c r="DF86" s="2"/>
      <c r="DG86" s="2"/>
      <c r="DH86" s="2"/>
      <c r="DI86" s="2"/>
      <c r="DJ86" s="2"/>
      <c r="DK86" s="2"/>
    </row>
    <row r="87" spans="1:115" ht="8.4" customHeight="1" x14ac:dyDescent="0.25">
      <c r="A87" s="604">
        <v>3.2</v>
      </c>
      <c r="B87" s="606" t="s">
        <v>107</v>
      </c>
      <c r="C87" s="608" t="s">
        <v>6</v>
      </c>
      <c r="D87" s="610">
        <v>1</v>
      </c>
      <c r="E87" s="559">
        <f t="shared" si="158"/>
        <v>0</v>
      </c>
      <c r="F87" s="557">
        <f t="shared" ref="F87" si="162">K87*SUM(M87:AG87)/100</f>
        <v>0</v>
      </c>
      <c r="G87" s="559">
        <f>D87*H87/100</f>
        <v>0.26985999999999999</v>
      </c>
      <c r="H87" s="557">
        <f>SUM(L88:AJ88)</f>
        <v>26.986000000000001</v>
      </c>
      <c r="I87" s="612">
        <f>'BOQ แก้ไขสัญญา'!AF56</f>
        <v>17824270</v>
      </c>
      <c r="J87" s="593">
        <f t="shared" si="137"/>
        <v>17824270</v>
      </c>
      <c r="K87" s="595">
        <f>J87*100/GTotal</f>
        <v>7.473639415182654</v>
      </c>
      <c r="L87" s="101"/>
      <c r="M87" s="354"/>
      <c r="N87" s="355"/>
      <c r="O87" s="355"/>
      <c r="P87" s="355"/>
      <c r="Q87" s="355"/>
      <c r="R87" s="356"/>
      <c r="S87" s="354"/>
      <c r="T87" s="355"/>
      <c r="U87" s="355"/>
      <c r="V87" s="355"/>
      <c r="W87" s="355"/>
      <c r="X87" s="354"/>
      <c r="Y87" s="355"/>
      <c r="Z87" s="355"/>
      <c r="AA87" s="355"/>
      <c r="AB87" s="355"/>
      <c r="AC87" s="355"/>
      <c r="AD87" s="356"/>
      <c r="AE87" s="354"/>
      <c r="AF87" s="355"/>
      <c r="AG87" s="355"/>
      <c r="AH87" s="355"/>
      <c r="AI87" s="355"/>
      <c r="AJ87" s="358"/>
      <c r="AK87" s="357"/>
      <c r="AL87" s="358">
        <v>5</v>
      </c>
      <c r="AM87" s="358">
        <v>5</v>
      </c>
      <c r="AN87" s="357">
        <v>5</v>
      </c>
      <c r="AO87" s="357">
        <v>5</v>
      </c>
      <c r="AP87" s="359">
        <v>5</v>
      </c>
      <c r="AQ87" s="357">
        <v>5</v>
      </c>
      <c r="AR87" s="357">
        <v>15</v>
      </c>
      <c r="AS87" s="357">
        <v>20</v>
      </c>
      <c r="AT87" s="357">
        <v>35</v>
      </c>
      <c r="AU87" s="357"/>
      <c r="AV87" s="357"/>
      <c r="AW87" s="377"/>
      <c r="AX87" s="85"/>
      <c r="AY87" s="5"/>
      <c r="AZ87" s="331"/>
      <c r="BE87" s="2"/>
      <c r="BF87" s="2"/>
      <c r="BG87" s="2"/>
      <c r="BH87" s="2"/>
      <c r="BI87" s="2"/>
      <c r="BJ87" s="2"/>
      <c r="BK87" s="2"/>
      <c r="BL87" s="2">
        <v>1</v>
      </c>
      <c r="BM87" s="54"/>
      <c r="BN87" s="11">
        <f t="shared" ref="BN87:CX87" si="163">M87*$K87/100</f>
        <v>0</v>
      </c>
      <c r="BO87" s="11">
        <f t="shared" si="163"/>
        <v>0</v>
      </c>
      <c r="BP87" s="11">
        <f t="shared" si="163"/>
        <v>0</v>
      </c>
      <c r="BQ87" s="11">
        <f t="shared" si="163"/>
        <v>0</v>
      </c>
      <c r="BR87" s="11">
        <f t="shared" si="163"/>
        <v>0</v>
      </c>
      <c r="BS87" s="10">
        <f t="shared" si="163"/>
        <v>0</v>
      </c>
      <c r="BT87" s="11">
        <f t="shared" si="163"/>
        <v>0</v>
      </c>
      <c r="BU87" s="11">
        <f t="shared" si="163"/>
        <v>0</v>
      </c>
      <c r="BV87" s="11">
        <f t="shared" si="163"/>
        <v>0</v>
      </c>
      <c r="BW87" s="11">
        <f t="shared" si="163"/>
        <v>0</v>
      </c>
      <c r="BX87" s="11">
        <f t="shared" si="163"/>
        <v>0</v>
      </c>
      <c r="BY87" s="11">
        <f t="shared" si="163"/>
        <v>0</v>
      </c>
      <c r="BZ87" s="11">
        <f t="shared" si="163"/>
        <v>0</v>
      </c>
      <c r="CA87" s="11">
        <f t="shared" si="163"/>
        <v>0</v>
      </c>
      <c r="CB87" s="11">
        <f t="shared" si="163"/>
        <v>0</v>
      </c>
      <c r="CC87" s="11">
        <f t="shared" si="163"/>
        <v>0</v>
      </c>
      <c r="CD87" s="11">
        <f t="shared" si="163"/>
        <v>0</v>
      </c>
      <c r="CE87" s="236">
        <f t="shared" si="163"/>
        <v>0</v>
      </c>
      <c r="CF87" s="11">
        <f t="shared" si="163"/>
        <v>0</v>
      </c>
      <c r="CG87" s="11">
        <f t="shared" si="163"/>
        <v>0</v>
      </c>
      <c r="CH87" s="11">
        <f t="shared" si="163"/>
        <v>0</v>
      </c>
      <c r="CI87" s="11">
        <f t="shared" si="163"/>
        <v>0</v>
      </c>
      <c r="CJ87" s="11">
        <f t="shared" si="163"/>
        <v>0</v>
      </c>
      <c r="CK87" s="11">
        <f t="shared" si="163"/>
        <v>0</v>
      </c>
      <c r="CL87" s="11">
        <f t="shared" si="163"/>
        <v>0</v>
      </c>
      <c r="CM87" s="11">
        <f t="shared" si="163"/>
        <v>0.37368197075913273</v>
      </c>
      <c r="CN87" s="11">
        <f t="shared" si="163"/>
        <v>0.37368197075913273</v>
      </c>
      <c r="CO87" s="11">
        <f t="shared" si="163"/>
        <v>0.37368197075913273</v>
      </c>
      <c r="CP87" s="11">
        <f t="shared" si="163"/>
        <v>0.37368197075913273</v>
      </c>
      <c r="CQ87" s="11">
        <f t="shared" si="163"/>
        <v>0.37368197075913273</v>
      </c>
      <c r="CR87" s="11">
        <f t="shared" si="163"/>
        <v>0.37368197075913273</v>
      </c>
      <c r="CS87" s="11">
        <f t="shared" si="163"/>
        <v>1.1210459122773981</v>
      </c>
      <c r="CT87" s="11">
        <f t="shared" si="163"/>
        <v>1.4947278830365309</v>
      </c>
      <c r="CU87" s="11">
        <f t="shared" si="163"/>
        <v>2.6157737953139288</v>
      </c>
      <c r="CV87" s="11">
        <f t="shared" si="163"/>
        <v>0</v>
      </c>
      <c r="CW87" s="11">
        <f t="shared" si="163"/>
        <v>0</v>
      </c>
      <c r="CX87" s="11">
        <f t="shared" si="163"/>
        <v>0</v>
      </c>
      <c r="CY87" s="50"/>
      <c r="CZ87" s="2"/>
      <c r="DA87" s="2"/>
      <c r="DB87" s="58">
        <f t="shared" si="139"/>
        <v>7.4736394151826548</v>
      </c>
      <c r="DC87" s="41">
        <f t="shared" si="148"/>
        <v>7.473639415182654</v>
      </c>
      <c r="DD87" s="2"/>
      <c r="DE87" s="2"/>
      <c r="DF87" s="2"/>
      <c r="DG87" s="2"/>
      <c r="DH87" s="2"/>
      <c r="DI87" s="2"/>
      <c r="DJ87" s="2"/>
      <c r="DK87" s="2"/>
    </row>
    <row r="88" spans="1:115" ht="8.4" customHeight="1" x14ac:dyDescent="0.25">
      <c r="A88" s="605"/>
      <c r="B88" s="607"/>
      <c r="C88" s="609"/>
      <c r="D88" s="611"/>
      <c r="E88" s="560"/>
      <c r="F88" s="558"/>
      <c r="G88" s="560"/>
      <c r="H88" s="558"/>
      <c r="I88" s="613"/>
      <c r="J88" s="594"/>
      <c r="K88" s="596"/>
      <c r="L88" s="101"/>
      <c r="M88" s="360"/>
      <c r="N88" s="361"/>
      <c r="O88" s="361"/>
      <c r="P88" s="361"/>
      <c r="Q88" s="361"/>
      <c r="R88" s="362"/>
      <c r="S88" s="360"/>
      <c r="T88" s="361"/>
      <c r="U88" s="361"/>
      <c r="V88" s="361"/>
      <c r="W88" s="361"/>
      <c r="X88" s="360"/>
      <c r="Y88" s="361"/>
      <c r="Z88" s="361"/>
      <c r="AA88" s="361"/>
      <c r="AB88" s="456">
        <v>26.986000000000001</v>
      </c>
      <c r="AC88" s="361"/>
      <c r="AD88" s="362"/>
      <c r="AE88" s="360"/>
      <c r="AF88" s="361"/>
      <c r="AG88" s="361"/>
      <c r="AH88" s="361"/>
      <c r="AI88" s="361"/>
      <c r="AJ88" s="363"/>
      <c r="AK88" s="365"/>
      <c r="AL88" s="363"/>
      <c r="AM88" s="363"/>
      <c r="AN88" s="365"/>
      <c r="AO88" s="365"/>
      <c r="AP88" s="364"/>
      <c r="AQ88" s="365"/>
      <c r="AR88" s="365"/>
      <c r="AS88" s="365"/>
      <c r="AT88" s="365"/>
      <c r="AU88" s="365"/>
      <c r="AV88" s="365"/>
      <c r="AW88" s="378"/>
      <c r="AX88" s="85"/>
      <c r="AY88" s="5"/>
      <c r="AZ88" s="331"/>
      <c r="BE88" s="2"/>
      <c r="BF88" s="2"/>
      <c r="BG88" s="2"/>
      <c r="BH88" s="2"/>
      <c r="BI88" s="2"/>
      <c r="BJ88" s="2"/>
      <c r="BK88" s="2"/>
      <c r="BL88" s="2">
        <v>0</v>
      </c>
      <c r="BM88" s="53"/>
      <c r="BN88" s="11">
        <f t="shared" ref="BN88:CX88" si="164">M88*$K87/100</f>
        <v>0</v>
      </c>
      <c r="BO88" s="11">
        <f t="shared" si="164"/>
        <v>0</v>
      </c>
      <c r="BP88" s="11">
        <f t="shared" si="164"/>
        <v>0</v>
      </c>
      <c r="BQ88" s="11">
        <f t="shared" si="164"/>
        <v>0</v>
      </c>
      <c r="BR88" s="11">
        <f t="shared" si="164"/>
        <v>0</v>
      </c>
      <c r="BS88" s="250">
        <f t="shared" si="164"/>
        <v>0</v>
      </c>
      <c r="BT88" s="11">
        <f t="shared" si="164"/>
        <v>0</v>
      </c>
      <c r="BU88" s="11">
        <f t="shared" si="164"/>
        <v>0</v>
      </c>
      <c r="BV88" s="11">
        <f t="shared" si="164"/>
        <v>0</v>
      </c>
      <c r="BW88" s="11">
        <f t="shared" si="164"/>
        <v>0</v>
      </c>
      <c r="BX88" s="11">
        <f t="shared" si="164"/>
        <v>0</v>
      </c>
      <c r="BY88" s="11">
        <f t="shared" si="164"/>
        <v>0</v>
      </c>
      <c r="BZ88" s="11">
        <f t="shared" si="164"/>
        <v>0</v>
      </c>
      <c r="CA88" s="11">
        <f t="shared" si="164"/>
        <v>0</v>
      </c>
      <c r="CB88" s="11">
        <f t="shared" si="164"/>
        <v>0</v>
      </c>
      <c r="CC88" s="11">
        <f t="shared" si="164"/>
        <v>2.0168363325811911</v>
      </c>
      <c r="CD88" s="11">
        <f t="shared" si="164"/>
        <v>0</v>
      </c>
      <c r="CE88" s="236">
        <f t="shared" si="164"/>
        <v>0</v>
      </c>
      <c r="CF88" s="11">
        <f t="shared" si="164"/>
        <v>0</v>
      </c>
      <c r="CG88" s="11">
        <f t="shared" si="164"/>
        <v>0</v>
      </c>
      <c r="CH88" s="11">
        <f t="shared" si="164"/>
        <v>0</v>
      </c>
      <c r="CI88" s="11">
        <f t="shared" si="164"/>
        <v>0</v>
      </c>
      <c r="CJ88" s="11">
        <f t="shared" si="164"/>
        <v>0</v>
      </c>
      <c r="CK88" s="11">
        <f t="shared" si="164"/>
        <v>0</v>
      </c>
      <c r="CL88" s="11">
        <f t="shared" si="164"/>
        <v>0</v>
      </c>
      <c r="CM88" s="11">
        <f t="shared" si="164"/>
        <v>0</v>
      </c>
      <c r="CN88" s="11">
        <f t="shared" si="164"/>
        <v>0</v>
      </c>
      <c r="CO88" s="11">
        <f t="shared" si="164"/>
        <v>0</v>
      </c>
      <c r="CP88" s="11">
        <f t="shared" si="164"/>
        <v>0</v>
      </c>
      <c r="CQ88" s="11">
        <f t="shared" si="164"/>
        <v>0</v>
      </c>
      <c r="CR88" s="11">
        <f t="shared" si="164"/>
        <v>0</v>
      </c>
      <c r="CS88" s="11">
        <f t="shared" si="164"/>
        <v>0</v>
      </c>
      <c r="CT88" s="11">
        <f t="shared" si="164"/>
        <v>0</v>
      </c>
      <c r="CU88" s="11">
        <f t="shared" si="164"/>
        <v>0</v>
      </c>
      <c r="CV88" s="11">
        <f t="shared" si="164"/>
        <v>0</v>
      </c>
      <c r="CW88" s="11">
        <f t="shared" si="164"/>
        <v>0</v>
      </c>
      <c r="CX88" s="11">
        <f t="shared" si="164"/>
        <v>0</v>
      </c>
      <c r="CY88" s="50"/>
      <c r="CZ88" s="2"/>
      <c r="DA88" s="2"/>
      <c r="DB88" s="58">
        <f t="shared" si="139"/>
        <v>2.0168363325811911</v>
      </c>
      <c r="DC88" s="41">
        <f t="shared" si="148"/>
        <v>0</v>
      </c>
      <c r="DD88" s="2"/>
      <c r="DE88" s="2"/>
      <c r="DF88" s="2"/>
      <c r="DG88" s="2"/>
      <c r="DH88" s="2"/>
      <c r="DI88" s="2"/>
      <c r="DJ88" s="2"/>
      <c r="DK88" s="2"/>
    </row>
    <row r="89" spans="1:115" ht="8.4" customHeight="1" x14ac:dyDescent="0.25">
      <c r="A89" s="604">
        <v>3.3</v>
      </c>
      <c r="B89" s="606" t="s">
        <v>108</v>
      </c>
      <c r="C89" s="608" t="s">
        <v>6</v>
      </c>
      <c r="D89" s="610">
        <v>1</v>
      </c>
      <c r="E89" s="559">
        <f t="shared" si="158"/>
        <v>0</v>
      </c>
      <c r="F89" s="557">
        <f t="shared" ref="F89" si="165">K89*SUM(M89:AG89)/100</f>
        <v>0</v>
      </c>
      <c r="G89" s="559">
        <f>D89*H89/100</f>
        <v>0.21559</v>
      </c>
      <c r="H89" s="557">
        <f>SUM(L90:AJ90)</f>
        <v>21.559000000000001</v>
      </c>
      <c r="I89" s="612">
        <f>'BOQ แก้ไขสัญญา'!AF57</f>
        <v>24768803</v>
      </c>
      <c r="J89" s="593">
        <f t="shared" si="137"/>
        <v>24768803</v>
      </c>
      <c r="K89" s="595">
        <f>J89*100/GTotal</f>
        <v>10.385452103659469</v>
      </c>
      <c r="L89" s="101"/>
      <c r="M89" s="354"/>
      <c r="N89" s="355"/>
      <c r="O89" s="355"/>
      <c r="P89" s="355"/>
      <c r="Q89" s="355"/>
      <c r="R89" s="356"/>
      <c r="S89" s="354"/>
      <c r="T89" s="355"/>
      <c r="U89" s="355"/>
      <c r="V89" s="355"/>
      <c r="W89" s="355"/>
      <c r="X89" s="354"/>
      <c r="Y89" s="355"/>
      <c r="Z89" s="355"/>
      <c r="AA89" s="355"/>
      <c r="AB89" s="355"/>
      <c r="AC89" s="355"/>
      <c r="AD89" s="356"/>
      <c r="AE89" s="354"/>
      <c r="AF89" s="355"/>
      <c r="AG89" s="355"/>
      <c r="AH89" s="355"/>
      <c r="AI89" s="355"/>
      <c r="AJ89" s="395">
        <v>8</v>
      </c>
      <c r="AK89" s="358">
        <v>8</v>
      </c>
      <c r="AL89" s="358">
        <v>8</v>
      </c>
      <c r="AM89" s="358">
        <v>8</v>
      </c>
      <c r="AN89" s="358">
        <v>8</v>
      </c>
      <c r="AO89" s="358">
        <v>10</v>
      </c>
      <c r="AP89" s="359">
        <v>20</v>
      </c>
      <c r="AQ89" s="357">
        <v>20</v>
      </c>
      <c r="AR89" s="357">
        <v>10</v>
      </c>
      <c r="AS89" s="357"/>
      <c r="AT89" s="357"/>
      <c r="AU89" s="357"/>
      <c r="AV89" s="357"/>
      <c r="AW89" s="377"/>
      <c r="AX89" s="85"/>
      <c r="AY89" s="5"/>
      <c r="AZ89" s="331"/>
      <c r="BE89" s="2"/>
      <c r="BF89" s="2"/>
      <c r="BG89" s="2"/>
      <c r="BH89" s="2"/>
      <c r="BI89" s="2"/>
      <c r="BJ89" s="2"/>
      <c r="BK89" s="2"/>
      <c r="BL89" s="2">
        <v>1</v>
      </c>
      <c r="BM89" s="54"/>
      <c r="BN89" s="11">
        <f t="shared" ref="BN89:CX89" si="166">M89*$K89/100</f>
        <v>0</v>
      </c>
      <c r="BO89" s="11">
        <f t="shared" si="166"/>
        <v>0</v>
      </c>
      <c r="BP89" s="11">
        <f t="shared" si="166"/>
        <v>0</v>
      </c>
      <c r="BQ89" s="11">
        <f t="shared" si="166"/>
        <v>0</v>
      </c>
      <c r="BR89" s="11">
        <f t="shared" si="166"/>
        <v>0</v>
      </c>
      <c r="BS89" s="236">
        <f t="shared" si="166"/>
        <v>0</v>
      </c>
      <c r="BT89" s="11">
        <f t="shared" si="166"/>
        <v>0</v>
      </c>
      <c r="BU89" s="11">
        <f t="shared" si="166"/>
        <v>0</v>
      </c>
      <c r="BV89" s="11">
        <f t="shared" si="166"/>
        <v>0</v>
      </c>
      <c r="BW89" s="11">
        <f t="shared" si="166"/>
        <v>0</v>
      </c>
      <c r="BX89" s="11">
        <f t="shared" si="166"/>
        <v>0</v>
      </c>
      <c r="BY89" s="11">
        <f t="shared" si="166"/>
        <v>0</v>
      </c>
      <c r="BZ89" s="11">
        <f t="shared" si="166"/>
        <v>0</v>
      </c>
      <c r="CA89" s="11">
        <f t="shared" si="166"/>
        <v>0</v>
      </c>
      <c r="CB89" s="11">
        <f t="shared" si="166"/>
        <v>0</v>
      </c>
      <c r="CC89" s="11">
        <f t="shared" si="166"/>
        <v>0</v>
      </c>
      <c r="CD89" s="11">
        <f t="shared" si="166"/>
        <v>0</v>
      </c>
      <c r="CE89" s="236">
        <f t="shared" si="166"/>
        <v>0</v>
      </c>
      <c r="CF89" s="11">
        <f t="shared" si="166"/>
        <v>0</v>
      </c>
      <c r="CG89" s="11">
        <f t="shared" si="166"/>
        <v>0</v>
      </c>
      <c r="CH89" s="11">
        <f t="shared" si="166"/>
        <v>0</v>
      </c>
      <c r="CI89" s="11">
        <f t="shared" si="166"/>
        <v>0</v>
      </c>
      <c r="CJ89" s="11">
        <f t="shared" si="166"/>
        <v>0</v>
      </c>
      <c r="CK89" s="11">
        <f t="shared" si="166"/>
        <v>0.83083616829275753</v>
      </c>
      <c r="CL89" s="11">
        <f t="shared" si="166"/>
        <v>0.83083616829275753</v>
      </c>
      <c r="CM89" s="11">
        <f t="shared" si="166"/>
        <v>0.83083616829275753</v>
      </c>
      <c r="CN89" s="11">
        <f t="shared" si="166"/>
        <v>0.83083616829275753</v>
      </c>
      <c r="CO89" s="11">
        <f t="shared" si="166"/>
        <v>0.83083616829275753</v>
      </c>
      <c r="CP89" s="11">
        <f t="shared" si="166"/>
        <v>1.0385452103659469</v>
      </c>
      <c r="CQ89" s="11">
        <f t="shared" si="166"/>
        <v>2.0770904207318939</v>
      </c>
      <c r="CR89" s="11">
        <f t="shared" si="166"/>
        <v>2.0770904207318939</v>
      </c>
      <c r="CS89" s="11">
        <f t="shared" si="166"/>
        <v>1.0385452103659469</v>
      </c>
      <c r="CT89" s="11">
        <f t="shared" si="166"/>
        <v>0</v>
      </c>
      <c r="CU89" s="11">
        <f t="shared" si="166"/>
        <v>0</v>
      </c>
      <c r="CV89" s="11">
        <f t="shared" si="166"/>
        <v>0</v>
      </c>
      <c r="CW89" s="11">
        <f t="shared" si="166"/>
        <v>0</v>
      </c>
      <c r="CX89" s="11">
        <f t="shared" si="166"/>
        <v>0</v>
      </c>
      <c r="CY89" s="50"/>
      <c r="CZ89" s="2"/>
      <c r="DA89" s="2"/>
      <c r="DB89" s="58">
        <f t="shared" ref="DB89:DB112" si="167">SUM(BN89:CY89)</f>
        <v>10.385452103659468</v>
      </c>
      <c r="DC89" s="41">
        <f t="shared" si="148"/>
        <v>10.385452103659469</v>
      </c>
      <c r="DD89" s="2"/>
      <c r="DE89" s="2"/>
      <c r="DF89" s="2"/>
      <c r="DG89" s="2"/>
      <c r="DH89" s="2"/>
      <c r="DI89" s="2"/>
      <c r="DJ89" s="2"/>
      <c r="DK89" s="2"/>
    </row>
    <row r="90" spans="1:115" ht="8.4" customHeight="1" x14ac:dyDescent="0.25">
      <c r="A90" s="605"/>
      <c r="B90" s="607"/>
      <c r="C90" s="609"/>
      <c r="D90" s="611"/>
      <c r="E90" s="560"/>
      <c r="F90" s="558"/>
      <c r="G90" s="560"/>
      <c r="H90" s="558"/>
      <c r="I90" s="613"/>
      <c r="J90" s="594"/>
      <c r="K90" s="596"/>
      <c r="L90" s="101"/>
      <c r="M90" s="360"/>
      <c r="N90" s="361"/>
      <c r="O90" s="361"/>
      <c r="P90" s="361"/>
      <c r="Q90" s="361"/>
      <c r="R90" s="362"/>
      <c r="S90" s="360"/>
      <c r="T90" s="361"/>
      <c r="U90" s="361"/>
      <c r="V90" s="361"/>
      <c r="W90" s="361"/>
      <c r="X90" s="360"/>
      <c r="Y90" s="361"/>
      <c r="Z90" s="361"/>
      <c r="AA90" s="456">
        <v>21.559000000000001</v>
      </c>
      <c r="AB90" s="361"/>
      <c r="AC90" s="361"/>
      <c r="AD90" s="362"/>
      <c r="AE90" s="360"/>
      <c r="AF90" s="361"/>
      <c r="AG90" s="361"/>
      <c r="AH90" s="361"/>
      <c r="AI90" s="361"/>
      <c r="AJ90" s="363"/>
      <c r="AK90" s="365"/>
      <c r="AL90" s="363"/>
      <c r="AM90" s="363"/>
      <c r="AN90" s="365"/>
      <c r="AO90" s="365"/>
      <c r="AP90" s="364"/>
      <c r="AQ90" s="365"/>
      <c r="AR90" s="365"/>
      <c r="AS90" s="365"/>
      <c r="AT90" s="365"/>
      <c r="AU90" s="365"/>
      <c r="AV90" s="365"/>
      <c r="AW90" s="378"/>
      <c r="AX90" s="85"/>
      <c r="AY90" s="5"/>
      <c r="AZ90" s="331"/>
      <c r="BE90" s="2"/>
      <c r="BF90" s="2"/>
      <c r="BG90" s="2"/>
      <c r="BH90" s="2"/>
      <c r="BI90" s="2"/>
      <c r="BJ90" s="2"/>
      <c r="BK90" s="2"/>
      <c r="BL90" s="2">
        <v>0</v>
      </c>
      <c r="BM90" s="53"/>
      <c r="BN90" s="11">
        <f t="shared" ref="BN90:CX90" si="168">M90*$K89/100</f>
        <v>0</v>
      </c>
      <c r="BO90" s="11">
        <f t="shared" si="168"/>
        <v>0</v>
      </c>
      <c r="BP90" s="11">
        <f t="shared" si="168"/>
        <v>0</v>
      </c>
      <c r="BQ90" s="11">
        <f t="shared" si="168"/>
        <v>0</v>
      </c>
      <c r="BR90" s="11">
        <f t="shared" si="168"/>
        <v>0</v>
      </c>
      <c r="BS90" s="236">
        <f t="shared" si="168"/>
        <v>0</v>
      </c>
      <c r="BT90" s="11">
        <f t="shared" si="168"/>
        <v>0</v>
      </c>
      <c r="BU90" s="11">
        <f t="shared" si="168"/>
        <v>0</v>
      </c>
      <c r="BV90" s="11">
        <f t="shared" si="168"/>
        <v>0</v>
      </c>
      <c r="BW90" s="11">
        <f t="shared" si="168"/>
        <v>0</v>
      </c>
      <c r="BX90" s="11">
        <f t="shared" si="168"/>
        <v>0</v>
      </c>
      <c r="BY90" s="11">
        <f t="shared" si="168"/>
        <v>0</v>
      </c>
      <c r="BZ90" s="11">
        <f t="shared" si="168"/>
        <v>0</v>
      </c>
      <c r="CA90" s="11">
        <f t="shared" si="168"/>
        <v>0</v>
      </c>
      <c r="CB90" s="11">
        <f t="shared" si="168"/>
        <v>2.2389996190279451</v>
      </c>
      <c r="CC90" s="11">
        <f t="shared" si="168"/>
        <v>0</v>
      </c>
      <c r="CD90" s="11">
        <f t="shared" si="168"/>
        <v>0</v>
      </c>
      <c r="CE90" s="236">
        <f t="shared" si="168"/>
        <v>0</v>
      </c>
      <c r="CF90" s="11">
        <f t="shared" si="168"/>
        <v>0</v>
      </c>
      <c r="CG90" s="11">
        <f t="shared" si="168"/>
        <v>0</v>
      </c>
      <c r="CH90" s="11">
        <f t="shared" si="168"/>
        <v>0</v>
      </c>
      <c r="CI90" s="11">
        <f t="shared" si="168"/>
        <v>0</v>
      </c>
      <c r="CJ90" s="11">
        <f t="shared" si="168"/>
        <v>0</v>
      </c>
      <c r="CK90" s="11">
        <f t="shared" si="168"/>
        <v>0</v>
      </c>
      <c r="CL90" s="11">
        <f t="shared" si="168"/>
        <v>0</v>
      </c>
      <c r="CM90" s="11">
        <f t="shared" si="168"/>
        <v>0</v>
      </c>
      <c r="CN90" s="11">
        <f t="shared" si="168"/>
        <v>0</v>
      </c>
      <c r="CO90" s="11">
        <f t="shared" si="168"/>
        <v>0</v>
      </c>
      <c r="CP90" s="11">
        <f t="shared" si="168"/>
        <v>0</v>
      </c>
      <c r="CQ90" s="11">
        <f t="shared" si="168"/>
        <v>0</v>
      </c>
      <c r="CR90" s="11">
        <f t="shared" si="168"/>
        <v>0</v>
      </c>
      <c r="CS90" s="11">
        <f t="shared" si="168"/>
        <v>0</v>
      </c>
      <c r="CT90" s="11">
        <f t="shared" si="168"/>
        <v>0</v>
      </c>
      <c r="CU90" s="11">
        <f t="shared" si="168"/>
        <v>0</v>
      </c>
      <c r="CV90" s="11">
        <f t="shared" si="168"/>
        <v>0</v>
      </c>
      <c r="CW90" s="11">
        <f t="shared" si="168"/>
        <v>0</v>
      </c>
      <c r="CX90" s="11">
        <f t="shared" si="168"/>
        <v>0</v>
      </c>
      <c r="CY90" s="50"/>
      <c r="CZ90" s="2"/>
      <c r="DA90" s="2"/>
      <c r="DB90" s="58">
        <f t="shared" si="167"/>
        <v>2.2389996190279451</v>
      </c>
      <c r="DC90" s="41">
        <f t="shared" si="148"/>
        <v>0</v>
      </c>
      <c r="DD90" s="2"/>
      <c r="DE90" s="2"/>
      <c r="DF90" s="2"/>
      <c r="DG90" s="2"/>
      <c r="DH90" s="2"/>
      <c r="DI90" s="2"/>
      <c r="DJ90" s="2"/>
      <c r="DK90" s="2"/>
    </row>
    <row r="91" spans="1:115" ht="8.4" customHeight="1" x14ac:dyDescent="0.25">
      <c r="A91" s="604">
        <v>3.4</v>
      </c>
      <c r="B91" s="606" t="s">
        <v>109</v>
      </c>
      <c r="C91" s="608" t="s">
        <v>6</v>
      </c>
      <c r="D91" s="610">
        <v>1</v>
      </c>
      <c r="E91" s="559">
        <f t="shared" si="158"/>
        <v>0</v>
      </c>
      <c r="F91" s="557">
        <f t="shared" ref="F91" si="169">K91*SUM(M91:AG91)/100</f>
        <v>0</v>
      </c>
      <c r="G91" s="559">
        <f>D91*H91/100</f>
        <v>0</v>
      </c>
      <c r="H91" s="557">
        <f>SUM(L92:AJ92)</f>
        <v>0</v>
      </c>
      <c r="I91" s="612">
        <f>'BOQ แก้ไขสัญญา'!AF58</f>
        <v>2252864</v>
      </c>
      <c r="J91" s="593">
        <f t="shared" si="137"/>
        <v>2252864</v>
      </c>
      <c r="K91" s="595">
        <f>J91*100/GTotal</f>
        <v>0.94461614346315748</v>
      </c>
      <c r="L91" s="101"/>
      <c r="M91" s="354"/>
      <c r="N91" s="355"/>
      <c r="O91" s="355"/>
      <c r="P91" s="355"/>
      <c r="Q91" s="355"/>
      <c r="R91" s="356"/>
      <c r="S91" s="354"/>
      <c r="T91" s="355"/>
      <c r="U91" s="355"/>
      <c r="V91" s="355"/>
      <c r="W91" s="355"/>
      <c r="X91" s="354"/>
      <c r="Y91" s="355"/>
      <c r="Z91" s="355"/>
      <c r="AA91" s="355"/>
      <c r="AB91" s="355"/>
      <c r="AC91" s="355"/>
      <c r="AD91" s="356"/>
      <c r="AE91" s="354"/>
      <c r="AF91" s="355"/>
      <c r="AG91" s="355"/>
      <c r="AH91" s="355"/>
      <c r="AI91" s="355"/>
      <c r="AJ91" s="358"/>
      <c r="AK91" s="357"/>
      <c r="AL91" s="358"/>
      <c r="AM91" s="358"/>
      <c r="AN91" s="357">
        <v>0</v>
      </c>
      <c r="AO91" s="358">
        <v>0</v>
      </c>
      <c r="AP91" s="359">
        <v>10</v>
      </c>
      <c r="AQ91" s="357">
        <v>10</v>
      </c>
      <c r="AR91" s="358">
        <v>10</v>
      </c>
      <c r="AS91" s="357">
        <v>10</v>
      </c>
      <c r="AT91" s="357">
        <v>15</v>
      </c>
      <c r="AU91" s="357">
        <v>15</v>
      </c>
      <c r="AV91" s="357">
        <v>15</v>
      </c>
      <c r="AW91" s="377">
        <v>15</v>
      </c>
      <c r="AX91" s="85"/>
      <c r="AY91" s="5"/>
      <c r="AZ91" s="331"/>
      <c r="BE91" s="2"/>
      <c r="BF91" s="2"/>
      <c r="BG91" s="2"/>
      <c r="BH91" s="2"/>
      <c r="BI91" s="2"/>
      <c r="BJ91" s="2"/>
      <c r="BK91" s="2"/>
      <c r="BL91" s="2">
        <v>1</v>
      </c>
      <c r="BM91" s="54"/>
      <c r="BN91" s="11">
        <f t="shared" ref="BN91:CX91" si="170">M91*$K91/100</f>
        <v>0</v>
      </c>
      <c r="BO91" s="11">
        <f t="shared" si="170"/>
        <v>0</v>
      </c>
      <c r="BP91" s="11">
        <f t="shared" si="170"/>
        <v>0</v>
      </c>
      <c r="BQ91" s="11">
        <f t="shared" si="170"/>
        <v>0</v>
      </c>
      <c r="BR91" s="11">
        <f t="shared" si="170"/>
        <v>0</v>
      </c>
      <c r="BS91" s="236">
        <f t="shared" si="170"/>
        <v>0</v>
      </c>
      <c r="BT91" s="11">
        <f t="shared" si="170"/>
        <v>0</v>
      </c>
      <c r="BU91" s="11">
        <f t="shared" si="170"/>
        <v>0</v>
      </c>
      <c r="BV91" s="11">
        <f t="shared" si="170"/>
        <v>0</v>
      </c>
      <c r="BW91" s="11">
        <f t="shared" si="170"/>
        <v>0</v>
      </c>
      <c r="BX91" s="11">
        <f t="shared" si="170"/>
        <v>0</v>
      </c>
      <c r="BY91" s="11">
        <f t="shared" si="170"/>
        <v>0</v>
      </c>
      <c r="BZ91" s="11">
        <f t="shared" si="170"/>
        <v>0</v>
      </c>
      <c r="CA91" s="11">
        <f t="shared" si="170"/>
        <v>0</v>
      </c>
      <c r="CB91" s="11">
        <f t="shared" si="170"/>
        <v>0</v>
      </c>
      <c r="CC91" s="11">
        <f t="shared" si="170"/>
        <v>0</v>
      </c>
      <c r="CD91" s="11">
        <f t="shared" si="170"/>
        <v>0</v>
      </c>
      <c r="CE91" s="236">
        <f t="shared" si="170"/>
        <v>0</v>
      </c>
      <c r="CF91" s="11">
        <f t="shared" si="170"/>
        <v>0</v>
      </c>
      <c r="CG91" s="11">
        <f t="shared" si="170"/>
        <v>0</v>
      </c>
      <c r="CH91" s="11">
        <f t="shared" si="170"/>
        <v>0</v>
      </c>
      <c r="CI91" s="11">
        <f t="shared" si="170"/>
        <v>0</v>
      </c>
      <c r="CJ91" s="11">
        <f t="shared" si="170"/>
        <v>0</v>
      </c>
      <c r="CK91" s="11">
        <f t="shared" si="170"/>
        <v>0</v>
      </c>
      <c r="CL91" s="11">
        <f t="shared" si="170"/>
        <v>0</v>
      </c>
      <c r="CM91" s="11">
        <f t="shared" si="170"/>
        <v>0</v>
      </c>
      <c r="CN91" s="11">
        <f t="shared" si="170"/>
        <v>0</v>
      </c>
      <c r="CO91" s="11">
        <f t="shared" si="170"/>
        <v>0</v>
      </c>
      <c r="CP91" s="11">
        <f t="shared" si="170"/>
        <v>0</v>
      </c>
      <c r="CQ91" s="11">
        <f t="shared" si="170"/>
        <v>9.4461614346315753E-2</v>
      </c>
      <c r="CR91" s="11">
        <f t="shared" si="170"/>
        <v>9.4461614346315753E-2</v>
      </c>
      <c r="CS91" s="11">
        <f t="shared" si="170"/>
        <v>9.4461614346315753E-2</v>
      </c>
      <c r="CT91" s="11">
        <f t="shared" si="170"/>
        <v>9.4461614346315753E-2</v>
      </c>
      <c r="CU91" s="11">
        <f t="shared" si="170"/>
        <v>0.14169242151947362</v>
      </c>
      <c r="CV91" s="11">
        <f t="shared" si="170"/>
        <v>0.14169242151947362</v>
      </c>
      <c r="CW91" s="11">
        <f t="shared" si="170"/>
        <v>0.14169242151947362</v>
      </c>
      <c r="CX91" s="11">
        <f t="shared" si="170"/>
        <v>0.14169242151947362</v>
      </c>
      <c r="CY91" s="50"/>
      <c r="CZ91" s="2"/>
      <c r="DA91" s="2"/>
      <c r="DB91" s="58">
        <f t="shared" si="167"/>
        <v>0.94461614346315737</v>
      </c>
      <c r="DC91" s="41">
        <f t="shared" si="148"/>
        <v>0.94461614346315748</v>
      </c>
      <c r="DD91" s="2"/>
      <c r="DE91" s="2"/>
      <c r="DF91" s="2"/>
      <c r="DG91" s="2"/>
      <c r="DH91" s="2"/>
      <c r="DI91" s="2"/>
      <c r="DJ91" s="2"/>
      <c r="DK91" s="2"/>
    </row>
    <row r="92" spans="1:115" ht="8.4" customHeight="1" x14ac:dyDescent="0.25">
      <c r="A92" s="605"/>
      <c r="B92" s="607"/>
      <c r="C92" s="609"/>
      <c r="D92" s="611"/>
      <c r="E92" s="560"/>
      <c r="F92" s="558"/>
      <c r="G92" s="560"/>
      <c r="H92" s="558"/>
      <c r="I92" s="613"/>
      <c r="J92" s="594"/>
      <c r="K92" s="596"/>
      <c r="L92" s="101"/>
      <c r="M92" s="360"/>
      <c r="N92" s="361"/>
      <c r="O92" s="361"/>
      <c r="P92" s="361"/>
      <c r="Q92" s="361"/>
      <c r="R92" s="362"/>
      <c r="S92" s="360"/>
      <c r="T92" s="361"/>
      <c r="U92" s="361"/>
      <c r="V92" s="361"/>
      <c r="W92" s="361"/>
      <c r="X92" s="360"/>
      <c r="Y92" s="361"/>
      <c r="Z92" s="361"/>
      <c r="AA92" s="361"/>
      <c r="AB92" s="361"/>
      <c r="AC92" s="361"/>
      <c r="AD92" s="362"/>
      <c r="AE92" s="360"/>
      <c r="AF92" s="361"/>
      <c r="AG92" s="361"/>
      <c r="AH92" s="361"/>
      <c r="AI92" s="361"/>
      <c r="AJ92" s="363"/>
      <c r="AK92" s="365"/>
      <c r="AL92" s="363"/>
      <c r="AM92" s="363"/>
      <c r="AN92" s="365"/>
      <c r="AO92" s="363"/>
      <c r="AP92" s="364"/>
      <c r="AQ92" s="365"/>
      <c r="AR92" s="363"/>
      <c r="AS92" s="365"/>
      <c r="AT92" s="365"/>
      <c r="AU92" s="365"/>
      <c r="AV92" s="365"/>
      <c r="AW92" s="378"/>
      <c r="AX92" s="85"/>
      <c r="AY92" s="5"/>
      <c r="AZ92" s="331">
        <v>20</v>
      </c>
      <c r="BE92" s="2"/>
      <c r="BF92" s="2"/>
      <c r="BG92" s="2"/>
      <c r="BH92" s="2"/>
      <c r="BI92" s="2"/>
      <c r="BJ92" s="2"/>
      <c r="BK92" s="2"/>
      <c r="BL92" s="2">
        <v>0</v>
      </c>
      <c r="BM92" s="53"/>
      <c r="BN92" s="11">
        <f t="shared" ref="BN92:CX92" si="171">M92*$K91/100</f>
        <v>0</v>
      </c>
      <c r="BO92" s="11">
        <f t="shared" si="171"/>
        <v>0</v>
      </c>
      <c r="BP92" s="11">
        <f t="shared" si="171"/>
        <v>0</v>
      </c>
      <c r="BQ92" s="11">
        <f t="shared" si="171"/>
        <v>0</v>
      </c>
      <c r="BR92" s="11">
        <f t="shared" si="171"/>
        <v>0</v>
      </c>
      <c r="BS92" s="236">
        <f t="shared" si="171"/>
        <v>0</v>
      </c>
      <c r="BT92" s="11">
        <f t="shared" si="171"/>
        <v>0</v>
      </c>
      <c r="BU92" s="11">
        <f t="shared" si="171"/>
        <v>0</v>
      </c>
      <c r="BV92" s="11">
        <f t="shared" si="171"/>
        <v>0</v>
      </c>
      <c r="BW92" s="11">
        <f t="shared" si="171"/>
        <v>0</v>
      </c>
      <c r="BX92" s="11">
        <f t="shared" si="171"/>
        <v>0</v>
      </c>
      <c r="BY92" s="11">
        <f t="shared" si="171"/>
        <v>0</v>
      </c>
      <c r="BZ92" s="11">
        <f t="shared" si="171"/>
        <v>0</v>
      </c>
      <c r="CA92" s="11">
        <f t="shared" si="171"/>
        <v>0</v>
      </c>
      <c r="CB92" s="11">
        <f t="shared" si="171"/>
        <v>0</v>
      </c>
      <c r="CC92" s="11">
        <f t="shared" si="171"/>
        <v>0</v>
      </c>
      <c r="CD92" s="11">
        <f t="shared" si="171"/>
        <v>0</v>
      </c>
      <c r="CE92" s="236">
        <f t="shared" si="171"/>
        <v>0</v>
      </c>
      <c r="CF92" s="11">
        <f t="shared" si="171"/>
        <v>0</v>
      </c>
      <c r="CG92" s="11">
        <f t="shared" si="171"/>
        <v>0</v>
      </c>
      <c r="CH92" s="11">
        <f t="shared" si="171"/>
        <v>0</v>
      </c>
      <c r="CI92" s="11">
        <f t="shared" si="171"/>
        <v>0</v>
      </c>
      <c r="CJ92" s="11">
        <f t="shared" si="171"/>
        <v>0</v>
      </c>
      <c r="CK92" s="11">
        <f t="shared" si="171"/>
        <v>0</v>
      </c>
      <c r="CL92" s="11">
        <f t="shared" si="171"/>
        <v>0</v>
      </c>
      <c r="CM92" s="11">
        <f t="shared" si="171"/>
        <v>0</v>
      </c>
      <c r="CN92" s="11">
        <f t="shared" si="171"/>
        <v>0</v>
      </c>
      <c r="CO92" s="11">
        <f t="shared" si="171"/>
        <v>0</v>
      </c>
      <c r="CP92" s="11">
        <f t="shared" si="171"/>
        <v>0</v>
      </c>
      <c r="CQ92" s="11">
        <f t="shared" si="171"/>
        <v>0</v>
      </c>
      <c r="CR92" s="11">
        <f t="shared" si="171"/>
        <v>0</v>
      </c>
      <c r="CS92" s="11">
        <f t="shared" si="171"/>
        <v>0</v>
      </c>
      <c r="CT92" s="11">
        <f t="shared" si="171"/>
        <v>0</v>
      </c>
      <c r="CU92" s="11">
        <f t="shared" si="171"/>
        <v>0</v>
      </c>
      <c r="CV92" s="11">
        <f t="shared" si="171"/>
        <v>0</v>
      </c>
      <c r="CW92" s="11">
        <f t="shared" si="171"/>
        <v>0</v>
      </c>
      <c r="CX92" s="11">
        <f t="shared" si="171"/>
        <v>0</v>
      </c>
      <c r="CY92" s="50"/>
      <c r="CZ92" s="2"/>
      <c r="DA92" s="2"/>
      <c r="DB92" s="58">
        <f t="shared" si="167"/>
        <v>0</v>
      </c>
      <c r="DC92" s="41">
        <f t="shared" si="148"/>
        <v>0</v>
      </c>
      <c r="DD92" s="2"/>
      <c r="DE92" s="2"/>
      <c r="DF92" s="2"/>
      <c r="DG92" s="2"/>
      <c r="DH92" s="2"/>
      <c r="DI92" s="2"/>
      <c r="DJ92" s="2"/>
      <c r="DK92" s="2"/>
    </row>
    <row r="93" spans="1:115" ht="8.4" customHeight="1" x14ac:dyDescent="0.25">
      <c r="A93" s="604">
        <v>3.5</v>
      </c>
      <c r="B93" s="606" t="s">
        <v>110</v>
      </c>
      <c r="C93" s="608" t="s">
        <v>6</v>
      </c>
      <c r="D93" s="610">
        <v>1</v>
      </c>
      <c r="E93" s="559">
        <f t="shared" si="158"/>
        <v>0</v>
      </c>
      <c r="F93" s="557">
        <f t="shared" ref="F93" si="172">K93*SUM(M93:AG93)/100</f>
        <v>0</v>
      </c>
      <c r="G93" s="559">
        <f>D93*H93/100</f>
        <v>0</v>
      </c>
      <c r="H93" s="557">
        <f>SUM(L94:AJ94)</f>
        <v>0</v>
      </c>
      <c r="I93" s="612">
        <f>'BOQ แก้ไขสัญญา'!AF59</f>
        <v>1866144</v>
      </c>
      <c r="J93" s="593">
        <f t="shared" si="137"/>
        <v>1866144</v>
      </c>
      <c r="K93" s="595">
        <f>J93*100/GTotal</f>
        <v>0.78246611798444587</v>
      </c>
      <c r="L93" s="101"/>
      <c r="M93" s="354"/>
      <c r="N93" s="355"/>
      <c r="O93" s="355"/>
      <c r="P93" s="355"/>
      <c r="Q93" s="355"/>
      <c r="R93" s="356"/>
      <c r="S93" s="354"/>
      <c r="T93" s="355"/>
      <c r="U93" s="355"/>
      <c r="V93" s="355"/>
      <c r="W93" s="355"/>
      <c r="X93" s="354"/>
      <c r="Y93" s="355"/>
      <c r="Z93" s="355"/>
      <c r="AA93" s="355"/>
      <c r="AB93" s="355"/>
      <c r="AC93" s="355"/>
      <c r="AD93" s="356"/>
      <c r="AE93" s="354"/>
      <c r="AF93" s="355"/>
      <c r="AG93" s="355"/>
      <c r="AH93" s="355"/>
      <c r="AI93" s="355"/>
      <c r="AJ93" s="358"/>
      <c r="AK93" s="357"/>
      <c r="AL93" s="358"/>
      <c r="AM93" s="358"/>
      <c r="AN93" s="357">
        <v>5</v>
      </c>
      <c r="AO93" s="358">
        <v>5</v>
      </c>
      <c r="AP93" s="359">
        <v>5</v>
      </c>
      <c r="AQ93" s="357">
        <v>5</v>
      </c>
      <c r="AR93" s="358">
        <v>5</v>
      </c>
      <c r="AS93" s="357">
        <v>5</v>
      </c>
      <c r="AT93" s="357">
        <v>10</v>
      </c>
      <c r="AU93" s="357">
        <v>10</v>
      </c>
      <c r="AV93" s="357">
        <v>25</v>
      </c>
      <c r="AW93" s="377">
        <v>25</v>
      </c>
      <c r="AX93" s="85"/>
      <c r="AY93" s="5"/>
      <c r="AZ93" s="331"/>
      <c r="BE93" s="2"/>
      <c r="BF93" s="2"/>
      <c r="BG93" s="2"/>
      <c r="BH93" s="2"/>
      <c r="BI93" s="2"/>
      <c r="BJ93" s="2"/>
      <c r="BK93" s="2"/>
      <c r="BL93" s="2">
        <v>1</v>
      </c>
      <c r="BM93" s="54"/>
      <c r="BN93" s="11">
        <f t="shared" ref="BN93:CX93" si="173">M93*$K93/100</f>
        <v>0</v>
      </c>
      <c r="BO93" s="11">
        <f t="shared" si="173"/>
        <v>0</v>
      </c>
      <c r="BP93" s="11">
        <f t="shared" si="173"/>
        <v>0</v>
      </c>
      <c r="BQ93" s="11">
        <f t="shared" si="173"/>
        <v>0</v>
      </c>
      <c r="BR93" s="11">
        <f t="shared" si="173"/>
        <v>0</v>
      </c>
      <c r="BS93" s="236">
        <f t="shared" si="173"/>
        <v>0</v>
      </c>
      <c r="BT93" s="11">
        <f t="shared" si="173"/>
        <v>0</v>
      </c>
      <c r="BU93" s="11">
        <f t="shared" si="173"/>
        <v>0</v>
      </c>
      <c r="BV93" s="11">
        <f t="shared" si="173"/>
        <v>0</v>
      </c>
      <c r="BW93" s="11">
        <f t="shared" si="173"/>
        <v>0</v>
      </c>
      <c r="BX93" s="11">
        <f t="shared" si="173"/>
        <v>0</v>
      </c>
      <c r="BY93" s="11">
        <f t="shared" si="173"/>
        <v>0</v>
      </c>
      <c r="BZ93" s="11">
        <f t="shared" si="173"/>
        <v>0</v>
      </c>
      <c r="CA93" s="11">
        <f t="shared" si="173"/>
        <v>0</v>
      </c>
      <c r="CB93" s="11">
        <f t="shared" si="173"/>
        <v>0</v>
      </c>
      <c r="CC93" s="11">
        <f t="shared" si="173"/>
        <v>0</v>
      </c>
      <c r="CD93" s="11">
        <f t="shared" si="173"/>
        <v>0</v>
      </c>
      <c r="CE93" s="236">
        <f t="shared" si="173"/>
        <v>0</v>
      </c>
      <c r="CF93" s="11">
        <f t="shared" si="173"/>
        <v>0</v>
      </c>
      <c r="CG93" s="11">
        <f t="shared" si="173"/>
        <v>0</v>
      </c>
      <c r="CH93" s="11">
        <f t="shared" si="173"/>
        <v>0</v>
      </c>
      <c r="CI93" s="11">
        <f t="shared" si="173"/>
        <v>0</v>
      </c>
      <c r="CJ93" s="11">
        <f t="shared" si="173"/>
        <v>0</v>
      </c>
      <c r="CK93" s="11">
        <f t="shared" si="173"/>
        <v>0</v>
      </c>
      <c r="CL93" s="11">
        <f t="shared" si="173"/>
        <v>0</v>
      </c>
      <c r="CM93" s="11">
        <f t="shared" si="173"/>
        <v>0</v>
      </c>
      <c r="CN93" s="11">
        <f t="shared" si="173"/>
        <v>0</v>
      </c>
      <c r="CO93" s="11">
        <f t="shared" si="173"/>
        <v>3.9123305899222291E-2</v>
      </c>
      <c r="CP93" s="11">
        <f t="shared" si="173"/>
        <v>3.9123305899222291E-2</v>
      </c>
      <c r="CQ93" s="11">
        <f t="shared" si="173"/>
        <v>3.9123305899222291E-2</v>
      </c>
      <c r="CR93" s="11">
        <f t="shared" si="173"/>
        <v>3.9123305899222291E-2</v>
      </c>
      <c r="CS93" s="11">
        <f t="shared" si="173"/>
        <v>3.9123305899222291E-2</v>
      </c>
      <c r="CT93" s="11">
        <f t="shared" si="173"/>
        <v>3.9123305899222291E-2</v>
      </c>
      <c r="CU93" s="11">
        <f t="shared" si="173"/>
        <v>7.8246611798444582E-2</v>
      </c>
      <c r="CV93" s="11">
        <f t="shared" si="173"/>
        <v>7.8246611798444582E-2</v>
      </c>
      <c r="CW93" s="11">
        <f t="shared" si="173"/>
        <v>0.19561652949611147</v>
      </c>
      <c r="CX93" s="11">
        <f t="shared" si="173"/>
        <v>0.19561652949611147</v>
      </c>
      <c r="CY93" s="50"/>
      <c r="CZ93" s="2"/>
      <c r="DA93" s="2"/>
      <c r="DB93" s="58">
        <f t="shared" si="167"/>
        <v>0.78246611798444587</v>
      </c>
      <c r="DC93" s="41">
        <f t="shared" si="148"/>
        <v>0.78246611798444587</v>
      </c>
      <c r="DD93" s="2"/>
      <c r="DE93" s="2"/>
      <c r="DF93" s="2"/>
      <c r="DG93" s="2"/>
      <c r="DH93" s="2"/>
      <c r="DI93" s="2"/>
      <c r="DJ93" s="2"/>
      <c r="DK93" s="2"/>
    </row>
    <row r="94" spans="1:115" ht="8.4" customHeight="1" x14ac:dyDescent="0.25">
      <c r="A94" s="605"/>
      <c r="B94" s="607"/>
      <c r="C94" s="609"/>
      <c r="D94" s="611"/>
      <c r="E94" s="560"/>
      <c r="F94" s="558"/>
      <c r="G94" s="560"/>
      <c r="H94" s="558"/>
      <c r="I94" s="613"/>
      <c r="J94" s="594"/>
      <c r="K94" s="596"/>
      <c r="L94" s="101"/>
      <c r="M94" s="360"/>
      <c r="N94" s="361"/>
      <c r="O94" s="361"/>
      <c r="P94" s="361"/>
      <c r="Q94" s="361"/>
      <c r="R94" s="362"/>
      <c r="S94" s="360"/>
      <c r="T94" s="361"/>
      <c r="U94" s="361"/>
      <c r="V94" s="361"/>
      <c r="W94" s="361"/>
      <c r="X94" s="360"/>
      <c r="Y94" s="361"/>
      <c r="Z94" s="361"/>
      <c r="AA94" s="456"/>
      <c r="AB94" s="361"/>
      <c r="AC94" s="361"/>
      <c r="AD94" s="362"/>
      <c r="AE94" s="360"/>
      <c r="AF94" s="361"/>
      <c r="AG94" s="361"/>
      <c r="AH94" s="361"/>
      <c r="AI94" s="361"/>
      <c r="AJ94" s="361"/>
      <c r="AK94" s="360"/>
      <c r="AL94" s="361"/>
      <c r="AM94" s="361"/>
      <c r="AN94" s="360"/>
      <c r="AO94" s="361"/>
      <c r="AP94" s="362"/>
      <c r="AQ94" s="360"/>
      <c r="AR94" s="361"/>
      <c r="AS94" s="360"/>
      <c r="AT94" s="360"/>
      <c r="AU94" s="360"/>
      <c r="AV94" s="360"/>
      <c r="AW94" s="366"/>
      <c r="AX94" s="85"/>
      <c r="AY94" s="5"/>
      <c r="AZ94" s="331"/>
      <c r="BE94" s="2"/>
      <c r="BF94" s="2"/>
      <c r="BG94" s="2"/>
      <c r="BH94" s="2"/>
      <c r="BI94" s="2"/>
      <c r="BJ94" s="2"/>
      <c r="BK94" s="2"/>
      <c r="BL94" s="2">
        <v>0</v>
      </c>
      <c r="BM94" s="53"/>
      <c r="BN94" s="11">
        <f t="shared" ref="BN94:CX94" si="174">M94*$K93/100</f>
        <v>0</v>
      </c>
      <c r="BO94" s="11">
        <f t="shared" si="174"/>
        <v>0</v>
      </c>
      <c r="BP94" s="11">
        <f t="shared" si="174"/>
        <v>0</v>
      </c>
      <c r="BQ94" s="11">
        <f t="shared" si="174"/>
        <v>0</v>
      </c>
      <c r="BR94" s="11">
        <f t="shared" si="174"/>
        <v>0</v>
      </c>
      <c r="BS94" s="236">
        <f t="shared" si="174"/>
        <v>0</v>
      </c>
      <c r="BT94" s="11">
        <f t="shared" si="174"/>
        <v>0</v>
      </c>
      <c r="BU94" s="11">
        <f t="shared" si="174"/>
        <v>0</v>
      </c>
      <c r="BV94" s="11">
        <f t="shared" si="174"/>
        <v>0</v>
      </c>
      <c r="BW94" s="11">
        <f t="shared" si="174"/>
        <v>0</v>
      </c>
      <c r="BX94" s="11">
        <f t="shared" si="174"/>
        <v>0</v>
      </c>
      <c r="BY94" s="11">
        <f t="shared" si="174"/>
        <v>0</v>
      </c>
      <c r="BZ94" s="11">
        <f t="shared" si="174"/>
        <v>0</v>
      </c>
      <c r="CA94" s="11">
        <f t="shared" si="174"/>
        <v>0</v>
      </c>
      <c r="CB94" s="11">
        <f t="shared" si="174"/>
        <v>0</v>
      </c>
      <c r="CC94" s="11">
        <f t="shared" si="174"/>
        <v>0</v>
      </c>
      <c r="CD94" s="11">
        <f t="shared" si="174"/>
        <v>0</v>
      </c>
      <c r="CE94" s="236">
        <f t="shared" si="174"/>
        <v>0</v>
      </c>
      <c r="CF94" s="11">
        <f t="shared" si="174"/>
        <v>0</v>
      </c>
      <c r="CG94" s="11">
        <f t="shared" si="174"/>
        <v>0</v>
      </c>
      <c r="CH94" s="11">
        <f t="shared" si="174"/>
        <v>0</v>
      </c>
      <c r="CI94" s="11">
        <f t="shared" si="174"/>
        <v>0</v>
      </c>
      <c r="CJ94" s="11">
        <f t="shared" si="174"/>
        <v>0</v>
      </c>
      <c r="CK94" s="11">
        <f t="shared" si="174"/>
        <v>0</v>
      </c>
      <c r="CL94" s="11">
        <f t="shared" si="174"/>
        <v>0</v>
      </c>
      <c r="CM94" s="11">
        <f t="shared" si="174"/>
        <v>0</v>
      </c>
      <c r="CN94" s="11">
        <f t="shared" si="174"/>
        <v>0</v>
      </c>
      <c r="CO94" s="11">
        <f t="shared" si="174"/>
        <v>0</v>
      </c>
      <c r="CP94" s="11">
        <f t="shared" si="174"/>
        <v>0</v>
      </c>
      <c r="CQ94" s="11">
        <f t="shared" si="174"/>
        <v>0</v>
      </c>
      <c r="CR94" s="11">
        <f t="shared" si="174"/>
        <v>0</v>
      </c>
      <c r="CS94" s="11">
        <f t="shared" si="174"/>
        <v>0</v>
      </c>
      <c r="CT94" s="11">
        <f t="shared" si="174"/>
        <v>0</v>
      </c>
      <c r="CU94" s="11">
        <f t="shared" si="174"/>
        <v>0</v>
      </c>
      <c r="CV94" s="11">
        <f t="shared" si="174"/>
        <v>0</v>
      </c>
      <c r="CW94" s="11">
        <f t="shared" si="174"/>
        <v>0</v>
      </c>
      <c r="CX94" s="11">
        <f t="shared" si="174"/>
        <v>0</v>
      </c>
      <c r="CY94" s="50"/>
      <c r="CZ94" s="2"/>
      <c r="DA94" s="2"/>
      <c r="DB94" s="58">
        <f t="shared" si="167"/>
        <v>0</v>
      </c>
      <c r="DC94" s="41">
        <f t="shared" si="148"/>
        <v>0</v>
      </c>
      <c r="DD94" s="2"/>
      <c r="DE94" s="2"/>
      <c r="DF94" s="2"/>
      <c r="DG94" s="2"/>
      <c r="DH94" s="2"/>
      <c r="DI94" s="2"/>
      <c r="DJ94" s="2"/>
      <c r="DK94" s="2"/>
    </row>
    <row r="95" spans="1:115" ht="8.4" customHeight="1" x14ac:dyDescent="0.25">
      <c r="A95" s="604">
        <v>3.6</v>
      </c>
      <c r="B95" s="606" t="s">
        <v>111</v>
      </c>
      <c r="C95" s="608" t="s">
        <v>6</v>
      </c>
      <c r="D95" s="610">
        <v>1</v>
      </c>
      <c r="E95" s="559">
        <f t="shared" ref="E95:E103" si="175">F95*100/SUM(K95)</f>
        <v>90</v>
      </c>
      <c r="F95" s="557">
        <f t="shared" ref="F95" si="176">K95*SUM(M95:AG95)/100</f>
        <v>5.8145630974861238</v>
      </c>
      <c r="G95" s="559">
        <f>D95*H95/100</f>
        <v>0.77425999999999984</v>
      </c>
      <c r="H95" s="557">
        <f>SUM(L96:AJ96)</f>
        <v>77.425999999999988</v>
      </c>
      <c r="I95" s="612">
        <f>'BOQ แก้ไขสัญญา'!AF60</f>
        <v>15408281</v>
      </c>
      <c r="J95" s="593">
        <f t="shared" si="137"/>
        <v>15408281</v>
      </c>
      <c r="K95" s="595">
        <f>J95*100/GTotal</f>
        <v>6.4606256638734711</v>
      </c>
      <c r="L95" s="101"/>
      <c r="M95" s="354"/>
      <c r="N95" s="355"/>
      <c r="O95" s="355"/>
      <c r="P95" s="355"/>
      <c r="Q95" s="355"/>
      <c r="R95" s="356"/>
      <c r="S95" s="354"/>
      <c r="T95" s="355"/>
      <c r="U95" s="355"/>
      <c r="V95" s="355"/>
      <c r="W95" s="355"/>
      <c r="X95" s="354"/>
      <c r="Y95" s="355"/>
      <c r="Z95" s="354"/>
      <c r="AA95" s="357">
        <v>4</v>
      </c>
      <c r="AB95" s="358">
        <v>4</v>
      </c>
      <c r="AC95" s="357">
        <v>16</v>
      </c>
      <c r="AD95" s="357">
        <v>16</v>
      </c>
      <c r="AE95" s="359">
        <v>15</v>
      </c>
      <c r="AF95" s="357">
        <v>15</v>
      </c>
      <c r="AG95" s="358">
        <v>20</v>
      </c>
      <c r="AH95" s="358">
        <v>10</v>
      </c>
      <c r="AI95" s="358"/>
      <c r="AJ95" s="358"/>
      <c r="AK95" s="357"/>
      <c r="AL95" s="358"/>
      <c r="AM95" s="358"/>
      <c r="AN95" s="357"/>
      <c r="AO95" s="358"/>
      <c r="AP95" s="359"/>
      <c r="AQ95" s="357"/>
      <c r="AR95" s="358"/>
      <c r="AS95" s="357"/>
      <c r="AT95" s="357"/>
      <c r="AU95" s="357"/>
      <c r="AV95" s="357"/>
      <c r="AW95" s="367"/>
      <c r="AX95" s="85"/>
      <c r="AY95" s="5"/>
      <c r="AZ95" s="331"/>
      <c r="BE95" s="2"/>
      <c r="BF95" s="2"/>
      <c r="BG95" s="2"/>
      <c r="BH95" s="2"/>
      <c r="BI95" s="2"/>
      <c r="BJ95" s="2"/>
      <c r="BK95" s="2"/>
      <c r="BL95" s="2">
        <v>1</v>
      </c>
      <c r="BM95" s="54"/>
      <c r="BN95" s="11">
        <f t="shared" ref="BN95:CX95" si="177">M95*$K95/100</f>
        <v>0</v>
      </c>
      <c r="BO95" s="11">
        <f t="shared" si="177"/>
        <v>0</v>
      </c>
      <c r="BP95" s="11">
        <f t="shared" si="177"/>
        <v>0</v>
      </c>
      <c r="BQ95" s="11">
        <f t="shared" si="177"/>
        <v>0</v>
      </c>
      <c r="BR95" s="11">
        <f t="shared" si="177"/>
        <v>0</v>
      </c>
      <c r="BS95" s="236">
        <f t="shared" si="177"/>
        <v>0</v>
      </c>
      <c r="BT95" s="11">
        <f t="shared" si="177"/>
        <v>0</v>
      </c>
      <c r="BU95" s="11">
        <f t="shared" si="177"/>
        <v>0</v>
      </c>
      <c r="BV95" s="11">
        <f t="shared" si="177"/>
        <v>0</v>
      </c>
      <c r="BW95" s="11">
        <f t="shared" si="177"/>
        <v>0</v>
      </c>
      <c r="BX95" s="11">
        <f t="shared" si="177"/>
        <v>0</v>
      </c>
      <c r="BY95" s="11">
        <f t="shared" si="177"/>
        <v>0</v>
      </c>
      <c r="BZ95" s="11">
        <f t="shared" si="177"/>
        <v>0</v>
      </c>
      <c r="CA95" s="11">
        <f t="shared" si="177"/>
        <v>0</v>
      </c>
      <c r="CB95" s="11">
        <f t="shared" si="177"/>
        <v>0.25842502655493882</v>
      </c>
      <c r="CC95" s="11">
        <f t="shared" si="177"/>
        <v>0.25842502655493882</v>
      </c>
      <c r="CD95" s="11">
        <f t="shared" si="177"/>
        <v>1.0337001062197553</v>
      </c>
      <c r="CE95" s="236">
        <f t="shared" si="177"/>
        <v>1.0337001062197553</v>
      </c>
      <c r="CF95" s="11">
        <f t="shared" si="177"/>
        <v>0.96909384958102063</v>
      </c>
      <c r="CG95" s="11">
        <f t="shared" si="177"/>
        <v>0.96909384958102063</v>
      </c>
      <c r="CH95" s="11">
        <f t="shared" si="177"/>
        <v>1.2921251327746941</v>
      </c>
      <c r="CI95" s="11">
        <f t="shared" si="177"/>
        <v>0.64606256638734705</v>
      </c>
      <c r="CJ95" s="11">
        <f t="shared" si="177"/>
        <v>0</v>
      </c>
      <c r="CK95" s="11">
        <f t="shared" si="177"/>
        <v>0</v>
      </c>
      <c r="CL95" s="11">
        <f t="shared" si="177"/>
        <v>0</v>
      </c>
      <c r="CM95" s="11">
        <f t="shared" si="177"/>
        <v>0</v>
      </c>
      <c r="CN95" s="11">
        <f t="shared" si="177"/>
        <v>0</v>
      </c>
      <c r="CO95" s="11">
        <f t="shared" si="177"/>
        <v>0</v>
      </c>
      <c r="CP95" s="11">
        <f t="shared" si="177"/>
        <v>0</v>
      </c>
      <c r="CQ95" s="11">
        <f t="shared" si="177"/>
        <v>0</v>
      </c>
      <c r="CR95" s="11">
        <f t="shared" si="177"/>
        <v>0</v>
      </c>
      <c r="CS95" s="11">
        <f t="shared" si="177"/>
        <v>0</v>
      </c>
      <c r="CT95" s="11">
        <f t="shared" si="177"/>
        <v>0</v>
      </c>
      <c r="CU95" s="11">
        <f t="shared" si="177"/>
        <v>0</v>
      </c>
      <c r="CV95" s="11">
        <f t="shared" si="177"/>
        <v>0</v>
      </c>
      <c r="CW95" s="11">
        <f t="shared" si="177"/>
        <v>0</v>
      </c>
      <c r="CX95" s="11">
        <f t="shared" si="177"/>
        <v>0</v>
      </c>
      <c r="CY95" s="50"/>
      <c r="CZ95" s="2"/>
      <c r="DA95" s="2"/>
      <c r="DB95" s="58">
        <f t="shared" si="167"/>
        <v>6.4606256638734703</v>
      </c>
      <c r="DC95" s="41">
        <f t="shared" si="148"/>
        <v>6.4606256638734711</v>
      </c>
      <c r="DD95" s="2"/>
      <c r="DE95" s="2"/>
      <c r="DF95" s="2"/>
      <c r="DG95" s="2"/>
      <c r="DH95" s="2"/>
      <c r="DI95" s="2"/>
      <c r="DJ95" s="2"/>
      <c r="DK95" s="2"/>
    </row>
    <row r="96" spans="1:115" ht="8.4" customHeight="1" x14ac:dyDescent="0.25">
      <c r="A96" s="605"/>
      <c r="B96" s="607"/>
      <c r="C96" s="609"/>
      <c r="D96" s="611"/>
      <c r="E96" s="560"/>
      <c r="F96" s="558"/>
      <c r="G96" s="560"/>
      <c r="H96" s="558"/>
      <c r="I96" s="613"/>
      <c r="J96" s="594"/>
      <c r="K96" s="596"/>
      <c r="L96" s="101"/>
      <c r="M96" s="360"/>
      <c r="N96" s="361"/>
      <c r="O96" s="361"/>
      <c r="P96" s="361"/>
      <c r="Q96" s="361"/>
      <c r="R96" s="362"/>
      <c r="S96" s="360"/>
      <c r="T96" s="361"/>
      <c r="U96" s="361"/>
      <c r="V96" s="361"/>
      <c r="W96" s="361"/>
      <c r="X96" s="360"/>
      <c r="Y96" s="361"/>
      <c r="Z96" s="361"/>
      <c r="AA96" s="456">
        <v>22.065999999999999</v>
      </c>
      <c r="AB96" s="456">
        <v>22.065999999999999</v>
      </c>
      <c r="AC96" s="363"/>
      <c r="AD96" s="364"/>
      <c r="AE96" s="365"/>
      <c r="AF96" s="363"/>
      <c r="AG96" s="363">
        <f>77.426-AA96-AB96</f>
        <v>33.293999999999997</v>
      </c>
      <c r="AH96" s="363"/>
      <c r="AI96" s="363"/>
      <c r="AJ96" s="363"/>
      <c r="AK96" s="365"/>
      <c r="AL96" s="363"/>
      <c r="AM96" s="363"/>
      <c r="AN96" s="365"/>
      <c r="AO96" s="365"/>
      <c r="AP96" s="364"/>
      <c r="AQ96" s="365"/>
      <c r="AR96" s="365"/>
      <c r="AS96" s="365"/>
      <c r="AT96" s="365"/>
      <c r="AU96" s="365"/>
      <c r="AV96" s="365"/>
      <c r="AW96" s="366"/>
      <c r="AX96" s="85"/>
      <c r="AY96" s="5"/>
      <c r="AZ96" s="331"/>
      <c r="BE96" s="2"/>
      <c r="BF96" s="2"/>
      <c r="BG96" s="2"/>
      <c r="BH96" s="2"/>
      <c r="BI96" s="2"/>
      <c r="BJ96" s="2"/>
      <c r="BK96" s="2"/>
      <c r="BL96" s="2">
        <v>0</v>
      </c>
      <c r="BM96" s="53"/>
      <c r="BN96" s="11">
        <f t="shared" ref="BN96:CX96" si="178">M96*$K95/100</f>
        <v>0</v>
      </c>
      <c r="BO96" s="11">
        <f t="shared" si="178"/>
        <v>0</v>
      </c>
      <c r="BP96" s="11">
        <f t="shared" si="178"/>
        <v>0</v>
      </c>
      <c r="BQ96" s="11">
        <f t="shared" si="178"/>
        <v>0</v>
      </c>
      <c r="BR96" s="11">
        <f t="shared" si="178"/>
        <v>0</v>
      </c>
      <c r="BS96" s="236">
        <f t="shared" si="178"/>
        <v>0</v>
      </c>
      <c r="BT96" s="11">
        <f t="shared" si="178"/>
        <v>0</v>
      </c>
      <c r="BU96" s="11">
        <f t="shared" si="178"/>
        <v>0</v>
      </c>
      <c r="BV96" s="11">
        <f t="shared" si="178"/>
        <v>0</v>
      </c>
      <c r="BW96" s="11">
        <f t="shared" si="178"/>
        <v>0</v>
      </c>
      <c r="BX96" s="11">
        <f t="shared" si="178"/>
        <v>0</v>
      </c>
      <c r="BY96" s="11">
        <f t="shared" si="178"/>
        <v>0</v>
      </c>
      <c r="BZ96" s="11">
        <f t="shared" si="178"/>
        <v>0</v>
      </c>
      <c r="CA96" s="11">
        <f t="shared" si="178"/>
        <v>0</v>
      </c>
      <c r="CB96" s="11">
        <f t="shared" si="178"/>
        <v>1.42560165899032</v>
      </c>
      <c r="CC96" s="11">
        <f t="shared" si="178"/>
        <v>1.42560165899032</v>
      </c>
      <c r="CD96" s="11">
        <f t="shared" si="178"/>
        <v>0</v>
      </c>
      <c r="CE96" s="236">
        <f t="shared" si="178"/>
        <v>0</v>
      </c>
      <c r="CF96" s="11">
        <f t="shared" si="178"/>
        <v>0</v>
      </c>
      <c r="CG96" s="11">
        <f t="shared" si="178"/>
        <v>0</v>
      </c>
      <c r="CH96" s="11">
        <f t="shared" si="178"/>
        <v>2.1510007085300331</v>
      </c>
      <c r="CI96" s="11">
        <f t="shared" si="178"/>
        <v>0</v>
      </c>
      <c r="CJ96" s="11">
        <f t="shared" si="178"/>
        <v>0</v>
      </c>
      <c r="CK96" s="11">
        <f t="shared" si="178"/>
        <v>0</v>
      </c>
      <c r="CL96" s="11">
        <f t="shared" si="178"/>
        <v>0</v>
      </c>
      <c r="CM96" s="11">
        <f t="shared" si="178"/>
        <v>0</v>
      </c>
      <c r="CN96" s="11">
        <f t="shared" si="178"/>
        <v>0</v>
      </c>
      <c r="CO96" s="11">
        <f t="shared" si="178"/>
        <v>0</v>
      </c>
      <c r="CP96" s="11">
        <f t="shared" si="178"/>
        <v>0</v>
      </c>
      <c r="CQ96" s="11">
        <f t="shared" si="178"/>
        <v>0</v>
      </c>
      <c r="CR96" s="11">
        <f t="shared" si="178"/>
        <v>0</v>
      </c>
      <c r="CS96" s="11">
        <f t="shared" si="178"/>
        <v>0</v>
      </c>
      <c r="CT96" s="11">
        <f t="shared" si="178"/>
        <v>0</v>
      </c>
      <c r="CU96" s="11">
        <f t="shared" si="178"/>
        <v>0</v>
      </c>
      <c r="CV96" s="11">
        <f t="shared" si="178"/>
        <v>0</v>
      </c>
      <c r="CW96" s="11">
        <f t="shared" si="178"/>
        <v>0</v>
      </c>
      <c r="CX96" s="11">
        <f t="shared" si="178"/>
        <v>0</v>
      </c>
      <c r="CY96" s="50"/>
      <c r="CZ96" s="2"/>
      <c r="DA96" s="2"/>
      <c r="DB96" s="58">
        <f t="shared" si="167"/>
        <v>5.0022040265106735</v>
      </c>
      <c r="DC96" s="41">
        <f t="shared" si="148"/>
        <v>0</v>
      </c>
      <c r="DD96" s="2"/>
      <c r="DE96" s="2"/>
      <c r="DF96" s="2"/>
      <c r="DG96" s="2"/>
      <c r="DH96" s="2"/>
      <c r="DI96" s="2"/>
      <c r="DJ96" s="2"/>
      <c r="DK96" s="2"/>
    </row>
    <row r="97" spans="1:115" ht="8.4" customHeight="1" x14ac:dyDescent="0.25">
      <c r="A97" s="604">
        <v>3.7</v>
      </c>
      <c r="B97" s="606" t="s">
        <v>112</v>
      </c>
      <c r="C97" s="608" t="s">
        <v>6</v>
      </c>
      <c r="D97" s="610">
        <v>1</v>
      </c>
      <c r="E97" s="559">
        <f t="shared" si="175"/>
        <v>30</v>
      </c>
      <c r="F97" s="557">
        <f t="shared" ref="F97" si="179">K97*SUM(M97:AG97)/100</f>
        <v>1.8877436614726091</v>
      </c>
      <c r="G97" s="559">
        <f>D97*H97/100</f>
        <v>0.16725000000000001</v>
      </c>
      <c r="H97" s="557">
        <f>SUM(L98:AJ98)</f>
        <v>16.725000000000001</v>
      </c>
      <c r="I97" s="612">
        <f>'BOQ แก้ไขสัญญา'!AF61</f>
        <v>15007259</v>
      </c>
      <c r="J97" s="593">
        <f t="shared" si="137"/>
        <v>15007259</v>
      </c>
      <c r="K97" s="595">
        <f>J97*100/GTotal</f>
        <v>6.2924788715753639</v>
      </c>
      <c r="L97" s="101"/>
      <c r="M97" s="354"/>
      <c r="N97" s="355"/>
      <c r="O97" s="355"/>
      <c r="P97" s="355"/>
      <c r="Q97" s="355"/>
      <c r="R97" s="356"/>
      <c r="S97" s="354"/>
      <c r="T97" s="355"/>
      <c r="U97" s="355"/>
      <c r="V97" s="355"/>
      <c r="W97" s="355"/>
      <c r="X97" s="354"/>
      <c r="Y97" s="355"/>
      <c r="Z97" s="355"/>
      <c r="AA97" s="358"/>
      <c r="AB97" s="358"/>
      <c r="AC97" s="358">
        <v>5</v>
      </c>
      <c r="AD97" s="359">
        <v>5</v>
      </c>
      <c r="AE97" s="357">
        <v>5</v>
      </c>
      <c r="AF97" s="358">
        <v>5</v>
      </c>
      <c r="AG97" s="358">
        <v>10</v>
      </c>
      <c r="AH97" s="358">
        <v>10</v>
      </c>
      <c r="AI97" s="358">
        <v>10</v>
      </c>
      <c r="AJ97" s="358">
        <v>10</v>
      </c>
      <c r="AK97" s="357">
        <v>10</v>
      </c>
      <c r="AL97" s="358">
        <v>10</v>
      </c>
      <c r="AM97" s="358">
        <v>10</v>
      </c>
      <c r="AN97" s="357">
        <v>10</v>
      </c>
      <c r="AO97" s="357"/>
      <c r="AP97" s="359"/>
      <c r="AQ97" s="357"/>
      <c r="AR97" s="357"/>
      <c r="AS97" s="357"/>
      <c r="AT97" s="357"/>
      <c r="AU97" s="357"/>
      <c r="AV97" s="357"/>
      <c r="AW97" s="367"/>
      <c r="AX97" s="85"/>
      <c r="AY97" s="5"/>
      <c r="AZ97" s="331"/>
      <c r="BE97" s="2"/>
      <c r="BF97" s="2"/>
      <c r="BG97" s="2"/>
      <c r="BH97" s="2"/>
      <c r="BI97" s="2"/>
      <c r="BJ97" s="2"/>
      <c r="BK97" s="2"/>
      <c r="BL97" s="2">
        <v>1</v>
      </c>
      <c r="BM97" s="54"/>
      <c r="BN97" s="11">
        <f t="shared" ref="BN97:CX97" si="180">M97*$K97/100</f>
        <v>0</v>
      </c>
      <c r="BO97" s="11">
        <f t="shared" si="180"/>
        <v>0</v>
      </c>
      <c r="BP97" s="11">
        <f t="shared" si="180"/>
        <v>0</v>
      </c>
      <c r="BQ97" s="11">
        <f t="shared" si="180"/>
        <v>0</v>
      </c>
      <c r="BR97" s="11">
        <f t="shared" si="180"/>
        <v>0</v>
      </c>
      <c r="BS97" s="236">
        <f t="shared" si="180"/>
        <v>0</v>
      </c>
      <c r="BT97" s="11">
        <f t="shared" si="180"/>
        <v>0</v>
      </c>
      <c r="BU97" s="11">
        <f t="shared" si="180"/>
        <v>0</v>
      </c>
      <c r="BV97" s="11">
        <f t="shared" si="180"/>
        <v>0</v>
      </c>
      <c r="BW97" s="11">
        <f t="shared" si="180"/>
        <v>0</v>
      </c>
      <c r="BX97" s="11">
        <f t="shared" si="180"/>
        <v>0</v>
      </c>
      <c r="BY97" s="11">
        <f t="shared" si="180"/>
        <v>0</v>
      </c>
      <c r="BZ97" s="11">
        <f t="shared" si="180"/>
        <v>0</v>
      </c>
      <c r="CA97" s="11">
        <f t="shared" si="180"/>
        <v>0</v>
      </c>
      <c r="CB97" s="11">
        <f t="shared" si="180"/>
        <v>0</v>
      </c>
      <c r="CC97" s="11">
        <f t="shared" si="180"/>
        <v>0</v>
      </c>
      <c r="CD97" s="11">
        <f t="shared" si="180"/>
        <v>0.31462394357876816</v>
      </c>
      <c r="CE97" s="236">
        <f t="shared" si="180"/>
        <v>0.31462394357876816</v>
      </c>
      <c r="CF97" s="11">
        <f t="shared" si="180"/>
        <v>0.31462394357876816</v>
      </c>
      <c r="CG97" s="11">
        <f t="shared" si="180"/>
        <v>0.31462394357876816</v>
      </c>
      <c r="CH97" s="11">
        <f t="shared" si="180"/>
        <v>0.62924788715753632</v>
      </c>
      <c r="CI97" s="11">
        <f t="shared" si="180"/>
        <v>0.62924788715753632</v>
      </c>
      <c r="CJ97" s="11">
        <f t="shared" si="180"/>
        <v>0.62924788715753632</v>
      </c>
      <c r="CK97" s="11">
        <f t="shared" si="180"/>
        <v>0.62924788715753632</v>
      </c>
      <c r="CL97" s="11">
        <f t="shared" si="180"/>
        <v>0.62924788715753632</v>
      </c>
      <c r="CM97" s="11">
        <f t="shared" si="180"/>
        <v>0.62924788715753632</v>
      </c>
      <c r="CN97" s="11">
        <f t="shared" si="180"/>
        <v>0.62924788715753632</v>
      </c>
      <c r="CO97" s="11">
        <f t="shared" si="180"/>
        <v>0.62924788715753632</v>
      </c>
      <c r="CP97" s="11">
        <f t="shared" si="180"/>
        <v>0</v>
      </c>
      <c r="CQ97" s="11">
        <f t="shared" si="180"/>
        <v>0</v>
      </c>
      <c r="CR97" s="11">
        <f t="shared" si="180"/>
        <v>0</v>
      </c>
      <c r="CS97" s="11">
        <f t="shared" si="180"/>
        <v>0</v>
      </c>
      <c r="CT97" s="11">
        <f t="shared" si="180"/>
        <v>0</v>
      </c>
      <c r="CU97" s="11">
        <f t="shared" si="180"/>
        <v>0</v>
      </c>
      <c r="CV97" s="11">
        <f t="shared" si="180"/>
        <v>0</v>
      </c>
      <c r="CW97" s="11">
        <f t="shared" si="180"/>
        <v>0</v>
      </c>
      <c r="CX97" s="11">
        <f t="shared" si="180"/>
        <v>0</v>
      </c>
      <c r="CY97" s="50"/>
      <c r="CZ97" s="2"/>
      <c r="DA97" s="2"/>
      <c r="DB97" s="58">
        <f t="shared" si="167"/>
        <v>6.292478871575363</v>
      </c>
      <c r="DC97" s="41">
        <f t="shared" si="148"/>
        <v>6.2924788715753639</v>
      </c>
      <c r="DD97" s="2"/>
      <c r="DE97" s="2"/>
      <c r="DF97" s="2"/>
      <c r="DG97" s="2"/>
      <c r="DH97" s="2"/>
      <c r="DI97" s="2"/>
      <c r="DJ97" s="2"/>
      <c r="DK97" s="2"/>
    </row>
    <row r="98" spans="1:115" ht="8.4" customHeight="1" x14ac:dyDescent="0.25">
      <c r="A98" s="605"/>
      <c r="B98" s="607"/>
      <c r="C98" s="609"/>
      <c r="D98" s="611"/>
      <c r="E98" s="560"/>
      <c r="F98" s="558"/>
      <c r="G98" s="560"/>
      <c r="H98" s="558"/>
      <c r="I98" s="613"/>
      <c r="J98" s="594"/>
      <c r="K98" s="596"/>
      <c r="L98" s="101"/>
      <c r="M98" s="360"/>
      <c r="N98" s="361"/>
      <c r="O98" s="361"/>
      <c r="P98" s="361"/>
      <c r="Q98" s="361"/>
      <c r="R98" s="362"/>
      <c r="S98" s="360"/>
      <c r="T98" s="361"/>
      <c r="U98" s="361"/>
      <c r="V98" s="361"/>
      <c r="W98" s="361"/>
      <c r="X98" s="360"/>
      <c r="Y98" s="361"/>
      <c r="Z98" s="361"/>
      <c r="AA98" s="456">
        <v>16.725000000000001</v>
      </c>
      <c r="AB98" s="363"/>
      <c r="AC98" s="363"/>
      <c r="AD98" s="364"/>
      <c r="AE98" s="365"/>
      <c r="AF98" s="363"/>
      <c r="AG98" s="363"/>
      <c r="AH98" s="365"/>
      <c r="AI98" s="363"/>
      <c r="AJ98" s="363"/>
      <c r="AK98" s="365"/>
      <c r="AL98" s="363"/>
      <c r="AM98" s="363"/>
      <c r="AN98" s="365"/>
      <c r="AO98" s="365"/>
      <c r="AP98" s="364"/>
      <c r="AQ98" s="365"/>
      <c r="AR98" s="365"/>
      <c r="AS98" s="365"/>
      <c r="AT98" s="365"/>
      <c r="AU98" s="365"/>
      <c r="AV98" s="365"/>
      <c r="AW98" s="366"/>
      <c r="AX98" s="85"/>
      <c r="AY98" s="5"/>
      <c r="AZ98" s="331"/>
      <c r="BE98" s="2"/>
      <c r="BF98" s="2"/>
      <c r="BG98" s="2"/>
      <c r="BH98" s="2"/>
      <c r="BI98" s="2"/>
      <c r="BJ98" s="2"/>
      <c r="BK98" s="2"/>
      <c r="BL98" s="2">
        <v>0</v>
      </c>
      <c r="BM98" s="53"/>
      <c r="BN98" s="11">
        <f t="shared" ref="BN98:CX98" si="181">M98*$K97/100</f>
        <v>0</v>
      </c>
      <c r="BO98" s="11">
        <f t="shared" si="181"/>
        <v>0</v>
      </c>
      <c r="BP98" s="11">
        <f t="shared" si="181"/>
        <v>0</v>
      </c>
      <c r="BQ98" s="11">
        <f t="shared" si="181"/>
        <v>0</v>
      </c>
      <c r="BR98" s="11">
        <f t="shared" si="181"/>
        <v>0</v>
      </c>
      <c r="BS98" s="236">
        <f t="shared" si="181"/>
        <v>0</v>
      </c>
      <c r="BT98" s="11">
        <f t="shared" si="181"/>
        <v>0</v>
      </c>
      <c r="BU98" s="11">
        <f t="shared" si="181"/>
        <v>0</v>
      </c>
      <c r="BV98" s="11">
        <f t="shared" si="181"/>
        <v>0</v>
      </c>
      <c r="BW98" s="11">
        <f t="shared" si="181"/>
        <v>0</v>
      </c>
      <c r="BX98" s="11">
        <f t="shared" si="181"/>
        <v>0</v>
      </c>
      <c r="BY98" s="11">
        <f t="shared" si="181"/>
        <v>0</v>
      </c>
      <c r="BZ98" s="11">
        <f t="shared" si="181"/>
        <v>0</v>
      </c>
      <c r="CA98" s="11">
        <f t="shared" si="181"/>
        <v>0</v>
      </c>
      <c r="CB98" s="11">
        <f t="shared" si="181"/>
        <v>1.0524170912709798</v>
      </c>
      <c r="CC98" s="11">
        <f t="shared" si="181"/>
        <v>0</v>
      </c>
      <c r="CD98" s="11">
        <f t="shared" si="181"/>
        <v>0</v>
      </c>
      <c r="CE98" s="236">
        <f t="shared" si="181"/>
        <v>0</v>
      </c>
      <c r="CF98" s="11">
        <f t="shared" si="181"/>
        <v>0</v>
      </c>
      <c r="CG98" s="11">
        <f t="shared" si="181"/>
        <v>0</v>
      </c>
      <c r="CH98" s="11">
        <f t="shared" si="181"/>
        <v>0</v>
      </c>
      <c r="CI98" s="11">
        <f t="shared" si="181"/>
        <v>0</v>
      </c>
      <c r="CJ98" s="11">
        <f t="shared" si="181"/>
        <v>0</v>
      </c>
      <c r="CK98" s="11">
        <f t="shared" si="181"/>
        <v>0</v>
      </c>
      <c r="CL98" s="11">
        <f t="shared" si="181"/>
        <v>0</v>
      </c>
      <c r="CM98" s="11">
        <f t="shared" si="181"/>
        <v>0</v>
      </c>
      <c r="CN98" s="11">
        <f t="shared" si="181"/>
        <v>0</v>
      </c>
      <c r="CO98" s="11">
        <f t="shared" si="181"/>
        <v>0</v>
      </c>
      <c r="CP98" s="11">
        <f t="shared" si="181"/>
        <v>0</v>
      </c>
      <c r="CQ98" s="11">
        <f t="shared" si="181"/>
        <v>0</v>
      </c>
      <c r="CR98" s="11">
        <f t="shared" si="181"/>
        <v>0</v>
      </c>
      <c r="CS98" s="11">
        <f t="shared" si="181"/>
        <v>0</v>
      </c>
      <c r="CT98" s="11">
        <f t="shared" si="181"/>
        <v>0</v>
      </c>
      <c r="CU98" s="11">
        <f t="shared" si="181"/>
        <v>0</v>
      </c>
      <c r="CV98" s="11">
        <f t="shared" si="181"/>
        <v>0</v>
      </c>
      <c r="CW98" s="11">
        <f t="shared" si="181"/>
        <v>0</v>
      </c>
      <c r="CX98" s="11">
        <f t="shared" si="181"/>
        <v>0</v>
      </c>
      <c r="CY98" s="50"/>
      <c r="CZ98" s="2"/>
      <c r="DA98" s="2"/>
      <c r="DB98" s="58">
        <f t="shared" si="167"/>
        <v>1.0524170912709798</v>
      </c>
      <c r="DC98" s="41">
        <f t="shared" si="148"/>
        <v>0</v>
      </c>
      <c r="DD98" s="2"/>
      <c r="DE98" s="2"/>
      <c r="DF98" s="2"/>
      <c r="DG98" s="2"/>
      <c r="DH98" s="2"/>
      <c r="DI98" s="2"/>
      <c r="DJ98" s="2"/>
      <c r="DK98" s="2"/>
    </row>
    <row r="99" spans="1:115" ht="8.4" customHeight="1" x14ac:dyDescent="0.25">
      <c r="A99" s="604">
        <v>3.8</v>
      </c>
      <c r="B99" s="606" t="s">
        <v>113</v>
      </c>
      <c r="C99" s="608" t="s">
        <v>6</v>
      </c>
      <c r="D99" s="610">
        <v>1</v>
      </c>
      <c r="E99" s="559">
        <f t="shared" si="175"/>
        <v>15.000000000000002</v>
      </c>
      <c r="F99" s="557">
        <f t="shared" ref="F99" si="182">K99*SUM(M99:AG99)/100</f>
        <v>1.6455418514679183</v>
      </c>
      <c r="G99" s="559">
        <f>D99*H99/100</f>
        <v>0.32947000000000004</v>
      </c>
      <c r="H99" s="557">
        <f>SUM(L100:AJ100)</f>
        <v>32.947000000000003</v>
      </c>
      <c r="I99" s="612">
        <f>'BOQ แก้ไขสัญญา'!AF62</f>
        <v>26163587</v>
      </c>
      <c r="J99" s="593">
        <f t="shared" si="137"/>
        <v>26163587</v>
      </c>
      <c r="K99" s="595">
        <f>J99*100/GTotal</f>
        <v>10.970279009786122</v>
      </c>
      <c r="L99" s="101"/>
      <c r="M99" s="354"/>
      <c r="N99" s="355"/>
      <c r="O99" s="355"/>
      <c r="P99" s="355"/>
      <c r="Q99" s="355"/>
      <c r="R99" s="356"/>
      <c r="S99" s="354"/>
      <c r="T99" s="355"/>
      <c r="U99" s="355"/>
      <c r="V99" s="355"/>
      <c r="W99" s="355"/>
      <c r="X99" s="354"/>
      <c r="Y99" s="355"/>
      <c r="Z99" s="355"/>
      <c r="AA99" s="358"/>
      <c r="AB99" s="357"/>
      <c r="AC99" s="358"/>
      <c r="AD99" s="359"/>
      <c r="AE99" s="357"/>
      <c r="AF99" s="358"/>
      <c r="AG99" s="358">
        <v>15</v>
      </c>
      <c r="AH99" s="357">
        <v>15</v>
      </c>
      <c r="AI99" s="358">
        <v>15</v>
      </c>
      <c r="AJ99" s="358">
        <v>10</v>
      </c>
      <c r="AK99" s="357">
        <v>10</v>
      </c>
      <c r="AL99" s="358">
        <v>10</v>
      </c>
      <c r="AM99" s="358">
        <v>10</v>
      </c>
      <c r="AN99" s="357">
        <v>15</v>
      </c>
      <c r="AO99" s="357"/>
      <c r="AP99" s="359"/>
      <c r="AQ99" s="357"/>
      <c r="AR99" s="357"/>
      <c r="AS99" s="357"/>
      <c r="AT99" s="357"/>
      <c r="AU99" s="357"/>
      <c r="AV99" s="357"/>
      <c r="AW99" s="367"/>
      <c r="AX99" s="85"/>
      <c r="AY99" s="5"/>
      <c r="AZ99" s="331"/>
      <c r="BE99" s="2"/>
      <c r="BF99" s="2"/>
      <c r="BG99" s="2"/>
      <c r="BH99" s="2"/>
      <c r="BI99" s="2"/>
      <c r="BJ99" s="2"/>
      <c r="BK99" s="2"/>
      <c r="BL99" s="2">
        <v>1</v>
      </c>
      <c r="BM99" s="54"/>
      <c r="BN99" s="11">
        <f t="shared" ref="BN99:CX99" si="183">M99*$K99/100</f>
        <v>0</v>
      </c>
      <c r="BO99" s="11">
        <f t="shared" si="183"/>
        <v>0</v>
      </c>
      <c r="BP99" s="11">
        <f t="shared" si="183"/>
        <v>0</v>
      </c>
      <c r="BQ99" s="11">
        <f t="shared" si="183"/>
        <v>0</v>
      </c>
      <c r="BR99" s="11">
        <f t="shared" si="183"/>
        <v>0</v>
      </c>
      <c r="BS99" s="236">
        <f t="shared" si="183"/>
        <v>0</v>
      </c>
      <c r="BT99" s="11">
        <f t="shared" si="183"/>
        <v>0</v>
      </c>
      <c r="BU99" s="11">
        <f t="shared" si="183"/>
        <v>0</v>
      </c>
      <c r="BV99" s="11">
        <f t="shared" si="183"/>
        <v>0</v>
      </c>
      <c r="BW99" s="11">
        <f t="shared" si="183"/>
        <v>0</v>
      </c>
      <c r="BX99" s="11">
        <f t="shared" si="183"/>
        <v>0</v>
      </c>
      <c r="BY99" s="11">
        <f t="shared" si="183"/>
        <v>0</v>
      </c>
      <c r="BZ99" s="11">
        <f t="shared" si="183"/>
        <v>0</v>
      </c>
      <c r="CA99" s="11">
        <f t="shared" si="183"/>
        <v>0</v>
      </c>
      <c r="CB99" s="11">
        <f t="shared" si="183"/>
        <v>0</v>
      </c>
      <c r="CC99" s="11">
        <f t="shared" si="183"/>
        <v>0</v>
      </c>
      <c r="CD99" s="11">
        <f t="shared" si="183"/>
        <v>0</v>
      </c>
      <c r="CE99" s="236">
        <f t="shared" si="183"/>
        <v>0</v>
      </c>
      <c r="CF99" s="11">
        <f t="shared" si="183"/>
        <v>0</v>
      </c>
      <c r="CG99" s="11">
        <f t="shared" si="183"/>
        <v>0</v>
      </c>
      <c r="CH99" s="11">
        <f t="shared" si="183"/>
        <v>1.6455418514679183</v>
      </c>
      <c r="CI99" s="11">
        <f t="shared" si="183"/>
        <v>1.6455418514679183</v>
      </c>
      <c r="CJ99" s="11">
        <f t="shared" si="183"/>
        <v>1.6455418514679183</v>
      </c>
      <c r="CK99" s="11">
        <f t="shared" si="183"/>
        <v>1.0970279009786124</v>
      </c>
      <c r="CL99" s="11">
        <f t="shared" si="183"/>
        <v>1.0970279009786124</v>
      </c>
      <c r="CM99" s="11">
        <f t="shared" si="183"/>
        <v>1.0970279009786124</v>
      </c>
      <c r="CN99" s="11">
        <f t="shared" si="183"/>
        <v>1.0970279009786124</v>
      </c>
      <c r="CO99" s="11">
        <f t="shared" si="183"/>
        <v>1.6455418514679183</v>
      </c>
      <c r="CP99" s="11">
        <f t="shared" si="183"/>
        <v>0</v>
      </c>
      <c r="CQ99" s="11">
        <f t="shared" si="183"/>
        <v>0</v>
      </c>
      <c r="CR99" s="11">
        <f t="shared" si="183"/>
        <v>0</v>
      </c>
      <c r="CS99" s="11">
        <f t="shared" si="183"/>
        <v>0</v>
      </c>
      <c r="CT99" s="11">
        <f t="shared" si="183"/>
        <v>0</v>
      </c>
      <c r="CU99" s="11">
        <f t="shared" si="183"/>
        <v>0</v>
      </c>
      <c r="CV99" s="11">
        <f t="shared" si="183"/>
        <v>0</v>
      </c>
      <c r="CW99" s="11">
        <f t="shared" si="183"/>
        <v>0</v>
      </c>
      <c r="CX99" s="11">
        <f t="shared" si="183"/>
        <v>0</v>
      </c>
      <c r="CY99" s="50"/>
      <c r="CZ99" s="2"/>
      <c r="DA99" s="2"/>
      <c r="DB99" s="58">
        <f t="shared" si="167"/>
        <v>10.970279009786122</v>
      </c>
      <c r="DC99" s="41">
        <f t="shared" si="148"/>
        <v>10.970279009786122</v>
      </c>
      <c r="DD99" s="2"/>
      <c r="DE99" s="2"/>
      <c r="DF99" s="2"/>
      <c r="DG99" s="2"/>
      <c r="DH99" s="2"/>
      <c r="DI99" s="2"/>
      <c r="DJ99" s="2"/>
      <c r="DK99" s="2"/>
    </row>
    <row r="100" spans="1:115" ht="8.4" customHeight="1" x14ac:dyDescent="0.25">
      <c r="A100" s="605"/>
      <c r="B100" s="607"/>
      <c r="C100" s="609"/>
      <c r="D100" s="611"/>
      <c r="E100" s="560"/>
      <c r="F100" s="558"/>
      <c r="G100" s="560"/>
      <c r="H100" s="558"/>
      <c r="I100" s="613"/>
      <c r="J100" s="594"/>
      <c r="K100" s="596"/>
      <c r="L100" s="101"/>
      <c r="M100" s="360"/>
      <c r="N100" s="361"/>
      <c r="O100" s="361"/>
      <c r="P100" s="361"/>
      <c r="Q100" s="361"/>
      <c r="R100" s="362"/>
      <c r="S100" s="360"/>
      <c r="T100" s="361"/>
      <c r="U100" s="361"/>
      <c r="V100" s="361"/>
      <c r="W100" s="361"/>
      <c r="X100" s="360"/>
      <c r="Y100" s="361"/>
      <c r="Z100" s="361"/>
      <c r="AA100" s="456">
        <v>32.947000000000003</v>
      </c>
      <c r="AB100" s="365"/>
      <c r="AC100" s="363"/>
      <c r="AD100" s="364"/>
      <c r="AE100" s="365"/>
      <c r="AF100" s="363"/>
      <c r="AG100" s="363"/>
      <c r="AH100" s="365"/>
      <c r="AI100" s="365"/>
      <c r="AJ100" s="363"/>
      <c r="AK100" s="365"/>
      <c r="AL100" s="363"/>
      <c r="AM100" s="363"/>
      <c r="AN100" s="365"/>
      <c r="AO100" s="365"/>
      <c r="AP100" s="364"/>
      <c r="AQ100" s="365"/>
      <c r="AR100" s="365"/>
      <c r="AS100" s="365"/>
      <c r="AT100" s="365"/>
      <c r="AU100" s="365"/>
      <c r="AV100" s="365"/>
      <c r="AW100" s="366"/>
      <c r="AX100" s="85"/>
      <c r="AY100" s="5"/>
      <c r="AZ100" s="331"/>
      <c r="BE100" s="2"/>
      <c r="BF100" s="2"/>
      <c r="BG100" s="2"/>
      <c r="BH100" s="2"/>
      <c r="BI100" s="2"/>
      <c r="BJ100" s="2"/>
      <c r="BK100" s="2"/>
      <c r="BL100" s="2">
        <v>0</v>
      </c>
      <c r="BM100" s="53"/>
      <c r="BN100" s="11">
        <f t="shared" ref="BN100:CX100" si="184">M100*$K99/100</f>
        <v>0</v>
      </c>
      <c r="BO100" s="11">
        <f t="shared" si="184"/>
        <v>0</v>
      </c>
      <c r="BP100" s="11">
        <f t="shared" si="184"/>
        <v>0</v>
      </c>
      <c r="BQ100" s="11">
        <f t="shared" si="184"/>
        <v>0</v>
      </c>
      <c r="BR100" s="11">
        <f t="shared" si="184"/>
        <v>0</v>
      </c>
      <c r="BS100" s="236">
        <f t="shared" si="184"/>
        <v>0</v>
      </c>
      <c r="BT100" s="11">
        <f t="shared" si="184"/>
        <v>0</v>
      </c>
      <c r="BU100" s="11">
        <f t="shared" si="184"/>
        <v>0</v>
      </c>
      <c r="BV100" s="11">
        <f t="shared" si="184"/>
        <v>0</v>
      </c>
      <c r="BW100" s="11">
        <f t="shared" si="184"/>
        <v>0</v>
      </c>
      <c r="BX100" s="11">
        <f t="shared" si="184"/>
        <v>0</v>
      </c>
      <c r="BY100" s="11">
        <f t="shared" si="184"/>
        <v>0</v>
      </c>
      <c r="BZ100" s="11">
        <f t="shared" si="184"/>
        <v>0</v>
      </c>
      <c r="CA100" s="11">
        <f t="shared" si="184"/>
        <v>0</v>
      </c>
      <c r="CB100" s="11">
        <f t="shared" si="184"/>
        <v>3.6143778253542336</v>
      </c>
      <c r="CC100" s="11">
        <f t="shared" si="184"/>
        <v>0</v>
      </c>
      <c r="CD100" s="11">
        <f t="shared" si="184"/>
        <v>0</v>
      </c>
      <c r="CE100" s="236">
        <f t="shared" si="184"/>
        <v>0</v>
      </c>
      <c r="CF100" s="11">
        <f t="shared" si="184"/>
        <v>0</v>
      </c>
      <c r="CG100" s="11">
        <f t="shared" si="184"/>
        <v>0</v>
      </c>
      <c r="CH100" s="11">
        <f t="shared" si="184"/>
        <v>0</v>
      </c>
      <c r="CI100" s="11">
        <f t="shared" si="184"/>
        <v>0</v>
      </c>
      <c r="CJ100" s="11">
        <f t="shared" si="184"/>
        <v>0</v>
      </c>
      <c r="CK100" s="11">
        <f t="shared" si="184"/>
        <v>0</v>
      </c>
      <c r="CL100" s="11">
        <f t="shared" si="184"/>
        <v>0</v>
      </c>
      <c r="CM100" s="11">
        <f t="shared" si="184"/>
        <v>0</v>
      </c>
      <c r="CN100" s="11">
        <f t="shared" si="184"/>
        <v>0</v>
      </c>
      <c r="CO100" s="11">
        <f t="shared" si="184"/>
        <v>0</v>
      </c>
      <c r="CP100" s="11">
        <f t="shared" si="184"/>
        <v>0</v>
      </c>
      <c r="CQ100" s="11">
        <f t="shared" si="184"/>
        <v>0</v>
      </c>
      <c r="CR100" s="11">
        <f t="shared" si="184"/>
        <v>0</v>
      </c>
      <c r="CS100" s="11">
        <f t="shared" si="184"/>
        <v>0</v>
      </c>
      <c r="CT100" s="11">
        <f t="shared" si="184"/>
        <v>0</v>
      </c>
      <c r="CU100" s="11">
        <f t="shared" si="184"/>
        <v>0</v>
      </c>
      <c r="CV100" s="11">
        <f t="shared" si="184"/>
        <v>0</v>
      </c>
      <c r="CW100" s="11">
        <f t="shared" si="184"/>
        <v>0</v>
      </c>
      <c r="CX100" s="11">
        <f t="shared" si="184"/>
        <v>0</v>
      </c>
      <c r="CY100" s="50"/>
      <c r="CZ100" s="2"/>
      <c r="DA100" s="2"/>
      <c r="DB100" s="58">
        <f t="shared" si="167"/>
        <v>3.6143778253542336</v>
      </c>
      <c r="DC100" s="41">
        <f t="shared" si="148"/>
        <v>0</v>
      </c>
      <c r="DD100" s="2"/>
      <c r="DE100" s="2"/>
      <c r="DF100" s="2"/>
      <c r="DG100" s="2"/>
      <c r="DH100" s="2"/>
      <c r="DI100" s="2"/>
      <c r="DJ100" s="2"/>
      <c r="DK100" s="2"/>
    </row>
    <row r="101" spans="1:115" ht="8.4" customHeight="1" x14ac:dyDescent="0.25">
      <c r="A101" s="604">
        <v>3.9</v>
      </c>
      <c r="B101" s="606" t="s">
        <v>123</v>
      </c>
      <c r="C101" s="608" t="s">
        <v>6</v>
      </c>
      <c r="D101" s="610">
        <v>1</v>
      </c>
      <c r="E101" s="559">
        <f t="shared" si="175"/>
        <v>0</v>
      </c>
      <c r="F101" s="557">
        <f t="shared" ref="F101" si="185">K101*SUM(M101:AG101)/100</f>
        <v>0</v>
      </c>
      <c r="G101" s="559">
        <f>D101*H101/100</f>
        <v>0</v>
      </c>
      <c r="H101" s="557">
        <f>SUM(L102:AJ102)</f>
        <v>0</v>
      </c>
      <c r="I101" s="612">
        <f>'BOQ แก้ไขสัญญา'!AF63</f>
        <v>1519335</v>
      </c>
      <c r="J101" s="593">
        <f t="shared" si="137"/>
        <v>1519335</v>
      </c>
      <c r="K101" s="595">
        <f>J101*100/GTotal</f>
        <v>0.63705060240147493</v>
      </c>
      <c r="L101" s="101"/>
      <c r="M101" s="354"/>
      <c r="N101" s="355"/>
      <c r="O101" s="355"/>
      <c r="P101" s="355"/>
      <c r="Q101" s="355"/>
      <c r="R101" s="356"/>
      <c r="S101" s="354"/>
      <c r="T101" s="355"/>
      <c r="U101" s="355"/>
      <c r="V101" s="355"/>
      <c r="W101" s="355"/>
      <c r="X101" s="354"/>
      <c r="Y101" s="355"/>
      <c r="Z101" s="355"/>
      <c r="AA101" s="358"/>
      <c r="AB101" s="357"/>
      <c r="AC101" s="358"/>
      <c r="AD101" s="359"/>
      <c r="AE101" s="357"/>
      <c r="AF101" s="358"/>
      <c r="AG101" s="358"/>
      <c r="AH101" s="357"/>
      <c r="AI101" s="357"/>
      <c r="AJ101" s="358"/>
      <c r="AK101" s="358"/>
      <c r="AL101" s="357"/>
      <c r="AM101" s="358"/>
      <c r="AN101" s="358"/>
      <c r="AO101" s="358"/>
      <c r="AP101" s="359"/>
      <c r="AQ101" s="358">
        <v>15</v>
      </c>
      <c r="AR101" s="358">
        <v>15</v>
      </c>
      <c r="AS101" s="357">
        <v>15</v>
      </c>
      <c r="AT101" s="358">
        <v>15</v>
      </c>
      <c r="AU101" s="358">
        <v>20</v>
      </c>
      <c r="AV101" s="358">
        <v>20</v>
      </c>
      <c r="AW101" s="367"/>
      <c r="AX101" s="85"/>
      <c r="AY101" s="5"/>
      <c r="AZ101" s="331"/>
      <c r="BE101" s="2"/>
      <c r="BF101" s="2"/>
      <c r="BG101" s="2"/>
      <c r="BH101" s="2"/>
      <c r="BI101" s="2"/>
      <c r="BJ101" s="2"/>
      <c r="BK101" s="2"/>
      <c r="BL101" s="2">
        <v>1</v>
      </c>
      <c r="BM101" s="54"/>
      <c r="BN101" s="11">
        <f t="shared" ref="BN101:CX101" si="186">M101*$K101/100</f>
        <v>0</v>
      </c>
      <c r="BO101" s="11">
        <f t="shared" si="186"/>
        <v>0</v>
      </c>
      <c r="BP101" s="11">
        <f t="shared" si="186"/>
        <v>0</v>
      </c>
      <c r="BQ101" s="11">
        <f t="shared" si="186"/>
        <v>0</v>
      </c>
      <c r="BR101" s="11">
        <f t="shared" si="186"/>
        <v>0</v>
      </c>
      <c r="BS101" s="236">
        <f t="shared" si="186"/>
        <v>0</v>
      </c>
      <c r="BT101" s="11">
        <f t="shared" si="186"/>
        <v>0</v>
      </c>
      <c r="BU101" s="11">
        <f t="shared" si="186"/>
        <v>0</v>
      </c>
      <c r="BV101" s="11">
        <f t="shared" si="186"/>
        <v>0</v>
      </c>
      <c r="BW101" s="11">
        <f t="shared" si="186"/>
        <v>0</v>
      </c>
      <c r="BX101" s="11">
        <f t="shared" si="186"/>
        <v>0</v>
      </c>
      <c r="BY101" s="11">
        <f t="shared" si="186"/>
        <v>0</v>
      </c>
      <c r="BZ101" s="11">
        <f t="shared" si="186"/>
        <v>0</v>
      </c>
      <c r="CA101" s="11">
        <f t="shared" si="186"/>
        <v>0</v>
      </c>
      <c r="CB101" s="11">
        <f t="shared" si="186"/>
        <v>0</v>
      </c>
      <c r="CC101" s="11">
        <f t="shared" si="186"/>
        <v>0</v>
      </c>
      <c r="CD101" s="11">
        <f t="shared" si="186"/>
        <v>0</v>
      </c>
      <c r="CE101" s="236">
        <f t="shared" si="186"/>
        <v>0</v>
      </c>
      <c r="CF101" s="11">
        <f t="shared" si="186"/>
        <v>0</v>
      </c>
      <c r="CG101" s="11">
        <f t="shared" si="186"/>
        <v>0</v>
      </c>
      <c r="CH101" s="11">
        <f t="shared" si="186"/>
        <v>0</v>
      </c>
      <c r="CI101" s="11">
        <f t="shared" si="186"/>
        <v>0</v>
      </c>
      <c r="CJ101" s="11">
        <f t="shared" si="186"/>
        <v>0</v>
      </c>
      <c r="CK101" s="11">
        <f t="shared" si="186"/>
        <v>0</v>
      </c>
      <c r="CL101" s="11">
        <f t="shared" si="186"/>
        <v>0</v>
      </c>
      <c r="CM101" s="11">
        <f t="shared" si="186"/>
        <v>0</v>
      </c>
      <c r="CN101" s="11">
        <f t="shared" si="186"/>
        <v>0</v>
      </c>
      <c r="CO101" s="11">
        <f t="shared" si="186"/>
        <v>0</v>
      </c>
      <c r="CP101" s="11">
        <f t="shared" si="186"/>
        <v>0</v>
      </c>
      <c r="CQ101" s="11">
        <f t="shared" si="186"/>
        <v>0</v>
      </c>
      <c r="CR101" s="11">
        <f t="shared" si="186"/>
        <v>9.555759036022124E-2</v>
      </c>
      <c r="CS101" s="11">
        <f t="shared" si="186"/>
        <v>9.555759036022124E-2</v>
      </c>
      <c r="CT101" s="11">
        <f t="shared" si="186"/>
        <v>9.555759036022124E-2</v>
      </c>
      <c r="CU101" s="11">
        <f t="shared" si="186"/>
        <v>9.555759036022124E-2</v>
      </c>
      <c r="CV101" s="11">
        <f t="shared" si="186"/>
        <v>0.12741012048029499</v>
      </c>
      <c r="CW101" s="11">
        <f t="shared" si="186"/>
        <v>0.12741012048029499</v>
      </c>
      <c r="CX101" s="11">
        <f t="shared" si="186"/>
        <v>0</v>
      </c>
      <c r="CY101" s="50"/>
      <c r="CZ101" s="2"/>
      <c r="DA101" s="2"/>
      <c r="DB101" s="58">
        <f t="shared" si="167"/>
        <v>0.63705060240147493</v>
      </c>
      <c r="DC101" s="41">
        <f t="shared" si="148"/>
        <v>0.63705060240147493</v>
      </c>
      <c r="DD101" s="2"/>
      <c r="DE101" s="2"/>
      <c r="DF101" s="2"/>
      <c r="DG101" s="2"/>
      <c r="DH101" s="2"/>
      <c r="DI101" s="2"/>
      <c r="DJ101" s="2"/>
      <c r="DK101" s="2"/>
    </row>
    <row r="102" spans="1:115" ht="8.4" customHeight="1" x14ac:dyDescent="0.25">
      <c r="A102" s="605"/>
      <c r="B102" s="607"/>
      <c r="C102" s="609"/>
      <c r="D102" s="611"/>
      <c r="E102" s="560"/>
      <c r="F102" s="558"/>
      <c r="G102" s="560"/>
      <c r="H102" s="558"/>
      <c r="I102" s="613"/>
      <c r="J102" s="594"/>
      <c r="K102" s="596"/>
      <c r="L102" s="101"/>
      <c r="M102" s="360"/>
      <c r="N102" s="361"/>
      <c r="O102" s="361"/>
      <c r="P102" s="361"/>
      <c r="Q102" s="361"/>
      <c r="R102" s="362"/>
      <c r="S102" s="360"/>
      <c r="T102" s="361"/>
      <c r="U102" s="361"/>
      <c r="V102" s="361"/>
      <c r="W102" s="361"/>
      <c r="X102" s="360"/>
      <c r="Y102" s="361"/>
      <c r="Z102" s="361"/>
      <c r="AA102" s="363"/>
      <c r="AB102" s="365"/>
      <c r="AC102" s="363"/>
      <c r="AD102" s="364"/>
      <c r="AE102" s="365"/>
      <c r="AF102" s="363"/>
      <c r="AG102" s="363"/>
      <c r="AH102" s="365"/>
      <c r="AI102" s="365"/>
      <c r="AJ102" s="363"/>
      <c r="AK102" s="363"/>
      <c r="AL102" s="365"/>
      <c r="AM102" s="363"/>
      <c r="AN102" s="365"/>
      <c r="AO102" s="365"/>
      <c r="AP102" s="364"/>
      <c r="AQ102" s="365"/>
      <c r="AR102" s="365"/>
      <c r="AS102" s="365"/>
      <c r="AT102" s="365"/>
      <c r="AU102" s="365"/>
      <c r="AV102" s="365"/>
      <c r="AW102" s="366"/>
      <c r="AX102" s="85"/>
      <c r="AY102" s="5"/>
      <c r="AZ102" s="331"/>
      <c r="BE102" s="2"/>
      <c r="BF102" s="2"/>
      <c r="BG102" s="2"/>
      <c r="BH102" s="2"/>
      <c r="BI102" s="2"/>
      <c r="BJ102" s="2"/>
      <c r="BK102" s="2"/>
      <c r="BL102" s="2">
        <v>0</v>
      </c>
      <c r="BM102" s="53"/>
      <c r="BN102" s="11">
        <f t="shared" ref="BN102:CX102" si="187">M102*$K101/100</f>
        <v>0</v>
      </c>
      <c r="BO102" s="11">
        <f t="shared" si="187"/>
        <v>0</v>
      </c>
      <c r="BP102" s="11">
        <f t="shared" si="187"/>
        <v>0</v>
      </c>
      <c r="BQ102" s="11">
        <f t="shared" si="187"/>
        <v>0</v>
      </c>
      <c r="BR102" s="11">
        <f t="shared" si="187"/>
        <v>0</v>
      </c>
      <c r="BS102" s="236">
        <f t="shared" si="187"/>
        <v>0</v>
      </c>
      <c r="BT102" s="11">
        <f t="shared" si="187"/>
        <v>0</v>
      </c>
      <c r="BU102" s="11">
        <f t="shared" si="187"/>
        <v>0</v>
      </c>
      <c r="BV102" s="11">
        <f t="shared" si="187"/>
        <v>0</v>
      </c>
      <c r="BW102" s="11">
        <f t="shared" si="187"/>
        <v>0</v>
      </c>
      <c r="BX102" s="11">
        <f t="shared" si="187"/>
        <v>0</v>
      </c>
      <c r="BY102" s="11">
        <f t="shared" si="187"/>
        <v>0</v>
      </c>
      <c r="BZ102" s="11">
        <f t="shared" si="187"/>
        <v>0</v>
      </c>
      <c r="CA102" s="11">
        <f t="shared" si="187"/>
        <v>0</v>
      </c>
      <c r="CB102" s="11">
        <f t="shared" si="187"/>
        <v>0</v>
      </c>
      <c r="CC102" s="11">
        <f t="shared" si="187"/>
        <v>0</v>
      </c>
      <c r="CD102" s="11">
        <f t="shared" si="187"/>
        <v>0</v>
      </c>
      <c r="CE102" s="236">
        <f t="shared" si="187"/>
        <v>0</v>
      </c>
      <c r="CF102" s="11">
        <f t="shared" si="187"/>
        <v>0</v>
      </c>
      <c r="CG102" s="11">
        <f t="shared" si="187"/>
        <v>0</v>
      </c>
      <c r="CH102" s="11">
        <f t="shared" si="187"/>
        <v>0</v>
      </c>
      <c r="CI102" s="11">
        <f t="shared" si="187"/>
        <v>0</v>
      </c>
      <c r="CJ102" s="11">
        <f t="shared" si="187"/>
        <v>0</v>
      </c>
      <c r="CK102" s="11">
        <f t="shared" si="187"/>
        <v>0</v>
      </c>
      <c r="CL102" s="11">
        <f t="shared" si="187"/>
        <v>0</v>
      </c>
      <c r="CM102" s="11">
        <f t="shared" si="187"/>
        <v>0</v>
      </c>
      <c r="CN102" s="11">
        <f t="shared" si="187"/>
        <v>0</v>
      </c>
      <c r="CO102" s="11">
        <f t="shared" si="187"/>
        <v>0</v>
      </c>
      <c r="CP102" s="11">
        <f t="shared" si="187"/>
        <v>0</v>
      </c>
      <c r="CQ102" s="11">
        <f t="shared" si="187"/>
        <v>0</v>
      </c>
      <c r="CR102" s="11">
        <f t="shared" si="187"/>
        <v>0</v>
      </c>
      <c r="CS102" s="11">
        <f t="shared" si="187"/>
        <v>0</v>
      </c>
      <c r="CT102" s="11">
        <f t="shared" si="187"/>
        <v>0</v>
      </c>
      <c r="CU102" s="11">
        <f t="shared" si="187"/>
        <v>0</v>
      </c>
      <c r="CV102" s="11">
        <f t="shared" si="187"/>
        <v>0</v>
      </c>
      <c r="CW102" s="11">
        <f t="shared" si="187"/>
        <v>0</v>
      </c>
      <c r="CX102" s="11">
        <f t="shared" si="187"/>
        <v>0</v>
      </c>
      <c r="CY102" s="50"/>
      <c r="CZ102" s="2"/>
      <c r="DA102" s="2"/>
      <c r="DB102" s="58">
        <f t="shared" si="167"/>
        <v>0</v>
      </c>
      <c r="DC102" s="41">
        <f t="shared" si="148"/>
        <v>0</v>
      </c>
      <c r="DD102" s="2"/>
      <c r="DE102" s="2"/>
      <c r="DF102" s="2"/>
      <c r="DG102" s="2"/>
      <c r="DH102" s="2"/>
      <c r="DI102" s="2"/>
      <c r="DJ102" s="2"/>
      <c r="DK102" s="2"/>
    </row>
    <row r="103" spans="1:115" ht="8.4" customHeight="1" x14ac:dyDescent="0.25">
      <c r="A103" s="630">
        <v>3.1</v>
      </c>
      <c r="B103" s="606" t="s">
        <v>124</v>
      </c>
      <c r="C103" s="608" t="s">
        <v>6</v>
      </c>
      <c r="D103" s="610">
        <v>1</v>
      </c>
      <c r="E103" s="559">
        <f t="shared" si="175"/>
        <v>10</v>
      </c>
      <c r="F103" s="557">
        <f t="shared" ref="F103" si="188">K103*SUM(M103:AG103)/100</f>
        <v>0.18582165661601643</v>
      </c>
      <c r="G103" s="559">
        <f>D103*H103/100</f>
        <v>0</v>
      </c>
      <c r="H103" s="557">
        <f>SUM(L104:AJ104)</f>
        <v>0</v>
      </c>
      <c r="I103" s="612">
        <f>'BOQ แก้ไขสัญญา'!AF64</f>
        <v>4431757</v>
      </c>
      <c r="J103" s="593">
        <f t="shared" si="137"/>
        <v>4431757</v>
      </c>
      <c r="K103" s="595">
        <f>J103*100/GTotal</f>
        <v>1.8582165661601644</v>
      </c>
      <c r="L103" s="101"/>
      <c r="M103" s="354"/>
      <c r="N103" s="355"/>
      <c r="O103" s="355"/>
      <c r="P103" s="355"/>
      <c r="Q103" s="355"/>
      <c r="R103" s="356"/>
      <c r="S103" s="354"/>
      <c r="T103" s="355"/>
      <c r="U103" s="355"/>
      <c r="V103" s="355"/>
      <c r="W103" s="355"/>
      <c r="X103" s="354"/>
      <c r="Y103" s="355"/>
      <c r="Z103" s="355"/>
      <c r="AA103" s="358"/>
      <c r="AB103" s="358"/>
      <c r="AC103" s="358"/>
      <c r="AD103" s="359"/>
      <c r="AE103" s="357"/>
      <c r="AF103" s="358"/>
      <c r="AG103" s="358">
        <v>10</v>
      </c>
      <c r="AH103" s="357">
        <v>10</v>
      </c>
      <c r="AI103" s="396">
        <v>15</v>
      </c>
      <c r="AJ103" s="358">
        <v>10</v>
      </c>
      <c r="AK103" s="358">
        <v>10</v>
      </c>
      <c r="AL103" s="358">
        <v>10</v>
      </c>
      <c r="AM103" s="358">
        <v>10</v>
      </c>
      <c r="AN103" s="357">
        <v>10</v>
      </c>
      <c r="AO103" s="358">
        <v>10</v>
      </c>
      <c r="AP103" s="359">
        <v>5</v>
      </c>
      <c r="AQ103" s="357"/>
      <c r="AR103" s="358"/>
      <c r="AS103" s="358"/>
      <c r="AT103" s="357"/>
      <c r="AU103" s="357"/>
      <c r="AV103" s="357"/>
      <c r="AW103" s="367"/>
      <c r="AX103" s="85"/>
      <c r="AY103" s="5"/>
      <c r="AZ103" s="331">
        <v>10</v>
      </c>
      <c r="BE103" s="2"/>
      <c r="BF103" s="2"/>
      <c r="BG103" s="2"/>
      <c r="BH103" s="2"/>
      <c r="BI103" s="2"/>
      <c r="BJ103" s="2"/>
      <c r="BK103" s="2"/>
      <c r="BL103" s="2">
        <v>1</v>
      </c>
      <c r="BM103" s="54"/>
      <c r="BN103" s="11">
        <f t="shared" ref="BN103:CX103" si="189">M103*$K103/100</f>
        <v>0</v>
      </c>
      <c r="BO103" s="11">
        <f t="shared" si="189"/>
        <v>0</v>
      </c>
      <c r="BP103" s="11">
        <f t="shared" si="189"/>
        <v>0</v>
      </c>
      <c r="BQ103" s="11">
        <f t="shared" si="189"/>
        <v>0</v>
      </c>
      <c r="BR103" s="11">
        <f t="shared" si="189"/>
        <v>0</v>
      </c>
      <c r="BS103" s="236">
        <f t="shared" si="189"/>
        <v>0</v>
      </c>
      <c r="BT103" s="11">
        <f t="shared" si="189"/>
        <v>0</v>
      </c>
      <c r="BU103" s="11">
        <f t="shared" si="189"/>
        <v>0</v>
      </c>
      <c r="BV103" s="11">
        <f t="shared" si="189"/>
        <v>0</v>
      </c>
      <c r="BW103" s="11">
        <f t="shared" si="189"/>
        <v>0</v>
      </c>
      <c r="BX103" s="11">
        <f t="shared" si="189"/>
        <v>0</v>
      </c>
      <c r="BY103" s="11">
        <f t="shared" si="189"/>
        <v>0</v>
      </c>
      <c r="BZ103" s="11">
        <f t="shared" si="189"/>
        <v>0</v>
      </c>
      <c r="CA103" s="11">
        <f t="shared" si="189"/>
        <v>0</v>
      </c>
      <c r="CB103" s="11">
        <f t="shared" si="189"/>
        <v>0</v>
      </c>
      <c r="CC103" s="11">
        <f t="shared" si="189"/>
        <v>0</v>
      </c>
      <c r="CD103" s="11">
        <f t="shared" si="189"/>
        <v>0</v>
      </c>
      <c r="CE103" s="236">
        <f t="shared" si="189"/>
        <v>0</v>
      </c>
      <c r="CF103" s="11">
        <f t="shared" si="189"/>
        <v>0</v>
      </c>
      <c r="CG103" s="11">
        <f t="shared" si="189"/>
        <v>0</v>
      </c>
      <c r="CH103" s="11">
        <f t="shared" si="189"/>
        <v>0.18582165661601643</v>
      </c>
      <c r="CI103" s="11">
        <f t="shared" si="189"/>
        <v>0.18582165661601643</v>
      </c>
      <c r="CJ103" s="11">
        <f t="shared" si="189"/>
        <v>0.27873248492402469</v>
      </c>
      <c r="CK103" s="11">
        <f t="shared" si="189"/>
        <v>0.18582165661601643</v>
      </c>
      <c r="CL103" s="11">
        <f t="shared" si="189"/>
        <v>0.18582165661601643</v>
      </c>
      <c r="CM103" s="11">
        <f t="shared" si="189"/>
        <v>0.18582165661601643</v>
      </c>
      <c r="CN103" s="11">
        <f t="shared" si="189"/>
        <v>0.18582165661601643</v>
      </c>
      <c r="CO103" s="11">
        <f t="shared" si="189"/>
        <v>0.18582165661601643</v>
      </c>
      <c r="CP103" s="11">
        <f t="shared" si="189"/>
        <v>0.18582165661601643</v>
      </c>
      <c r="CQ103" s="11">
        <f t="shared" si="189"/>
        <v>9.2910828308008217E-2</v>
      </c>
      <c r="CR103" s="11">
        <f t="shared" si="189"/>
        <v>0</v>
      </c>
      <c r="CS103" s="11">
        <f t="shared" si="189"/>
        <v>0</v>
      </c>
      <c r="CT103" s="11">
        <f t="shared" si="189"/>
        <v>0</v>
      </c>
      <c r="CU103" s="11">
        <f t="shared" si="189"/>
        <v>0</v>
      </c>
      <c r="CV103" s="11">
        <f t="shared" si="189"/>
        <v>0</v>
      </c>
      <c r="CW103" s="11">
        <f t="shared" si="189"/>
        <v>0</v>
      </c>
      <c r="CX103" s="11">
        <f t="shared" si="189"/>
        <v>0</v>
      </c>
      <c r="CY103" s="50"/>
      <c r="CZ103" s="2"/>
      <c r="DA103" s="2"/>
      <c r="DB103" s="58">
        <f t="shared" si="167"/>
        <v>1.8582165661601646</v>
      </c>
      <c r="DC103" s="41">
        <f t="shared" si="148"/>
        <v>1.8582165661601644</v>
      </c>
      <c r="DD103" s="2"/>
      <c r="DE103" s="2"/>
      <c r="DF103" s="2"/>
      <c r="DG103" s="2"/>
      <c r="DH103" s="2"/>
      <c r="DI103" s="2"/>
      <c r="DJ103" s="2"/>
      <c r="DK103" s="2"/>
    </row>
    <row r="104" spans="1:115" ht="8.4" customHeight="1" x14ac:dyDescent="0.25">
      <c r="A104" s="631"/>
      <c r="B104" s="607"/>
      <c r="C104" s="609"/>
      <c r="D104" s="611"/>
      <c r="E104" s="560"/>
      <c r="F104" s="558"/>
      <c r="G104" s="560"/>
      <c r="H104" s="558"/>
      <c r="I104" s="613"/>
      <c r="J104" s="594"/>
      <c r="K104" s="603"/>
      <c r="L104" s="101"/>
      <c r="M104" s="360"/>
      <c r="N104" s="361"/>
      <c r="O104" s="361"/>
      <c r="P104" s="361"/>
      <c r="Q104" s="361"/>
      <c r="R104" s="362"/>
      <c r="S104" s="360"/>
      <c r="T104" s="361"/>
      <c r="U104" s="361"/>
      <c r="V104" s="361"/>
      <c r="W104" s="361"/>
      <c r="X104" s="360"/>
      <c r="Y104" s="361"/>
      <c r="Z104" s="361"/>
      <c r="AA104" s="363"/>
      <c r="AB104" s="363"/>
      <c r="AC104" s="363"/>
      <c r="AD104" s="364"/>
      <c r="AE104" s="365"/>
      <c r="AF104" s="363"/>
      <c r="AG104" s="397"/>
      <c r="AH104" s="365"/>
      <c r="AI104" s="363"/>
      <c r="AJ104" s="363"/>
      <c r="AK104" s="365"/>
      <c r="AL104" s="363"/>
      <c r="AM104" s="363"/>
      <c r="AN104" s="365"/>
      <c r="AO104" s="365"/>
      <c r="AP104" s="364"/>
      <c r="AQ104" s="365"/>
      <c r="AR104" s="365"/>
      <c r="AS104" s="365"/>
      <c r="AT104" s="365"/>
      <c r="AU104" s="365"/>
      <c r="AV104" s="365"/>
      <c r="AW104" s="366"/>
      <c r="AX104" s="85"/>
      <c r="AY104" s="5"/>
      <c r="AZ104" s="331"/>
      <c r="BE104" s="2"/>
      <c r="BF104" s="2"/>
      <c r="BG104" s="2"/>
      <c r="BH104" s="2"/>
      <c r="BI104" s="2"/>
      <c r="BJ104" s="2"/>
      <c r="BK104" s="2"/>
      <c r="BL104" s="2">
        <v>0</v>
      </c>
      <c r="BM104" s="53"/>
      <c r="BN104" s="11">
        <f t="shared" ref="BN104:CX104" si="190">M104*$K103/100</f>
        <v>0</v>
      </c>
      <c r="BO104" s="11">
        <f t="shared" si="190"/>
        <v>0</v>
      </c>
      <c r="BP104" s="11">
        <f t="shared" si="190"/>
        <v>0</v>
      </c>
      <c r="BQ104" s="11">
        <f t="shared" si="190"/>
        <v>0</v>
      </c>
      <c r="BR104" s="11">
        <f t="shared" si="190"/>
        <v>0</v>
      </c>
      <c r="BS104" s="236">
        <f t="shared" si="190"/>
        <v>0</v>
      </c>
      <c r="BT104" s="11">
        <f t="shared" si="190"/>
        <v>0</v>
      </c>
      <c r="BU104" s="11">
        <f t="shared" si="190"/>
        <v>0</v>
      </c>
      <c r="BV104" s="11">
        <f t="shared" si="190"/>
        <v>0</v>
      </c>
      <c r="BW104" s="11">
        <f t="shared" si="190"/>
        <v>0</v>
      </c>
      <c r="BX104" s="11">
        <f t="shared" si="190"/>
        <v>0</v>
      </c>
      <c r="BY104" s="11">
        <f t="shared" si="190"/>
        <v>0</v>
      </c>
      <c r="BZ104" s="11">
        <f t="shared" si="190"/>
        <v>0</v>
      </c>
      <c r="CA104" s="11">
        <f t="shared" si="190"/>
        <v>0</v>
      </c>
      <c r="CB104" s="11">
        <f t="shared" si="190"/>
        <v>0</v>
      </c>
      <c r="CC104" s="11">
        <f t="shared" si="190"/>
        <v>0</v>
      </c>
      <c r="CD104" s="11">
        <f t="shared" si="190"/>
        <v>0</v>
      </c>
      <c r="CE104" s="236">
        <f t="shared" si="190"/>
        <v>0</v>
      </c>
      <c r="CF104" s="11">
        <f t="shared" si="190"/>
        <v>0</v>
      </c>
      <c r="CG104" s="11">
        <f t="shared" si="190"/>
        <v>0</v>
      </c>
      <c r="CH104" s="11">
        <f t="shared" si="190"/>
        <v>0</v>
      </c>
      <c r="CI104" s="11">
        <f t="shared" si="190"/>
        <v>0</v>
      </c>
      <c r="CJ104" s="11">
        <f t="shared" si="190"/>
        <v>0</v>
      </c>
      <c r="CK104" s="11">
        <f t="shared" si="190"/>
        <v>0</v>
      </c>
      <c r="CL104" s="11">
        <f t="shared" si="190"/>
        <v>0</v>
      </c>
      <c r="CM104" s="11">
        <f t="shared" si="190"/>
        <v>0</v>
      </c>
      <c r="CN104" s="11">
        <f t="shared" si="190"/>
        <v>0</v>
      </c>
      <c r="CO104" s="11">
        <f t="shared" si="190"/>
        <v>0</v>
      </c>
      <c r="CP104" s="11">
        <f t="shared" si="190"/>
        <v>0</v>
      </c>
      <c r="CQ104" s="11">
        <f t="shared" si="190"/>
        <v>0</v>
      </c>
      <c r="CR104" s="11">
        <f t="shared" si="190"/>
        <v>0</v>
      </c>
      <c r="CS104" s="11">
        <f t="shared" si="190"/>
        <v>0</v>
      </c>
      <c r="CT104" s="11">
        <f t="shared" si="190"/>
        <v>0</v>
      </c>
      <c r="CU104" s="11">
        <f t="shared" si="190"/>
        <v>0</v>
      </c>
      <c r="CV104" s="11">
        <f t="shared" si="190"/>
        <v>0</v>
      </c>
      <c r="CW104" s="11">
        <f t="shared" si="190"/>
        <v>0</v>
      </c>
      <c r="CX104" s="11">
        <f t="shared" si="190"/>
        <v>0</v>
      </c>
      <c r="CY104" s="50"/>
      <c r="CZ104" s="2"/>
      <c r="DA104" s="2"/>
      <c r="DB104" s="58">
        <f t="shared" si="167"/>
        <v>0</v>
      </c>
      <c r="DC104" s="41">
        <f t="shared" si="148"/>
        <v>0</v>
      </c>
      <c r="DD104" s="2"/>
      <c r="DE104" s="2"/>
      <c r="DF104" s="2"/>
      <c r="DG104" s="2"/>
      <c r="DH104" s="2"/>
      <c r="DI104" s="2"/>
      <c r="DJ104" s="2"/>
      <c r="DK104" s="2"/>
    </row>
    <row r="105" spans="1:115" ht="8.4" customHeight="1" x14ac:dyDescent="0.25">
      <c r="A105" s="614">
        <v>4</v>
      </c>
      <c r="B105" s="616" t="s">
        <v>125</v>
      </c>
      <c r="C105" s="618"/>
      <c r="D105" s="620"/>
      <c r="E105" s="62"/>
      <c r="F105" s="63"/>
      <c r="G105" s="62"/>
      <c r="H105" s="63"/>
      <c r="I105" s="620"/>
      <c r="J105" s="620"/>
      <c r="K105" s="623"/>
      <c r="L105" s="101"/>
      <c r="M105" s="386"/>
      <c r="N105" s="387"/>
      <c r="O105" s="387"/>
      <c r="P105" s="387"/>
      <c r="Q105" s="387"/>
      <c r="R105" s="388"/>
      <c r="S105" s="386"/>
      <c r="T105" s="387"/>
      <c r="U105" s="387"/>
      <c r="V105" s="387"/>
      <c r="W105" s="387"/>
      <c r="X105" s="386"/>
      <c r="Y105" s="387"/>
      <c r="Z105" s="387"/>
      <c r="AA105" s="387"/>
      <c r="AB105" s="387"/>
      <c r="AC105" s="387"/>
      <c r="AD105" s="388"/>
      <c r="AE105" s="386"/>
      <c r="AF105" s="387"/>
      <c r="AG105" s="387"/>
      <c r="AH105" s="387"/>
      <c r="AI105" s="387"/>
      <c r="AJ105" s="387"/>
      <c r="AK105" s="386"/>
      <c r="AL105" s="387"/>
      <c r="AM105" s="387"/>
      <c r="AN105" s="386"/>
      <c r="AO105" s="386"/>
      <c r="AP105" s="388"/>
      <c r="AQ105" s="386"/>
      <c r="AR105" s="386"/>
      <c r="AS105" s="386"/>
      <c r="AT105" s="386"/>
      <c r="AU105" s="386"/>
      <c r="AV105" s="386"/>
      <c r="AW105" s="389"/>
      <c r="AX105" s="85"/>
      <c r="AY105" s="5"/>
      <c r="AZ105" s="331"/>
      <c r="BE105" s="2"/>
      <c r="BF105" s="2"/>
      <c r="BG105" s="2"/>
      <c r="BH105" s="2"/>
      <c r="BI105" s="2"/>
      <c r="BJ105" s="2"/>
      <c r="BK105" s="2"/>
      <c r="BL105" s="2"/>
      <c r="BM105" s="54"/>
      <c r="BN105" s="31"/>
      <c r="BO105" s="29"/>
      <c r="BP105" s="29"/>
      <c r="BQ105" s="29"/>
      <c r="BR105" s="29"/>
      <c r="BS105" s="30"/>
      <c r="BT105" s="31"/>
      <c r="BU105" s="29"/>
      <c r="BV105" s="29"/>
      <c r="BW105" s="29"/>
      <c r="BX105" s="29"/>
      <c r="BY105" s="31"/>
      <c r="BZ105" s="29"/>
      <c r="CA105" s="29"/>
      <c r="CB105" s="29"/>
      <c r="CC105" s="29"/>
      <c r="CD105" s="29"/>
      <c r="CE105" s="30"/>
      <c r="CF105" s="31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51"/>
      <c r="CZ105" s="2"/>
      <c r="DA105" s="2"/>
      <c r="DB105" s="58">
        <f t="shared" si="167"/>
        <v>0</v>
      </c>
      <c r="DC105" s="41">
        <f t="shared" si="148"/>
        <v>0</v>
      </c>
      <c r="DD105" s="2"/>
      <c r="DE105" s="2"/>
      <c r="DF105" s="2"/>
      <c r="DG105" s="2"/>
      <c r="DH105" s="2"/>
      <c r="DI105" s="2"/>
      <c r="DJ105" s="2"/>
      <c r="DK105" s="2"/>
    </row>
    <row r="106" spans="1:115" ht="8.4" customHeight="1" x14ac:dyDescent="0.25">
      <c r="A106" s="627"/>
      <c r="B106" s="628"/>
      <c r="C106" s="629"/>
      <c r="D106" s="622"/>
      <c r="E106" s="64"/>
      <c r="F106" s="65"/>
      <c r="G106" s="64"/>
      <c r="H106" s="65"/>
      <c r="I106" s="622"/>
      <c r="J106" s="622"/>
      <c r="K106" s="624"/>
      <c r="L106" s="101"/>
      <c r="M106" s="390"/>
      <c r="N106" s="391"/>
      <c r="O106" s="391"/>
      <c r="P106" s="391"/>
      <c r="Q106" s="391"/>
      <c r="R106" s="392"/>
      <c r="S106" s="390"/>
      <c r="T106" s="391"/>
      <c r="U106" s="391"/>
      <c r="V106" s="391"/>
      <c r="W106" s="391"/>
      <c r="X106" s="390"/>
      <c r="Y106" s="391"/>
      <c r="Z106" s="391"/>
      <c r="AA106" s="391"/>
      <c r="AB106" s="391"/>
      <c r="AC106" s="391"/>
      <c r="AD106" s="392"/>
      <c r="AE106" s="390"/>
      <c r="AF106" s="391"/>
      <c r="AG106" s="391"/>
      <c r="AH106" s="391"/>
      <c r="AI106" s="391"/>
      <c r="AJ106" s="391"/>
      <c r="AK106" s="390"/>
      <c r="AL106" s="391"/>
      <c r="AM106" s="391"/>
      <c r="AN106" s="390"/>
      <c r="AO106" s="390"/>
      <c r="AP106" s="398"/>
      <c r="AQ106" s="390"/>
      <c r="AR106" s="390"/>
      <c r="AS106" s="390"/>
      <c r="AT106" s="390"/>
      <c r="AU106" s="390"/>
      <c r="AV106" s="390"/>
      <c r="AW106" s="393"/>
      <c r="AX106" s="85"/>
      <c r="AY106" s="5"/>
      <c r="AZ106" s="331"/>
      <c r="BE106" s="2"/>
      <c r="BF106" s="2"/>
      <c r="BG106" s="2"/>
      <c r="BH106" s="2"/>
      <c r="BI106" s="2"/>
      <c r="BJ106" s="2"/>
      <c r="BK106" s="2"/>
      <c r="BL106" s="2"/>
      <c r="BM106" s="53"/>
      <c r="BN106" s="28"/>
      <c r="BO106" s="26"/>
      <c r="BP106" s="26"/>
      <c r="BQ106" s="26"/>
      <c r="BR106" s="26"/>
      <c r="BS106" s="27"/>
      <c r="BT106" s="28"/>
      <c r="BU106" s="26"/>
      <c r="BV106" s="26"/>
      <c r="BW106" s="26"/>
      <c r="BX106" s="26"/>
      <c r="BY106" s="28"/>
      <c r="BZ106" s="26"/>
      <c r="CA106" s="26"/>
      <c r="CB106" s="26"/>
      <c r="CC106" s="26"/>
      <c r="CD106" s="26"/>
      <c r="CE106" s="27"/>
      <c r="CF106" s="28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51"/>
      <c r="CZ106" s="2"/>
      <c r="DA106" s="2"/>
      <c r="DB106" s="58">
        <f t="shared" si="167"/>
        <v>0</v>
      </c>
      <c r="DC106" s="41">
        <f t="shared" si="148"/>
        <v>0</v>
      </c>
      <c r="DD106" s="2"/>
      <c r="DE106" s="2"/>
      <c r="DF106" s="2"/>
      <c r="DG106" s="2"/>
      <c r="DH106" s="2"/>
      <c r="DI106" s="2"/>
      <c r="DJ106" s="2"/>
      <c r="DK106" s="2"/>
    </row>
    <row r="107" spans="1:115" ht="8.4" customHeight="1" x14ac:dyDescent="0.25">
      <c r="A107" s="604">
        <v>4.0999999999999996</v>
      </c>
      <c r="B107" s="606" t="s">
        <v>126</v>
      </c>
      <c r="C107" s="608" t="s">
        <v>6</v>
      </c>
      <c r="D107" s="610">
        <v>1</v>
      </c>
      <c r="E107" s="559">
        <f t="shared" ref="E107" si="191">F107*100/SUM(K107)</f>
        <v>0</v>
      </c>
      <c r="F107" s="557">
        <f>K107*SUM(M107:AG107)/100</f>
        <v>0</v>
      </c>
      <c r="G107" s="625">
        <f>D107*H107/100</f>
        <v>0</v>
      </c>
      <c r="H107" s="557">
        <f>SUM(L108:AJ108)</f>
        <v>0</v>
      </c>
      <c r="I107" s="612">
        <f>'BOQ แก้ไขสัญญา'!AF64</f>
        <v>4431757</v>
      </c>
      <c r="J107" s="593">
        <f>'BOQ แก้ไขสัญญา'!AF66</f>
        <v>2540833</v>
      </c>
      <c r="K107" s="595">
        <f>J107*100/GTotal</f>
        <v>1.0653603012183268</v>
      </c>
      <c r="L107" s="101"/>
      <c r="M107" s="354"/>
      <c r="N107" s="355"/>
      <c r="O107" s="355"/>
      <c r="P107" s="355"/>
      <c r="Q107" s="355"/>
      <c r="R107" s="356"/>
      <c r="S107" s="354"/>
      <c r="T107" s="355"/>
      <c r="U107" s="355"/>
      <c r="V107" s="355"/>
      <c r="W107" s="355"/>
      <c r="X107" s="354"/>
      <c r="Y107" s="355"/>
      <c r="Z107" s="355"/>
      <c r="AA107" s="355"/>
      <c r="AB107" s="355"/>
      <c r="AC107" s="355"/>
      <c r="AD107" s="359"/>
      <c r="AE107" s="357"/>
      <c r="AF107" s="358"/>
      <c r="AG107" s="358"/>
      <c r="AH107" s="358"/>
      <c r="AI107" s="358">
        <v>5</v>
      </c>
      <c r="AJ107" s="358">
        <v>10</v>
      </c>
      <c r="AK107" s="357">
        <v>25</v>
      </c>
      <c r="AL107" s="358">
        <v>25</v>
      </c>
      <c r="AM107" s="358">
        <v>25</v>
      </c>
      <c r="AN107" s="357">
        <v>10</v>
      </c>
      <c r="AO107" s="354"/>
      <c r="AP107" s="356"/>
      <c r="AQ107" s="354"/>
      <c r="AR107" s="354"/>
      <c r="AS107" s="354"/>
      <c r="AT107" s="354"/>
      <c r="AU107" s="354"/>
      <c r="AV107" s="354"/>
      <c r="AW107" s="367"/>
      <c r="AX107" s="85"/>
      <c r="AY107" s="5"/>
      <c r="AZ107" s="331"/>
      <c r="BE107" s="2"/>
      <c r="BF107" s="2"/>
      <c r="BG107" s="2"/>
      <c r="BH107" s="2"/>
      <c r="BI107" s="2"/>
      <c r="BJ107" s="2"/>
      <c r="BK107" s="2"/>
      <c r="BL107" s="2">
        <v>1</v>
      </c>
      <c r="BM107" s="54"/>
      <c r="BN107" s="11">
        <f t="shared" ref="BN107:CX107" si="192">M107*$K107/100</f>
        <v>0</v>
      </c>
      <c r="BO107" s="11">
        <f t="shared" si="192"/>
        <v>0</v>
      </c>
      <c r="BP107" s="11">
        <f t="shared" si="192"/>
        <v>0</v>
      </c>
      <c r="BQ107" s="11">
        <f t="shared" si="192"/>
        <v>0</v>
      </c>
      <c r="BR107" s="11">
        <f t="shared" si="192"/>
        <v>0</v>
      </c>
      <c r="BS107" s="10">
        <f t="shared" si="192"/>
        <v>0</v>
      </c>
      <c r="BT107" s="11">
        <f t="shared" si="192"/>
        <v>0</v>
      </c>
      <c r="BU107" s="11">
        <f t="shared" si="192"/>
        <v>0</v>
      </c>
      <c r="BV107" s="11">
        <f t="shared" si="192"/>
        <v>0</v>
      </c>
      <c r="BW107" s="11">
        <f t="shared" si="192"/>
        <v>0</v>
      </c>
      <c r="BX107" s="11">
        <f t="shared" si="192"/>
        <v>0</v>
      </c>
      <c r="BY107" s="11">
        <f t="shared" si="192"/>
        <v>0</v>
      </c>
      <c r="BZ107" s="11">
        <f t="shared" si="192"/>
        <v>0</v>
      </c>
      <c r="CA107" s="11">
        <f t="shared" si="192"/>
        <v>0</v>
      </c>
      <c r="CB107" s="11">
        <f t="shared" si="192"/>
        <v>0</v>
      </c>
      <c r="CC107" s="11">
        <f t="shared" si="192"/>
        <v>0</v>
      </c>
      <c r="CD107" s="11">
        <f t="shared" si="192"/>
        <v>0</v>
      </c>
      <c r="CE107" s="10">
        <f t="shared" si="192"/>
        <v>0</v>
      </c>
      <c r="CF107" s="11">
        <f t="shared" si="192"/>
        <v>0</v>
      </c>
      <c r="CG107" s="11">
        <f t="shared" si="192"/>
        <v>0</v>
      </c>
      <c r="CH107" s="11">
        <f t="shared" si="192"/>
        <v>0</v>
      </c>
      <c r="CI107" s="11">
        <f t="shared" si="192"/>
        <v>0</v>
      </c>
      <c r="CJ107" s="11">
        <f t="shared" si="192"/>
        <v>5.3268015060916343E-2</v>
      </c>
      <c r="CK107" s="9">
        <f t="shared" si="192"/>
        <v>0.10653603012183269</v>
      </c>
      <c r="CL107" s="9">
        <f t="shared" si="192"/>
        <v>0.2663400753045817</v>
      </c>
      <c r="CM107" s="9">
        <f t="shared" si="192"/>
        <v>0.2663400753045817</v>
      </c>
      <c r="CN107" s="9">
        <f t="shared" si="192"/>
        <v>0.2663400753045817</v>
      </c>
      <c r="CO107" s="9">
        <f t="shared" si="192"/>
        <v>0.10653603012183269</v>
      </c>
      <c r="CP107" s="9">
        <f t="shared" si="192"/>
        <v>0</v>
      </c>
      <c r="CQ107" s="9">
        <f t="shared" si="192"/>
        <v>0</v>
      </c>
      <c r="CR107" s="9">
        <f t="shared" si="192"/>
        <v>0</v>
      </c>
      <c r="CS107" s="9">
        <f t="shared" si="192"/>
        <v>0</v>
      </c>
      <c r="CT107" s="9">
        <f t="shared" si="192"/>
        <v>0</v>
      </c>
      <c r="CU107" s="9">
        <f t="shared" si="192"/>
        <v>0</v>
      </c>
      <c r="CV107" s="9">
        <f t="shared" si="192"/>
        <v>0</v>
      </c>
      <c r="CW107" s="9">
        <f t="shared" si="192"/>
        <v>0</v>
      </c>
      <c r="CX107" s="9">
        <f t="shared" si="192"/>
        <v>0</v>
      </c>
      <c r="CY107" s="50"/>
      <c r="CZ107" s="2"/>
      <c r="DA107" s="2"/>
      <c r="DB107" s="58">
        <f t="shared" si="167"/>
        <v>1.0653603012183268</v>
      </c>
      <c r="DC107" s="41">
        <f t="shared" ref="DC107:DC112" si="193">K107</f>
        <v>1.0653603012183268</v>
      </c>
      <c r="DD107" s="2"/>
      <c r="DE107" s="2"/>
      <c r="DF107" s="2"/>
      <c r="DG107" s="2"/>
      <c r="DH107" s="2"/>
      <c r="DI107" s="2"/>
      <c r="DJ107" s="2"/>
      <c r="DK107" s="2"/>
    </row>
    <row r="108" spans="1:115" ht="8.4" customHeight="1" x14ac:dyDescent="0.25">
      <c r="A108" s="605"/>
      <c r="B108" s="607"/>
      <c r="C108" s="609"/>
      <c r="D108" s="611"/>
      <c r="E108" s="560"/>
      <c r="F108" s="558"/>
      <c r="G108" s="626"/>
      <c r="H108" s="558"/>
      <c r="I108" s="613"/>
      <c r="J108" s="594"/>
      <c r="K108" s="603"/>
      <c r="L108" s="101"/>
      <c r="M108" s="360"/>
      <c r="N108" s="361"/>
      <c r="O108" s="361"/>
      <c r="P108" s="361"/>
      <c r="Q108" s="361"/>
      <c r="R108" s="362"/>
      <c r="S108" s="360"/>
      <c r="T108" s="361"/>
      <c r="U108" s="361"/>
      <c r="V108" s="361"/>
      <c r="W108" s="361"/>
      <c r="X108" s="360"/>
      <c r="Y108" s="361"/>
      <c r="Z108" s="361"/>
      <c r="AA108" s="361"/>
      <c r="AB108" s="361"/>
      <c r="AC108" s="361"/>
      <c r="AD108" s="364"/>
      <c r="AE108" s="365"/>
      <c r="AF108" s="363"/>
      <c r="AG108" s="363"/>
      <c r="AH108" s="363"/>
      <c r="AI108" s="363"/>
      <c r="AJ108" s="363"/>
      <c r="AK108" s="365"/>
      <c r="AL108" s="363"/>
      <c r="AM108" s="363"/>
      <c r="AN108" s="365"/>
      <c r="AO108" s="360"/>
      <c r="AP108" s="362"/>
      <c r="AQ108" s="360"/>
      <c r="AR108" s="360"/>
      <c r="AS108" s="360"/>
      <c r="AT108" s="360"/>
      <c r="AU108" s="360"/>
      <c r="AV108" s="360"/>
      <c r="AW108" s="366"/>
      <c r="AX108" s="85"/>
      <c r="AY108" s="5"/>
      <c r="AZ108" s="331"/>
      <c r="BE108" s="2"/>
      <c r="BF108" s="2"/>
      <c r="BG108" s="2"/>
      <c r="BH108" s="2"/>
      <c r="BI108" s="2"/>
      <c r="BJ108" s="2"/>
      <c r="BK108" s="2"/>
      <c r="BL108" s="2">
        <v>0</v>
      </c>
      <c r="BM108" s="53"/>
      <c r="BN108" s="11">
        <f t="shared" ref="BN108:CX108" si="194">M108*$K107/100</f>
        <v>0</v>
      </c>
      <c r="BO108" s="11">
        <f t="shared" si="194"/>
        <v>0</v>
      </c>
      <c r="BP108" s="11">
        <f t="shared" si="194"/>
        <v>0</v>
      </c>
      <c r="BQ108" s="11">
        <f t="shared" si="194"/>
        <v>0</v>
      </c>
      <c r="BR108" s="11">
        <f t="shared" si="194"/>
        <v>0</v>
      </c>
      <c r="BS108" s="10">
        <f t="shared" si="194"/>
        <v>0</v>
      </c>
      <c r="BT108" s="11">
        <f t="shared" si="194"/>
        <v>0</v>
      </c>
      <c r="BU108" s="11">
        <f t="shared" si="194"/>
        <v>0</v>
      </c>
      <c r="BV108" s="11">
        <f t="shared" si="194"/>
        <v>0</v>
      </c>
      <c r="BW108" s="11">
        <f t="shared" si="194"/>
        <v>0</v>
      </c>
      <c r="BX108" s="11">
        <f t="shared" si="194"/>
        <v>0</v>
      </c>
      <c r="BY108" s="11">
        <f t="shared" si="194"/>
        <v>0</v>
      </c>
      <c r="BZ108" s="11">
        <f t="shared" si="194"/>
        <v>0</v>
      </c>
      <c r="CA108" s="11">
        <f t="shared" si="194"/>
        <v>0</v>
      </c>
      <c r="CB108" s="11">
        <f t="shared" si="194"/>
        <v>0</v>
      </c>
      <c r="CC108" s="11">
        <f t="shared" si="194"/>
        <v>0</v>
      </c>
      <c r="CD108" s="11">
        <f t="shared" si="194"/>
        <v>0</v>
      </c>
      <c r="CE108" s="10">
        <f t="shared" si="194"/>
        <v>0</v>
      </c>
      <c r="CF108" s="11">
        <f t="shared" si="194"/>
        <v>0</v>
      </c>
      <c r="CG108" s="11">
        <f t="shared" si="194"/>
        <v>0</v>
      </c>
      <c r="CH108" s="11">
        <f t="shared" si="194"/>
        <v>0</v>
      </c>
      <c r="CI108" s="11">
        <f t="shared" si="194"/>
        <v>0</v>
      </c>
      <c r="CJ108" s="11">
        <f t="shared" si="194"/>
        <v>0</v>
      </c>
      <c r="CK108" s="9">
        <f t="shared" si="194"/>
        <v>0</v>
      </c>
      <c r="CL108" s="9">
        <f t="shared" si="194"/>
        <v>0</v>
      </c>
      <c r="CM108" s="9">
        <f t="shared" si="194"/>
        <v>0</v>
      </c>
      <c r="CN108" s="9">
        <f t="shared" si="194"/>
        <v>0</v>
      </c>
      <c r="CO108" s="9">
        <f t="shared" si="194"/>
        <v>0</v>
      </c>
      <c r="CP108" s="9">
        <f t="shared" si="194"/>
        <v>0</v>
      </c>
      <c r="CQ108" s="9">
        <f t="shared" si="194"/>
        <v>0</v>
      </c>
      <c r="CR108" s="9">
        <f t="shared" si="194"/>
        <v>0</v>
      </c>
      <c r="CS108" s="9">
        <f t="shared" si="194"/>
        <v>0</v>
      </c>
      <c r="CT108" s="9">
        <f t="shared" si="194"/>
        <v>0</v>
      </c>
      <c r="CU108" s="9">
        <f t="shared" si="194"/>
        <v>0</v>
      </c>
      <c r="CV108" s="9">
        <f t="shared" si="194"/>
        <v>0</v>
      </c>
      <c r="CW108" s="9">
        <f t="shared" si="194"/>
        <v>0</v>
      </c>
      <c r="CX108" s="9">
        <f t="shared" si="194"/>
        <v>0</v>
      </c>
      <c r="CY108" s="50"/>
      <c r="CZ108" s="2"/>
      <c r="DA108" s="2"/>
      <c r="DB108" s="58">
        <f t="shared" si="167"/>
        <v>0</v>
      </c>
      <c r="DC108" s="41">
        <f t="shared" si="193"/>
        <v>0</v>
      </c>
      <c r="DD108" s="2"/>
      <c r="DE108" s="2"/>
      <c r="DF108" s="2"/>
      <c r="DG108" s="2"/>
      <c r="DH108" s="2"/>
      <c r="DI108" s="2"/>
      <c r="DJ108" s="2"/>
      <c r="DK108" s="2"/>
    </row>
    <row r="109" spans="1:115" ht="8.4" customHeight="1" x14ac:dyDescent="0.25">
      <c r="A109" s="614">
        <v>5</v>
      </c>
      <c r="B109" s="616" t="s">
        <v>127</v>
      </c>
      <c r="C109" s="618"/>
      <c r="D109" s="620"/>
      <c r="E109" s="62"/>
      <c r="F109" s="63"/>
      <c r="G109" s="62"/>
      <c r="H109" s="63"/>
      <c r="I109" s="620"/>
      <c r="J109" s="620"/>
      <c r="K109" s="623"/>
      <c r="L109" s="101"/>
      <c r="M109" s="386"/>
      <c r="N109" s="387"/>
      <c r="O109" s="387"/>
      <c r="P109" s="387"/>
      <c r="Q109" s="387"/>
      <c r="R109" s="388"/>
      <c r="S109" s="386"/>
      <c r="T109" s="387"/>
      <c r="U109" s="387"/>
      <c r="V109" s="387"/>
      <c r="W109" s="387"/>
      <c r="X109" s="386"/>
      <c r="Y109" s="387"/>
      <c r="Z109" s="387"/>
      <c r="AA109" s="387"/>
      <c r="AB109" s="387"/>
      <c r="AC109" s="387"/>
      <c r="AD109" s="399"/>
      <c r="AE109" s="400"/>
      <c r="AF109" s="401"/>
      <c r="AG109" s="401"/>
      <c r="AH109" s="401"/>
      <c r="AI109" s="401"/>
      <c r="AJ109" s="401"/>
      <c r="AK109" s="400"/>
      <c r="AL109" s="401"/>
      <c r="AM109" s="401"/>
      <c r="AN109" s="400"/>
      <c r="AO109" s="386"/>
      <c r="AP109" s="388"/>
      <c r="AQ109" s="386"/>
      <c r="AR109" s="386"/>
      <c r="AS109" s="386"/>
      <c r="AT109" s="386"/>
      <c r="AU109" s="386"/>
      <c r="AV109" s="386"/>
      <c r="AW109" s="389"/>
      <c r="AX109" s="85"/>
      <c r="AY109" s="5"/>
      <c r="AZ109" s="331"/>
      <c r="BE109" s="2"/>
      <c r="BF109" s="2"/>
      <c r="BG109" s="2"/>
      <c r="BH109" s="2"/>
      <c r="BI109" s="2"/>
      <c r="BJ109" s="2"/>
      <c r="BK109" s="2"/>
      <c r="BL109" s="2"/>
      <c r="BM109" s="54"/>
      <c r="BN109" s="31"/>
      <c r="BO109" s="29"/>
      <c r="BP109" s="29"/>
      <c r="BQ109" s="29"/>
      <c r="BR109" s="29"/>
      <c r="BS109" s="30"/>
      <c r="BT109" s="31"/>
      <c r="BU109" s="29"/>
      <c r="BV109" s="29"/>
      <c r="BW109" s="29"/>
      <c r="BX109" s="29"/>
      <c r="BY109" s="31"/>
      <c r="BZ109" s="29"/>
      <c r="CA109" s="29"/>
      <c r="CB109" s="29"/>
      <c r="CC109" s="29"/>
      <c r="CD109" s="29"/>
      <c r="CE109" s="30"/>
      <c r="CF109" s="31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51"/>
      <c r="CZ109" s="2"/>
      <c r="DA109" s="2"/>
      <c r="DB109" s="58">
        <f t="shared" si="167"/>
        <v>0</v>
      </c>
      <c r="DC109" s="41">
        <f t="shared" si="193"/>
        <v>0</v>
      </c>
      <c r="DD109" s="2"/>
      <c r="DE109" s="2"/>
      <c r="DF109" s="2"/>
      <c r="DG109" s="2"/>
      <c r="DH109" s="2"/>
      <c r="DI109" s="2"/>
      <c r="DJ109" s="2"/>
      <c r="DK109" s="2"/>
    </row>
    <row r="110" spans="1:115" ht="8.4" customHeight="1" x14ac:dyDescent="0.25">
      <c r="A110" s="615"/>
      <c r="B110" s="617"/>
      <c r="C110" s="619"/>
      <c r="D110" s="621"/>
      <c r="E110" s="66"/>
      <c r="F110" s="67"/>
      <c r="G110" s="66"/>
      <c r="H110" s="67"/>
      <c r="I110" s="622"/>
      <c r="J110" s="622"/>
      <c r="K110" s="624"/>
      <c r="L110" s="101"/>
      <c r="M110" s="402"/>
      <c r="N110" s="403"/>
      <c r="O110" s="403"/>
      <c r="P110" s="403"/>
      <c r="Q110" s="403"/>
      <c r="R110" s="398"/>
      <c r="S110" s="402"/>
      <c r="T110" s="403"/>
      <c r="U110" s="403"/>
      <c r="V110" s="403"/>
      <c r="W110" s="403"/>
      <c r="X110" s="402"/>
      <c r="Y110" s="403"/>
      <c r="Z110" s="403"/>
      <c r="AA110" s="403"/>
      <c r="AB110" s="403"/>
      <c r="AC110" s="403"/>
      <c r="AD110" s="404"/>
      <c r="AE110" s="405"/>
      <c r="AF110" s="406"/>
      <c r="AG110" s="406"/>
      <c r="AH110" s="406"/>
      <c r="AI110" s="406"/>
      <c r="AJ110" s="406"/>
      <c r="AK110" s="405"/>
      <c r="AL110" s="406"/>
      <c r="AM110" s="406"/>
      <c r="AN110" s="405"/>
      <c r="AO110" s="402"/>
      <c r="AP110" s="398"/>
      <c r="AQ110" s="402"/>
      <c r="AR110" s="402"/>
      <c r="AS110" s="402"/>
      <c r="AT110" s="402"/>
      <c r="AU110" s="402"/>
      <c r="AV110" s="402"/>
      <c r="AW110" s="407"/>
      <c r="AX110" s="85"/>
      <c r="AY110" s="5"/>
      <c r="AZ110" s="331"/>
      <c r="BE110" s="2"/>
      <c r="BF110" s="2"/>
      <c r="BG110" s="2"/>
      <c r="BH110" s="2"/>
      <c r="BI110" s="2"/>
      <c r="BJ110" s="2"/>
      <c r="BK110" s="2"/>
      <c r="BL110" s="2"/>
      <c r="BM110" s="53"/>
      <c r="BN110" s="34"/>
      <c r="BO110" s="32"/>
      <c r="BP110" s="32"/>
      <c r="BQ110" s="32"/>
      <c r="BR110" s="32"/>
      <c r="BS110" s="33"/>
      <c r="BT110" s="34"/>
      <c r="BU110" s="32"/>
      <c r="BV110" s="32"/>
      <c r="BW110" s="32"/>
      <c r="BX110" s="32"/>
      <c r="BY110" s="34"/>
      <c r="BZ110" s="32"/>
      <c r="CA110" s="32"/>
      <c r="CB110" s="32"/>
      <c r="CC110" s="32"/>
      <c r="CD110" s="32"/>
      <c r="CE110" s="33"/>
      <c r="CF110" s="34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51"/>
      <c r="CZ110" s="2"/>
      <c r="DA110" s="2"/>
      <c r="DB110" s="58">
        <f t="shared" si="167"/>
        <v>0</v>
      </c>
      <c r="DC110" s="41">
        <f t="shared" si="193"/>
        <v>0</v>
      </c>
      <c r="DD110" s="2"/>
      <c r="DE110" s="2"/>
      <c r="DF110" s="2"/>
      <c r="DG110" s="2"/>
      <c r="DH110" s="2"/>
      <c r="DI110" s="2"/>
      <c r="DJ110" s="2"/>
      <c r="DK110" s="2"/>
    </row>
    <row r="111" spans="1:115" ht="8.4" customHeight="1" x14ac:dyDescent="0.25">
      <c r="A111" s="604">
        <v>5.0999999999999996</v>
      </c>
      <c r="B111" s="606" t="s">
        <v>127</v>
      </c>
      <c r="C111" s="608" t="s">
        <v>6</v>
      </c>
      <c r="D111" s="610">
        <v>1</v>
      </c>
      <c r="E111" s="559">
        <f t="shared" ref="E111" si="195">F111*100/SUM(K111)</f>
        <v>100</v>
      </c>
      <c r="F111" s="557">
        <f>K111*SUM(M111:AG111)/100</f>
        <v>0.24075580595688592</v>
      </c>
      <c r="G111" s="559">
        <f>D111*H111/100</f>
        <v>0</v>
      </c>
      <c r="H111" s="557">
        <f>SUM(L112:AJ112)</f>
        <v>0</v>
      </c>
      <c r="I111" s="612">
        <v>574191</v>
      </c>
      <c r="J111" s="593">
        <f t="shared" si="137"/>
        <v>574191</v>
      </c>
      <c r="K111" s="595">
        <f>J111*100/GTotal</f>
        <v>0.24075580595688592</v>
      </c>
      <c r="L111" s="102"/>
      <c r="M111" s="354"/>
      <c r="N111" s="355"/>
      <c r="O111" s="355"/>
      <c r="P111" s="355"/>
      <c r="Q111" s="355"/>
      <c r="R111" s="356"/>
      <c r="S111" s="354"/>
      <c r="T111" s="355"/>
      <c r="U111" s="355"/>
      <c r="V111" s="355"/>
      <c r="W111" s="355"/>
      <c r="X111" s="354"/>
      <c r="Y111" s="355"/>
      <c r="Z111" s="355"/>
      <c r="AA111" s="355"/>
      <c r="AB111" s="355"/>
      <c r="AC111" s="355"/>
      <c r="AD111" s="359">
        <v>25</v>
      </c>
      <c r="AE111" s="357">
        <v>25</v>
      </c>
      <c r="AF111" s="358">
        <v>25</v>
      </c>
      <c r="AG111" s="358">
        <v>25</v>
      </c>
      <c r="AH111" s="358"/>
      <c r="AI111" s="358"/>
      <c r="AJ111" s="358"/>
      <c r="AK111" s="357"/>
      <c r="AL111" s="358"/>
      <c r="AM111" s="358"/>
      <c r="AN111" s="357"/>
      <c r="AO111" s="354"/>
      <c r="AP111" s="356"/>
      <c r="AQ111" s="354"/>
      <c r="AR111" s="354"/>
      <c r="AS111" s="354"/>
      <c r="AT111" s="354"/>
      <c r="AU111" s="354"/>
      <c r="AV111" s="354"/>
      <c r="AW111" s="367"/>
      <c r="AX111" s="86"/>
      <c r="AY111" s="5"/>
      <c r="AZ111" s="331"/>
      <c r="BE111" s="2"/>
      <c r="BF111" s="2"/>
      <c r="BG111" s="2"/>
      <c r="BH111" s="2"/>
      <c r="BI111" s="2"/>
      <c r="BJ111" s="2"/>
      <c r="BK111" s="2"/>
      <c r="BL111" s="2">
        <v>1</v>
      </c>
      <c r="BM111" s="54"/>
      <c r="BN111" s="11">
        <f t="shared" ref="BN111:CX111" si="196">M111*$K111/100</f>
        <v>0</v>
      </c>
      <c r="BO111" s="11">
        <f t="shared" si="196"/>
        <v>0</v>
      </c>
      <c r="BP111" s="11">
        <f t="shared" si="196"/>
        <v>0</v>
      </c>
      <c r="BQ111" s="11">
        <f t="shared" si="196"/>
        <v>0</v>
      </c>
      <c r="BR111" s="11">
        <f t="shared" si="196"/>
        <v>0</v>
      </c>
      <c r="BS111" s="250">
        <f t="shared" si="196"/>
        <v>0</v>
      </c>
      <c r="BT111" s="11">
        <f t="shared" si="196"/>
        <v>0</v>
      </c>
      <c r="BU111" s="11">
        <f t="shared" si="196"/>
        <v>0</v>
      </c>
      <c r="BV111" s="11">
        <f t="shared" si="196"/>
        <v>0</v>
      </c>
      <c r="BW111" s="11">
        <f t="shared" si="196"/>
        <v>0</v>
      </c>
      <c r="BX111" s="11">
        <f t="shared" si="196"/>
        <v>0</v>
      </c>
      <c r="BY111" s="11">
        <f t="shared" si="196"/>
        <v>0</v>
      </c>
      <c r="BZ111" s="11">
        <f t="shared" si="196"/>
        <v>0</v>
      </c>
      <c r="CA111" s="11">
        <f t="shared" si="196"/>
        <v>0</v>
      </c>
      <c r="CB111" s="11">
        <f t="shared" si="196"/>
        <v>0</v>
      </c>
      <c r="CC111" s="11">
        <f t="shared" si="196"/>
        <v>0</v>
      </c>
      <c r="CD111" s="11">
        <f t="shared" si="196"/>
        <v>0</v>
      </c>
      <c r="CE111" s="250">
        <f t="shared" si="196"/>
        <v>6.018895148922148E-2</v>
      </c>
      <c r="CF111" s="11">
        <f t="shared" si="196"/>
        <v>6.018895148922148E-2</v>
      </c>
      <c r="CG111" s="11">
        <f t="shared" si="196"/>
        <v>6.018895148922148E-2</v>
      </c>
      <c r="CH111" s="11">
        <f t="shared" si="196"/>
        <v>6.018895148922148E-2</v>
      </c>
      <c r="CI111" s="11">
        <f t="shared" si="196"/>
        <v>0</v>
      </c>
      <c r="CJ111" s="11">
        <f t="shared" si="196"/>
        <v>0</v>
      </c>
      <c r="CK111" s="9">
        <f t="shared" si="196"/>
        <v>0</v>
      </c>
      <c r="CL111" s="9">
        <f t="shared" si="196"/>
        <v>0</v>
      </c>
      <c r="CM111" s="9">
        <f t="shared" si="196"/>
        <v>0</v>
      </c>
      <c r="CN111" s="9">
        <f t="shared" si="196"/>
        <v>0</v>
      </c>
      <c r="CO111" s="9">
        <f t="shared" si="196"/>
        <v>0</v>
      </c>
      <c r="CP111" s="9">
        <f t="shared" si="196"/>
        <v>0</v>
      </c>
      <c r="CQ111" s="9">
        <f t="shared" si="196"/>
        <v>0</v>
      </c>
      <c r="CR111" s="9">
        <f t="shared" si="196"/>
        <v>0</v>
      </c>
      <c r="CS111" s="9">
        <f t="shared" si="196"/>
        <v>0</v>
      </c>
      <c r="CT111" s="9">
        <f t="shared" si="196"/>
        <v>0</v>
      </c>
      <c r="CU111" s="9">
        <f t="shared" si="196"/>
        <v>0</v>
      </c>
      <c r="CV111" s="9">
        <f t="shared" si="196"/>
        <v>0</v>
      </c>
      <c r="CW111" s="9">
        <f t="shared" si="196"/>
        <v>0</v>
      </c>
      <c r="CX111" s="9">
        <f t="shared" si="196"/>
        <v>0</v>
      </c>
      <c r="CY111" s="50"/>
      <c r="CZ111" s="2"/>
      <c r="DA111" s="2"/>
      <c r="DB111" s="58">
        <f t="shared" si="167"/>
        <v>0.24075580595688592</v>
      </c>
      <c r="DC111" s="41">
        <f t="shared" si="193"/>
        <v>0.24075580595688592</v>
      </c>
      <c r="DD111" s="2"/>
      <c r="DE111" s="2"/>
      <c r="DF111" s="2"/>
      <c r="DG111" s="2"/>
      <c r="DH111" s="2"/>
      <c r="DI111" s="2"/>
      <c r="DJ111" s="2"/>
      <c r="DK111" s="2"/>
    </row>
    <row r="112" spans="1:115" ht="8.4" customHeight="1" x14ac:dyDescent="0.25">
      <c r="A112" s="605"/>
      <c r="B112" s="607"/>
      <c r="C112" s="609"/>
      <c r="D112" s="611"/>
      <c r="E112" s="560"/>
      <c r="F112" s="558"/>
      <c r="G112" s="560"/>
      <c r="H112" s="558"/>
      <c r="I112" s="613"/>
      <c r="J112" s="594"/>
      <c r="K112" s="602"/>
      <c r="L112" s="103"/>
      <c r="M112" s="360"/>
      <c r="N112" s="361"/>
      <c r="O112" s="361"/>
      <c r="P112" s="361"/>
      <c r="Q112" s="361"/>
      <c r="R112" s="362"/>
      <c r="S112" s="360"/>
      <c r="T112" s="361"/>
      <c r="U112" s="361"/>
      <c r="V112" s="361"/>
      <c r="W112" s="361"/>
      <c r="X112" s="360"/>
      <c r="Y112" s="361"/>
      <c r="Z112" s="361"/>
      <c r="AA112" s="361"/>
      <c r="AB112" s="361"/>
      <c r="AC112" s="361"/>
      <c r="AD112" s="364"/>
      <c r="AE112" s="372"/>
      <c r="AF112" s="371"/>
      <c r="AG112" s="371"/>
      <c r="AH112" s="371"/>
      <c r="AI112" s="371"/>
      <c r="AJ112" s="397"/>
      <c r="AK112" s="408"/>
      <c r="AL112" s="397"/>
      <c r="AM112" s="397"/>
      <c r="AN112" s="408"/>
      <c r="AO112" s="368"/>
      <c r="AP112" s="370"/>
      <c r="AQ112" s="368"/>
      <c r="AR112" s="368"/>
      <c r="AS112" s="368"/>
      <c r="AT112" s="368"/>
      <c r="AU112" s="368"/>
      <c r="AV112" s="368"/>
      <c r="AW112" s="370"/>
      <c r="AX112" s="252"/>
      <c r="AY112" s="81"/>
      <c r="AZ112" s="332">
        <v>0</v>
      </c>
      <c r="BE112" s="2"/>
      <c r="BF112" s="2"/>
      <c r="BG112" s="2"/>
      <c r="BH112" s="2"/>
      <c r="BI112" s="2"/>
      <c r="BJ112" s="2"/>
      <c r="BK112" s="2"/>
      <c r="BL112" s="2">
        <v>0</v>
      </c>
      <c r="BM112" s="52"/>
      <c r="BN112" s="11">
        <f t="shared" ref="BN112:CX112" si="197">M112*$K111/100</f>
        <v>0</v>
      </c>
      <c r="BO112" s="11">
        <f t="shared" si="197"/>
        <v>0</v>
      </c>
      <c r="BP112" s="11">
        <f t="shared" si="197"/>
        <v>0</v>
      </c>
      <c r="BQ112" s="11">
        <f t="shared" si="197"/>
        <v>0</v>
      </c>
      <c r="BR112" s="11">
        <f t="shared" si="197"/>
        <v>0</v>
      </c>
      <c r="BS112" s="236">
        <f t="shared" si="197"/>
        <v>0</v>
      </c>
      <c r="BT112" s="11">
        <f t="shared" si="197"/>
        <v>0</v>
      </c>
      <c r="BU112" s="11">
        <f t="shared" si="197"/>
        <v>0</v>
      </c>
      <c r="BV112" s="11">
        <f t="shared" si="197"/>
        <v>0</v>
      </c>
      <c r="BW112" s="11">
        <f t="shared" si="197"/>
        <v>0</v>
      </c>
      <c r="BX112" s="11">
        <f t="shared" si="197"/>
        <v>0</v>
      </c>
      <c r="BY112" s="11">
        <f t="shared" si="197"/>
        <v>0</v>
      </c>
      <c r="BZ112" s="11">
        <f t="shared" si="197"/>
        <v>0</v>
      </c>
      <c r="CA112" s="11">
        <f t="shared" si="197"/>
        <v>0</v>
      </c>
      <c r="CB112" s="11">
        <f t="shared" si="197"/>
        <v>0</v>
      </c>
      <c r="CC112" s="11">
        <f t="shared" si="197"/>
        <v>0</v>
      </c>
      <c r="CD112" s="11">
        <f t="shared" si="197"/>
        <v>0</v>
      </c>
      <c r="CE112" s="236">
        <f t="shared" si="197"/>
        <v>0</v>
      </c>
      <c r="CF112" s="11">
        <f t="shared" si="197"/>
        <v>0</v>
      </c>
      <c r="CG112" s="11">
        <f t="shared" si="197"/>
        <v>0</v>
      </c>
      <c r="CH112" s="11">
        <f t="shared" si="197"/>
        <v>0</v>
      </c>
      <c r="CI112" s="11">
        <f t="shared" si="197"/>
        <v>0</v>
      </c>
      <c r="CJ112" s="11">
        <f t="shared" si="197"/>
        <v>0</v>
      </c>
      <c r="CK112" s="245">
        <f t="shared" si="197"/>
        <v>0</v>
      </c>
      <c r="CL112" s="245">
        <f t="shared" si="197"/>
        <v>0</v>
      </c>
      <c r="CM112" s="245">
        <f t="shared" si="197"/>
        <v>0</v>
      </c>
      <c r="CN112" s="245">
        <f t="shared" si="197"/>
        <v>0</v>
      </c>
      <c r="CO112" s="245">
        <f t="shared" si="197"/>
        <v>0</v>
      </c>
      <c r="CP112" s="245">
        <f t="shared" si="197"/>
        <v>0</v>
      </c>
      <c r="CQ112" s="245">
        <f t="shared" si="197"/>
        <v>0</v>
      </c>
      <c r="CR112" s="245">
        <f t="shared" si="197"/>
        <v>0</v>
      </c>
      <c r="CS112" s="245">
        <f t="shared" si="197"/>
        <v>0</v>
      </c>
      <c r="CT112" s="245">
        <f t="shared" si="197"/>
        <v>0</v>
      </c>
      <c r="CU112" s="245">
        <f t="shared" si="197"/>
        <v>0</v>
      </c>
      <c r="CV112" s="245">
        <f t="shared" si="197"/>
        <v>0</v>
      </c>
      <c r="CW112" s="245">
        <f t="shared" si="197"/>
        <v>0</v>
      </c>
      <c r="CX112" s="245">
        <f t="shared" si="197"/>
        <v>0</v>
      </c>
      <c r="CY112" s="50"/>
      <c r="CZ112" s="2"/>
      <c r="DA112" s="2"/>
      <c r="DB112" s="58">
        <f t="shared" si="167"/>
        <v>0</v>
      </c>
      <c r="DC112" s="41">
        <f t="shared" si="193"/>
        <v>0</v>
      </c>
      <c r="DD112" s="2"/>
      <c r="DE112" s="2"/>
      <c r="DF112" s="2"/>
      <c r="DG112" s="2"/>
      <c r="DH112" s="2"/>
      <c r="DI112" s="2"/>
      <c r="DJ112" s="2"/>
      <c r="DK112" s="2"/>
    </row>
    <row r="113" spans="1:115" ht="16.5" customHeight="1" x14ac:dyDescent="0.25">
      <c r="A113" s="647" t="s">
        <v>7</v>
      </c>
      <c r="B113" s="648"/>
      <c r="C113" s="648"/>
      <c r="D113" s="648"/>
      <c r="E113" s="648"/>
      <c r="F113" s="648"/>
      <c r="G113" s="648"/>
      <c r="H113" s="648"/>
      <c r="I113" s="649"/>
      <c r="J113" s="571">
        <f>SUM(J11:J112)</f>
        <v>238495183</v>
      </c>
      <c r="K113" s="574">
        <f>SUM(K11:K112)</f>
        <v>99.999999999999986</v>
      </c>
      <c r="L113" s="600" t="s">
        <v>135</v>
      </c>
      <c r="M113" s="600"/>
      <c r="N113" s="600"/>
      <c r="O113" s="600"/>
      <c r="P113" s="600"/>
      <c r="Q113" s="600"/>
      <c r="R113" s="601"/>
      <c r="S113" s="95" t="str">
        <f>S7</f>
        <v>พ.ศ. 2568</v>
      </c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6"/>
      <c r="AE113" s="599" t="str">
        <f>AE7</f>
        <v>พ.ศ. 2569</v>
      </c>
      <c r="AF113" s="600"/>
      <c r="AG113" s="600"/>
      <c r="AH113" s="600"/>
      <c r="AI113" s="600"/>
      <c r="AJ113" s="600"/>
      <c r="AK113" s="600"/>
      <c r="AL113" s="600"/>
      <c r="AM113" s="600"/>
      <c r="AN113" s="600"/>
      <c r="AO113" s="600"/>
      <c r="AP113" s="601"/>
      <c r="AQ113" s="599" t="s">
        <v>299</v>
      </c>
      <c r="AR113" s="600"/>
      <c r="AS113" s="600"/>
      <c r="AT113" s="600"/>
      <c r="AU113" s="600"/>
      <c r="AV113" s="600"/>
      <c r="AW113" s="601"/>
      <c r="AX113" s="253"/>
      <c r="BE113" s="2"/>
      <c r="BF113" s="2"/>
      <c r="BG113" s="2"/>
      <c r="BH113" s="2"/>
      <c r="BI113" s="2"/>
      <c r="BJ113" s="2"/>
      <c r="BK113" s="2"/>
      <c r="BL113" s="57" t="s">
        <v>137</v>
      </c>
      <c r="BM113" s="75">
        <v>0</v>
      </c>
      <c r="BN113" s="59">
        <v>0</v>
      </c>
      <c r="BO113" s="59">
        <v>1</v>
      </c>
      <c r="BP113" s="59">
        <v>3</v>
      </c>
      <c r="BQ113" s="59">
        <v>4</v>
      </c>
      <c r="BR113" s="59">
        <v>5</v>
      </c>
      <c r="BS113" s="59">
        <v>6</v>
      </c>
      <c r="BT113" s="247">
        <v>7</v>
      </c>
      <c r="BU113" s="59">
        <v>8</v>
      </c>
      <c r="BV113" s="59">
        <v>9</v>
      </c>
      <c r="BW113" s="59">
        <v>10</v>
      </c>
      <c r="BX113" s="59">
        <v>11</v>
      </c>
      <c r="BY113" s="59">
        <v>12</v>
      </c>
      <c r="BZ113" s="59">
        <v>13</v>
      </c>
      <c r="CA113" s="59">
        <v>14</v>
      </c>
      <c r="CB113" s="59">
        <v>15</v>
      </c>
      <c r="CC113" s="59">
        <v>16</v>
      </c>
      <c r="CD113" s="59">
        <v>17</v>
      </c>
      <c r="CE113" s="59">
        <v>18</v>
      </c>
      <c r="CF113" s="247">
        <v>19</v>
      </c>
      <c r="CG113" s="59">
        <v>20</v>
      </c>
      <c r="CH113" s="59">
        <v>21</v>
      </c>
      <c r="CI113" s="59">
        <v>22</v>
      </c>
      <c r="CJ113" s="59">
        <v>23</v>
      </c>
      <c r="CK113" s="59">
        <v>24</v>
      </c>
      <c r="CL113" s="59">
        <v>25</v>
      </c>
      <c r="CM113" s="59">
        <v>26</v>
      </c>
      <c r="CN113" s="59">
        <v>27</v>
      </c>
      <c r="CO113" s="59">
        <v>28</v>
      </c>
      <c r="CP113" s="59">
        <v>29</v>
      </c>
      <c r="CQ113" s="59">
        <v>30</v>
      </c>
      <c r="CR113" s="59">
        <v>31</v>
      </c>
      <c r="CS113" s="59">
        <v>32</v>
      </c>
      <c r="CT113" s="59">
        <v>33</v>
      </c>
      <c r="CU113" s="59">
        <v>34</v>
      </c>
      <c r="CV113" s="59">
        <v>35</v>
      </c>
      <c r="CW113" s="59">
        <v>36</v>
      </c>
      <c r="CX113" s="59">
        <v>37</v>
      </c>
      <c r="CY113" s="69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</row>
    <row r="114" spans="1:115" ht="27" customHeight="1" x14ac:dyDescent="0.25">
      <c r="A114" s="650"/>
      <c r="B114" s="651"/>
      <c r="C114" s="651"/>
      <c r="D114" s="651"/>
      <c r="E114" s="651"/>
      <c r="F114" s="651"/>
      <c r="G114" s="651"/>
      <c r="H114" s="651"/>
      <c r="I114" s="652"/>
      <c r="J114" s="572"/>
      <c r="K114" s="575"/>
      <c r="L114" s="345"/>
      <c r="M114" s="561"/>
      <c r="N114" s="561"/>
      <c r="O114" s="561"/>
      <c r="P114" s="561"/>
      <c r="Q114" s="561"/>
      <c r="R114" s="561"/>
      <c r="S114" s="561"/>
      <c r="T114" s="561"/>
      <c r="U114" s="561"/>
      <c r="V114" s="561"/>
      <c r="W114" s="561"/>
      <c r="X114" s="561"/>
      <c r="Y114" s="561"/>
      <c r="Z114" s="561"/>
      <c r="AA114" s="561"/>
      <c r="AB114" s="561"/>
      <c r="AC114" s="561"/>
      <c r="AD114" s="561"/>
      <c r="AE114" s="561"/>
      <c r="AF114" s="561"/>
      <c r="AG114" s="561"/>
      <c r="AH114" s="561"/>
      <c r="AI114" s="561"/>
      <c r="AJ114" s="561"/>
      <c r="AK114" s="561"/>
      <c r="AL114" s="561"/>
      <c r="AM114" s="561"/>
      <c r="AN114" s="561"/>
      <c r="AO114" s="561"/>
      <c r="AP114" s="561"/>
      <c r="AQ114" s="561"/>
      <c r="AR114" s="561"/>
      <c r="AS114" s="561"/>
      <c r="AT114" s="561"/>
      <c r="AU114" s="561"/>
      <c r="AV114" s="561"/>
      <c r="AW114" s="562"/>
      <c r="AX114" s="253"/>
      <c r="BE114" s="2"/>
      <c r="BF114" s="2"/>
      <c r="BG114" s="2"/>
      <c r="BH114" s="2"/>
      <c r="BI114" s="2"/>
      <c r="BJ114" s="2"/>
      <c r="BK114" s="2"/>
      <c r="BL114" s="57"/>
      <c r="BM114" s="75"/>
      <c r="BN114" s="59"/>
      <c r="BO114" s="59"/>
      <c r="BP114" s="59"/>
      <c r="BQ114" s="59"/>
      <c r="BR114" s="59"/>
      <c r="BS114" s="59"/>
      <c r="BT114" s="247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247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69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</row>
    <row r="115" spans="1:115" ht="27" customHeight="1" x14ac:dyDescent="0.25">
      <c r="A115" s="653"/>
      <c r="B115" s="654"/>
      <c r="C115" s="654"/>
      <c r="D115" s="654"/>
      <c r="E115" s="654"/>
      <c r="F115" s="654"/>
      <c r="G115" s="654"/>
      <c r="H115" s="654"/>
      <c r="I115" s="655"/>
      <c r="J115" s="573"/>
      <c r="K115" s="576"/>
      <c r="L115" s="346"/>
      <c r="M115" s="563"/>
      <c r="N115" s="563"/>
      <c r="O115" s="563"/>
      <c r="P115" s="563"/>
      <c r="Q115" s="563"/>
      <c r="R115" s="563"/>
      <c r="S115" s="563"/>
      <c r="T115" s="563"/>
      <c r="U115" s="563"/>
      <c r="V115" s="563"/>
      <c r="W115" s="563"/>
      <c r="X115" s="563"/>
      <c r="Y115" s="563"/>
      <c r="Z115" s="563"/>
      <c r="AA115" s="563"/>
      <c r="AB115" s="563"/>
      <c r="AC115" s="563"/>
      <c r="AD115" s="563"/>
      <c r="AE115" s="563"/>
      <c r="AF115" s="563"/>
      <c r="AG115" s="563"/>
      <c r="AH115" s="563"/>
      <c r="AI115" s="563"/>
      <c r="AJ115" s="563"/>
      <c r="AK115" s="563"/>
      <c r="AL115" s="563"/>
      <c r="AM115" s="563"/>
      <c r="AN115" s="563"/>
      <c r="AO115" s="563"/>
      <c r="AP115" s="563"/>
      <c r="AQ115" s="563"/>
      <c r="AR115" s="563"/>
      <c r="AS115" s="563"/>
      <c r="AT115" s="563"/>
      <c r="AU115" s="563"/>
      <c r="AV115" s="563"/>
      <c r="AW115" s="564"/>
      <c r="AX115" s="253"/>
      <c r="BE115" s="2"/>
      <c r="BF115" s="2"/>
      <c r="BG115" s="2"/>
      <c r="BH115" s="2"/>
      <c r="BI115" s="2"/>
      <c r="BJ115" s="2"/>
      <c r="BK115" s="2"/>
      <c r="BL115" s="57"/>
      <c r="BM115" s="75"/>
      <c r="BN115" s="59"/>
      <c r="BO115" s="59"/>
      <c r="BP115" s="59"/>
      <c r="BQ115" s="59"/>
      <c r="BR115" s="59"/>
      <c r="BS115" s="59"/>
      <c r="BT115" s="247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247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69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</row>
    <row r="116" spans="1:115" ht="20.399999999999999" customHeight="1" x14ac:dyDescent="0.5">
      <c r="A116" s="579"/>
      <c r="B116" s="580"/>
      <c r="C116" s="580"/>
      <c r="D116" s="581"/>
      <c r="E116" s="328"/>
      <c r="F116" s="329"/>
      <c r="G116" s="328"/>
      <c r="H116" s="329"/>
      <c r="I116" s="565" t="s">
        <v>21</v>
      </c>
      <c r="J116" s="566"/>
      <c r="K116" s="566"/>
      <c r="L116" s="569" t="s">
        <v>9</v>
      </c>
      <c r="M116" s="570"/>
      <c r="N116" s="40" t="s">
        <v>10</v>
      </c>
      <c r="O116" s="40" t="s">
        <v>11</v>
      </c>
      <c r="P116" s="40" t="s">
        <v>12</v>
      </c>
      <c r="Q116" s="40" t="s">
        <v>13</v>
      </c>
      <c r="R116" s="94" t="s">
        <v>14</v>
      </c>
      <c r="S116" s="78" t="s">
        <v>15</v>
      </c>
      <c r="T116" s="40" t="s">
        <v>16</v>
      </c>
      <c r="U116" s="40" t="s">
        <v>17</v>
      </c>
      <c r="V116" s="40" t="s">
        <v>18</v>
      </c>
      <c r="W116" s="40" t="s">
        <v>19</v>
      </c>
      <c r="X116" s="40" t="s">
        <v>8</v>
      </c>
      <c r="Y116" s="40" t="s">
        <v>9</v>
      </c>
      <c r="Z116" s="40" t="s">
        <v>10</v>
      </c>
      <c r="AA116" s="40" t="s">
        <v>11</v>
      </c>
      <c r="AB116" s="40" t="s">
        <v>12</v>
      </c>
      <c r="AC116" s="40" t="s">
        <v>13</v>
      </c>
      <c r="AD116" s="94" t="s">
        <v>14</v>
      </c>
      <c r="AE116" s="78" t="s">
        <v>15</v>
      </c>
      <c r="AF116" s="40" t="s">
        <v>16</v>
      </c>
      <c r="AG116" s="40" t="s">
        <v>17</v>
      </c>
      <c r="AH116" s="40" t="s">
        <v>18</v>
      </c>
      <c r="AI116" s="40" t="s">
        <v>19</v>
      </c>
      <c r="AJ116" s="79" t="s">
        <v>8</v>
      </c>
      <c r="AK116" s="79" t="s">
        <v>130</v>
      </c>
      <c r="AL116" s="79" t="s">
        <v>131</v>
      </c>
      <c r="AM116" s="79" t="s">
        <v>132</v>
      </c>
      <c r="AN116" s="79" t="s">
        <v>133</v>
      </c>
      <c r="AO116" s="40" t="s">
        <v>134</v>
      </c>
      <c r="AP116" s="94" t="s">
        <v>14</v>
      </c>
      <c r="AQ116" s="78" t="s">
        <v>15</v>
      </c>
      <c r="AR116" s="40" t="s">
        <v>16</v>
      </c>
      <c r="AS116" s="40" t="s">
        <v>17</v>
      </c>
      <c r="AT116" s="40" t="s">
        <v>18</v>
      </c>
      <c r="AU116" s="40" t="s">
        <v>19</v>
      </c>
      <c r="AV116" s="79" t="s">
        <v>8</v>
      </c>
      <c r="AW116" s="251" t="s">
        <v>130</v>
      </c>
      <c r="AX116" s="254"/>
      <c r="BE116" s="2"/>
      <c r="BF116" s="2"/>
      <c r="BG116" s="2"/>
      <c r="BH116" s="2"/>
      <c r="BI116" s="2"/>
      <c r="BJ116" s="2"/>
      <c r="BK116" s="2"/>
      <c r="BL116" s="57" t="s">
        <v>138</v>
      </c>
      <c r="BM116" s="68">
        <v>0</v>
      </c>
      <c r="BN116" s="76">
        <f t="shared" ref="BN116:CX116" si="198">SUMIFS(BN11:BN112,BN11:BN112,"&gt;0",$BL11:$BL112,1)</f>
        <v>0</v>
      </c>
      <c r="BO116" s="76">
        <f t="shared" si="198"/>
        <v>0</v>
      </c>
      <c r="BP116" s="76">
        <f t="shared" si="198"/>
        <v>0</v>
      </c>
      <c r="BQ116" s="76">
        <f t="shared" si="198"/>
        <v>0</v>
      </c>
      <c r="BR116" s="76">
        <f t="shared" si="198"/>
        <v>0</v>
      </c>
      <c r="BS116" s="76">
        <f t="shared" si="198"/>
        <v>0</v>
      </c>
      <c r="BT116" s="248">
        <f t="shared" si="198"/>
        <v>0</v>
      </c>
      <c r="BU116" s="76">
        <f t="shared" si="198"/>
        <v>0</v>
      </c>
      <c r="BV116" s="76">
        <f t="shared" si="198"/>
        <v>0</v>
      </c>
      <c r="BW116" s="76">
        <f t="shared" si="198"/>
        <v>0</v>
      </c>
      <c r="BX116" s="76">
        <f t="shared" si="198"/>
        <v>0</v>
      </c>
      <c r="BY116" s="76">
        <f t="shared" si="198"/>
        <v>0</v>
      </c>
      <c r="BZ116" s="76">
        <f t="shared" si="198"/>
        <v>0</v>
      </c>
      <c r="CA116" s="76">
        <f t="shared" si="198"/>
        <v>0</v>
      </c>
      <c r="CB116" s="76">
        <f t="shared" si="198"/>
        <v>0.36514640633224021</v>
      </c>
      <c r="CC116" s="76">
        <f t="shared" si="198"/>
        <v>0.36514640633224021</v>
      </c>
      <c r="CD116" s="76">
        <f t="shared" si="198"/>
        <v>1.5617668093531263</v>
      </c>
      <c r="CE116" s="76">
        <f t="shared" si="198"/>
        <v>1.6219557608423478</v>
      </c>
      <c r="CF116" s="76">
        <f t="shared" si="198"/>
        <v>1.5573495042036132</v>
      </c>
      <c r="CG116" s="76">
        <f t="shared" si="198"/>
        <v>1.6024596186498239</v>
      </c>
      <c r="CH116" s="76">
        <f t="shared" si="198"/>
        <v>4.1165884679524112</v>
      </c>
      <c r="CI116" s="76">
        <f t="shared" si="198"/>
        <v>3.5594027699922135</v>
      </c>
      <c r="CJ116" s="76">
        <f t="shared" si="198"/>
        <v>3.1989545675645785</v>
      </c>
      <c r="CK116" s="76">
        <f t="shared" si="198"/>
        <v>4.1041940415207465</v>
      </c>
      <c r="CL116" s="76">
        <f t="shared" si="198"/>
        <v>5.0097644697503183</v>
      </c>
      <c r="CM116" s="76">
        <f t="shared" si="198"/>
        <v>5.2589438420649364</v>
      </c>
      <c r="CN116" s="76">
        <f t="shared" si="198"/>
        <v>5.7627797664995191</v>
      </c>
      <c r="CO116" s="76">
        <f t="shared" si="198"/>
        <v>7.2568550158096894</v>
      </c>
      <c r="CP116" s="76">
        <f t="shared" si="198"/>
        <v>5.4825347185314017</v>
      </c>
      <c r="CQ116" s="76">
        <f t="shared" si="198"/>
        <v>6.6180232705161179</v>
      </c>
      <c r="CR116" s="76">
        <f t="shared" si="198"/>
        <v>6.5010543252775053</v>
      </c>
      <c r="CS116" s="76">
        <f t="shared" si="198"/>
        <v>6.3366978820700135</v>
      </c>
      <c r="CT116" s="76">
        <f t="shared" si="198"/>
        <v>6.5156319320713507</v>
      </c>
      <c r="CU116" s="76">
        <f t="shared" si="198"/>
        <v>7.5636949447318607</v>
      </c>
      <c r="CV116" s="76">
        <f t="shared" si="198"/>
        <v>5.048284832654252</v>
      </c>
      <c r="CW116" s="76">
        <f t="shared" si="198"/>
        <v>5.6624083682226818</v>
      </c>
      <c r="CX116" s="76">
        <f t="shared" si="198"/>
        <v>4.9303622790570145</v>
      </c>
      <c r="CY116" s="70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</row>
    <row r="117" spans="1:115" ht="20.399999999999999" customHeight="1" x14ac:dyDescent="0.25">
      <c r="A117" s="577" t="s">
        <v>23</v>
      </c>
      <c r="B117" s="577"/>
      <c r="C117" s="577"/>
      <c r="D117" s="577"/>
      <c r="E117" s="328"/>
      <c r="F117" s="329"/>
      <c r="G117" s="328"/>
      <c r="H117" s="329"/>
      <c r="I117" s="567" t="s">
        <v>20</v>
      </c>
      <c r="J117" s="567"/>
      <c r="K117" s="567"/>
      <c r="L117" s="339"/>
      <c r="M117" s="60"/>
      <c r="N117" s="72"/>
      <c r="O117" s="72"/>
      <c r="P117" s="72"/>
      <c r="Q117" s="72"/>
      <c r="R117" s="91"/>
      <c r="S117" s="72"/>
      <c r="T117" s="72"/>
      <c r="U117" s="72"/>
      <c r="V117" s="72"/>
      <c r="W117" s="72"/>
      <c r="X117" s="72"/>
      <c r="Y117" s="72"/>
      <c r="Z117" s="72"/>
      <c r="AA117" s="72">
        <f t="shared" ref="AA117" si="199">CB116</f>
        <v>0.36514640633224021</v>
      </c>
      <c r="AB117" s="72">
        <f t="shared" ref="AB117" si="200">CC116</f>
        <v>0.36514640633224021</v>
      </c>
      <c r="AC117" s="72">
        <f t="shared" ref="AC117" si="201">CD116</f>
        <v>1.5617668093531263</v>
      </c>
      <c r="AD117" s="91">
        <f t="shared" ref="AD117" si="202">CE116</f>
        <v>1.6219557608423478</v>
      </c>
      <c r="AE117" s="72">
        <f t="shared" ref="AE117" si="203">CF116</f>
        <v>1.5573495042036132</v>
      </c>
      <c r="AF117" s="72">
        <f t="shared" ref="AF117" si="204">CG116</f>
        <v>1.6024596186498239</v>
      </c>
      <c r="AG117" s="72">
        <f t="shared" ref="AG117" si="205">CH116</f>
        <v>4.1165884679524112</v>
      </c>
      <c r="AH117" s="72">
        <f t="shared" ref="AH117" si="206">CI116</f>
        <v>3.5594027699922135</v>
      </c>
      <c r="AI117" s="72">
        <f t="shared" ref="AI117" si="207">CJ116</f>
        <v>3.1989545675645785</v>
      </c>
      <c r="AJ117" s="72">
        <f t="shared" ref="AJ117" si="208">CK116</f>
        <v>4.1041940415207465</v>
      </c>
      <c r="AK117" s="72">
        <f t="shared" ref="AK117" si="209">CL116</f>
        <v>5.0097644697503183</v>
      </c>
      <c r="AL117" s="72">
        <f t="shared" ref="AL117" si="210">CM116</f>
        <v>5.2589438420649364</v>
      </c>
      <c r="AM117" s="72">
        <f t="shared" ref="AM117" si="211">CN116</f>
        <v>5.7627797664995191</v>
      </c>
      <c r="AN117" s="72">
        <f t="shared" ref="AN117" si="212">CO116</f>
        <v>7.2568550158096894</v>
      </c>
      <c r="AO117" s="72">
        <f t="shared" ref="AO117" si="213">CP116</f>
        <v>5.4825347185314017</v>
      </c>
      <c r="AP117" s="91">
        <f t="shared" ref="AP117" si="214">CQ116</f>
        <v>6.6180232705161179</v>
      </c>
      <c r="AQ117" s="72">
        <f t="shared" ref="AQ117" si="215">CR116</f>
        <v>6.5010543252775053</v>
      </c>
      <c r="AR117" s="72">
        <f t="shared" ref="AR117" si="216">CS116</f>
        <v>6.3366978820700135</v>
      </c>
      <c r="AS117" s="72">
        <f t="shared" ref="AS117" si="217">CT116</f>
        <v>6.5156319320713507</v>
      </c>
      <c r="AT117" s="72">
        <f t="shared" ref="AT117" si="218">CU116</f>
        <v>7.5636949447318607</v>
      </c>
      <c r="AU117" s="72">
        <f t="shared" ref="AU117" si="219">CV116</f>
        <v>5.048284832654252</v>
      </c>
      <c r="AV117" s="72">
        <f t="shared" ref="AV117" si="220">CW116</f>
        <v>5.6624083682226818</v>
      </c>
      <c r="AW117" s="91">
        <f t="shared" ref="AW117" si="221">CX116</f>
        <v>4.9303622790570145</v>
      </c>
      <c r="AX117" s="87"/>
      <c r="BE117" s="2"/>
      <c r="BF117" s="2"/>
      <c r="BG117" s="2"/>
      <c r="BH117" s="2"/>
      <c r="BI117" s="2"/>
      <c r="BJ117" s="2"/>
      <c r="BK117" s="2"/>
      <c r="BL117" s="57" t="s">
        <v>139</v>
      </c>
      <c r="BM117" s="68">
        <v>0</v>
      </c>
      <c r="BN117" s="76">
        <f>BM117+BN116</f>
        <v>0</v>
      </c>
      <c r="BO117" s="76">
        <f t="shared" ref="BO117:CB117" si="222">BN117+BO116</f>
        <v>0</v>
      </c>
      <c r="BP117" s="76">
        <f t="shared" si="222"/>
        <v>0</v>
      </c>
      <c r="BQ117" s="76">
        <f t="shared" si="222"/>
        <v>0</v>
      </c>
      <c r="BR117" s="76">
        <f t="shared" si="222"/>
        <v>0</v>
      </c>
      <c r="BS117" s="76">
        <f t="shared" si="222"/>
        <v>0</v>
      </c>
      <c r="BT117" s="248">
        <f t="shared" si="222"/>
        <v>0</v>
      </c>
      <c r="BU117" s="76">
        <f t="shared" si="222"/>
        <v>0</v>
      </c>
      <c r="BV117" s="76">
        <f t="shared" si="222"/>
        <v>0</v>
      </c>
      <c r="BW117" s="76">
        <f t="shared" si="222"/>
        <v>0</v>
      </c>
      <c r="BX117" s="76">
        <f t="shared" si="222"/>
        <v>0</v>
      </c>
      <c r="BY117" s="76">
        <f t="shared" si="222"/>
        <v>0</v>
      </c>
      <c r="BZ117" s="76">
        <f t="shared" si="222"/>
        <v>0</v>
      </c>
      <c r="CA117" s="76">
        <f t="shared" si="222"/>
        <v>0</v>
      </c>
      <c r="CB117" s="76">
        <f t="shared" si="222"/>
        <v>0.36514640633224021</v>
      </c>
      <c r="CC117" s="76">
        <f t="shared" ref="CC117" si="223">CB117+CC116</f>
        <v>0.73029281266448043</v>
      </c>
      <c r="CD117" s="76">
        <f t="shared" ref="CD117" si="224">CC117+CD116</f>
        <v>2.2920596220176068</v>
      </c>
      <c r="CE117" s="76">
        <f t="shared" ref="CE117" si="225">CD117+CE116</f>
        <v>3.9140153828599544</v>
      </c>
      <c r="CF117" s="76">
        <f t="shared" ref="CF117" si="226">CE117+CF116</f>
        <v>5.4713648870635678</v>
      </c>
      <c r="CG117" s="76">
        <f t="shared" ref="CG117" si="227">CF117+CG116</f>
        <v>7.0738245057133913</v>
      </c>
      <c r="CH117" s="76">
        <f t="shared" ref="CH117" si="228">CG117+CH116</f>
        <v>11.190412973665802</v>
      </c>
      <c r="CI117" s="76">
        <f t="shared" ref="CI117" si="229">CH117+CI116</f>
        <v>14.749815743658015</v>
      </c>
      <c r="CJ117" s="76">
        <f t="shared" ref="CJ117" si="230">CI117+CJ116</f>
        <v>17.948770311222592</v>
      </c>
      <c r="CK117" s="76">
        <f t="shared" ref="CK117" si="231">CJ117+CK116</f>
        <v>22.052964352743338</v>
      </c>
      <c r="CL117" s="76">
        <f t="shared" ref="CL117" si="232">CK117+CL116</f>
        <v>27.062728822493657</v>
      </c>
      <c r="CM117" s="76">
        <f t="shared" ref="CM117" si="233">CL117+CM116</f>
        <v>32.321672664558591</v>
      </c>
      <c r="CN117" s="76">
        <f t="shared" ref="CN117" si="234">CM117+CN116</f>
        <v>38.084452431058111</v>
      </c>
      <c r="CO117" s="76">
        <f t="shared" ref="CO117" si="235">CN117+CO116</f>
        <v>45.341307446867802</v>
      </c>
      <c r="CP117" s="76">
        <f t="shared" ref="CP117" si="236">CO117+CP116</f>
        <v>50.823842165399206</v>
      </c>
      <c r="CQ117" s="76">
        <f t="shared" ref="CQ117" si="237">CP117+CQ116</f>
        <v>57.441865435915325</v>
      </c>
      <c r="CR117" s="76">
        <f t="shared" ref="CR117" si="238">CQ117+CR116</f>
        <v>63.942919761192833</v>
      </c>
      <c r="CS117" s="76">
        <f t="shared" ref="CS117" si="239">CR117+CS116</f>
        <v>70.279617643262853</v>
      </c>
      <c r="CT117" s="76">
        <f t="shared" ref="CT117" si="240">CS117+CT116</f>
        <v>76.795249575334196</v>
      </c>
      <c r="CU117" s="76">
        <f t="shared" ref="CU117" si="241">CT117+CU116</f>
        <v>84.358944520066061</v>
      </c>
      <c r="CV117" s="76">
        <f t="shared" ref="CV117" si="242">CU117+CV116</f>
        <v>89.407229352720307</v>
      </c>
      <c r="CW117" s="76">
        <f t="shared" ref="CW117" si="243">CV117+CW116</f>
        <v>95.069637720942993</v>
      </c>
      <c r="CX117" s="76">
        <f t="shared" ref="CX117" si="244">CW117+CX116</f>
        <v>100</v>
      </c>
      <c r="CY117" s="70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</row>
    <row r="118" spans="1:115" ht="20.399999999999999" customHeight="1" x14ac:dyDescent="0.25">
      <c r="A118" s="582"/>
      <c r="B118" s="583"/>
      <c r="C118" s="583"/>
      <c r="D118" s="584"/>
      <c r="E118" s="328"/>
      <c r="F118" s="329"/>
      <c r="G118" s="328"/>
      <c r="H118" s="329"/>
      <c r="I118" s="567" t="s">
        <v>829</v>
      </c>
      <c r="J118" s="567"/>
      <c r="K118" s="567"/>
      <c r="L118" s="340"/>
      <c r="M118" s="242"/>
      <c r="N118" s="242"/>
      <c r="O118" s="242"/>
      <c r="P118" s="242"/>
      <c r="Q118" s="242"/>
      <c r="R118" s="243"/>
      <c r="S118" s="73"/>
      <c r="T118" s="242"/>
      <c r="U118" s="242"/>
      <c r="V118" s="242"/>
      <c r="W118" s="242"/>
      <c r="X118" s="242"/>
      <c r="Y118" s="242"/>
      <c r="Z118" s="336"/>
      <c r="AA118" s="336">
        <f t="shared" ref="AA118" si="245">AA117*GTotal/100</f>
        <v>870856.58999999985</v>
      </c>
      <c r="AB118" s="336">
        <f t="shared" ref="AB118:AW118" si="246">AB117*GTotal/100</f>
        <v>870856.58999999985</v>
      </c>
      <c r="AC118" s="336">
        <f t="shared" si="246"/>
        <v>3724738.6099999994</v>
      </c>
      <c r="AD118" s="337">
        <f t="shared" si="246"/>
        <v>3868286.36</v>
      </c>
      <c r="AE118" s="338">
        <f t="shared" si="246"/>
        <v>3714203.55</v>
      </c>
      <c r="AF118" s="336">
        <f t="shared" si="246"/>
        <v>3821788.9999999995</v>
      </c>
      <c r="AG118" s="336">
        <f t="shared" si="246"/>
        <v>9817865.1999999993</v>
      </c>
      <c r="AH118" s="336">
        <f t="shared" si="246"/>
        <v>8489004.1499999985</v>
      </c>
      <c r="AI118" s="336">
        <f t="shared" si="246"/>
        <v>7629352.5499999998</v>
      </c>
      <c r="AJ118" s="336">
        <f t="shared" si="246"/>
        <v>9788305.0899999999</v>
      </c>
      <c r="AK118" s="336">
        <f t="shared" si="246"/>
        <v>11948046.940000003</v>
      </c>
      <c r="AL118" s="336">
        <f t="shared" si="246"/>
        <v>12542327.74</v>
      </c>
      <c r="AM118" s="336">
        <f t="shared" si="246"/>
        <v>13743952.15</v>
      </c>
      <c r="AN118" s="336">
        <f t="shared" si="246"/>
        <v>17307249.649999999</v>
      </c>
      <c r="AO118" s="336">
        <f t="shared" si="246"/>
        <v>13075581.210000003</v>
      </c>
      <c r="AP118" s="337">
        <f t="shared" si="246"/>
        <v>15783666.710000001</v>
      </c>
      <c r="AQ118" s="338">
        <f t="shared" si="246"/>
        <v>15504701.410000002</v>
      </c>
      <c r="AR118" s="336">
        <f t="shared" si="246"/>
        <v>15112719.210000003</v>
      </c>
      <c r="AS118" s="336">
        <f t="shared" si="246"/>
        <v>15539468.300000004</v>
      </c>
      <c r="AT118" s="336">
        <f t="shared" si="246"/>
        <v>18039048.100000001</v>
      </c>
      <c r="AU118" s="336">
        <f t="shared" si="246"/>
        <v>12039916.150000002</v>
      </c>
      <c r="AV118" s="336">
        <f t="shared" si="246"/>
        <v>13504571.199999997</v>
      </c>
      <c r="AW118" s="337">
        <f t="shared" si="246"/>
        <v>11758676.539999997</v>
      </c>
      <c r="AX118" s="88"/>
      <c r="BE118" s="2"/>
      <c r="BF118" s="2"/>
      <c r="BG118" s="2"/>
      <c r="BH118" s="2"/>
      <c r="BI118" s="2"/>
      <c r="BJ118" s="2"/>
      <c r="BK118" s="2"/>
      <c r="BL118" s="57" t="s">
        <v>140</v>
      </c>
      <c r="BM118" s="68">
        <v>0</v>
      </c>
      <c r="BN118" s="77">
        <f t="shared" ref="BN118:CX118" si="247">SUMIFS(BN11:BN112,BN11:BN112,"&gt;0",$BL11:$BL112,0)</f>
        <v>0</v>
      </c>
      <c r="BO118" s="77">
        <f t="shared" si="247"/>
        <v>0.1717601749843308</v>
      </c>
      <c r="BP118" s="77">
        <f t="shared" si="247"/>
        <v>0</v>
      </c>
      <c r="BQ118" s="77">
        <f t="shared" si="247"/>
        <v>0</v>
      </c>
      <c r="BR118" s="77">
        <f t="shared" si="247"/>
        <v>0</v>
      </c>
      <c r="BS118" s="77">
        <f t="shared" si="247"/>
        <v>0</v>
      </c>
      <c r="BT118" s="249">
        <f t="shared" si="247"/>
        <v>0</v>
      </c>
      <c r="BU118" s="77">
        <f t="shared" si="247"/>
        <v>0</v>
      </c>
      <c r="BV118" s="77">
        <f t="shared" si="247"/>
        <v>0</v>
      </c>
      <c r="BW118" s="77">
        <f t="shared" si="247"/>
        <v>0</v>
      </c>
      <c r="BX118" s="77">
        <f t="shared" si="247"/>
        <v>0</v>
      </c>
      <c r="BY118" s="77">
        <f t="shared" si="247"/>
        <v>0</v>
      </c>
      <c r="BZ118" s="77">
        <f t="shared" si="247"/>
        <v>0</v>
      </c>
      <c r="CA118" s="77">
        <f t="shared" si="247"/>
        <v>0</v>
      </c>
      <c r="CB118" s="77">
        <f t="shared" si="247"/>
        <v>13.027384200099338</v>
      </c>
      <c r="CC118" s="77">
        <f t="shared" si="247"/>
        <v>7.1612516223734382</v>
      </c>
      <c r="CD118" s="77">
        <f t="shared" si="247"/>
        <v>0</v>
      </c>
      <c r="CE118" s="77">
        <f t="shared" si="247"/>
        <v>0</v>
      </c>
      <c r="CF118" s="249">
        <f t="shared" si="247"/>
        <v>0</v>
      </c>
      <c r="CG118" s="77">
        <f t="shared" si="247"/>
        <v>0</v>
      </c>
      <c r="CH118" s="77">
        <f t="shared" si="247"/>
        <v>2.7837094597461953</v>
      </c>
      <c r="CI118" s="77">
        <f t="shared" si="247"/>
        <v>0</v>
      </c>
      <c r="CJ118" s="77">
        <f t="shared" si="247"/>
        <v>0</v>
      </c>
      <c r="CK118" s="77">
        <f t="shared" si="247"/>
        <v>0</v>
      </c>
      <c r="CL118" s="77">
        <f t="shared" si="247"/>
        <v>0</v>
      </c>
      <c r="CM118" s="77">
        <f t="shared" si="247"/>
        <v>0</v>
      </c>
      <c r="CN118" s="77">
        <f t="shared" si="247"/>
        <v>0</v>
      </c>
      <c r="CO118" s="77">
        <f t="shared" si="247"/>
        <v>0</v>
      </c>
      <c r="CP118" s="77">
        <f t="shared" si="247"/>
        <v>0</v>
      </c>
      <c r="CQ118" s="77">
        <f t="shared" si="247"/>
        <v>0</v>
      </c>
      <c r="CR118" s="77">
        <f t="shared" si="247"/>
        <v>0</v>
      </c>
      <c r="CS118" s="77">
        <f t="shared" si="247"/>
        <v>0</v>
      </c>
      <c r="CT118" s="77">
        <f t="shared" si="247"/>
        <v>0</v>
      </c>
      <c r="CU118" s="77">
        <f t="shared" si="247"/>
        <v>0</v>
      </c>
      <c r="CV118" s="77">
        <f t="shared" si="247"/>
        <v>0</v>
      </c>
      <c r="CW118" s="77">
        <f t="shared" si="247"/>
        <v>0</v>
      </c>
      <c r="CX118" s="77">
        <f t="shared" si="247"/>
        <v>0</v>
      </c>
      <c r="CY118" s="70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</row>
    <row r="119" spans="1:115" ht="20.399999999999999" customHeight="1" x14ac:dyDescent="0.25">
      <c r="A119" s="577" t="s">
        <v>22</v>
      </c>
      <c r="B119" s="577"/>
      <c r="C119" s="577"/>
      <c r="D119" s="577"/>
      <c r="E119" s="328"/>
      <c r="F119" s="329"/>
      <c r="G119" s="328"/>
      <c r="H119" s="329"/>
      <c r="I119" s="567" t="s">
        <v>20</v>
      </c>
      <c r="J119" s="567"/>
      <c r="K119" s="567"/>
      <c r="L119" s="339"/>
      <c r="M119" s="60"/>
      <c r="N119" s="60"/>
      <c r="O119" s="60"/>
      <c r="P119" s="60"/>
      <c r="Q119" s="60"/>
      <c r="R119" s="91"/>
      <c r="S119" s="72"/>
      <c r="T119" s="60"/>
      <c r="U119" s="60"/>
      <c r="V119" s="60"/>
      <c r="W119" s="60"/>
      <c r="X119" s="60"/>
      <c r="Y119" s="60"/>
      <c r="Z119" s="60"/>
      <c r="AA119" s="60">
        <f>AA117+Z119</f>
        <v>0.36514640633224021</v>
      </c>
      <c r="AB119" s="60">
        <f t="shared" ref="AB119" si="248">AB117+AA119</f>
        <v>0.73029281266448043</v>
      </c>
      <c r="AC119" s="60">
        <f t="shared" ref="AC119" si="249">AC117+AB119</f>
        <v>2.2920596220176068</v>
      </c>
      <c r="AD119" s="91">
        <f t="shared" ref="AD119" si="250">AD117+AC119</f>
        <v>3.9140153828599544</v>
      </c>
      <c r="AE119" s="72">
        <f t="shared" ref="AE119" si="251">AE117+AD119</f>
        <v>5.4713648870635678</v>
      </c>
      <c r="AF119" s="60">
        <f t="shared" ref="AF119" si="252">AF117+AE119</f>
        <v>7.0738245057133913</v>
      </c>
      <c r="AG119" s="60">
        <f t="shared" ref="AG119" si="253">AG117+AF119</f>
        <v>11.190412973665802</v>
      </c>
      <c r="AH119" s="60">
        <f t="shared" ref="AH119" si="254">AH117+AG119</f>
        <v>14.749815743658015</v>
      </c>
      <c r="AI119" s="60">
        <f t="shared" ref="AI119" si="255">AI117+AH119</f>
        <v>17.948770311222592</v>
      </c>
      <c r="AJ119" s="60">
        <f t="shared" ref="AJ119" si="256">AJ117+AI119</f>
        <v>22.052964352743338</v>
      </c>
      <c r="AK119" s="60">
        <f t="shared" ref="AK119" si="257">AK117+AJ119</f>
        <v>27.062728822493657</v>
      </c>
      <c r="AL119" s="60">
        <f t="shared" ref="AL119" si="258">AL117+AK119</f>
        <v>32.321672664558591</v>
      </c>
      <c r="AM119" s="60">
        <f t="shared" ref="AM119" si="259">AM117+AL119</f>
        <v>38.084452431058111</v>
      </c>
      <c r="AN119" s="60">
        <f t="shared" ref="AN119" si="260">AN117+AM119</f>
        <v>45.341307446867802</v>
      </c>
      <c r="AO119" s="60">
        <f t="shared" ref="AO119" si="261">AO117+AN119</f>
        <v>50.823842165399206</v>
      </c>
      <c r="AP119" s="91">
        <f t="shared" ref="AP119" si="262">AP117+AO119</f>
        <v>57.441865435915325</v>
      </c>
      <c r="AQ119" s="72">
        <f t="shared" ref="AQ119" si="263">AQ117+AP119</f>
        <v>63.942919761192833</v>
      </c>
      <c r="AR119" s="60">
        <f t="shared" ref="AR119" si="264">AR117+AQ119</f>
        <v>70.279617643262853</v>
      </c>
      <c r="AS119" s="60">
        <f t="shared" ref="AS119" si="265">AS117+AR119</f>
        <v>76.795249575334196</v>
      </c>
      <c r="AT119" s="60">
        <f t="shared" ref="AT119" si="266">AT117+AS119</f>
        <v>84.358944520066061</v>
      </c>
      <c r="AU119" s="60">
        <f t="shared" ref="AU119" si="267">AU117+AT119</f>
        <v>89.407229352720307</v>
      </c>
      <c r="AV119" s="60">
        <f t="shared" ref="AV119" si="268">AV117+AU119</f>
        <v>95.069637720942993</v>
      </c>
      <c r="AW119" s="91">
        <f t="shared" ref="AW119" si="269">AW117+AV119</f>
        <v>100</v>
      </c>
      <c r="AX119" s="87"/>
      <c r="BE119" s="2"/>
      <c r="BF119" s="2"/>
      <c r="BG119" s="2"/>
      <c r="BH119" s="2"/>
      <c r="BI119" s="2"/>
      <c r="BJ119" s="2"/>
      <c r="BK119" s="2"/>
      <c r="BL119" s="57" t="s">
        <v>141</v>
      </c>
      <c r="BM119" s="68">
        <v>0</v>
      </c>
      <c r="BN119" s="77">
        <f>BM119+BN118</f>
        <v>0</v>
      </c>
      <c r="BO119" s="77">
        <f t="shared" ref="BO119:CM119" si="270">BN119+BO118</f>
        <v>0.1717601749843308</v>
      </c>
      <c r="BP119" s="77">
        <f t="shared" si="270"/>
        <v>0.1717601749843308</v>
      </c>
      <c r="BQ119" s="77">
        <f t="shared" si="270"/>
        <v>0.1717601749843308</v>
      </c>
      <c r="BR119" s="77">
        <f t="shared" si="270"/>
        <v>0.1717601749843308</v>
      </c>
      <c r="BS119" s="77">
        <f t="shared" si="270"/>
        <v>0.1717601749843308</v>
      </c>
      <c r="BT119" s="249">
        <f t="shared" si="270"/>
        <v>0.1717601749843308</v>
      </c>
      <c r="BU119" s="77">
        <f t="shared" si="270"/>
        <v>0.1717601749843308</v>
      </c>
      <c r="BV119" s="77">
        <f t="shared" si="270"/>
        <v>0.1717601749843308</v>
      </c>
      <c r="BW119" s="77">
        <f t="shared" si="270"/>
        <v>0.1717601749843308</v>
      </c>
      <c r="BX119" s="77">
        <f t="shared" si="270"/>
        <v>0.1717601749843308</v>
      </c>
      <c r="BY119" s="77">
        <f t="shared" si="270"/>
        <v>0.1717601749843308</v>
      </c>
      <c r="BZ119" s="77">
        <f t="shared" si="270"/>
        <v>0.1717601749843308</v>
      </c>
      <c r="CA119" s="77">
        <f t="shared" si="270"/>
        <v>0.1717601749843308</v>
      </c>
      <c r="CB119" s="77">
        <f t="shared" si="270"/>
        <v>13.199144375083668</v>
      </c>
      <c r="CC119" s="77">
        <f t="shared" si="270"/>
        <v>20.360395997457104</v>
      </c>
      <c r="CD119" s="77">
        <f t="shared" si="270"/>
        <v>20.360395997457104</v>
      </c>
      <c r="CE119" s="77">
        <f t="shared" si="270"/>
        <v>20.360395997457104</v>
      </c>
      <c r="CF119" s="249">
        <f t="shared" si="270"/>
        <v>20.360395997457104</v>
      </c>
      <c r="CG119" s="77">
        <f t="shared" si="270"/>
        <v>20.360395997457104</v>
      </c>
      <c r="CH119" s="77">
        <f t="shared" si="270"/>
        <v>23.144105457203299</v>
      </c>
      <c r="CI119" s="77">
        <f t="shared" si="270"/>
        <v>23.144105457203299</v>
      </c>
      <c r="CJ119" s="77">
        <f t="shared" si="270"/>
        <v>23.144105457203299</v>
      </c>
      <c r="CK119" s="77">
        <f t="shared" si="270"/>
        <v>23.144105457203299</v>
      </c>
      <c r="CL119" s="77">
        <f t="shared" si="270"/>
        <v>23.144105457203299</v>
      </c>
      <c r="CM119" s="77">
        <f t="shared" si="270"/>
        <v>23.144105457203299</v>
      </c>
      <c r="CN119" s="77">
        <f t="shared" ref="CN119" si="271">CM119+CN118</f>
        <v>23.144105457203299</v>
      </c>
      <c r="CO119" s="77">
        <f t="shared" ref="CO119" si="272">CN119+CO118</f>
        <v>23.144105457203299</v>
      </c>
      <c r="CP119" s="77">
        <f t="shared" ref="CP119" si="273">CO119+CP118</f>
        <v>23.144105457203299</v>
      </c>
      <c r="CQ119" s="77">
        <f t="shared" ref="CQ119" si="274">CP119+CQ118</f>
        <v>23.144105457203299</v>
      </c>
      <c r="CR119" s="77">
        <f t="shared" ref="CR119" si="275">CQ119+CR118</f>
        <v>23.144105457203299</v>
      </c>
      <c r="CS119" s="77">
        <f t="shared" ref="CS119" si="276">CR119+CS118</f>
        <v>23.144105457203299</v>
      </c>
      <c r="CT119" s="77">
        <f t="shared" ref="CT119" si="277">CS119+CT118</f>
        <v>23.144105457203299</v>
      </c>
      <c r="CU119" s="77">
        <f t="shared" ref="CU119" si="278">CT119+CU118</f>
        <v>23.144105457203299</v>
      </c>
      <c r="CV119" s="77">
        <f t="shared" ref="CV119" si="279">CU119+CV118</f>
        <v>23.144105457203299</v>
      </c>
      <c r="CW119" s="77">
        <f t="shared" ref="CW119" si="280">CV119+CW118</f>
        <v>23.144105457203299</v>
      </c>
      <c r="CX119" s="77">
        <f t="shared" ref="CX119" si="281">CW119+CX118</f>
        <v>23.144105457203299</v>
      </c>
      <c r="CY119" s="71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</row>
    <row r="120" spans="1:115" ht="20.399999999999999" customHeight="1" x14ac:dyDescent="0.25">
      <c r="A120" s="582"/>
      <c r="B120" s="583"/>
      <c r="C120" s="583"/>
      <c r="D120" s="584"/>
      <c r="E120" s="328"/>
      <c r="F120" s="329"/>
      <c r="G120" s="328"/>
      <c r="H120" s="329"/>
      <c r="I120" s="567" t="s">
        <v>829</v>
      </c>
      <c r="J120" s="567"/>
      <c r="K120" s="567"/>
      <c r="L120" s="340"/>
      <c r="M120" s="242"/>
      <c r="N120" s="242"/>
      <c r="O120" s="242"/>
      <c r="P120" s="242"/>
      <c r="Q120" s="242"/>
      <c r="R120" s="243"/>
      <c r="S120" s="73"/>
      <c r="T120" s="242"/>
      <c r="U120" s="242"/>
      <c r="V120" s="242"/>
      <c r="W120" s="242"/>
      <c r="X120" s="242"/>
      <c r="Y120" s="242"/>
      <c r="Z120" s="336"/>
      <c r="AA120" s="446">
        <f t="shared" ref="AA120" si="282">AA119*GTotal/100</f>
        <v>870856.58999999985</v>
      </c>
      <c r="AB120" s="333">
        <f>AB119*GTotal/100</f>
        <v>1741713.1799999997</v>
      </c>
      <c r="AC120" s="333">
        <f t="shared" ref="AC120:AW120" si="283">AC119*GTotal/100</f>
        <v>5466451.79</v>
      </c>
      <c r="AD120" s="334">
        <f t="shared" si="283"/>
        <v>9334738.1499999985</v>
      </c>
      <c r="AE120" s="335">
        <f t="shared" si="283"/>
        <v>13048941.699999999</v>
      </c>
      <c r="AF120" s="333">
        <f t="shared" si="283"/>
        <v>16870730.699999999</v>
      </c>
      <c r="AG120" s="333">
        <f t="shared" si="283"/>
        <v>26688595.899999995</v>
      </c>
      <c r="AH120" s="333">
        <f t="shared" si="283"/>
        <v>35177600.049999997</v>
      </c>
      <c r="AI120" s="333">
        <f t="shared" si="283"/>
        <v>42806952.599999994</v>
      </c>
      <c r="AJ120" s="333">
        <f t="shared" si="283"/>
        <v>52595257.68999999</v>
      </c>
      <c r="AK120" s="333">
        <f t="shared" si="283"/>
        <v>64543304.629999988</v>
      </c>
      <c r="AL120" s="333">
        <f t="shared" si="283"/>
        <v>77085632.36999999</v>
      </c>
      <c r="AM120" s="333">
        <f t="shared" si="283"/>
        <v>90829584.519999981</v>
      </c>
      <c r="AN120" s="333">
        <f t="shared" si="283"/>
        <v>108136834.17</v>
      </c>
      <c r="AO120" s="333">
        <f t="shared" si="283"/>
        <v>121212415.38</v>
      </c>
      <c r="AP120" s="334">
        <f t="shared" si="283"/>
        <v>136996082.09</v>
      </c>
      <c r="AQ120" s="335">
        <f t="shared" si="283"/>
        <v>152500783.50000003</v>
      </c>
      <c r="AR120" s="333">
        <f t="shared" si="283"/>
        <v>167613502.71000001</v>
      </c>
      <c r="AS120" s="333">
        <f t="shared" si="283"/>
        <v>183152971.00999999</v>
      </c>
      <c r="AT120" s="333">
        <f t="shared" si="283"/>
        <v>201192019.11000004</v>
      </c>
      <c r="AU120" s="333">
        <f t="shared" si="283"/>
        <v>213231935.25999999</v>
      </c>
      <c r="AV120" s="333">
        <f t="shared" si="283"/>
        <v>226736506.46000004</v>
      </c>
      <c r="AW120" s="334">
        <f t="shared" si="283"/>
        <v>238495183</v>
      </c>
      <c r="AX120" s="88"/>
      <c r="BE120" s="2"/>
      <c r="BF120" s="2"/>
      <c r="BG120" s="2"/>
      <c r="BH120" s="2"/>
      <c r="BI120" s="2"/>
      <c r="BJ120" s="2"/>
      <c r="BK120" s="2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</row>
    <row r="121" spans="1:115" ht="20.399999999999999" customHeight="1" x14ac:dyDescent="0.25">
      <c r="A121" s="578" t="s">
        <v>26</v>
      </c>
      <c r="B121" s="578"/>
      <c r="C121" s="578"/>
      <c r="D121" s="578"/>
      <c r="E121" s="328"/>
      <c r="F121" s="329"/>
      <c r="G121" s="328"/>
      <c r="H121" s="329"/>
      <c r="I121" s="568" t="s">
        <v>20</v>
      </c>
      <c r="J121" s="568"/>
      <c r="K121" s="568"/>
      <c r="L121" s="341"/>
      <c r="M121" s="74">
        <f t="shared" ref="M121:AE121" si="284">BN118</f>
        <v>0</v>
      </c>
      <c r="N121" s="74">
        <f t="shared" si="284"/>
        <v>0.1717601749843308</v>
      </c>
      <c r="O121" s="74">
        <f t="shared" si="284"/>
        <v>0</v>
      </c>
      <c r="P121" s="74">
        <f t="shared" si="284"/>
        <v>0</v>
      </c>
      <c r="Q121" s="74">
        <f t="shared" si="284"/>
        <v>0</v>
      </c>
      <c r="R121" s="92">
        <f t="shared" si="284"/>
        <v>0</v>
      </c>
      <c r="S121" s="74">
        <f t="shared" si="284"/>
        <v>0</v>
      </c>
      <c r="T121" s="74">
        <f t="shared" si="284"/>
        <v>0</v>
      </c>
      <c r="U121" s="74">
        <f t="shared" si="284"/>
        <v>0</v>
      </c>
      <c r="V121" s="74">
        <f t="shared" si="284"/>
        <v>0</v>
      </c>
      <c r="W121" s="74">
        <f t="shared" si="284"/>
        <v>0</v>
      </c>
      <c r="X121" s="74">
        <f t="shared" si="284"/>
        <v>0</v>
      </c>
      <c r="Y121" s="74">
        <f t="shared" si="284"/>
        <v>0</v>
      </c>
      <c r="Z121" s="74">
        <f t="shared" si="284"/>
        <v>0</v>
      </c>
      <c r="AA121" s="74">
        <f t="shared" si="284"/>
        <v>13.027384200099338</v>
      </c>
      <c r="AB121" s="74">
        <f t="shared" si="284"/>
        <v>7.1612516223734382</v>
      </c>
      <c r="AC121" s="74">
        <f t="shared" si="284"/>
        <v>0</v>
      </c>
      <c r="AD121" s="74">
        <f t="shared" si="284"/>
        <v>0</v>
      </c>
      <c r="AE121" s="74">
        <f t="shared" si="284"/>
        <v>0</v>
      </c>
      <c r="AF121" s="74">
        <f t="shared" ref="AF121" si="285">CG118</f>
        <v>0</v>
      </c>
      <c r="AG121" s="74">
        <f t="shared" ref="AG121" si="286">CH118</f>
        <v>2.7837094597461953</v>
      </c>
      <c r="AH121" s="74"/>
      <c r="AI121" s="74"/>
      <c r="AJ121" s="74"/>
      <c r="AK121" s="74"/>
      <c r="AL121" s="74"/>
      <c r="AM121" s="74"/>
      <c r="AN121" s="74"/>
      <c r="AO121" s="61"/>
      <c r="AP121" s="92"/>
      <c r="AQ121" s="74"/>
      <c r="AR121" s="61"/>
      <c r="AS121" s="61"/>
      <c r="AT121" s="61"/>
      <c r="AU121" s="61"/>
      <c r="AV121" s="61"/>
      <c r="AW121" s="92"/>
      <c r="AX121" s="89"/>
      <c r="BE121" s="2"/>
      <c r="BF121" s="2"/>
      <c r="BG121" s="2"/>
      <c r="BH121" s="2"/>
      <c r="BI121" s="2"/>
      <c r="BJ121" s="2"/>
      <c r="BK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</row>
    <row r="122" spans="1:115" ht="20.399999999999999" customHeight="1" x14ac:dyDescent="0.25">
      <c r="A122" s="585"/>
      <c r="B122" s="586"/>
      <c r="C122" s="586"/>
      <c r="D122" s="587"/>
      <c r="E122" s="328"/>
      <c r="F122" s="329"/>
      <c r="G122" s="328"/>
      <c r="H122" s="329"/>
      <c r="I122" s="568" t="s">
        <v>829</v>
      </c>
      <c r="J122" s="568"/>
      <c r="K122" s="568"/>
      <c r="L122" s="342"/>
      <c r="M122" s="240">
        <f t="shared" ref="M122:Z122" si="287">M121*GTotal/100</f>
        <v>0</v>
      </c>
      <c r="N122" s="44">
        <f t="shared" si="287"/>
        <v>409639.74364999996</v>
      </c>
      <c r="O122" s="44">
        <f t="shared" si="287"/>
        <v>0</v>
      </c>
      <c r="P122" s="44">
        <f t="shared" si="287"/>
        <v>0</v>
      </c>
      <c r="Q122" s="44">
        <f t="shared" si="287"/>
        <v>0</v>
      </c>
      <c r="R122" s="93">
        <f t="shared" si="287"/>
        <v>0</v>
      </c>
      <c r="S122" s="240">
        <f t="shared" si="287"/>
        <v>0</v>
      </c>
      <c r="T122" s="44">
        <f t="shared" si="287"/>
        <v>0</v>
      </c>
      <c r="U122" s="44">
        <f t="shared" si="287"/>
        <v>0</v>
      </c>
      <c r="V122" s="44">
        <f t="shared" si="287"/>
        <v>0</v>
      </c>
      <c r="W122" s="44">
        <f t="shared" si="287"/>
        <v>0</v>
      </c>
      <c r="X122" s="44">
        <f t="shared" si="287"/>
        <v>0</v>
      </c>
      <c r="Y122" s="44">
        <f t="shared" si="287"/>
        <v>0</v>
      </c>
      <c r="Z122" s="44">
        <f t="shared" si="287"/>
        <v>0</v>
      </c>
      <c r="AA122" s="44">
        <f t="shared" ref="AA122:AB122" si="288">AA121*GTotal/100</f>
        <v>31069683.788140003</v>
      </c>
      <c r="AB122" s="44">
        <f t="shared" si="288"/>
        <v>17079240.161869999</v>
      </c>
      <c r="AC122" s="44">
        <f t="shared" ref="AC122:AD122" si="289">AC121*GTotal/100</f>
        <v>0</v>
      </c>
      <c r="AD122" s="44">
        <f t="shared" si="289"/>
        <v>0</v>
      </c>
      <c r="AE122" s="44">
        <f t="shared" ref="AE122:AG122" si="290">AE121*GTotal/100</f>
        <v>0</v>
      </c>
      <c r="AF122" s="44">
        <f t="shared" si="290"/>
        <v>0</v>
      </c>
      <c r="AG122" s="44">
        <f t="shared" si="290"/>
        <v>6639012.9702099999</v>
      </c>
      <c r="AH122" s="44"/>
      <c r="AI122" s="44"/>
      <c r="AJ122" s="44"/>
      <c r="AK122" s="44"/>
      <c r="AL122" s="44"/>
      <c r="AM122" s="44"/>
      <c r="AN122" s="44"/>
      <c r="AO122" s="44"/>
      <c r="AP122" s="93"/>
      <c r="AQ122" s="240"/>
      <c r="AR122" s="44"/>
      <c r="AS122" s="44"/>
      <c r="AT122" s="44"/>
      <c r="AU122" s="44"/>
      <c r="AV122" s="44"/>
      <c r="AW122" s="93"/>
      <c r="AX122" s="90"/>
    </row>
    <row r="123" spans="1:115" ht="20.399999999999999" customHeight="1" x14ac:dyDescent="0.25">
      <c r="A123" s="578" t="s">
        <v>27</v>
      </c>
      <c r="B123" s="578"/>
      <c r="C123" s="578"/>
      <c r="D123" s="578"/>
      <c r="E123" s="328"/>
      <c r="F123" s="329"/>
      <c r="G123" s="328"/>
      <c r="H123" s="329"/>
      <c r="I123" s="568" t="s">
        <v>20</v>
      </c>
      <c r="J123" s="568"/>
      <c r="K123" s="568"/>
      <c r="L123" s="343"/>
      <c r="M123" s="74">
        <f>M121+L123</f>
        <v>0</v>
      </c>
      <c r="N123" s="61">
        <f t="shared" ref="N123:AE123" si="291">N121+M123</f>
        <v>0.1717601749843308</v>
      </c>
      <c r="O123" s="61">
        <f t="shared" si="291"/>
        <v>0.1717601749843308</v>
      </c>
      <c r="P123" s="61">
        <f t="shared" si="291"/>
        <v>0.1717601749843308</v>
      </c>
      <c r="Q123" s="61">
        <f t="shared" si="291"/>
        <v>0.1717601749843308</v>
      </c>
      <c r="R123" s="92">
        <f t="shared" si="291"/>
        <v>0.1717601749843308</v>
      </c>
      <c r="S123" s="74">
        <f t="shared" si="291"/>
        <v>0.1717601749843308</v>
      </c>
      <c r="T123" s="61">
        <f t="shared" si="291"/>
        <v>0.1717601749843308</v>
      </c>
      <c r="U123" s="61">
        <f t="shared" si="291"/>
        <v>0.1717601749843308</v>
      </c>
      <c r="V123" s="61">
        <f t="shared" si="291"/>
        <v>0.1717601749843308</v>
      </c>
      <c r="W123" s="61">
        <f t="shared" si="291"/>
        <v>0.1717601749843308</v>
      </c>
      <c r="X123" s="61">
        <f t="shared" si="291"/>
        <v>0.1717601749843308</v>
      </c>
      <c r="Y123" s="61">
        <f t="shared" si="291"/>
        <v>0.1717601749843308</v>
      </c>
      <c r="Z123" s="61">
        <f t="shared" si="291"/>
        <v>0.1717601749843308</v>
      </c>
      <c r="AA123" s="61">
        <f t="shared" si="291"/>
        <v>13.199144375083668</v>
      </c>
      <c r="AB123" s="61">
        <f t="shared" si="291"/>
        <v>20.360395997457104</v>
      </c>
      <c r="AC123" s="61">
        <f t="shared" si="291"/>
        <v>20.360395997457104</v>
      </c>
      <c r="AD123" s="61">
        <f t="shared" si="291"/>
        <v>20.360395997457104</v>
      </c>
      <c r="AE123" s="61">
        <f t="shared" si="291"/>
        <v>20.360395997457104</v>
      </c>
      <c r="AF123" s="61">
        <f t="shared" ref="AF123" si="292">AF121+AE123</f>
        <v>20.360395997457104</v>
      </c>
      <c r="AG123" s="61">
        <f t="shared" ref="AG123" si="293">AG121+AF123</f>
        <v>23.144105457203299</v>
      </c>
      <c r="AH123" s="61"/>
      <c r="AI123" s="61"/>
      <c r="AJ123" s="61"/>
      <c r="AK123" s="61"/>
      <c r="AL123" s="61"/>
      <c r="AM123" s="61"/>
      <c r="AN123" s="61"/>
      <c r="AO123" s="61"/>
      <c r="AP123" s="92"/>
      <c r="AQ123" s="74"/>
      <c r="AR123" s="61"/>
      <c r="AS123" s="61"/>
      <c r="AT123" s="61"/>
      <c r="AU123" s="61"/>
      <c r="AV123" s="61"/>
      <c r="AW123" s="92"/>
      <c r="AX123" s="89"/>
    </row>
    <row r="124" spans="1:115" ht="20.399999999999999" customHeight="1" x14ac:dyDescent="0.25">
      <c r="A124" s="588"/>
      <c r="B124" s="589"/>
      <c r="C124" s="589"/>
      <c r="D124" s="590"/>
      <c r="E124" s="328"/>
      <c r="F124" s="329"/>
      <c r="G124" s="328"/>
      <c r="H124" s="329"/>
      <c r="I124" s="568" t="s">
        <v>829</v>
      </c>
      <c r="J124" s="568"/>
      <c r="K124" s="568"/>
      <c r="L124" s="344"/>
      <c r="M124" s="240">
        <f t="shared" ref="M124:Z124" si="294">M123*GTotal/100</f>
        <v>0</v>
      </c>
      <c r="N124" s="44">
        <f t="shared" si="294"/>
        <v>409639.74364999996</v>
      </c>
      <c r="O124" s="44">
        <f t="shared" si="294"/>
        <v>409639.74364999996</v>
      </c>
      <c r="P124" s="44">
        <f t="shared" si="294"/>
        <v>409639.74364999996</v>
      </c>
      <c r="Q124" s="44">
        <f t="shared" si="294"/>
        <v>409639.74364999996</v>
      </c>
      <c r="R124" s="93">
        <f t="shared" si="294"/>
        <v>409639.74364999996</v>
      </c>
      <c r="S124" s="240">
        <f t="shared" si="294"/>
        <v>409639.74364999996</v>
      </c>
      <c r="T124" s="44">
        <f t="shared" si="294"/>
        <v>409639.74364999996</v>
      </c>
      <c r="U124" s="44">
        <f t="shared" si="294"/>
        <v>409639.74364999996</v>
      </c>
      <c r="V124" s="44">
        <f t="shared" si="294"/>
        <v>409639.74364999996</v>
      </c>
      <c r="W124" s="44">
        <f t="shared" si="294"/>
        <v>409639.74364999996</v>
      </c>
      <c r="X124" s="44">
        <f t="shared" si="294"/>
        <v>409639.74364999996</v>
      </c>
      <c r="Y124" s="44">
        <f t="shared" si="294"/>
        <v>409639.74364999996</v>
      </c>
      <c r="Z124" s="44">
        <f t="shared" si="294"/>
        <v>409639.74364999996</v>
      </c>
      <c r="AA124" s="44">
        <f t="shared" ref="AA124:AB124" si="295">AA123*GTotal/100</f>
        <v>31479323.531789999</v>
      </c>
      <c r="AB124" s="44">
        <f t="shared" si="295"/>
        <v>48558563.693659991</v>
      </c>
      <c r="AC124" s="44">
        <f t="shared" ref="AC124:AD124" si="296">AC123*GTotal/100</f>
        <v>48558563.693659991</v>
      </c>
      <c r="AD124" s="44">
        <f t="shared" si="296"/>
        <v>48558563.693659991</v>
      </c>
      <c r="AE124" s="44">
        <f t="shared" ref="AE124:AG124" si="297">AE123*GTotal/100</f>
        <v>48558563.693659991</v>
      </c>
      <c r="AF124" s="44">
        <f t="shared" si="297"/>
        <v>48558563.693659991</v>
      </c>
      <c r="AG124" s="44">
        <f t="shared" si="297"/>
        <v>55197576.663869992</v>
      </c>
      <c r="AH124" s="44"/>
      <c r="AI124" s="44"/>
      <c r="AJ124" s="44"/>
      <c r="AK124" s="44"/>
      <c r="AL124" s="44"/>
      <c r="AM124" s="44"/>
      <c r="AN124" s="44"/>
      <c r="AO124" s="44"/>
      <c r="AP124" s="93"/>
      <c r="AQ124" s="240"/>
      <c r="AR124" s="44"/>
      <c r="AS124" s="44"/>
      <c r="AT124" s="44"/>
      <c r="AU124" s="44"/>
      <c r="AV124" s="44"/>
      <c r="AW124" s="93"/>
      <c r="AX124" s="90"/>
    </row>
    <row r="126" spans="1:115" x14ac:dyDescent="0.25">
      <c r="BE126" s="4"/>
      <c r="BF126" s="4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</row>
    <row r="127" spans="1:115" x14ac:dyDescent="0.25">
      <c r="R127" s="41"/>
      <c r="S127" s="41"/>
      <c r="T127" s="41"/>
      <c r="U127" s="41"/>
      <c r="V127" s="235"/>
      <c r="W127" s="235"/>
      <c r="X127" s="235"/>
      <c r="Y127" s="235"/>
      <c r="Z127" s="235"/>
      <c r="AA127" s="235"/>
      <c r="AB127" s="235"/>
      <c r="AC127" s="235"/>
      <c r="AD127" s="235"/>
      <c r="AE127" s="235"/>
      <c r="AF127" s="235"/>
      <c r="AG127" s="235"/>
      <c r="AH127" s="235"/>
      <c r="AI127" s="235"/>
      <c r="AJ127" s="235"/>
      <c r="AK127" s="235"/>
      <c r="AL127" s="235"/>
      <c r="AM127" s="235"/>
      <c r="AN127" s="235"/>
      <c r="AO127" s="235"/>
      <c r="AP127" s="235"/>
      <c r="AQ127" s="235"/>
      <c r="AR127" s="235"/>
      <c r="AS127" s="235"/>
      <c r="AT127" s="235"/>
      <c r="AU127" s="235"/>
      <c r="AV127" s="235"/>
      <c r="AW127" s="235"/>
      <c r="BE127" s="4"/>
      <c r="BF127" s="4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</row>
    <row r="128" spans="1:115" ht="13.2" x14ac:dyDescent="0.25">
      <c r="I128"/>
      <c r="U128" s="41"/>
      <c r="AG128" s="35"/>
      <c r="BE128" s="4"/>
      <c r="BF128" s="4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</row>
    <row r="129" spans="19:115" x14ac:dyDescent="0.25">
      <c r="U129" s="41"/>
      <c r="BE129" s="4"/>
      <c r="BF129" s="4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</row>
    <row r="130" spans="19:115" x14ac:dyDescent="0.25">
      <c r="U130" s="41"/>
      <c r="BE130" s="4"/>
      <c r="BF130" s="4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</row>
    <row r="131" spans="19:115" x14ac:dyDescent="0.25">
      <c r="U131" s="41"/>
      <c r="AH131" s="35"/>
      <c r="BE131" s="4"/>
      <c r="BF131" s="4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</row>
    <row r="132" spans="19:115" x14ac:dyDescent="0.25">
      <c r="S132" s="41"/>
      <c r="AH132" s="35"/>
      <c r="BE132" s="4"/>
      <c r="BF132" s="4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</row>
    <row r="133" spans="19:115" ht="12.75" customHeight="1" x14ac:dyDescent="0.25">
      <c r="BE133" s="4"/>
      <c r="BF133" s="4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</row>
    <row r="134" spans="19:115" x14ac:dyDescent="0.25">
      <c r="T134" s="41"/>
      <c r="BE134" s="4"/>
      <c r="BF134" s="4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</row>
    <row r="135" spans="19:115" x14ac:dyDescent="0.25">
      <c r="BE135" s="4"/>
      <c r="BF135" s="4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</row>
    <row r="136" spans="19:115" x14ac:dyDescent="0.25">
      <c r="BE136" s="4"/>
      <c r="BF136" s="4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</row>
    <row r="137" spans="19:115" x14ac:dyDescent="0.25">
      <c r="BE137" s="4"/>
      <c r="BF137" s="4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</row>
    <row r="138" spans="19:115" x14ac:dyDescent="0.25">
      <c r="BE138" s="4"/>
      <c r="BF138" s="4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</row>
    <row r="139" spans="19:115" x14ac:dyDescent="0.25">
      <c r="BE139" s="4"/>
      <c r="BF139" s="4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</row>
    <row r="140" spans="19:115" x14ac:dyDescent="0.25">
      <c r="BE140" s="4"/>
      <c r="BF140" s="4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</row>
    <row r="141" spans="19:115" x14ac:dyDescent="0.25">
      <c r="BE141" s="4"/>
      <c r="BF141" s="4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</row>
    <row r="142" spans="19:115" x14ac:dyDescent="0.25">
      <c r="BE142" s="4"/>
      <c r="BF142" s="4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</row>
    <row r="143" spans="19:115" x14ac:dyDescent="0.25">
      <c r="BE143" s="4"/>
      <c r="BF143" s="4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</row>
    <row r="144" spans="19:115" x14ac:dyDescent="0.25">
      <c r="BE144" s="4"/>
      <c r="BF144" s="4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</row>
    <row r="145" spans="57:115" x14ac:dyDescent="0.25">
      <c r="BE145" s="4"/>
      <c r="BF145" s="4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</row>
    <row r="146" spans="57:115" x14ac:dyDescent="0.25">
      <c r="BE146" s="4"/>
      <c r="BF146" s="4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</row>
    <row r="147" spans="57:115" x14ac:dyDescent="0.25">
      <c r="BE147" s="4"/>
      <c r="BF147" s="4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</row>
    <row r="148" spans="57:115" x14ac:dyDescent="0.25">
      <c r="BE148" s="4"/>
      <c r="BF148" s="4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</row>
    <row r="149" spans="57:115" x14ac:dyDescent="0.25">
      <c r="BE149" s="4"/>
      <c r="BF149" s="4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</row>
    <row r="150" spans="57:115" x14ac:dyDescent="0.25">
      <c r="BE150" s="4"/>
      <c r="BF150" s="4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</row>
    <row r="151" spans="57:115" x14ac:dyDescent="0.25">
      <c r="BE151" s="4"/>
      <c r="BF151" s="4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</row>
    <row r="152" spans="57:115" x14ac:dyDescent="0.25">
      <c r="BE152" s="4"/>
      <c r="BF152" s="4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</row>
    <row r="153" spans="57:115" x14ac:dyDescent="0.25">
      <c r="BE153" s="4"/>
      <c r="BF153" s="4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</row>
    <row r="154" spans="57:115" x14ac:dyDescent="0.25">
      <c r="BE154" s="4"/>
      <c r="BF154" s="4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</row>
    <row r="155" spans="57:115" x14ac:dyDescent="0.25">
      <c r="BE155" s="4"/>
      <c r="BF155" s="4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</row>
    <row r="156" spans="57:115" x14ac:dyDescent="0.25">
      <c r="BE156" s="4"/>
      <c r="BF156" s="4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</row>
    <row r="157" spans="57:115" x14ac:dyDescent="0.25">
      <c r="BE157" s="4"/>
      <c r="BF157" s="4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</row>
    <row r="158" spans="57:115" x14ac:dyDescent="0.25">
      <c r="BE158" s="4"/>
      <c r="BF158" s="4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</row>
    <row r="159" spans="57:115" x14ac:dyDescent="0.25">
      <c r="BE159" s="4"/>
      <c r="BF159" s="4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</row>
    <row r="160" spans="57:115" x14ac:dyDescent="0.25">
      <c r="BE160" s="4"/>
      <c r="BF160" s="4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</row>
    <row r="161" spans="57:115" x14ac:dyDescent="0.25">
      <c r="BE161" s="4"/>
      <c r="BF161" s="4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</row>
    <row r="162" spans="57:115" x14ac:dyDescent="0.25">
      <c r="BE162" s="4"/>
      <c r="BF162" s="4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</row>
  </sheetData>
  <mergeCells count="602">
    <mergeCell ref="S7:AD7"/>
    <mergeCell ref="A113:I115"/>
    <mergeCell ref="CF7:CQ7"/>
    <mergeCell ref="CX8:CY8"/>
    <mergeCell ref="CR7:CY7"/>
    <mergeCell ref="DB7:DB10"/>
    <mergeCell ref="DC7:DC10"/>
    <mergeCell ref="A1:AZ1"/>
    <mergeCell ref="A2:AZ2"/>
    <mergeCell ref="A3:AZ3"/>
    <mergeCell ref="A4:AZ4"/>
    <mergeCell ref="A9:A10"/>
    <mergeCell ref="B9:B10"/>
    <mergeCell ref="C9:C10"/>
    <mergeCell ref="D9:D10"/>
    <mergeCell ref="G9:G10"/>
    <mergeCell ref="L8:M8"/>
    <mergeCell ref="H9:H10"/>
    <mergeCell ref="I9:I10"/>
    <mergeCell ref="J9:J10"/>
    <mergeCell ref="K9:K10"/>
    <mergeCell ref="K7:K8"/>
    <mergeCell ref="B7:B8"/>
    <mergeCell ref="C7:C8"/>
    <mergeCell ref="D7:D8"/>
    <mergeCell ref="L7:R7"/>
    <mergeCell ref="D11:D12"/>
    <mergeCell ref="G11:G12"/>
    <mergeCell ref="H11:H12"/>
    <mergeCell ref="I11:I12"/>
    <mergeCell ref="A13:A14"/>
    <mergeCell ref="B13:B14"/>
    <mergeCell ref="C13:C14"/>
    <mergeCell ref="D13:D14"/>
    <mergeCell ref="G13:G14"/>
    <mergeCell ref="H13:H14"/>
    <mergeCell ref="I13:I14"/>
    <mergeCell ref="A11:A12"/>
    <mergeCell ref="B11:B12"/>
    <mergeCell ref="C11:C12"/>
    <mergeCell ref="E9:E10"/>
    <mergeCell ref="F9:F10"/>
    <mergeCell ref="E11:E12"/>
    <mergeCell ref="F11:F12"/>
    <mergeCell ref="E13:E14"/>
    <mergeCell ref="F13:F14"/>
    <mergeCell ref="A15:A16"/>
    <mergeCell ref="B15:B16"/>
    <mergeCell ref="C15:C16"/>
    <mergeCell ref="D15:D16"/>
    <mergeCell ref="G15:G16"/>
    <mergeCell ref="H15:H16"/>
    <mergeCell ref="I15:I16"/>
    <mergeCell ref="J15:J16"/>
    <mergeCell ref="K15:K16"/>
    <mergeCell ref="E15:E16"/>
    <mergeCell ref="F15:F16"/>
    <mergeCell ref="A17:A18"/>
    <mergeCell ref="B17:B18"/>
    <mergeCell ref="C17:C18"/>
    <mergeCell ref="D17:D18"/>
    <mergeCell ref="G17:G18"/>
    <mergeCell ref="H17:H18"/>
    <mergeCell ref="I17:I18"/>
    <mergeCell ref="J17:J18"/>
    <mergeCell ref="K17:K18"/>
    <mergeCell ref="E17:E18"/>
    <mergeCell ref="F17:F18"/>
    <mergeCell ref="A19:A20"/>
    <mergeCell ref="B19:B20"/>
    <mergeCell ref="C19:C20"/>
    <mergeCell ref="D19:D20"/>
    <mergeCell ref="G19:G20"/>
    <mergeCell ref="H19:H20"/>
    <mergeCell ref="I19:I20"/>
    <mergeCell ref="J19:J20"/>
    <mergeCell ref="K19:K20"/>
    <mergeCell ref="E19:E20"/>
    <mergeCell ref="F19:F20"/>
    <mergeCell ref="I21:I22"/>
    <mergeCell ref="J21:J22"/>
    <mergeCell ref="K21:K22"/>
    <mergeCell ref="A23:A24"/>
    <mergeCell ref="B23:B24"/>
    <mergeCell ref="C23:C24"/>
    <mergeCell ref="D23:D24"/>
    <mergeCell ref="G23:G24"/>
    <mergeCell ref="H23:H24"/>
    <mergeCell ref="I23:I24"/>
    <mergeCell ref="A21:A22"/>
    <mergeCell ref="B21:B22"/>
    <mergeCell ref="C21:C22"/>
    <mergeCell ref="D21:D22"/>
    <mergeCell ref="G21:G22"/>
    <mergeCell ref="H21:H22"/>
    <mergeCell ref="J23:J24"/>
    <mergeCell ref="K23:K24"/>
    <mergeCell ref="E21:E22"/>
    <mergeCell ref="F21:F22"/>
    <mergeCell ref="E23:E24"/>
    <mergeCell ref="F23:F24"/>
    <mergeCell ref="A25:A26"/>
    <mergeCell ref="B25:B26"/>
    <mergeCell ref="C25:C26"/>
    <mergeCell ref="D25:D26"/>
    <mergeCell ref="G25:G26"/>
    <mergeCell ref="H25:H26"/>
    <mergeCell ref="I25:I26"/>
    <mergeCell ref="J25:J26"/>
    <mergeCell ref="K25:K26"/>
    <mergeCell ref="E25:E26"/>
    <mergeCell ref="F25:F26"/>
    <mergeCell ref="A27:A28"/>
    <mergeCell ref="B27:B28"/>
    <mergeCell ref="C27:C28"/>
    <mergeCell ref="D27:D28"/>
    <mergeCell ref="G27:G28"/>
    <mergeCell ref="H27:H28"/>
    <mergeCell ref="I27:I28"/>
    <mergeCell ref="J27:J28"/>
    <mergeCell ref="K27:K28"/>
    <mergeCell ref="E27:E28"/>
    <mergeCell ref="F27:F28"/>
    <mergeCell ref="I29:I30"/>
    <mergeCell ref="J29:J30"/>
    <mergeCell ref="K29:K30"/>
    <mergeCell ref="A31:A32"/>
    <mergeCell ref="B31:B32"/>
    <mergeCell ref="C31:C32"/>
    <mergeCell ref="D31:D32"/>
    <mergeCell ref="G31:G32"/>
    <mergeCell ref="H31:H32"/>
    <mergeCell ref="I31:I32"/>
    <mergeCell ref="A29:A30"/>
    <mergeCell ref="B29:B30"/>
    <mergeCell ref="C29:C30"/>
    <mergeCell ref="D29:D30"/>
    <mergeCell ref="G29:G30"/>
    <mergeCell ref="H29:H30"/>
    <mergeCell ref="J31:J32"/>
    <mergeCell ref="K31:K32"/>
    <mergeCell ref="E29:E30"/>
    <mergeCell ref="F29:F30"/>
    <mergeCell ref="E31:E32"/>
    <mergeCell ref="F31:F32"/>
    <mergeCell ref="A33:A34"/>
    <mergeCell ref="B33:B34"/>
    <mergeCell ref="C33:C34"/>
    <mergeCell ref="D33:D34"/>
    <mergeCell ref="G33:G34"/>
    <mergeCell ref="H33:H34"/>
    <mergeCell ref="I33:I34"/>
    <mergeCell ref="J33:J34"/>
    <mergeCell ref="K33:K34"/>
    <mergeCell ref="E33:E34"/>
    <mergeCell ref="F33:F34"/>
    <mergeCell ref="A35:A36"/>
    <mergeCell ref="B35:B36"/>
    <mergeCell ref="C35:C36"/>
    <mergeCell ref="D35:D36"/>
    <mergeCell ref="G35:G36"/>
    <mergeCell ref="H35:H36"/>
    <mergeCell ref="I35:I36"/>
    <mergeCell ref="J35:J36"/>
    <mergeCell ref="K35:K36"/>
    <mergeCell ref="E35:E36"/>
    <mergeCell ref="F35:F36"/>
    <mergeCell ref="I37:I38"/>
    <mergeCell ref="J37:J38"/>
    <mergeCell ref="K37:K38"/>
    <mergeCell ref="A39:A40"/>
    <mergeCell ref="B39:B40"/>
    <mergeCell ref="C39:C40"/>
    <mergeCell ref="D39:D40"/>
    <mergeCell ref="G39:G40"/>
    <mergeCell ref="H39:H40"/>
    <mergeCell ref="I39:I40"/>
    <mergeCell ref="A37:A38"/>
    <mergeCell ref="B37:B38"/>
    <mergeCell ref="C37:C38"/>
    <mergeCell ref="D37:D38"/>
    <mergeCell ref="G37:G38"/>
    <mergeCell ref="H37:H38"/>
    <mergeCell ref="J39:J40"/>
    <mergeCell ref="K39:K40"/>
    <mergeCell ref="E37:E38"/>
    <mergeCell ref="F37:F38"/>
    <mergeCell ref="E39:E40"/>
    <mergeCell ref="F39:F40"/>
    <mergeCell ref="A41:A42"/>
    <mergeCell ref="B41:B42"/>
    <mergeCell ref="C41:C42"/>
    <mergeCell ref="D41:D42"/>
    <mergeCell ref="G41:G42"/>
    <mergeCell ref="H41:H42"/>
    <mergeCell ref="I41:I42"/>
    <mergeCell ref="J41:J42"/>
    <mergeCell ref="K41:K42"/>
    <mergeCell ref="E41:E42"/>
    <mergeCell ref="F41:F42"/>
    <mergeCell ref="A43:A44"/>
    <mergeCell ref="B43:B44"/>
    <mergeCell ref="C43:C44"/>
    <mergeCell ref="D43:D44"/>
    <mergeCell ref="G43:G44"/>
    <mergeCell ref="H43:H44"/>
    <mergeCell ref="I43:I44"/>
    <mergeCell ref="J43:J44"/>
    <mergeCell ref="K43:K44"/>
    <mergeCell ref="E43:E44"/>
    <mergeCell ref="F43:F44"/>
    <mergeCell ref="I45:I46"/>
    <mergeCell ref="J45:J46"/>
    <mergeCell ref="K45:K46"/>
    <mergeCell ref="A47:A48"/>
    <mergeCell ref="B47:B48"/>
    <mergeCell ref="C47:C48"/>
    <mergeCell ref="D47:D48"/>
    <mergeCell ref="G47:G48"/>
    <mergeCell ref="H47:H48"/>
    <mergeCell ref="I47:I48"/>
    <mergeCell ref="A45:A46"/>
    <mergeCell ref="B45:B46"/>
    <mergeCell ref="C45:C46"/>
    <mergeCell ref="D45:D46"/>
    <mergeCell ref="G45:G46"/>
    <mergeCell ref="H45:H46"/>
    <mergeCell ref="J47:J48"/>
    <mergeCell ref="K47:K48"/>
    <mergeCell ref="E45:E46"/>
    <mergeCell ref="F45:F46"/>
    <mergeCell ref="E47:E48"/>
    <mergeCell ref="F47:F48"/>
    <mergeCell ref="A49:A50"/>
    <mergeCell ref="B49:B50"/>
    <mergeCell ref="C49:C50"/>
    <mergeCell ref="D49:D50"/>
    <mergeCell ref="G49:G50"/>
    <mergeCell ref="H49:H50"/>
    <mergeCell ref="I49:I50"/>
    <mergeCell ref="J49:J50"/>
    <mergeCell ref="K49:K50"/>
    <mergeCell ref="E49:E50"/>
    <mergeCell ref="F49:F50"/>
    <mergeCell ref="A51:A52"/>
    <mergeCell ref="B51:B52"/>
    <mergeCell ref="C51:C52"/>
    <mergeCell ref="D51:D52"/>
    <mergeCell ref="G51:G52"/>
    <mergeCell ref="H51:H52"/>
    <mergeCell ref="I51:I52"/>
    <mergeCell ref="J51:J52"/>
    <mergeCell ref="K51:K52"/>
    <mergeCell ref="E51:E52"/>
    <mergeCell ref="F51:F52"/>
    <mergeCell ref="I53:I54"/>
    <mergeCell ref="J53:J54"/>
    <mergeCell ref="K53:K54"/>
    <mergeCell ref="A55:A56"/>
    <mergeCell ref="B55:B56"/>
    <mergeCell ref="C55:C56"/>
    <mergeCell ref="D55:D56"/>
    <mergeCell ref="G55:G56"/>
    <mergeCell ref="H55:H56"/>
    <mergeCell ref="I55:I56"/>
    <mergeCell ref="A53:A54"/>
    <mergeCell ref="B53:B54"/>
    <mergeCell ref="C53:C54"/>
    <mergeCell ref="D53:D54"/>
    <mergeCell ref="G53:G54"/>
    <mergeCell ref="H53:H54"/>
    <mergeCell ref="J55:J56"/>
    <mergeCell ref="K55:K56"/>
    <mergeCell ref="E53:E54"/>
    <mergeCell ref="F53:F54"/>
    <mergeCell ref="E55:E56"/>
    <mergeCell ref="F55:F56"/>
    <mergeCell ref="A57:A58"/>
    <mergeCell ref="B57:B58"/>
    <mergeCell ref="C57:C58"/>
    <mergeCell ref="D57:D58"/>
    <mergeCell ref="G57:G58"/>
    <mergeCell ref="H57:H58"/>
    <mergeCell ref="I57:I58"/>
    <mergeCell ref="J57:J58"/>
    <mergeCell ref="K57:K58"/>
    <mergeCell ref="E57:E58"/>
    <mergeCell ref="F57:F58"/>
    <mergeCell ref="A59:A60"/>
    <mergeCell ref="B59:B60"/>
    <mergeCell ref="C59:C60"/>
    <mergeCell ref="D59:D60"/>
    <mergeCell ref="G59:G60"/>
    <mergeCell ref="H59:H60"/>
    <mergeCell ref="I59:I60"/>
    <mergeCell ref="J59:J60"/>
    <mergeCell ref="K59:K60"/>
    <mergeCell ref="E59:E60"/>
    <mergeCell ref="F59:F60"/>
    <mergeCell ref="I61:I62"/>
    <mergeCell ref="J61:J62"/>
    <mergeCell ref="K61:K62"/>
    <mergeCell ref="A63:A64"/>
    <mergeCell ref="B63:B64"/>
    <mergeCell ref="C63:C64"/>
    <mergeCell ref="D63:D64"/>
    <mergeCell ref="G63:G64"/>
    <mergeCell ref="H63:H64"/>
    <mergeCell ref="I63:I64"/>
    <mergeCell ref="A61:A62"/>
    <mergeCell ref="B61:B62"/>
    <mergeCell ref="C61:C62"/>
    <mergeCell ref="D61:D62"/>
    <mergeCell ref="G61:G62"/>
    <mergeCell ref="H61:H62"/>
    <mergeCell ref="J63:J64"/>
    <mergeCell ref="K63:K64"/>
    <mergeCell ref="E61:E62"/>
    <mergeCell ref="F61:F62"/>
    <mergeCell ref="E63:E64"/>
    <mergeCell ref="F63:F64"/>
    <mergeCell ref="A65:A66"/>
    <mergeCell ref="B65:B66"/>
    <mergeCell ref="C65:C66"/>
    <mergeCell ref="D65:D66"/>
    <mergeCell ref="G65:G66"/>
    <mergeCell ref="H65:H66"/>
    <mergeCell ref="I65:I66"/>
    <mergeCell ref="J65:J66"/>
    <mergeCell ref="K65:K66"/>
    <mergeCell ref="E65:E66"/>
    <mergeCell ref="F65:F66"/>
    <mergeCell ref="A67:A68"/>
    <mergeCell ref="B67:B68"/>
    <mergeCell ref="C67:C68"/>
    <mergeCell ref="D67:D68"/>
    <mergeCell ref="G67:G68"/>
    <mergeCell ref="H67:H68"/>
    <mergeCell ref="I67:I68"/>
    <mergeCell ref="J67:J68"/>
    <mergeCell ref="K67:K68"/>
    <mergeCell ref="E67:E68"/>
    <mergeCell ref="F67:F68"/>
    <mergeCell ref="A69:A70"/>
    <mergeCell ref="B69:B70"/>
    <mergeCell ref="C69:C70"/>
    <mergeCell ref="D69:D70"/>
    <mergeCell ref="G69:G70"/>
    <mergeCell ref="H69:H70"/>
    <mergeCell ref="I69:I70"/>
    <mergeCell ref="J69:J70"/>
    <mergeCell ref="K69:K70"/>
    <mergeCell ref="E69:E70"/>
    <mergeCell ref="F69:F70"/>
    <mergeCell ref="I71:I72"/>
    <mergeCell ref="J71:J72"/>
    <mergeCell ref="K71:K72"/>
    <mergeCell ref="A71:A72"/>
    <mergeCell ref="B71:B72"/>
    <mergeCell ref="C71:C72"/>
    <mergeCell ref="D71:D72"/>
    <mergeCell ref="G71:G72"/>
    <mergeCell ref="H71:H72"/>
    <mergeCell ref="E71:E72"/>
    <mergeCell ref="F71:F72"/>
    <mergeCell ref="A73:A74"/>
    <mergeCell ref="B73:B74"/>
    <mergeCell ref="C73:C74"/>
    <mergeCell ref="D73:D74"/>
    <mergeCell ref="G73:G74"/>
    <mergeCell ref="H73:H74"/>
    <mergeCell ref="I73:I74"/>
    <mergeCell ref="J73:J74"/>
    <mergeCell ref="K73:K74"/>
    <mergeCell ref="E73:E74"/>
    <mergeCell ref="F73:F74"/>
    <mergeCell ref="A77:A78"/>
    <mergeCell ref="B77:B78"/>
    <mergeCell ref="C77:C78"/>
    <mergeCell ref="D77:D78"/>
    <mergeCell ref="I77:I78"/>
    <mergeCell ref="J77:J78"/>
    <mergeCell ref="K77:K78"/>
    <mergeCell ref="A75:A76"/>
    <mergeCell ref="B75:B76"/>
    <mergeCell ref="C75:C76"/>
    <mergeCell ref="D75:D76"/>
    <mergeCell ref="G75:G76"/>
    <mergeCell ref="H75:H76"/>
    <mergeCell ref="I75:I76"/>
    <mergeCell ref="J75:J76"/>
    <mergeCell ref="K75:K76"/>
    <mergeCell ref="E75:E76"/>
    <mergeCell ref="F75:F76"/>
    <mergeCell ref="A83:A84"/>
    <mergeCell ref="B83:B84"/>
    <mergeCell ref="C83:C84"/>
    <mergeCell ref="D83:D84"/>
    <mergeCell ref="I83:I84"/>
    <mergeCell ref="J83:J84"/>
    <mergeCell ref="K83:K84"/>
    <mergeCell ref="I79:I80"/>
    <mergeCell ref="J79:J80"/>
    <mergeCell ref="K79:K80"/>
    <mergeCell ref="A81:A82"/>
    <mergeCell ref="B81:B82"/>
    <mergeCell ref="C81:C82"/>
    <mergeCell ref="D81:D82"/>
    <mergeCell ref="G81:G82"/>
    <mergeCell ref="H81:H82"/>
    <mergeCell ref="I81:I82"/>
    <mergeCell ref="A79:A80"/>
    <mergeCell ref="B79:B80"/>
    <mergeCell ref="C79:C80"/>
    <mergeCell ref="D79:D80"/>
    <mergeCell ref="G79:G80"/>
    <mergeCell ref="H79:H80"/>
    <mergeCell ref="E79:E80"/>
    <mergeCell ref="A89:A90"/>
    <mergeCell ref="B89:B90"/>
    <mergeCell ref="C89:C90"/>
    <mergeCell ref="D89:D90"/>
    <mergeCell ref="G89:G90"/>
    <mergeCell ref="H89:H90"/>
    <mergeCell ref="I89:I90"/>
    <mergeCell ref="J89:J90"/>
    <mergeCell ref="I85:I86"/>
    <mergeCell ref="J85:J86"/>
    <mergeCell ref="A87:A88"/>
    <mergeCell ref="B87:B88"/>
    <mergeCell ref="C87:C88"/>
    <mergeCell ref="D87:D88"/>
    <mergeCell ref="G87:G88"/>
    <mergeCell ref="H87:H88"/>
    <mergeCell ref="I87:I88"/>
    <mergeCell ref="A85:A86"/>
    <mergeCell ref="B85:B86"/>
    <mergeCell ref="C85:C86"/>
    <mergeCell ref="D85:D86"/>
    <mergeCell ref="G85:G86"/>
    <mergeCell ref="H85:H86"/>
    <mergeCell ref="A91:A92"/>
    <mergeCell ref="B91:B92"/>
    <mergeCell ref="C91:C92"/>
    <mergeCell ref="D91:D92"/>
    <mergeCell ref="G91:G92"/>
    <mergeCell ref="H91:H92"/>
    <mergeCell ref="I91:I92"/>
    <mergeCell ref="J91:J92"/>
    <mergeCell ref="K91:K92"/>
    <mergeCell ref="E91:E92"/>
    <mergeCell ref="F91:F92"/>
    <mergeCell ref="A97:A98"/>
    <mergeCell ref="B97:B98"/>
    <mergeCell ref="C97:C98"/>
    <mergeCell ref="D97:D98"/>
    <mergeCell ref="G97:G98"/>
    <mergeCell ref="H97:H98"/>
    <mergeCell ref="I97:I98"/>
    <mergeCell ref="J97:J98"/>
    <mergeCell ref="I93:I94"/>
    <mergeCell ref="J93:J94"/>
    <mergeCell ref="A95:A96"/>
    <mergeCell ref="B95:B96"/>
    <mergeCell ref="C95:C96"/>
    <mergeCell ref="D95:D96"/>
    <mergeCell ref="G95:G96"/>
    <mergeCell ref="H95:H96"/>
    <mergeCell ref="I95:I96"/>
    <mergeCell ref="A93:A94"/>
    <mergeCell ref="B93:B94"/>
    <mergeCell ref="C93:C94"/>
    <mergeCell ref="D93:D94"/>
    <mergeCell ref="G93:G94"/>
    <mergeCell ref="H93:H94"/>
    <mergeCell ref="E93:E94"/>
    <mergeCell ref="A99:A100"/>
    <mergeCell ref="B99:B100"/>
    <mergeCell ref="C99:C100"/>
    <mergeCell ref="D99:D100"/>
    <mergeCell ref="G99:G100"/>
    <mergeCell ref="H99:H100"/>
    <mergeCell ref="I99:I100"/>
    <mergeCell ref="J99:J100"/>
    <mergeCell ref="K99:K100"/>
    <mergeCell ref="A105:A106"/>
    <mergeCell ref="B105:B106"/>
    <mergeCell ref="C105:C106"/>
    <mergeCell ref="D105:D106"/>
    <mergeCell ref="I105:I106"/>
    <mergeCell ref="J105:J106"/>
    <mergeCell ref="K105:K106"/>
    <mergeCell ref="I101:I102"/>
    <mergeCell ref="J101:J102"/>
    <mergeCell ref="K101:K102"/>
    <mergeCell ref="A103:A104"/>
    <mergeCell ref="B103:B104"/>
    <mergeCell ref="C103:C104"/>
    <mergeCell ref="D103:D104"/>
    <mergeCell ref="G103:G104"/>
    <mergeCell ref="H103:H104"/>
    <mergeCell ref="I103:I104"/>
    <mergeCell ref="A101:A102"/>
    <mergeCell ref="B101:B102"/>
    <mergeCell ref="C101:C102"/>
    <mergeCell ref="D101:D102"/>
    <mergeCell ref="G101:G102"/>
    <mergeCell ref="H101:H102"/>
    <mergeCell ref="E103:E104"/>
    <mergeCell ref="A111:A112"/>
    <mergeCell ref="B111:B112"/>
    <mergeCell ref="C111:C112"/>
    <mergeCell ref="D111:D112"/>
    <mergeCell ref="G111:G112"/>
    <mergeCell ref="H111:H112"/>
    <mergeCell ref="I107:I108"/>
    <mergeCell ref="J107:J108"/>
    <mergeCell ref="K107:K108"/>
    <mergeCell ref="A109:A110"/>
    <mergeCell ref="B109:B110"/>
    <mergeCell ref="C109:C110"/>
    <mergeCell ref="D109:D110"/>
    <mergeCell ref="I109:I110"/>
    <mergeCell ref="J109:J110"/>
    <mergeCell ref="K109:K110"/>
    <mergeCell ref="A107:A108"/>
    <mergeCell ref="B107:B108"/>
    <mergeCell ref="C107:C108"/>
    <mergeCell ref="D107:D108"/>
    <mergeCell ref="G107:G108"/>
    <mergeCell ref="H107:H108"/>
    <mergeCell ref="I111:I112"/>
    <mergeCell ref="J111:J112"/>
    <mergeCell ref="BM8:BN8"/>
    <mergeCell ref="J11:J12"/>
    <mergeCell ref="K11:K12"/>
    <mergeCell ref="AW8:AX8"/>
    <mergeCell ref="AQ7:AX7"/>
    <mergeCell ref="AE113:AP113"/>
    <mergeCell ref="AQ113:AW113"/>
    <mergeCell ref="L113:R113"/>
    <mergeCell ref="K111:K112"/>
    <mergeCell ref="J103:J104"/>
    <mergeCell ref="K103:K104"/>
    <mergeCell ref="K97:K98"/>
    <mergeCell ref="J95:J96"/>
    <mergeCell ref="K95:K96"/>
    <mergeCell ref="K93:K94"/>
    <mergeCell ref="K89:K90"/>
    <mergeCell ref="J87:J88"/>
    <mergeCell ref="K87:K88"/>
    <mergeCell ref="K85:K86"/>
    <mergeCell ref="J81:J82"/>
    <mergeCell ref="K81:K82"/>
    <mergeCell ref="J13:J14"/>
    <mergeCell ref="K13:K14"/>
    <mergeCell ref="AE7:AP7"/>
    <mergeCell ref="I124:K124"/>
    <mergeCell ref="A117:D117"/>
    <mergeCell ref="A119:D119"/>
    <mergeCell ref="A121:D121"/>
    <mergeCell ref="A123:D123"/>
    <mergeCell ref="A116:D116"/>
    <mergeCell ref="A118:D118"/>
    <mergeCell ref="A120:D120"/>
    <mergeCell ref="A122:D122"/>
    <mergeCell ref="A124:D124"/>
    <mergeCell ref="M114:AW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L116:M116"/>
    <mergeCell ref="J113:J115"/>
    <mergeCell ref="K113:K115"/>
    <mergeCell ref="F79:F80"/>
    <mergeCell ref="E81:E82"/>
    <mergeCell ref="F81:F82"/>
    <mergeCell ref="E85:E86"/>
    <mergeCell ref="F85:F86"/>
    <mergeCell ref="E87:E88"/>
    <mergeCell ref="F87:F88"/>
    <mergeCell ref="E89:E90"/>
    <mergeCell ref="F89:F90"/>
    <mergeCell ref="F103:F104"/>
    <mergeCell ref="E107:E108"/>
    <mergeCell ref="F107:F108"/>
    <mergeCell ref="E111:E112"/>
    <mergeCell ref="F111:F112"/>
    <mergeCell ref="F93:F94"/>
    <mergeCell ref="E95:E96"/>
    <mergeCell ref="F95:F96"/>
    <mergeCell ref="E97:E98"/>
    <mergeCell ref="F97:F98"/>
    <mergeCell ref="E99:E100"/>
    <mergeCell ref="F99:F100"/>
    <mergeCell ref="E101:E102"/>
    <mergeCell ref="F101:F102"/>
  </mergeCells>
  <conditionalFormatting sqref="BM9 BO9:CY9 L9:AX112 BM10:CY10 BM11:CX13 CY11:CY112 BM13:BM111 BN14:CX14 BM15:CX18 BN19:CX76 BM77:CX112">
    <cfRule type="cellIs" dxfId="6" priority="6" operator="equal">
      <formula>0</formula>
    </cfRule>
    <cfRule type="cellIs" dxfId="5" priority="7" operator="lessThan">
      <formula>0</formula>
    </cfRule>
    <cfRule type="cellIs" dxfId="4" priority="8" operator="greaterThan">
      <formula>0</formula>
    </cfRule>
  </conditionalFormatting>
  <pageMargins left="0.15748031496062992" right="0.15748031496062992" top="0.15748031496062992" bottom="0.15748031496062992" header="0.15748031496062992" footer="0.15748031496062992"/>
  <pageSetup paperSize="9" scale="3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EB1E-D692-4575-AC06-49C32240B3CC}">
  <dimension ref="B1:AS125"/>
  <sheetViews>
    <sheetView topLeftCell="H34" zoomScale="85" zoomScaleNormal="85" workbookViewId="0">
      <selection activeCell="N44" sqref="N44"/>
    </sheetView>
  </sheetViews>
  <sheetFormatPr defaultRowHeight="9" customHeight="1" x14ac:dyDescent="0.7"/>
  <cols>
    <col min="1" max="1" width="8.88671875" style="480"/>
    <col min="2" max="2" width="8.77734375" style="480" customWidth="1"/>
    <col min="3" max="3" width="28.5546875" style="481" customWidth="1"/>
    <col min="4" max="4" width="10.33203125" style="481" customWidth="1"/>
    <col min="5" max="5" width="9.88671875" style="481" customWidth="1"/>
    <col min="6" max="6" width="10.6640625" style="481" customWidth="1"/>
    <col min="7" max="7" width="9.88671875" style="481" customWidth="1"/>
    <col min="8" max="8" width="14.88671875" style="481" customWidth="1"/>
    <col min="9" max="9" width="25.6640625" style="481" bestFit="1" customWidth="1"/>
    <col min="10" max="10" width="14" style="481" customWidth="1"/>
    <col min="11" max="11" width="15.21875" style="480" customWidth="1"/>
    <col min="12" max="13" width="15.21875" style="498" customWidth="1"/>
    <col min="14" max="14" width="15.21875" style="480" customWidth="1"/>
    <col min="15" max="15" width="38.5546875" style="481" customWidth="1"/>
    <col min="16" max="19" width="8.88671875" style="480"/>
    <col min="20" max="20" width="13.21875" style="480" customWidth="1"/>
    <col min="21" max="24" width="8.88671875" style="480"/>
    <col min="25" max="25" width="13.21875" style="480" customWidth="1"/>
    <col min="26" max="29" width="8.88671875" style="480"/>
    <col min="30" max="30" width="13.21875" style="480" customWidth="1"/>
    <col min="31" max="34" width="8.88671875" style="480"/>
    <col min="35" max="35" width="13.21875" style="480" customWidth="1"/>
    <col min="36" max="39" width="8.88671875" style="480"/>
    <col min="40" max="40" width="13.21875" style="480" customWidth="1"/>
    <col min="41" max="44" width="8.88671875" style="480"/>
    <col min="45" max="45" width="13.21875" style="480" customWidth="1"/>
    <col min="46" max="16384" width="8.88671875" style="480"/>
  </cols>
  <sheetData>
    <row r="1" spans="2:45" ht="18" customHeight="1" x14ac:dyDescent="0.7"/>
    <row r="2" spans="2:45" ht="18" customHeight="1" x14ac:dyDescent="0.35">
      <c r="B2" s="482" t="s">
        <v>24</v>
      </c>
      <c r="C2" s="711" t="s">
        <v>0</v>
      </c>
      <c r="D2" s="711" t="s">
        <v>1</v>
      </c>
      <c r="E2" s="713" t="s">
        <v>2</v>
      </c>
      <c r="F2" s="735" t="s">
        <v>28</v>
      </c>
      <c r="G2" s="737" t="s">
        <v>20</v>
      </c>
      <c r="H2" s="483" t="s">
        <v>3</v>
      </c>
      <c r="I2" s="483" t="s">
        <v>4</v>
      </c>
      <c r="J2" s="739" t="s">
        <v>20</v>
      </c>
      <c r="L2" s="780" t="s">
        <v>868</v>
      </c>
      <c r="M2" s="780" t="s">
        <v>869</v>
      </c>
      <c r="O2" s="701" t="s">
        <v>0</v>
      </c>
      <c r="P2" s="703">
        <v>2567</v>
      </c>
      <c r="Q2" s="704"/>
      <c r="R2" s="704"/>
      <c r="S2" s="704"/>
      <c r="T2" s="705"/>
      <c r="U2" s="706">
        <v>2568</v>
      </c>
      <c r="V2" s="706"/>
      <c r="W2" s="706"/>
      <c r="X2" s="706"/>
      <c r="Y2" s="706"/>
      <c r="Z2" s="706"/>
      <c r="AA2" s="706"/>
      <c r="AB2" s="706"/>
      <c r="AC2" s="706"/>
      <c r="AD2" s="706"/>
      <c r="AE2" s="706"/>
      <c r="AF2" s="706"/>
      <c r="AG2" s="706"/>
      <c r="AH2" s="706"/>
      <c r="AI2" s="706"/>
      <c r="AJ2" s="706"/>
      <c r="AK2" s="706"/>
      <c r="AL2" s="706"/>
      <c r="AM2" s="706"/>
      <c r="AN2" s="706"/>
    </row>
    <row r="3" spans="2:45" ht="18" customHeight="1" x14ac:dyDescent="0.15">
      <c r="B3" s="484" t="s">
        <v>25</v>
      </c>
      <c r="C3" s="712"/>
      <c r="D3" s="712"/>
      <c r="E3" s="714"/>
      <c r="F3" s="736"/>
      <c r="G3" s="738"/>
      <c r="H3" s="485" t="s">
        <v>5</v>
      </c>
      <c r="I3" s="485" t="s">
        <v>5</v>
      </c>
      <c r="J3" s="740"/>
      <c r="L3" s="781"/>
      <c r="M3" s="781"/>
      <c r="O3" s="702"/>
      <c r="P3" s="707">
        <v>243831</v>
      </c>
      <c r="Q3" s="708"/>
      <c r="R3" s="708"/>
      <c r="S3" s="708"/>
      <c r="T3" s="709"/>
      <c r="U3" s="710" t="s">
        <v>850</v>
      </c>
      <c r="V3" s="708"/>
      <c r="W3" s="708"/>
      <c r="X3" s="708"/>
      <c r="Y3" s="709"/>
      <c r="Z3" s="710" t="s">
        <v>851</v>
      </c>
      <c r="AA3" s="708"/>
      <c r="AB3" s="708"/>
      <c r="AC3" s="708"/>
      <c r="AD3" s="709"/>
      <c r="AE3" s="710" t="s">
        <v>852</v>
      </c>
      <c r="AF3" s="708"/>
      <c r="AG3" s="708"/>
      <c r="AH3" s="708"/>
      <c r="AI3" s="709"/>
      <c r="AJ3" s="710" t="s">
        <v>853</v>
      </c>
      <c r="AK3" s="708"/>
      <c r="AL3" s="708"/>
      <c r="AM3" s="708"/>
      <c r="AN3" s="709"/>
      <c r="AO3" s="688" t="s">
        <v>854</v>
      </c>
      <c r="AP3" s="689"/>
      <c r="AQ3" s="689"/>
      <c r="AR3" s="689"/>
      <c r="AS3" s="690"/>
    </row>
    <row r="4" spans="2:45" ht="9" customHeight="1" x14ac:dyDescent="0.15">
      <c r="B4" s="691">
        <v>1</v>
      </c>
      <c r="C4" s="693" t="s">
        <v>33</v>
      </c>
      <c r="D4" s="695"/>
      <c r="E4" s="695"/>
      <c r="F4" s="697">
        <f>[1]แผนการก่อสร้าง!E9</f>
        <v>0</v>
      </c>
      <c r="G4" s="697">
        <f>[1]แผนการก่อสร้าง!F9</f>
        <v>0</v>
      </c>
      <c r="H4" s="695"/>
      <c r="I4" s="695"/>
      <c r="J4" s="699"/>
      <c r="L4" s="781"/>
      <c r="M4" s="781"/>
      <c r="O4" s="693" t="s">
        <v>33</v>
      </c>
      <c r="P4" s="716" t="s">
        <v>855</v>
      </c>
      <c r="Q4" s="716" t="s">
        <v>856</v>
      </c>
      <c r="R4" s="716" t="s">
        <v>857</v>
      </c>
      <c r="S4" s="716" t="s">
        <v>858</v>
      </c>
      <c r="T4" s="715" t="s">
        <v>31</v>
      </c>
      <c r="U4" s="716" t="s">
        <v>855</v>
      </c>
      <c r="V4" s="716" t="s">
        <v>856</v>
      </c>
      <c r="W4" s="716" t="s">
        <v>857</v>
      </c>
      <c r="X4" s="716" t="s">
        <v>858</v>
      </c>
      <c r="Y4" s="715" t="s">
        <v>31</v>
      </c>
      <c r="Z4" s="716" t="s">
        <v>855</v>
      </c>
      <c r="AA4" s="716" t="s">
        <v>856</v>
      </c>
      <c r="AB4" s="716" t="s">
        <v>857</v>
      </c>
      <c r="AC4" s="716" t="s">
        <v>858</v>
      </c>
      <c r="AD4" s="715" t="s">
        <v>31</v>
      </c>
      <c r="AE4" s="716" t="s">
        <v>855</v>
      </c>
      <c r="AF4" s="716" t="s">
        <v>856</v>
      </c>
      <c r="AG4" s="716" t="s">
        <v>857</v>
      </c>
      <c r="AH4" s="716" t="s">
        <v>858</v>
      </c>
      <c r="AI4" s="715" t="s">
        <v>31</v>
      </c>
      <c r="AJ4" s="716" t="s">
        <v>855</v>
      </c>
      <c r="AK4" s="716" t="s">
        <v>856</v>
      </c>
      <c r="AL4" s="716" t="s">
        <v>857</v>
      </c>
      <c r="AM4" s="716" t="s">
        <v>858</v>
      </c>
      <c r="AN4" s="715" t="s">
        <v>31</v>
      </c>
      <c r="AO4" s="716" t="s">
        <v>855</v>
      </c>
      <c r="AP4" s="716" t="s">
        <v>856</v>
      </c>
      <c r="AQ4" s="716" t="s">
        <v>857</v>
      </c>
      <c r="AR4" s="716" t="s">
        <v>858</v>
      </c>
      <c r="AS4" s="715" t="s">
        <v>31</v>
      </c>
    </row>
    <row r="5" spans="2:45" ht="9" customHeight="1" x14ac:dyDescent="0.15">
      <c r="B5" s="692"/>
      <c r="C5" s="694"/>
      <c r="D5" s="696"/>
      <c r="E5" s="696"/>
      <c r="F5" s="698"/>
      <c r="G5" s="698"/>
      <c r="H5" s="696"/>
      <c r="I5" s="696"/>
      <c r="J5" s="700"/>
      <c r="L5" s="782"/>
      <c r="M5" s="782"/>
      <c r="O5" s="694"/>
      <c r="P5" s="716"/>
      <c r="Q5" s="716"/>
      <c r="R5" s="716"/>
      <c r="S5" s="716"/>
      <c r="T5" s="715"/>
      <c r="U5" s="716"/>
      <c r="V5" s="716"/>
      <c r="W5" s="716"/>
      <c r="X5" s="716"/>
      <c r="Y5" s="715"/>
      <c r="Z5" s="716"/>
      <c r="AA5" s="716"/>
      <c r="AB5" s="716"/>
      <c r="AC5" s="716"/>
      <c r="AD5" s="715"/>
      <c r="AE5" s="716"/>
      <c r="AF5" s="716"/>
      <c r="AG5" s="716"/>
      <c r="AH5" s="716"/>
      <c r="AI5" s="715"/>
      <c r="AJ5" s="716"/>
      <c r="AK5" s="716"/>
      <c r="AL5" s="716"/>
      <c r="AM5" s="716"/>
      <c r="AN5" s="715"/>
      <c r="AO5" s="716"/>
      <c r="AP5" s="716"/>
      <c r="AQ5" s="716"/>
      <c r="AR5" s="716"/>
      <c r="AS5" s="715"/>
    </row>
    <row r="6" spans="2:45" ht="9" customHeight="1" x14ac:dyDescent="0.2">
      <c r="B6" s="717">
        <v>1.1000000000000001</v>
      </c>
      <c r="C6" s="719" t="s">
        <v>34</v>
      </c>
      <c r="D6" s="721" t="s">
        <v>6</v>
      </c>
      <c r="E6" s="723">
        <v>1</v>
      </c>
      <c r="F6" s="725">
        <f>แผนการก่อสร้าง!G11</f>
        <v>7.2120000000000004E-2</v>
      </c>
      <c r="G6" s="727">
        <f>แผนการก่อสร้าง!H11</f>
        <v>7.2119999999999997</v>
      </c>
      <c r="H6" s="729">
        <v>5090507</v>
      </c>
      <c r="I6" s="731">
        <v>5090507</v>
      </c>
      <c r="J6" s="733">
        <v>2.1344275955460281</v>
      </c>
      <c r="L6" s="499"/>
      <c r="M6" s="499"/>
      <c r="O6" s="719" t="s">
        <v>34</v>
      </c>
      <c r="P6" s="492"/>
      <c r="Q6" s="492"/>
      <c r="R6" s="492"/>
      <c r="S6" s="492"/>
      <c r="T6" s="493"/>
      <c r="U6" s="492"/>
      <c r="V6" s="492"/>
      <c r="W6" s="492"/>
      <c r="X6" s="492"/>
      <c r="Y6" s="493"/>
      <c r="Z6" s="492"/>
      <c r="AA6" s="492"/>
      <c r="AB6" s="492"/>
      <c r="AC6" s="492"/>
      <c r="AD6" s="493"/>
      <c r="AE6" s="492"/>
      <c r="AF6" s="492"/>
      <c r="AG6" s="492"/>
      <c r="AH6" s="492"/>
      <c r="AI6" s="493"/>
      <c r="AJ6" s="492"/>
      <c r="AK6" s="492"/>
      <c r="AL6" s="492"/>
      <c r="AM6" s="492"/>
      <c r="AN6" s="493"/>
      <c r="AO6" s="492"/>
      <c r="AP6" s="492"/>
      <c r="AQ6" s="492"/>
      <c r="AR6" s="492"/>
      <c r="AS6" s="492"/>
    </row>
    <row r="7" spans="2:45" ht="9" customHeight="1" x14ac:dyDescent="0.2">
      <c r="B7" s="718"/>
      <c r="C7" s="720"/>
      <c r="D7" s="722"/>
      <c r="E7" s="724"/>
      <c r="F7" s="726"/>
      <c r="G7" s="728"/>
      <c r="H7" s="730"/>
      <c r="I7" s="732"/>
      <c r="J7" s="734"/>
      <c r="L7" s="503">
        <f>('ผลงานรายสัปดาห์(เงิน)'!L7)*100/$I6</f>
        <v>7.2172378900569232</v>
      </c>
      <c r="M7" s="503">
        <f>('ผลงานรายสัปดาห์(เงิน)'!M7)*100/$I6</f>
        <v>7.2172378900569232</v>
      </c>
      <c r="O7" s="720"/>
      <c r="P7" s="502">
        <f>('ผลงานรายสัปดาห์(เงิน)'!P7)*100/$I6</f>
        <v>0</v>
      </c>
      <c r="Q7" s="502">
        <f>('ผลงานรายสัปดาห์(เงิน)'!Q7)*100/$I6</f>
        <v>0</v>
      </c>
      <c r="R7" s="502">
        <f>('ผลงานรายสัปดาห์(เงิน)'!R7)*100/$I6</f>
        <v>0</v>
      </c>
      <c r="S7" s="502">
        <f>('ผลงานรายสัปดาห์(เงิน)'!S7)*100/$I6</f>
        <v>4.2705765850042052</v>
      </c>
      <c r="T7" s="495">
        <v>217394</v>
      </c>
      <c r="U7" s="502">
        <f>('ผลงานรายสัปดาห์(เงิน)'!U7)*100/$I6</f>
        <v>0</v>
      </c>
      <c r="V7" s="502">
        <f>('ผลงานรายสัปดาห์(เงิน)'!V7)*100/$I6</f>
        <v>0</v>
      </c>
      <c r="W7" s="502">
        <f>('ผลงานรายสัปดาห์(เงิน)'!W7)*100/$I6</f>
        <v>2.9466613050527188</v>
      </c>
      <c r="X7" s="502">
        <f>('ผลงานรายสัปดาห์(เงิน)'!X7)*100/$I6</f>
        <v>0</v>
      </c>
      <c r="Y7" s="503">
        <f>SUM(U7:X7)</f>
        <v>2.9466613050527188</v>
      </c>
      <c r="Z7" s="502">
        <f>('ผลงานรายสัปดาห์(เงิน)'!Z7)*100/$I6</f>
        <v>0</v>
      </c>
      <c r="AA7" s="502">
        <f>('ผลงานรายสัปดาห์(เงิน)'!AA7)*100/$I6</f>
        <v>0</v>
      </c>
      <c r="AB7" s="502">
        <f>('ผลงานรายสัปดาห์(เงิน)'!AB7)*100/$I6</f>
        <v>0</v>
      </c>
      <c r="AC7" s="502">
        <f>('ผลงานรายสัปดาห์(เงิน)'!AC7)*100/$I6</f>
        <v>0</v>
      </c>
      <c r="AD7" s="503">
        <f>SUM(Z7:AC7)</f>
        <v>0</v>
      </c>
      <c r="AE7" s="502">
        <f>('ผลงานรายสัปดาห์(เงิน)'!AE7)*100/$I6</f>
        <v>0</v>
      </c>
      <c r="AF7" s="502">
        <f>('ผลงานรายสัปดาห์(เงิน)'!AF7)*100/$I6</f>
        <v>0</v>
      </c>
      <c r="AG7" s="502">
        <f>('ผลงานรายสัปดาห์(เงิน)'!AG7)*100/$I6</f>
        <v>0</v>
      </c>
      <c r="AH7" s="502">
        <f>('ผลงานรายสัปดาห์(เงิน)'!AH7)*100/$I6</f>
        <v>0</v>
      </c>
      <c r="AI7" s="503">
        <f>SUM(AE7:AH7)</f>
        <v>0</v>
      </c>
      <c r="AJ7" s="502">
        <f>('ผลงานรายสัปดาห์(เงิน)'!AJ7)*100/$I6</f>
        <v>0</v>
      </c>
      <c r="AK7" s="502">
        <f>('ผลงานรายสัปดาห์(เงิน)'!AK7)*100/$I6</f>
        <v>0</v>
      </c>
      <c r="AL7" s="502">
        <f>('ผลงานรายสัปดาห์(เงิน)'!AL7)*100/$I6</f>
        <v>0</v>
      </c>
      <c r="AM7" s="502">
        <f>('ผลงานรายสัปดาห์(เงิน)'!AM7)*100/$I6</f>
        <v>0</v>
      </c>
      <c r="AN7" s="494"/>
      <c r="AO7" s="494"/>
      <c r="AP7" s="494"/>
      <c r="AQ7" s="494"/>
      <c r="AR7" s="494"/>
      <c r="AS7" s="494"/>
    </row>
    <row r="8" spans="2:45" ht="9" customHeight="1" x14ac:dyDescent="0.2">
      <c r="B8" s="741">
        <v>-1</v>
      </c>
      <c r="C8" s="719" t="s">
        <v>35</v>
      </c>
      <c r="D8" s="721" t="s">
        <v>6</v>
      </c>
      <c r="E8" s="723">
        <v>1</v>
      </c>
      <c r="F8" s="725">
        <f>แผนการก่อสร้าง!G13</f>
        <v>0</v>
      </c>
      <c r="G8" s="727">
        <f>แผนการก่อสร้าง!H13</f>
        <v>0</v>
      </c>
      <c r="H8" s="729">
        <v>2151709</v>
      </c>
      <c r="I8" s="731">
        <v>2151709</v>
      </c>
      <c r="J8" s="733">
        <v>0.90220228892421694</v>
      </c>
      <c r="L8" s="499"/>
      <c r="M8" s="499"/>
      <c r="O8" s="719" t="s">
        <v>35</v>
      </c>
      <c r="P8" s="504"/>
      <c r="Q8" s="504"/>
      <c r="R8" s="504"/>
      <c r="S8" s="504"/>
      <c r="T8" s="493"/>
      <c r="U8" s="504"/>
      <c r="V8" s="504"/>
      <c r="W8" s="504"/>
      <c r="X8" s="504"/>
      <c r="Y8" s="505"/>
      <c r="Z8" s="492"/>
      <c r="AA8" s="492"/>
      <c r="AB8" s="492"/>
      <c r="AC8" s="492"/>
      <c r="AD8" s="505"/>
      <c r="AE8" s="492"/>
      <c r="AF8" s="492"/>
      <c r="AG8" s="492"/>
      <c r="AH8" s="492"/>
      <c r="AI8" s="505"/>
      <c r="AJ8" s="492"/>
      <c r="AK8" s="492"/>
      <c r="AL8" s="492"/>
      <c r="AM8" s="492"/>
      <c r="AN8" s="493"/>
      <c r="AO8" s="492"/>
      <c r="AP8" s="492"/>
      <c r="AQ8" s="492"/>
      <c r="AR8" s="492"/>
      <c r="AS8" s="492"/>
    </row>
    <row r="9" spans="2:45" ht="9" customHeight="1" x14ac:dyDescent="0.2">
      <c r="B9" s="742"/>
      <c r="C9" s="720"/>
      <c r="D9" s="722"/>
      <c r="E9" s="724"/>
      <c r="F9" s="726"/>
      <c r="G9" s="728"/>
      <c r="H9" s="730"/>
      <c r="I9" s="732"/>
      <c r="J9" s="734"/>
      <c r="L9" s="503">
        <f>('ผลงานรายสัปดาห์(เงิน)'!L9)*100/$I8</f>
        <v>0</v>
      </c>
      <c r="M9" s="503">
        <f>('ผลงานรายสัปดาห์(เงิน)'!M9)*100/$I8</f>
        <v>0</v>
      </c>
      <c r="O9" s="720"/>
      <c r="P9" s="502">
        <f>('ผลงานรายสัปดาห์(เงิน)'!P9)*100/$I8</f>
        <v>0</v>
      </c>
      <c r="Q9" s="502">
        <f>('ผลงานรายสัปดาห์(เงิน)'!Q9)*100/$I8</f>
        <v>0</v>
      </c>
      <c r="R9" s="502">
        <f>('ผลงานรายสัปดาห์(เงิน)'!R9)*100/$I8</f>
        <v>0</v>
      </c>
      <c r="S9" s="502">
        <f>('ผลงานรายสัปดาห์(เงิน)'!S9)*100/$I8</f>
        <v>0</v>
      </c>
      <c r="T9" s="495">
        <f>SUM(P9:S9)</f>
        <v>0</v>
      </c>
      <c r="U9" s="502">
        <f>('ผลงานรายสัปดาห์(เงิน)'!U9)*100/$I8</f>
        <v>0</v>
      </c>
      <c r="V9" s="502">
        <f>('ผลงานรายสัปดาห์(เงิน)'!V9)*100/$I8</f>
        <v>0</v>
      </c>
      <c r="W9" s="502">
        <f>('ผลงานรายสัปดาห์(เงิน)'!W9)*100/$I8</f>
        <v>0</v>
      </c>
      <c r="X9" s="502">
        <f>('ผลงานรายสัปดาห์(เงิน)'!X9)*100/$I8</f>
        <v>0</v>
      </c>
      <c r="Y9" s="503">
        <v>0</v>
      </c>
      <c r="Z9" s="502">
        <f>('ผลงานรายสัปดาห์(เงิน)'!Z9)*100/$I8</f>
        <v>0</v>
      </c>
      <c r="AA9" s="502">
        <f>('ผลงานรายสัปดาห์(เงิน)'!AA9)*100/$I8</f>
        <v>0</v>
      </c>
      <c r="AB9" s="502">
        <f>('ผลงานรายสัปดาห์(เงิน)'!AB9)*100/$I8</f>
        <v>0</v>
      </c>
      <c r="AC9" s="502">
        <f>('ผลงานรายสัปดาห์(เงิน)'!AC9)*100/$I8</f>
        <v>0</v>
      </c>
      <c r="AD9" s="503">
        <v>0</v>
      </c>
      <c r="AE9" s="502">
        <f>('ผลงานรายสัปดาห์(เงิน)'!AE9)*100/$I8</f>
        <v>0</v>
      </c>
      <c r="AF9" s="502">
        <f>('ผลงานรายสัปดาห์(เงิน)'!AF9)*100/$I8</f>
        <v>0</v>
      </c>
      <c r="AG9" s="502">
        <f>('ผลงานรายสัปดาห์(เงิน)'!AG9)*100/$I8</f>
        <v>0</v>
      </c>
      <c r="AH9" s="502">
        <f>('ผลงานรายสัปดาห์(เงิน)'!AH9)*100/$I8</f>
        <v>0</v>
      </c>
      <c r="AI9" s="503">
        <v>0</v>
      </c>
      <c r="AJ9" s="502">
        <f>('ผลงานรายสัปดาห์(เงิน)'!AJ9)*100/$I8</f>
        <v>0</v>
      </c>
      <c r="AK9" s="502">
        <f>('ผลงานรายสัปดาห์(เงิน)'!AK9)*100/$I8</f>
        <v>0</v>
      </c>
      <c r="AL9" s="502">
        <f>('ผลงานรายสัปดาห์(เงิน)'!AL9)*100/$I8</f>
        <v>0</v>
      </c>
      <c r="AM9" s="502">
        <f>('ผลงานรายสัปดาห์(เงิน)'!AM9)*100/$I8</f>
        <v>0</v>
      </c>
      <c r="AN9" s="494"/>
      <c r="AO9" s="494"/>
      <c r="AP9" s="494"/>
      <c r="AQ9" s="494"/>
      <c r="AR9" s="494"/>
      <c r="AS9" s="494"/>
    </row>
    <row r="10" spans="2:45" ht="9" customHeight="1" x14ac:dyDescent="0.2">
      <c r="B10" s="741">
        <v>-2</v>
      </c>
      <c r="C10" s="719" t="s">
        <v>36</v>
      </c>
      <c r="D10" s="721" t="s">
        <v>6</v>
      </c>
      <c r="E10" s="723">
        <v>1</v>
      </c>
      <c r="F10" s="725">
        <f>แผนการก่อสร้าง!G15</f>
        <v>0</v>
      </c>
      <c r="G10" s="727">
        <f>แผนการก่อสร้าง!H15</f>
        <v>0</v>
      </c>
      <c r="H10" s="729">
        <v>906762</v>
      </c>
      <c r="I10" s="731">
        <v>906762</v>
      </c>
      <c r="J10" s="733">
        <v>0.38020138964399963</v>
      </c>
      <c r="L10" s="499"/>
      <c r="M10" s="499"/>
      <c r="O10" s="719" t="s">
        <v>36</v>
      </c>
      <c r="P10" s="504"/>
      <c r="Q10" s="504"/>
      <c r="R10" s="504"/>
      <c r="S10" s="504"/>
      <c r="T10" s="493"/>
      <c r="U10" s="504"/>
      <c r="V10" s="504"/>
      <c r="W10" s="504"/>
      <c r="X10" s="504"/>
      <c r="Y10" s="505"/>
      <c r="Z10" s="492"/>
      <c r="AA10" s="492"/>
      <c r="AB10" s="492"/>
      <c r="AC10" s="492"/>
      <c r="AD10" s="505"/>
      <c r="AE10" s="492"/>
      <c r="AF10" s="492"/>
      <c r="AG10" s="492"/>
      <c r="AH10" s="492"/>
      <c r="AI10" s="505"/>
      <c r="AJ10" s="492"/>
      <c r="AK10" s="492"/>
      <c r="AL10" s="492"/>
      <c r="AM10" s="492"/>
      <c r="AN10" s="493"/>
      <c r="AO10" s="492"/>
      <c r="AP10" s="492"/>
      <c r="AQ10" s="492"/>
      <c r="AR10" s="492"/>
      <c r="AS10" s="492"/>
    </row>
    <row r="11" spans="2:45" ht="9" customHeight="1" x14ac:dyDescent="0.2">
      <c r="B11" s="742"/>
      <c r="C11" s="720"/>
      <c r="D11" s="722"/>
      <c r="E11" s="724"/>
      <c r="F11" s="726"/>
      <c r="G11" s="728"/>
      <c r="H11" s="730"/>
      <c r="I11" s="732"/>
      <c r="J11" s="734"/>
      <c r="L11" s="503">
        <f>('ผลงานรายสัปดาห์(เงิน)'!L11)*100/$I10</f>
        <v>0</v>
      </c>
      <c r="M11" s="503">
        <f>('ผลงานรายสัปดาห์(เงิน)'!M11)*100/$I10</f>
        <v>0</v>
      </c>
      <c r="O11" s="720"/>
      <c r="P11" s="502">
        <f>('ผลงานรายสัปดาห์(เงิน)'!P11)*100/$I10</f>
        <v>0</v>
      </c>
      <c r="Q11" s="502">
        <f>('ผลงานรายสัปดาห์(เงิน)'!Q11)*100/$I10</f>
        <v>0</v>
      </c>
      <c r="R11" s="502">
        <f>('ผลงานรายสัปดาห์(เงิน)'!R11)*100/$I10</f>
        <v>0</v>
      </c>
      <c r="S11" s="502">
        <f>('ผลงานรายสัปดาห์(เงิน)'!S11)*100/$I10</f>
        <v>0</v>
      </c>
      <c r="T11" s="495">
        <f>SUM(P11:S11)</f>
        <v>0</v>
      </c>
      <c r="U11" s="502">
        <f>('ผลงานรายสัปดาห์(เงิน)'!U11)*100/$I10</f>
        <v>0</v>
      </c>
      <c r="V11" s="502">
        <f>('ผลงานรายสัปดาห์(เงิน)'!V11)*100/$I10</f>
        <v>0</v>
      </c>
      <c r="W11" s="502">
        <f>('ผลงานรายสัปดาห์(เงิน)'!W11)*100/$I10</f>
        <v>0</v>
      </c>
      <c r="X11" s="502">
        <f>('ผลงานรายสัปดาห์(เงิน)'!X11)*100/$I10</f>
        <v>0</v>
      </c>
      <c r="Y11" s="503">
        <f>SUM(U11:X11)</f>
        <v>0</v>
      </c>
      <c r="Z11" s="502">
        <f>('ผลงานรายสัปดาห์(เงิน)'!Z11)*100/$I10</f>
        <v>0</v>
      </c>
      <c r="AA11" s="502">
        <f>('ผลงานรายสัปดาห์(เงิน)'!AA11)*100/$I10</f>
        <v>0</v>
      </c>
      <c r="AB11" s="502">
        <f>('ผลงานรายสัปดาห์(เงิน)'!AB11)*100/$I10</f>
        <v>0</v>
      </c>
      <c r="AC11" s="502">
        <f>('ผลงานรายสัปดาห์(เงิน)'!AC11)*100/$I10</f>
        <v>0</v>
      </c>
      <c r="AD11" s="503">
        <f>SUM(Z11:AC11)</f>
        <v>0</v>
      </c>
      <c r="AE11" s="502">
        <f>('ผลงานรายสัปดาห์(เงิน)'!AE11)*100/$I10</f>
        <v>0</v>
      </c>
      <c r="AF11" s="502">
        <f>('ผลงานรายสัปดาห์(เงิน)'!AF11)*100/$I10</f>
        <v>0</v>
      </c>
      <c r="AG11" s="502">
        <f>('ผลงานรายสัปดาห์(เงิน)'!AG11)*100/$I10</f>
        <v>0</v>
      </c>
      <c r="AH11" s="502">
        <f>('ผลงานรายสัปดาห์(เงิน)'!AH11)*100/$I10</f>
        <v>0</v>
      </c>
      <c r="AI11" s="503">
        <f>SUM(AE11:AH11)</f>
        <v>0</v>
      </c>
      <c r="AJ11" s="502">
        <f>('ผลงานรายสัปดาห์(เงิน)'!AJ11)*100/$I10</f>
        <v>0</v>
      </c>
      <c r="AK11" s="502">
        <f>('ผลงานรายสัปดาห์(เงิน)'!AK11)*100/$I10</f>
        <v>0</v>
      </c>
      <c r="AL11" s="502">
        <f>('ผลงานรายสัปดาห์(เงิน)'!AL11)*100/$I10</f>
        <v>0</v>
      </c>
      <c r="AM11" s="502">
        <f>('ผลงานรายสัปดาห์(เงิน)'!AM11)*100/$I10</f>
        <v>0</v>
      </c>
      <c r="AN11" s="494"/>
      <c r="AO11" s="494"/>
      <c r="AP11" s="494"/>
      <c r="AQ11" s="494"/>
      <c r="AR11" s="494"/>
      <c r="AS11" s="494"/>
    </row>
    <row r="12" spans="2:45" ht="9" customHeight="1" x14ac:dyDescent="0.2">
      <c r="B12" s="741">
        <v>-3</v>
      </c>
      <c r="C12" s="719" t="s">
        <v>37</v>
      </c>
      <c r="D12" s="721" t="s">
        <v>6</v>
      </c>
      <c r="E12" s="723">
        <v>1</v>
      </c>
      <c r="F12" s="725">
        <f>แผนการก่อสร้าง!G17</f>
        <v>0</v>
      </c>
      <c r="G12" s="727">
        <f>แผนการก่อสร้าง!H17</f>
        <v>0</v>
      </c>
      <c r="H12" s="729">
        <v>1372327</v>
      </c>
      <c r="I12" s="731">
        <v>1372327</v>
      </c>
      <c r="J12" s="733">
        <v>0.57541078303455717</v>
      </c>
      <c r="L12" s="499"/>
      <c r="M12" s="499"/>
      <c r="O12" s="719" t="s">
        <v>37</v>
      </c>
      <c r="P12" s="504"/>
      <c r="Q12" s="504"/>
      <c r="R12" s="504"/>
      <c r="S12" s="504"/>
      <c r="T12" s="493"/>
      <c r="U12" s="504"/>
      <c r="V12" s="504"/>
      <c r="W12" s="504"/>
      <c r="X12" s="504"/>
      <c r="Y12" s="505"/>
      <c r="Z12" s="492"/>
      <c r="AA12" s="492"/>
      <c r="AB12" s="492"/>
      <c r="AC12" s="492"/>
      <c r="AD12" s="505"/>
      <c r="AE12" s="492"/>
      <c r="AF12" s="492"/>
      <c r="AG12" s="492"/>
      <c r="AH12" s="492"/>
      <c r="AI12" s="505"/>
      <c r="AJ12" s="492"/>
      <c r="AK12" s="492"/>
      <c r="AL12" s="492"/>
      <c r="AM12" s="492"/>
      <c r="AN12" s="493"/>
      <c r="AO12" s="492"/>
      <c r="AP12" s="492"/>
      <c r="AQ12" s="492"/>
      <c r="AR12" s="492"/>
      <c r="AS12" s="492"/>
    </row>
    <row r="13" spans="2:45" ht="9" customHeight="1" x14ac:dyDescent="0.2">
      <c r="B13" s="742"/>
      <c r="C13" s="720"/>
      <c r="D13" s="722"/>
      <c r="E13" s="724"/>
      <c r="F13" s="726"/>
      <c r="G13" s="728"/>
      <c r="H13" s="730"/>
      <c r="I13" s="732"/>
      <c r="J13" s="734"/>
      <c r="L13" s="503">
        <f>('ผลงานรายสัปดาห์(เงิน)'!L13)*100/$I12</f>
        <v>0</v>
      </c>
      <c r="M13" s="503">
        <f>('ผลงานรายสัปดาห์(เงิน)'!M13)*100/$I12</f>
        <v>0</v>
      </c>
      <c r="O13" s="720"/>
      <c r="P13" s="502">
        <f>('ผลงานรายสัปดาห์(เงิน)'!P13)*100/$I12</f>
        <v>0</v>
      </c>
      <c r="Q13" s="502">
        <f>('ผลงานรายสัปดาห์(เงิน)'!Q13)*100/$I12</f>
        <v>0</v>
      </c>
      <c r="R13" s="502">
        <f>('ผลงานรายสัปดาห์(เงิน)'!R13)*100/$I12</f>
        <v>0</v>
      </c>
      <c r="S13" s="502">
        <f>('ผลงานรายสัปดาห์(เงิน)'!S13)*100/$I12</f>
        <v>0</v>
      </c>
      <c r="T13" s="495">
        <f>SUM(P13:S13)</f>
        <v>0</v>
      </c>
      <c r="U13" s="502">
        <f>('ผลงานรายสัปดาห์(เงิน)'!U13)*100/$I12</f>
        <v>0</v>
      </c>
      <c r="V13" s="502">
        <f>('ผลงานรายสัปดาห์(เงิน)'!V13)*100/$I12</f>
        <v>0</v>
      </c>
      <c r="W13" s="502">
        <f>('ผลงานรายสัปดาห์(เงิน)'!W13)*100/$I12</f>
        <v>0</v>
      </c>
      <c r="X13" s="502">
        <f>('ผลงานรายสัปดาห์(เงิน)'!X13)*100/$I12</f>
        <v>0</v>
      </c>
      <c r="Y13" s="503">
        <f>SUM(U13:X13)</f>
        <v>0</v>
      </c>
      <c r="Z13" s="502">
        <f>('ผลงานรายสัปดาห์(เงิน)'!Z13)*100/$I12</f>
        <v>0</v>
      </c>
      <c r="AA13" s="502">
        <f>('ผลงานรายสัปดาห์(เงิน)'!AA13)*100/$I12</f>
        <v>0</v>
      </c>
      <c r="AB13" s="502">
        <f>('ผลงานรายสัปดาห์(เงิน)'!AB13)*100/$I12</f>
        <v>0</v>
      </c>
      <c r="AC13" s="502">
        <f>('ผลงานรายสัปดาห์(เงิน)'!AC13)*100/$I12</f>
        <v>0</v>
      </c>
      <c r="AD13" s="503">
        <f>SUM(Z13:AC13)</f>
        <v>0</v>
      </c>
      <c r="AE13" s="502">
        <f>('ผลงานรายสัปดาห์(เงิน)'!AE13)*100/$I12</f>
        <v>0</v>
      </c>
      <c r="AF13" s="502">
        <f>('ผลงานรายสัปดาห์(เงิน)'!AF13)*100/$I12</f>
        <v>0</v>
      </c>
      <c r="AG13" s="502">
        <f>('ผลงานรายสัปดาห์(เงิน)'!AG13)*100/$I12</f>
        <v>0</v>
      </c>
      <c r="AH13" s="502">
        <f>('ผลงานรายสัปดาห์(เงิน)'!AH13)*100/$I12</f>
        <v>0</v>
      </c>
      <c r="AI13" s="503">
        <f>SUM(AE13:AH13)</f>
        <v>0</v>
      </c>
      <c r="AJ13" s="502">
        <f>('ผลงานรายสัปดาห์(เงิน)'!AJ13)*100/$I12</f>
        <v>0</v>
      </c>
      <c r="AK13" s="502">
        <f>('ผลงานรายสัปดาห์(เงิน)'!AK13)*100/$I12</f>
        <v>0</v>
      </c>
      <c r="AL13" s="502">
        <f>('ผลงานรายสัปดาห์(เงิน)'!AL13)*100/$I12</f>
        <v>0</v>
      </c>
      <c r="AM13" s="502">
        <f>('ผลงานรายสัปดาห์(เงิน)'!AM13)*100/$I12</f>
        <v>0</v>
      </c>
      <c r="AN13" s="494"/>
      <c r="AO13" s="494"/>
      <c r="AP13" s="494"/>
      <c r="AQ13" s="494"/>
      <c r="AR13" s="494"/>
      <c r="AS13" s="494"/>
    </row>
    <row r="14" spans="2:45" ht="9" customHeight="1" x14ac:dyDescent="0.2">
      <c r="B14" s="741">
        <v>-4</v>
      </c>
      <c r="C14" s="743" t="s">
        <v>39</v>
      </c>
      <c r="D14" s="721" t="s">
        <v>6</v>
      </c>
      <c r="E14" s="723">
        <v>1</v>
      </c>
      <c r="F14" s="725">
        <f>แผนการก่อสร้าง!G19</f>
        <v>0</v>
      </c>
      <c r="G14" s="727">
        <f>แผนการก่อสร้าง!H19</f>
        <v>0</v>
      </c>
      <c r="H14" s="729">
        <v>789372</v>
      </c>
      <c r="I14" s="731">
        <v>789372</v>
      </c>
      <c r="J14" s="733">
        <v>0.33098026973567846</v>
      </c>
      <c r="L14" s="499"/>
      <c r="M14" s="499"/>
      <c r="O14" s="743" t="s">
        <v>39</v>
      </c>
      <c r="P14" s="504"/>
      <c r="Q14" s="504"/>
      <c r="R14" s="504"/>
      <c r="S14" s="504"/>
      <c r="T14" s="493"/>
      <c r="U14" s="504"/>
      <c r="V14" s="504"/>
      <c r="W14" s="504"/>
      <c r="X14" s="504"/>
      <c r="Y14" s="505"/>
      <c r="Z14" s="492"/>
      <c r="AA14" s="492"/>
      <c r="AB14" s="492"/>
      <c r="AC14" s="492"/>
      <c r="AD14" s="505"/>
      <c r="AE14" s="492"/>
      <c r="AF14" s="492"/>
      <c r="AG14" s="492"/>
      <c r="AH14" s="492"/>
      <c r="AI14" s="505"/>
      <c r="AJ14" s="492"/>
      <c r="AK14" s="492"/>
      <c r="AL14" s="492"/>
      <c r="AM14" s="492"/>
      <c r="AN14" s="493"/>
      <c r="AO14" s="492"/>
      <c r="AP14" s="492"/>
      <c r="AQ14" s="492"/>
      <c r="AR14" s="492"/>
      <c r="AS14" s="492"/>
    </row>
    <row r="15" spans="2:45" ht="9" customHeight="1" x14ac:dyDescent="0.2">
      <c r="B15" s="742"/>
      <c r="C15" s="744"/>
      <c r="D15" s="722"/>
      <c r="E15" s="724"/>
      <c r="F15" s="726"/>
      <c r="G15" s="728"/>
      <c r="H15" s="730"/>
      <c r="I15" s="732"/>
      <c r="J15" s="734"/>
      <c r="L15" s="503">
        <f>('ผลงานรายสัปดาห์(เงิน)'!L15)*100/$I14</f>
        <v>0</v>
      </c>
      <c r="M15" s="503">
        <f>('ผลงานรายสัปดาห์(เงิน)'!M15)*100/$I14</f>
        <v>0</v>
      </c>
      <c r="O15" s="744"/>
      <c r="P15" s="502">
        <f>('ผลงานรายสัปดาห์(เงิน)'!P15)*100/$I14</f>
        <v>0</v>
      </c>
      <c r="Q15" s="502">
        <f>('ผลงานรายสัปดาห์(เงิน)'!Q15)*100/$I14</f>
        <v>0</v>
      </c>
      <c r="R15" s="502">
        <f>('ผลงานรายสัปดาห์(เงิน)'!R15)*100/$I14</f>
        <v>0</v>
      </c>
      <c r="S15" s="502">
        <f>('ผลงานรายสัปดาห์(เงิน)'!S15)*100/$I14</f>
        <v>0</v>
      </c>
      <c r="T15" s="495">
        <f>SUM(P15:S15)</f>
        <v>0</v>
      </c>
      <c r="U15" s="502">
        <f>('ผลงานรายสัปดาห์(เงิน)'!U15)*100/$I14</f>
        <v>0</v>
      </c>
      <c r="V15" s="502">
        <f>('ผลงานรายสัปดาห์(เงิน)'!V15)*100/$I14</f>
        <v>0</v>
      </c>
      <c r="W15" s="502">
        <f>('ผลงานรายสัปดาห์(เงิน)'!W15)*100/$I14</f>
        <v>0</v>
      </c>
      <c r="X15" s="502">
        <f>('ผลงานรายสัปดาห์(เงิน)'!X15)*100/$I14</f>
        <v>0</v>
      </c>
      <c r="Y15" s="503">
        <f>SUM(U15:X15)</f>
        <v>0</v>
      </c>
      <c r="Z15" s="502">
        <f>('ผลงานรายสัปดาห์(เงิน)'!Z15)*100/$I14</f>
        <v>0</v>
      </c>
      <c r="AA15" s="502">
        <f>('ผลงานรายสัปดาห์(เงิน)'!AA15)*100/$I14</f>
        <v>0</v>
      </c>
      <c r="AB15" s="502">
        <f>('ผลงานรายสัปดาห์(เงิน)'!AB15)*100/$I14</f>
        <v>0</v>
      </c>
      <c r="AC15" s="502">
        <f>('ผลงานรายสัปดาห์(เงิน)'!AC15)*100/$I14</f>
        <v>0</v>
      </c>
      <c r="AD15" s="503">
        <f>SUM(Z15:AC15)</f>
        <v>0</v>
      </c>
      <c r="AE15" s="502">
        <f>('ผลงานรายสัปดาห์(เงิน)'!AE15)*100/$I14</f>
        <v>0</v>
      </c>
      <c r="AF15" s="502">
        <f>('ผลงานรายสัปดาห์(เงิน)'!AF15)*100/$I14</f>
        <v>0</v>
      </c>
      <c r="AG15" s="502">
        <f>('ผลงานรายสัปดาห์(เงิน)'!AG15)*100/$I14</f>
        <v>0</v>
      </c>
      <c r="AH15" s="502">
        <f>('ผลงานรายสัปดาห์(เงิน)'!AH15)*100/$I14</f>
        <v>0</v>
      </c>
      <c r="AI15" s="503">
        <f>SUM(AE15:AH15)</f>
        <v>0</v>
      </c>
      <c r="AJ15" s="502">
        <f>('ผลงานรายสัปดาห์(เงิน)'!AJ15)*100/$I14</f>
        <v>0</v>
      </c>
      <c r="AK15" s="502">
        <f>('ผลงานรายสัปดาห์(เงิน)'!AK15)*100/$I14</f>
        <v>0</v>
      </c>
      <c r="AL15" s="502">
        <f>('ผลงานรายสัปดาห์(เงิน)'!AL15)*100/$I14</f>
        <v>0</v>
      </c>
      <c r="AM15" s="502">
        <f>('ผลงานรายสัปดาห์(เงิน)'!AM15)*100/$I14</f>
        <v>0</v>
      </c>
      <c r="AN15" s="494"/>
      <c r="AO15" s="494"/>
      <c r="AP15" s="494"/>
      <c r="AQ15" s="494"/>
      <c r="AR15" s="494"/>
      <c r="AS15" s="494"/>
    </row>
    <row r="16" spans="2:45" ht="9" customHeight="1" x14ac:dyDescent="0.2">
      <c r="B16" s="717">
        <v>1.2</v>
      </c>
      <c r="C16" s="719" t="s">
        <v>40</v>
      </c>
      <c r="D16" s="721" t="s">
        <v>6</v>
      </c>
      <c r="E16" s="723">
        <v>1</v>
      </c>
      <c r="F16" s="725">
        <f>แผนการก่อสร้าง!G21</f>
        <v>3.4799999999999996E-3</v>
      </c>
      <c r="G16" s="727">
        <f>แผนการก่อสร้าง!H21</f>
        <v>0.34799999999999998</v>
      </c>
      <c r="H16" s="729">
        <v>5004503</v>
      </c>
      <c r="I16" s="731">
        <v>5004503</v>
      </c>
      <c r="J16" s="733">
        <v>2.0983664898590426</v>
      </c>
      <c r="L16" s="499"/>
      <c r="M16" s="499"/>
      <c r="O16" s="719" t="s">
        <v>40</v>
      </c>
      <c r="P16" s="504"/>
      <c r="Q16" s="504"/>
      <c r="R16" s="504"/>
      <c r="S16" s="504"/>
      <c r="T16" s="493"/>
      <c r="U16" s="504"/>
      <c r="V16" s="504"/>
      <c r="W16" s="504"/>
      <c r="X16" s="504"/>
      <c r="Y16" s="505"/>
      <c r="Z16" s="492"/>
      <c r="AA16" s="492"/>
      <c r="AB16" s="492"/>
      <c r="AC16" s="492"/>
      <c r="AD16" s="505"/>
      <c r="AE16" s="492"/>
      <c r="AF16" s="492"/>
      <c r="AG16" s="492"/>
      <c r="AH16" s="492"/>
      <c r="AI16" s="505"/>
      <c r="AJ16" s="492"/>
      <c r="AK16" s="492"/>
      <c r="AL16" s="492"/>
      <c r="AM16" s="492"/>
      <c r="AN16" s="493"/>
      <c r="AO16" s="492"/>
      <c r="AP16" s="492"/>
      <c r="AQ16" s="492"/>
      <c r="AR16" s="492"/>
      <c r="AS16" s="492"/>
    </row>
    <row r="17" spans="2:45" ht="9" customHeight="1" x14ac:dyDescent="0.2">
      <c r="B17" s="718"/>
      <c r="C17" s="745"/>
      <c r="D17" s="722"/>
      <c r="E17" s="746"/>
      <c r="F17" s="726"/>
      <c r="G17" s="728"/>
      <c r="H17" s="747"/>
      <c r="I17" s="732"/>
      <c r="J17" s="734"/>
      <c r="L17" s="503">
        <f>('ผลงานรายสัปดาห์(เงิน)'!L17)*100/$I16</f>
        <v>0.34756698117675222</v>
      </c>
      <c r="M17" s="503">
        <f>('ผลงานรายสัปดาห์(เงิน)'!M17)*100/$I16</f>
        <v>0.34756698117675222</v>
      </c>
      <c r="O17" s="745"/>
      <c r="P17" s="502">
        <f>('ผลงานรายสัปดาห์(เงิน)'!P17)*100/$I16</f>
        <v>0</v>
      </c>
      <c r="Q17" s="502">
        <f>('ผลงานรายสัปดาห์(เงิน)'!Q17)*100/$I16</f>
        <v>0</v>
      </c>
      <c r="R17" s="502">
        <f>('ผลงานรายสัปดาห์(เงิน)'!R17)*100/$I16</f>
        <v>0</v>
      </c>
      <c r="S17" s="502">
        <f>('ผลงานรายสัปดาห์(เงิน)'!S17)*100/$I16</f>
        <v>0.34756698117675222</v>
      </c>
      <c r="T17" s="495">
        <v>0.34799999999999998</v>
      </c>
      <c r="U17" s="502">
        <f>('ผลงานรายสัปดาห์(เงิน)'!U17)*100/$I16</f>
        <v>0</v>
      </c>
      <c r="V17" s="502">
        <f>('ผลงานรายสัปดาห์(เงิน)'!V17)*100/$I16</f>
        <v>0</v>
      </c>
      <c r="W17" s="502">
        <f>('ผลงานรายสัปดาห์(เงิน)'!W17)*100/$I16</f>
        <v>0</v>
      </c>
      <c r="X17" s="502">
        <f>('ผลงานรายสัปดาห์(เงิน)'!X17)*100/$I16</f>
        <v>0</v>
      </c>
      <c r="Y17" s="503">
        <f>SUM(U17:X17)</f>
        <v>0</v>
      </c>
      <c r="Z17" s="502">
        <f>('ผลงานรายสัปดาห์(เงิน)'!Z17)*100/$I16</f>
        <v>0</v>
      </c>
      <c r="AA17" s="502">
        <f>('ผลงานรายสัปดาห์(เงิน)'!AA17)*100/$I16</f>
        <v>0</v>
      </c>
      <c r="AB17" s="502">
        <f>('ผลงานรายสัปดาห์(เงิน)'!AB17)*100/$I16</f>
        <v>0</v>
      </c>
      <c r="AC17" s="502">
        <f>('ผลงานรายสัปดาห์(เงิน)'!AC17)*100/$I16</f>
        <v>0</v>
      </c>
      <c r="AD17" s="503">
        <f>SUM(Z17:AC17)</f>
        <v>0</v>
      </c>
      <c r="AE17" s="502">
        <f>('ผลงานรายสัปดาห์(เงิน)'!AE17)*100/$I16</f>
        <v>0</v>
      </c>
      <c r="AF17" s="502">
        <f>('ผลงานรายสัปดาห์(เงิน)'!AF17)*100/$I16</f>
        <v>0</v>
      </c>
      <c r="AG17" s="502">
        <f>('ผลงานรายสัปดาห์(เงิน)'!AG17)*100/$I16</f>
        <v>0</v>
      </c>
      <c r="AH17" s="502">
        <f>('ผลงานรายสัปดาห์(เงิน)'!AH17)*100/$I16</f>
        <v>0</v>
      </c>
      <c r="AI17" s="503">
        <f>SUM(AE17:AH17)</f>
        <v>0</v>
      </c>
      <c r="AJ17" s="502">
        <f>('ผลงานรายสัปดาห์(เงิน)'!AJ17)*100/$I16</f>
        <v>0</v>
      </c>
      <c r="AK17" s="502">
        <f>('ผลงานรายสัปดาห์(เงิน)'!AK17)*100/$I16</f>
        <v>0</v>
      </c>
      <c r="AL17" s="502">
        <f>('ผลงานรายสัปดาห์(เงิน)'!AL17)*100/$I16</f>
        <v>0</v>
      </c>
      <c r="AM17" s="502">
        <f>('ผลงานรายสัปดาห์(เงิน)'!AM17)*100/$I16</f>
        <v>0</v>
      </c>
      <c r="AN17" s="494"/>
      <c r="AO17" s="494"/>
      <c r="AP17" s="494"/>
      <c r="AQ17" s="494"/>
      <c r="AR17" s="494"/>
      <c r="AS17" s="494"/>
    </row>
    <row r="18" spans="2:45" ht="9" customHeight="1" x14ac:dyDescent="0.2">
      <c r="B18" s="741">
        <v>-1</v>
      </c>
      <c r="C18" s="719" t="s">
        <v>35</v>
      </c>
      <c r="D18" s="721" t="s">
        <v>6</v>
      </c>
      <c r="E18" s="723">
        <v>1</v>
      </c>
      <c r="F18" s="725">
        <f>แผนการก่อสร้าง!G23</f>
        <v>0</v>
      </c>
      <c r="G18" s="727">
        <f>แผนการก่อสร้าง!H23</f>
        <v>0</v>
      </c>
      <c r="H18" s="729">
        <v>1136018</v>
      </c>
      <c r="I18" s="731">
        <v>1136018</v>
      </c>
      <c r="J18" s="733">
        <v>0.4763274401227634</v>
      </c>
      <c r="L18" s="499"/>
      <c r="M18" s="499"/>
      <c r="O18" s="719" t="s">
        <v>35</v>
      </c>
      <c r="P18" s="504"/>
      <c r="Q18" s="504"/>
      <c r="R18" s="504"/>
      <c r="S18" s="504"/>
      <c r="T18" s="493"/>
      <c r="U18" s="504"/>
      <c r="V18" s="504"/>
      <c r="W18" s="504"/>
      <c r="X18" s="504"/>
      <c r="Y18" s="505"/>
      <c r="Z18" s="492"/>
      <c r="AA18" s="492"/>
      <c r="AB18" s="492"/>
      <c r="AC18" s="492"/>
      <c r="AD18" s="505"/>
      <c r="AE18" s="492"/>
      <c r="AF18" s="492"/>
      <c r="AG18" s="492"/>
      <c r="AH18" s="492"/>
      <c r="AI18" s="505"/>
      <c r="AJ18" s="492"/>
      <c r="AK18" s="492"/>
      <c r="AL18" s="492"/>
      <c r="AM18" s="492"/>
      <c r="AN18" s="493"/>
      <c r="AO18" s="492"/>
      <c r="AP18" s="492"/>
      <c r="AQ18" s="492"/>
      <c r="AR18" s="492"/>
      <c r="AS18" s="492"/>
    </row>
    <row r="19" spans="2:45" ht="9" customHeight="1" x14ac:dyDescent="0.2">
      <c r="B19" s="742"/>
      <c r="C19" s="720"/>
      <c r="D19" s="722"/>
      <c r="E19" s="724"/>
      <c r="F19" s="726"/>
      <c r="G19" s="728"/>
      <c r="H19" s="747"/>
      <c r="I19" s="732"/>
      <c r="J19" s="734"/>
      <c r="L19" s="503">
        <f>('ผลงานรายสัปดาห์(เงิน)'!L19)*100/$I18</f>
        <v>0</v>
      </c>
      <c r="M19" s="503">
        <f>('ผลงานรายสัปดาห์(เงิน)'!M19)*100/$I18</f>
        <v>0</v>
      </c>
      <c r="O19" s="720"/>
      <c r="P19" s="502">
        <f>('ผลงานรายสัปดาห์(เงิน)'!P19)*100/$I18</f>
        <v>0</v>
      </c>
      <c r="Q19" s="502">
        <f>('ผลงานรายสัปดาห์(เงิน)'!Q19)*100/$I18</f>
        <v>0</v>
      </c>
      <c r="R19" s="502">
        <f>('ผลงานรายสัปดาห์(เงิน)'!R19)*100/$I18</f>
        <v>0</v>
      </c>
      <c r="S19" s="502">
        <f>('ผลงานรายสัปดาห์(เงิน)'!S19)*100/$I18</f>
        <v>0</v>
      </c>
      <c r="T19" s="495">
        <f>SUM(P19:S19)</f>
        <v>0</v>
      </c>
      <c r="U19" s="502">
        <f>('ผลงานรายสัปดาห์(เงิน)'!U19)*100/$I18</f>
        <v>0</v>
      </c>
      <c r="V19" s="502">
        <f>('ผลงานรายสัปดาห์(เงิน)'!V19)*100/$I18</f>
        <v>0</v>
      </c>
      <c r="W19" s="502">
        <f>('ผลงานรายสัปดาห์(เงิน)'!W19)*100/$I18</f>
        <v>0</v>
      </c>
      <c r="X19" s="502">
        <f>('ผลงานรายสัปดาห์(เงิน)'!X19)*100/$I18</f>
        <v>0</v>
      </c>
      <c r="Y19" s="503">
        <f>SUM(U19:X19)</f>
        <v>0</v>
      </c>
      <c r="Z19" s="502">
        <f>('ผลงานรายสัปดาห์(เงิน)'!Z19)*100/$I18</f>
        <v>0</v>
      </c>
      <c r="AA19" s="502">
        <f>('ผลงานรายสัปดาห์(เงิน)'!AA19)*100/$I18</f>
        <v>0</v>
      </c>
      <c r="AB19" s="502">
        <f>('ผลงานรายสัปดาห์(เงิน)'!AB19)*100/$I18</f>
        <v>0</v>
      </c>
      <c r="AC19" s="502">
        <f>('ผลงานรายสัปดาห์(เงิน)'!AC19)*100/$I18</f>
        <v>0</v>
      </c>
      <c r="AD19" s="503">
        <f>SUM(Z19:AC19)</f>
        <v>0</v>
      </c>
      <c r="AE19" s="502">
        <f>('ผลงานรายสัปดาห์(เงิน)'!AE19)*100/$I18</f>
        <v>0</v>
      </c>
      <c r="AF19" s="502">
        <f>('ผลงานรายสัปดาห์(เงิน)'!AF19)*100/$I18</f>
        <v>0</v>
      </c>
      <c r="AG19" s="502">
        <f>('ผลงานรายสัปดาห์(เงิน)'!AG19)*100/$I18</f>
        <v>0</v>
      </c>
      <c r="AH19" s="502">
        <f>('ผลงานรายสัปดาห์(เงิน)'!AH19)*100/$I18</f>
        <v>0</v>
      </c>
      <c r="AI19" s="503">
        <f>SUM(AE19:AH19)</f>
        <v>0</v>
      </c>
      <c r="AJ19" s="502">
        <f>('ผลงานรายสัปดาห์(เงิน)'!AJ19)*100/$I18</f>
        <v>0</v>
      </c>
      <c r="AK19" s="502">
        <f>('ผลงานรายสัปดาห์(เงิน)'!AK19)*100/$I18</f>
        <v>0</v>
      </c>
      <c r="AL19" s="502">
        <f>('ผลงานรายสัปดาห์(เงิน)'!AL19)*100/$I18</f>
        <v>0</v>
      </c>
      <c r="AM19" s="502">
        <f>('ผลงานรายสัปดาห์(เงิน)'!AM19)*100/$I18</f>
        <v>0</v>
      </c>
      <c r="AN19" s="494"/>
      <c r="AO19" s="494"/>
      <c r="AP19" s="494"/>
      <c r="AQ19" s="494"/>
      <c r="AR19" s="494"/>
      <c r="AS19" s="494"/>
    </row>
    <row r="20" spans="2:45" ht="9" customHeight="1" x14ac:dyDescent="0.2">
      <c r="B20" s="741">
        <v>-2</v>
      </c>
      <c r="C20" s="743" t="s">
        <v>37</v>
      </c>
      <c r="D20" s="721" t="s">
        <v>6</v>
      </c>
      <c r="E20" s="723">
        <v>1</v>
      </c>
      <c r="F20" s="725">
        <f>แผนการก่อสร้าง!G25</f>
        <v>0</v>
      </c>
      <c r="G20" s="727">
        <f>แผนการก่อสร้าง!H25</f>
        <v>0</v>
      </c>
      <c r="H20" s="729">
        <v>528774</v>
      </c>
      <c r="I20" s="731">
        <v>528774</v>
      </c>
      <c r="J20" s="733">
        <v>0.22171265404551169</v>
      </c>
      <c r="L20" s="499"/>
      <c r="M20" s="499"/>
      <c r="O20" s="743" t="s">
        <v>37</v>
      </c>
      <c r="P20" s="504"/>
      <c r="Q20" s="504"/>
      <c r="R20" s="504"/>
      <c r="S20" s="504"/>
      <c r="T20" s="493"/>
      <c r="U20" s="504"/>
      <c r="V20" s="504"/>
      <c r="W20" s="504"/>
      <c r="X20" s="504"/>
      <c r="Y20" s="505"/>
      <c r="Z20" s="492"/>
      <c r="AA20" s="492"/>
      <c r="AB20" s="492"/>
      <c r="AC20" s="492"/>
      <c r="AD20" s="505"/>
      <c r="AE20" s="492"/>
      <c r="AF20" s="492"/>
      <c r="AG20" s="492"/>
      <c r="AH20" s="492"/>
      <c r="AI20" s="505"/>
      <c r="AJ20" s="492"/>
      <c r="AK20" s="492"/>
      <c r="AL20" s="492"/>
      <c r="AM20" s="492"/>
      <c r="AN20" s="493"/>
      <c r="AO20" s="492"/>
      <c r="AP20" s="492"/>
      <c r="AQ20" s="492"/>
      <c r="AR20" s="492"/>
      <c r="AS20" s="492"/>
    </row>
    <row r="21" spans="2:45" ht="9" customHeight="1" x14ac:dyDescent="0.2">
      <c r="B21" s="742"/>
      <c r="C21" s="744"/>
      <c r="D21" s="722"/>
      <c r="E21" s="724"/>
      <c r="F21" s="726"/>
      <c r="G21" s="728"/>
      <c r="H21" s="747"/>
      <c r="I21" s="732"/>
      <c r="J21" s="734"/>
      <c r="L21" s="503">
        <f>('ผลงานรายสัปดาห์(เงิน)'!L21)*100/$I20</f>
        <v>0</v>
      </c>
      <c r="M21" s="503">
        <f>('ผลงานรายสัปดาห์(เงิน)'!M21)*100/$I20</f>
        <v>0</v>
      </c>
      <c r="O21" s="744"/>
      <c r="P21" s="502">
        <f>('ผลงานรายสัปดาห์(เงิน)'!P21)*100/$I20</f>
        <v>0</v>
      </c>
      <c r="Q21" s="502">
        <f>('ผลงานรายสัปดาห์(เงิน)'!Q21)*100/$I20</f>
        <v>0</v>
      </c>
      <c r="R21" s="502">
        <f>('ผลงานรายสัปดาห์(เงิน)'!R21)*100/$I20</f>
        <v>0</v>
      </c>
      <c r="S21" s="502">
        <f>('ผลงานรายสัปดาห์(เงิน)'!S21)*100/$I20</f>
        <v>0</v>
      </c>
      <c r="T21" s="495">
        <f>SUM(P21:S21)</f>
        <v>0</v>
      </c>
      <c r="U21" s="502">
        <f>('ผลงานรายสัปดาห์(เงิน)'!U21)*100/$I20</f>
        <v>0</v>
      </c>
      <c r="V21" s="502">
        <f>('ผลงานรายสัปดาห์(เงิน)'!V21)*100/$I20</f>
        <v>0</v>
      </c>
      <c r="W21" s="502">
        <f>('ผลงานรายสัปดาห์(เงิน)'!W21)*100/$I20</f>
        <v>0</v>
      </c>
      <c r="X21" s="502">
        <f>('ผลงานรายสัปดาห์(เงิน)'!X21)*100/$I20</f>
        <v>0</v>
      </c>
      <c r="Y21" s="503">
        <f>SUM(U21:X21)</f>
        <v>0</v>
      </c>
      <c r="Z21" s="502">
        <f>('ผลงานรายสัปดาห์(เงิน)'!Z21)*100/$I20</f>
        <v>0</v>
      </c>
      <c r="AA21" s="502">
        <f>('ผลงานรายสัปดาห์(เงิน)'!AA21)*100/$I20</f>
        <v>0</v>
      </c>
      <c r="AB21" s="502">
        <f>('ผลงานรายสัปดาห์(เงิน)'!AB21)*100/$I20</f>
        <v>0</v>
      </c>
      <c r="AC21" s="502">
        <f>('ผลงานรายสัปดาห์(เงิน)'!AC21)*100/$I20</f>
        <v>0</v>
      </c>
      <c r="AD21" s="503">
        <f>SUM(Z21:AC21)</f>
        <v>0</v>
      </c>
      <c r="AE21" s="502">
        <f>('ผลงานรายสัปดาห์(เงิน)'!AE21)*100/$I20</f>
        <v>0</v>
      </c>
      <c r="AF21" s="502">
        <f>('ผลงานรายสัปดาห์(เงิน)'!AF21)*100/$I20</f>
        <v>0</v>
      </c>
      <c r="AG21" s="502">
        <f>('ผลงานรายสัปดาห์(เงิน)'!AG21)*100/$I20</f>
        <v>0</v>
      </c>
      <c r="AH21" s="502">
        <f>('ผลงานรายสัปดาห์(เงิน)'!AH21)*100/$I20</f>
        <v>0</v>
      </c>
      <c r="AI21" s="503">
        <f>SUM(AE21:AH21)</f>
        <v>0</v>
      </c>
      <c r="AJ21" s="502">
        <f>('ผลงานรายสัปดาห์(เงิน)'!AJ21)*100/$I20</f>
        <v>0</v>
      </c>
      <c r="AK21" s="502">
        <f>('ผลงานรายสัปดาห์(เงิน)'!AK21)*100/$I20</f>
        <v>0</v>
      </c>
      <c r="AL21" s="502">
        <f>('ผลงานรายสัปดาห์(เงิน)'!AL21)*100/$I20</f>
        <v>0</v>
      </c>
      <c r="AM21" s="502">
        <f>('ผลงานรายสัปดาห์(เงิน)'!AM21)*100/$I20</f>
        <v>0</v>
      </c>
      <c r="AN21" s="494"/>
      <c r="AO21" s="494"/>
      <c r="AP21" s="494"/>
      <c r="AQ21" s="494"/>
      <c r="AR21" s="494"/>
      <c r="AS21" s="494"/>
    </row>
    <row r="22" spans="2:45" ht="9" customHeight="1" x14ac:dyDescent="0.2">
      <c r="B22" s="741">
        <v>-3</v>
      </c>
      <c r="C22" s="743" t="s">
        <v>56</v>
      </c>
      <c r="D22" s="721" t="s">
        <v>6</v>
      </c>
      <c r="E22" s="723">
        <v>1</v>
      </c>
      <c r="F22" s="725">
        <f>แผนการก่อสร้าง!G27</f>
        <v>0</v>
      </c>
      <c r="G22" s="727">
        <f>แผนการก่อสร้าง!H27</f>
        <v>0</v>
      </c>
      <c r="H22" s="729">
        <v>160623</v>
      </c>
      <c r="I22" s="731">
        <v>160623</v>
      </c>
      <c r="J22" s="733">
        <v>6.7348530053959202E-2</v>
      </c>
      <c r="L22" s="499"/>
      <c r="M22" s="499"/>
      <c r="O22" s="743" t="s">
        <v>56</v>
      </c>
      <c r="P22" s="504"/>
      <c r="Q22" s="504"/>
      <c r="R22" s="504"/>
      <c r="S22" s="504"/>
      <c r="T22" s="493"/>
      <c r="U22" s="504"/>
      <c r="V22" s="504"/>
      <c r="W22" s="504"/>
      <c r="X22" s="504"/>
      <c r="Y22" s="505"/>
      <c r="Z22" s="492"/>
      <c r="AA22" s="492"/>
      <c r="AB22" s="492"/>
      <c r="AC22" s="492"/>
      <c r="AD22" s="505"/>
      <c r="AE22" s="492"/>
      <c r="AF22" s="492"/>
      <c r="AG22" s="492"/>
      <c r="AH22" s="492"/>
      <c r="AI22" s="505"/>
      <c r="AJ22" s="492"/>
      <c r="AK22" s="492"/>
      <c r="AL22" s="492"/>
      <c r="AM22" s="492"/>
      <c r="AN22" s="493"/>
      <c r="AO22" s="492"/>
      <c r="AP22" s="492"/>
      <c r="AQ22" s="492"/>
      <c r="AR22" s="492"/>
      <c r="AS22" s="492"/>
    </row>
    <row r="23" spans="2:45" ht="9" customHeight="1" x14ac:dyDescent="0.2">
      <c r="B23" s="742"/>
      <c r="C23" s="744"/>
      <c r="D23" s="722"/>
      <c r="E23" s="724"/>
      <c r="F23" s="726"/>
      <c r="G23" s="728"/>
      <c r="H23" s="747"/>
      <c r="I23" s="732"/>
      <c r="J23" s="734"/>
      <c r="L23" s="503">
        <f>('ผลงานรายสัปดาห์(เงิน)'!L23)*100/$I22</f>
        <v>0</v>
      </c>
      <c r="M23" s="503">
        <f>('ผลงานรายสัปดาห์(เงิน)'!M23)*100/$I22</f>
        <v>0</v>
      </c>
      <c r="O23" s="744"/>
      <c r="P23" s="502">
        <f>('ผลงานรายสัปดาห์(เงิน)'!P23)*100/$I22</f>
        <v>0</v>
      </c>
      <c r="Q23" s="502">
        <f>('ผลงานรายสัปดาห์(เงิน)'!Q23)*100/$I22</f>
        <v>0</v>
      </c>
      <c r="R23" s="502">
        <f>('ผลงานรายสัปดาห์(เงิน)'!R23)*100/$I22</f>
        <v>0</v>
      </c>
      <c r="S23" s="502">
        <f>('ผลงานรายสัปดาห์(เงิน)'!S23)*100/$I22</f>
        <v>0</v>
      </c>
      <c r="T23" s="495">
        <f>SUM(P23:S23)</f>
        <v>0</v>
      </c>
      <c r="U23" s="502">
        <f>('ผลงานรายสัปดาห์(เงิน)'!U23)*100/$I22</f>
        <v>0</v>
      </c>
      <c r="V23" s="502">
        <f>('ผลงานรายสัปดาห์(เงิน)'!V23)*100/$I22</f>
        <v>0</v>
      </c>
      <c r="W23" s="502">
        <f>('ผลงานรายสัปดาห์(เงิน)'!W23)*100/$I22</f>
        <v>0</v>
      </c>
      <c r="X23" s="502">
        <f>('ผลงานรายสัปดาห์(เงิน)'!X23)*100/$I22</f>
        <v>0</v>
      </c>
      <c r="Y23" s="503">
        <f>SUM(U23:X23)</f>
        <v>0</v>
      </c>
      <c r="Z23" s="502">
        <f>('ผลงานรายสัปดาห์(เงิน)'!Z23)*100/$I22</f>
        <v>0</v>
      </c>
      <c r="AA23" s="502">
        <f>('ผลงานรายสัปดาห์(เงิน)'!AA23)*100/$I22</f>
        <v>0</v>
      </c>
      <c r="AB23" s="502">
        <f>('ผลงานรายสัปดาห์(เงิน)'!AB23)*100/$I22</f>
        <v>0</v>
      </c>
      <c r="AC23" s="502">
        <f>('ผลงานรายสัปดาห์(เงิน)'!AC23)*100/$I22</f>
        <v>0</v>
      </c>
      <c r="AD23" s="503">
        <f>SUM(Z23:AC23)</f>
        <v>0</v>
      </c>
      <c r="AE23" s="502">
        <f>('ผลงานรายสัปดาห์(เงิน)'!AE23)*100/$I22</f>
        <v>0</v>
      </c>
      <c r="AF23" s="502">
        <f>('ผลงานรายสัปดาห์(เงิน)'!AF23)*100/$I22</f>
        <v>0</v>
      </c>
      <c r="AG23" s="502">
        <f>('ผลงานรายสัปดาห์(เงิน)'!AG23)*100/$I22</f>
        <v>0</v>
      </c>
      <c r="AH23" s="502">
        <f>('ผลงานรายสัปดาห์(เงิน)'!AH23)*100/$I22</f>
        <v>0</v>
      </c>
      <c r="AI23" s="503">
        <f>SUM(AE23:AH23)</f>
        <v>0</v>
      </c>
      <c r="AJ23" s="502">
        <f>('ผลงานรายสัปดาห์(เงิน)'!AJ23)*100/$I22</f>
        <v>0</v>
      </c>
      <c r="AK23" s="502">
        <f>('ผลงานรายสัปดาห์(เงิน)'!AK23)*100/$I22</f>
        <v>0</v>
      </c>
      <c r="AL23" s="502">
        <f>('ผลงานรายสัปดาห์(เงิน)'!AL23)*100/$I22</f>
        <v>0</v>
      </c>
      <c r="AM23" s="502">
        <f>('ผลงานรายสัปดาห์(เงิน)'!AM23)*100/$I22</f>
        <v>0</v>
      </c>
      <c r="AN23" s="494"/>
      <c r="AO23" s="494"/>
      <c r="AP23" s="494"/>
      <c r="AQ23" s="494"/>
      <c r="AR23" s="494"/>
      <c r="AS23" s="494"/>
    </row>
    <row r="24" spans="2:45" ht="9" customHeight="1" x14ac:dyDescent="0.2">
      <c r="B24" s="717">
        <v>1.3</v>
      </c>
      <c r="C24" s="719" t="s">
        <v>34</v>
      </c>
      <c r="D24" s="721" t="s">
        <v>6</v>
      </c>
      <c r="E24" s="723">
        <v>1</v>
      </c>
      <c r="F24" s="725">
        <f>แผนการก่อสร้าง!G29</f>
        <v>0</v>
      </c>
      <c r="G24" s="727">
        <f>แผนการก่อสร้าง!H29</f>
        <v>64.76600000000002</v>
      </c>
      <c r="H24" s="729">
        <v>4270013</v>
      </c>
      <c r="I24" s="731">
        <v>4270013</v>
      </c>
      <c r="J24" s="733">
        <v>1.7903980056486088</v>
      </c>
      <c r="L24" s="499"/>
      <c r="M24" s="499"/>
      <c r="O24" s="719" t="s">
        <v>34</v>
      </c>
      <c r="P24" s="504"/>
      <c r="Q24" s="504"/>
      <c r="R24" s="504"/>
      <c r="S24" s="504"/>
      <c r="T24" s="493"/>
      <c r="U24" s="504"/>
      <c r="V24" s="504"/>
      <c r="W24" s="504"/>
      <c r="X24" s="504"/>
      <c r="Y24" s="505"/>
      <c r="Z24" s="492"/>
      <c r="AA24" s="492"/>
      <c r="AB24" s="492"/>
      <c r="AC24" s="492"/>
      <c r="AD24" s="505"/>
      <c r="AE24" s="492"/>
      <c r="AF24" s="492"/>
      <c r="AG24" s="492"/>
      <c r="AH24" s="492"/>
      <c r="AI24" s="505"/>
      <c r="AJ24" s="492"/>
      <c r="AK24" s="492"/>
      <c r="AL24" s="492"/>
      <c r="AM24" s="492"/>
      <c r="AN24" s="493"/>
      <c r="AO24" s="492"/>
      <c r="AP24" s="492"/>
      <c r="AQ24" s="492"/>
      <c r="AR24" s="492"/>
      <c r="AS24" s="492"/>
    </row>
    <row r="25" spans="2:45" ht="9" customHeight="1" x14ac:dyDescent="0.2">
      <c r="B25" s="718"/>
      <c r="C25" s="720"/>
      <c r="D25" s="722"/>
      <c r="E25" s="724"/>
      <c r="F25" s="748"/>
      <c r="G25" s="749"/>
      <c r="H25" s="747"/>
      <c r="I25" s="732"/>
      <c r="J25" s="734"/>
      <c r="L25" s="503">
        <f>('ผลงานรายสัปดาห์(เงิน)'!L25)*100/$I24</f>
        <v>64.809966620710526</v>
      </c>
      <c r="M25" s="503">
        <f>('ผลงานรายสัปดาห์(เงิน)'!M25)*100/$I24</f>
        <v>64.809966620710526</v>
      </c>
      <c r="N25" s="555">
        <f>M25-L25</f>
        <v>0</v>
      </c>
      <c r="O25" s="720"/>
      <c r="P25" s="502">
        <f>('ผลงานรายสัปดาห์(เงิน)'!P25)*100/$I24</f>
        <v>0</v>
      </c>
      <c r="Q25" s="502">
        <f>('ผลงานรายสัปดาห์(เงิน)'!Q25)*100/$I24</f>
        <v>0</v>
      </c>
      <c r="R25" s="502">
        <f>('ผลงานรายสัปดาห์(เงิน)'!R25)*100/$I24</f>
        <v>0</v>
      </c>
      <c r="S25" s="502">
        <f>('ผลงานรายสัปดาห์(เงิน)'!S25)*100/$I24</f>
        <v>0.40735238979366106</v>
      </c>
      <c r="T25" s="495">
        <f>SUM(P25:S25)</f>
        <v>0.40735238979366106</v>
      </c>
      <c r="U25" s="502">
        <f>('ผลงานรายสัปดาห์(เงิน)'!U25)*100/$I24</f>
        <v>0</v>
      </c>
      <c r="V25" s="502">
        <f>('ผลงานรายสัปดาห์(เงิน)'!V25)*100/$I24</f>
        <v>0</v>
      </c>
      <c r="W25" s="502">
        <f>('ผลงานรายสัปดาห์(เงิน)'!W25)*100/$I24</f>
        <v>0</v>
      </c>
      <c r="X25" s="502">
        <f>('ผลงานรายสัปดาห์(เงิน)'!X25)*100/$I24</f>
        <v>0</v>
      </c>
      <c r="Y25" s="503">
        <f>SUM(U25:X25)</f>
        <v>0</v>
      </c>
      <c r="Z25" s="502">
        <f>('ผลงานรายสัปดาห์(เงิน)'!Z25)*100/$I24</f>
        <v>0</v>
      </c>
      <c r="AA25" s="502">
        <f>('ผลงานรายสัปดาห์(เงิน)'!AA25)*100/$I24</f>
        <v>0</v>
      </c>
      <c r="AB25" s="502">
        <f>('ผลงานรายสัปดาห์(เงิน)'!AB25)*100/$I24</f>
        <v>0</v>
      </c>
      <c r="AC25" s="502">
        <f>('ผลงานรายสัปดาห์(เงิน)'!AC25)*100/$I24</f>
        <v>0</v>
      </c>
      <c r="AD25" s="503">
        <f>SUM(Z25:AC25)</f>
        <v>0</v>
      </c>
      <c r="AE25" s="502">
        <f>('ผลงานรายสัปดาห์(เงิน)'!AE25)*100/$I24</f>
        <v>0</v>
      </c>
      <c r="AF25" s="502">
        <f>('ผลงานรายสัปดาห์(เงิน)'!AF25)*100/$I24</f>
        <v>0</v>
      </c>
      <c r="AG25" s="502">
        <f>('ผลงานรายสัปดาห์(เงิน)'!AG25)*100/$I24</f>
        <v>0</v>
      </c>
      <c r="AH25" s="502">
        <f>('ผลงานรายสัปดาห์(เงิน)'!AH25)*100/$I24</f>
        <v>0</v>
      </c>
      <c r="AI25" s="503">
        <f>SUM(AE25:AH25)</f>
        <v>0</v>
      </c>
      <c r="AJ25" s="502">
        <f>('ผลงานรายสัปดาห์(เงิน)'!AJ25)*100/$I24</f>
        <v>0</v>
      </c>
      <c r="AK25" s="502">
        <f>('ผลงานรายสัปดาห์(เงิน)'!AK25)*100/$I24</f>
        <v>0</v>
      </c>
      <c r="AL25" s="502">
        <f>('ผลงานรายสัปดาห์(เงิน)'!AL25)*100/$I24</f>
        <v>0</v>
      </c>
      <c r="AM25" s="502">
        <f>('ผลงานรายสัปดาห์(เงิน)'!AM25)*100/$I24</f>
        <v>0</v>
      </c>
      <c r="AN25" s="494"/>
      <c r="AO25" s="494"/>
      <c r="AP25" s="494"/>
      <c r="AQ25" s="494"/>
      <c r="AR25" s="494"/>
      <c r="AS25" s="494"/>
    </row>
    <row r="26" spans="2:45" ht="9" customHeight="1" x14ac:dyDescent="0.2">
      <c r="B26" s="741">
        <v>-1</v>
      </c>
      <c r="C26" s="719" t="s">
        <v>35</v>
      </c>
      <c r="D26" s="721" t="s">
        <v>6</v>
      </c>
      <c r="E26" s="723">
        <v>1</v>
      </c>
      <c r="F26" s="750">
        <f>แผนการก่อสร้าง!G31</f>
        <v>0</v>
      </c>
      <c r="G26" s="751">
        <f>แผนการก่อสร้าง!H31</f>
        <v>0</v>
      </c>
      <c r="H26" s="729">
        <v>2092762</v>
      </c>
      <c r="I26" s="731">
        <v>2092762</v>
      </c>
      <c r="J26" s="733">
        <v>0.87748606645862526</v>
      </c>
      <c r="L26" s="499"/>
      <c r="M26" s="499"/>
      <c r="O26" s="719" t="s">
        <v>35</v>
      </c>
      <c r="P26" s="504"/>
      <c r="Q26" s="504"/>
      <c r="R26" s="504"/>
      <c r="S26" s="504"/>
      <c r="T26" s="493"/>
      <c r="U26" s="504"/>
      <c r="V26" s="504"/>
      <c r="W26" s="504"/>
      <c r="X26" s="504"/>
      <c r="Y26" s="505"/>
      <c r="Z26" s="492"/>
      <c r="AA26" s="492"/>
      <c r="AB26" s="492"/>
      <c r="AC26" s="492"/>
      <c r="AD26" s="505"/>
      <c r="AE26" s="492"/>
      <c r="AF26" s="492"/>
      <c r="AG26" s="492"/>
      <c r="AH26" s="492"/>
      <c r="AI26" s="505"/>
      <c r="AJ26" s="492"/>
      <c r="AK26" s="492"/>
      <c r="AL26" s="492"/>
      <c r="AM26" s="492"/>
      <c r="AN26" s="493"/>
      <c r="AO26" s="492"/>
      <c r="AP26" s="492"/>
      <c r="AQ26" s="492"/>
      <c r="AR26" s="492"/>
      <c r="AS26" s="492"/>
    </row>
    <row r="27" spans="2:45" ht="9" customHeight="1" x14ac:dyDescent="0.2">
      <c r="B27" s="742"/>
      <c r="C27" s="720"/>
      <c r="D27" s="722"/>
      <c r="E27" s="724"/>
      <c r="F27" s="726"/>
      <c r="G27" s="728"/>
      <c r="H27" s="747"/>
      <c r="I27" s="732"/>
      <c r="J27" s="734"/>
      <c r="L27" s="503">
        <f>('ผลงานรายสัปดาห์(เงิน)'!L27)*100/$I26</f>
        <v>0</v>
      </c>
      <c r="M27" s="503">
        <f>('ผลงานรายสัปดาห์(เงิน)'!M27)*100/$I26</f>
        <v>0</v>
      </c>
      <c r="O27" s="720"/>
      <c r="P27" s="502">
        <f>('ผลงานรายสัปดาห์(เงิน)'!P27)*100/$I26</f>
        <v>0</v>
      </c>
      <c r="Q27" s="502">
        <f>('ผลงานรายสัปดาห์(เงิน)'!Q27)*100/$I26</f>
        <v>0</v>
      </c>
      <c r="R27" s="502">
        <f>('ผลงานรายสัปดาห์(เงิน)'!R27)*100/$I26</f>
        <v>0</v>
      </c>
      <c r="S27" s="502">
        <f>('ผลงานรายสัปดาห์(เงิน)'!S27)*100/$I26</f>
        <v>0</v>
      </c>
      <c r="T27" s="495">
        <f>SUM(P27:S27)</f>
        <v>0</v>
      </c>
      <c r="U27" s="502">
        <f>('ผลงานรายสัปดาห์(เงิน)'!U27)*100/$I26</f>
        <v>0</v>
      </c>
      <c r="V27" s="502">
        <f>('ผลงานรายสัปดาห์(เงิน)'!V27)*100/$I26</f>
        <v>0</v>
      </c>
      <c r="W27" s="502">
        <f>('ผลงานรายสัปดาห์(เงิน)'!W27)*100/$I26</f>
        <v>0</v>
      </c>
      <c r="X27" s="502">
        <f>('ผลงานรายสัปดาห์(เงิน)'!X27)*100/$I26</f>
        <v>0</v>
      </c>
      <c r="Y27" s="503">
        <f>SUM(U27:X27)</f>
        <v>0</v>
      </c>
      <c r="Z27" s="502">
        <f>('ผลงานรายสัปดาห์(เงิน)'!Z27)*100/$I26</f>
        <v>0</v>
      </c>
      <c r="AA27" s="502">
        <f>('ผลงานรายสัปดาห์(เงิน)'!AA27)*100/$I26</f>
        <v>0</v>
      </c>
      <c r="AB27" s="502">
        <f>('ผลงานรายสัปดาห์(เงิน)'!AB27)*100/$I26</f>
        <v>0</v>
      </c>
      <c r="AC27" s="502">
        <f>('ผลงานรายสัปดาห์(เงิน)'!AC27)*100/$I26</f>
        <v>0</v>
      </c>
      <c r="AD27" s="503">
        <f>SUM(Z27:AC27)</f>
        <v>0</v>
      </c>
      <c r="AE27" s="502">
        <f>('ผลงานรายสัปดาห์(เงิน)'!AE27)*100/$I26</f>
        <v>0</v>
      </c>
      <c r="AF27" s="502">
        <f>('ผลงานรายสัปดาห์(เงิน)'!AF27)*100/$I26</f>
        <v>0</v>
      </c>
      <c r="AG27" s="502">
        <f>('ผลงานรายสัปดาห์(เงิน)'!AG27)*100/$I26</f>
        <v>0</v>
      </c>
      <c r="AH27" s="502">
        <f>('ผลงานรายสัปดาห์(เงิน)'!AH27)*100/$I26</f>
        <v>0</v>
      </c>
      <c r="AI27" s="503">
        <f>SUM(AE27:AH27)</f>
        <v>0</v>
      </c>
      <c r="AJ27" s="502">
        <f>('ผลงานรายสัปดาห์(เงิน)'!AJ27)*100/$I26</f>
        <v>0</v>
      </c>
      <c r="AK27" s="502">
        <f>('ผลงานรายสัปดาห์(เงิน)'!AK27)*100/$I26</f>
        <v>0</v>
      </c>
      <c r="AL27" s="502">
        <f>('ผลงานรายสัปดาห์(เงิน)'!AL27)*100/$I26</f>
        <v>0</v>
      </c>
      <c r="AM27" s="502">
        <f>('ผลงานรายสัปดาห์(เงิน)'!AM27)*100/$I26</f>
        <v>0</v>
      </c>
      <c r="AN27" s="494"/>
      <c r="AO27" s="494"/>
      <c r="AP27" s="494"/>
      <c r="AQ27" s="494"/>
      <c r="AR27" s="494"/>
      <c r="AS27" s="494"/>
    </row>
    <row r="28" spans="2:45" ht="9" customHeight="1" x14ac:dyDescent="0.2">
      <c r="B28" s="741">
        <v>-2</v>
      </c>
      <c r="C28" s="719" t="s">
        <v>36</v>
      </c>
      <c r="D28" s="721" t="s">
        <v>6</v>
      </c>
      <c r="E28" s="723">
        <v>1</v>
      </c>
      <c r="F28" s="725">
        <f>แผนการก่อสร้าง!G33</f>
        <v>0</v>
      </c>
      <c r="G28" s="727">
        <f>แผนการก่อสร้าง!H33</f>
        <v>0</v>
      </c>
      <c r="H28" s="729">
        <v>883548</v>
      </c>
      <c r="I28" s="731">
        <v>883548</v>
      </c>
      <c r="J28" s="733">
        <v>0.37046785972192992</v>
      </c>
      <c r="L28" s="499"/>
      <c r="M28" s="499"/>
      <c r="O28" s="719" t="s">
        <v>36</v>
      </c>
      <c r="P28" s="504"/>
      <c r="Q28" s="504"/>
      <c r="R28" s="504"/>
      <c r="S28" s="504"/>
      <c r="T28" s="493"/>
      <c r="U28" s="504"/>
      <c r="V28" s="504"/>
      <c r="W28" s="504"/>
      <c r="X28" s="504"/>
      <c r="Y28" s="505"/>
      <c r="Z28" s="492"/>
      <c r="AA28" s="492"/>
      <c r="AB28" s="492"/>
      <c r="AC28" s="492"/>
      <c r="AD28" s="505"/>
      <c r="AE28" s="492"/>
      <c r="AF28" s="492"/>
      <c r="AG28" s="492"/>
      <c r="AH28" s="492"/>
      <c r="AI28" s="505"/>
      <c r="AJ28" s="492"/>
      <c r="AK28" s="492"/>
      <c r="AL28" s="492"/>
      <c r="AM28" s="492"/>
      <c r="AN28" s="493"/>
      <c r="AO28" s="492"/>
      <c r="AP28" s="492"/>
      <c r="AQ28" s="492"/>
      <c r="AR28" s="492"/>
      <c r="AS28" s="492"/>
    </row>
    <row r="29" spans="2:45" ht="9" customHeight="1" x14ac:dyDescent="0.2">
      <c r="B29" s="742"/>
      <c r="C29" s="720"/>
      <c r="D29" s="722"/>
      <c r="E29" s="724"/>
      <c r="F29" s="726"/>
      <c r="G29" s="728"/>
      <c r="H29" s="747"/>
      <c r="I29" s="732"/>
      <c r="J29" s="734"/>
      <c r="L29" s="503">
        <f>('ผลงานรายสัปดาห์(เงิน)'!L29)*100/$I28</f>
        <v>0</v>
      </c>
      <c r="M29" s="503">
        <f>('ผลงานรายสัปดาห์(เงิน)'!M29)*100/$I28</f>
        <v>0</v>
      </c>
      <c r="O29" s="720"/>
      <c r="P29" s="502">
        <f>('ผลงานรายสัปดาห์(เงิน)'!P29)*100/$I28</f>
        <v>0</v>
      </c>
      <c r="Q29" s="502">
        <f>('ผลงานรายสัปดาห์(เงิน)'!Q29)*100/$I28</f>
        <v>0</v>
      </c>
      <c r="R29" s="502">
        <f>('ผลงานรายสัปดาห์(เงิน)'!R29)*100/$I28</f>
        <v>0</v>
      </c>
      <c r="S29" s="502">
        <f>('ผลงานรายสัปดาห์(เงิน)'!S29)*100/$I28</f>
        <v>0</v>
      </c>
      <c r="T29" s="495">
        <f>SUM(P29:S29)</f>
        <v>0</v>
      </c>
      <c r="U29" s="502">
        <f>('ผลงานรายสัปดาห์(เงิน)'!U29)*100/$I28</f>
        <v>0</v>
      </c>
      <c r="V29" s="502">
        <f>('ผลงานรายสัปดาห์(เงิน)'!V29)*100/$I28</f>
        <v>0</v>
      </c>
      <c r="W29" s="502">
        <f>('ผลงานรายสัปดาห์(เงิน)'!W29)*100/$I28</f>
        <v>0</v>
      </c>
      <c r="X29" s="502">
        <f>('ผลงานรายสัปดาห์(เงิน)'!X29)*100/$I28</f>
        <v>0</v>
      </c>
      <c r="Y29" s="503">
        <f>SUM(U29:X29)</f>
        <v>0</v>
      </c>
      <c r="Z29" s="502">
        <f>('ผลงานรายสัปดาห์(เงิน)'!Z29)*100/$I28</f>
        <v>0</v>
      </c>
      <c r="AA29" s="502">
        <f>('ผลงานรายสัปดาห์(เงิน)'!AA29)*100/$I28</f>
        <v>0</v>
      </c>
      <c r="AB29" s="502">
        <f>('ผลงานรายสัปดาห์(เงิน)'!AB29)*100/$I28</f>
        <v>0</v>
      </c>
      <c r="AC29" s="502">
        <f>('ผลงานรายสัปดาห์(เงิน)'!AC29)*100/$I28</f>
        <v>0</v>
      </c>
      <c r="AD29" s="503">
        <f>SUM(Z29:AC29)</f>
        <v>0</v>
      </c>
      <c r="AE29" s="502">
        <f>('ผลงานรายสัปดาห์(เงิน)'!AE29)*100/$I28</f>
        <v>0</v>
      </c>
      <c r="AF29" s="502">
        <f>('ผลงานรายสัปดาห์(เงิน)'!AF29)*100/$I28</f>
        <v>0</v>
      </c>
      <c r="AG29" s="502">
        <f>('ผลงานรายสัปดาห์(เงิน)'!AG29)*100/$I28</f>
        <v>0</v>
      </c>
      <c r="AH29" s="502">
        <f>('ผลงานรายสัปดาห์(เงิน)'!AH29)*100/$I28</f>
        <v>0</v>
      </c>
      <c r="AI29" s="503">
        <f>SUM(AE29:AH29)</f>
        <v>0</v>
      </c>
      <c r="AJ29" s="502">
        <f>('ผลงานรายสัปดาห์(เงิน)'!AJ29)*100/$I28</f>
        <v>0</v>
      </c>
      <c r="AK29" s="502">
        <f>('ผลงานรายสัปดาห์(เงิน)'!AK29)*100/$I28</f>
        <v>0</v>
      </c>
      <c r="AL29" s="502">
        <f>('ผลงานรายสัปดาห์(เงิน)'!AL29)*100/$I28</f>
        <v>0</v>
      </c>
      <c r="AM29" s="502">
        <f>('ผลงานรายสัปดาห์(เงิน)'!AM29)*100/$I28</f>
        <v>0</v>
      </c>
      <c r="AN29" s="494"/>
      <c r="AO29" s="494"/>
      <c r="AP29" s="494"/>
      <c r="AQ29" s="494"/>
      <c r="AR29" s="494"/>
      <c r="AS29" s="494"/>
    </row>
    <row r="30" spans="2:45" ht="9" customHeight="1" x14ac:dyDescent="0.2">
      <c r="B30" s="741">
        <v>-3</v>
      </c>
      <c r="C30" s="719" t="s">
        <v>37</v>
      </c>
      <c r="D30" s="721" t="s">
        <v>6</v>
      </c>
      <c r="E30" s="723">
        <v>1</v>
      </c>
      <c r="F30" s="725">
        <f>แผนการก่อสร้าง!G35</f>
        <v>0</v>
      </c>
      <c r="G30" s="727">
        <f>แผนการก่อสร้าง!H35</f>
        <v>0</v>
      </c>
      <c r="H30" s="729">
        <v>1344618</v>
      </c>
      <c r="I30" s="731">
        <v>1344618</v>
      </c>
      <c r="J30" s="733">
        <v>0.56379251902961913</v>
      </c>
      <c r="L30" s="499"/>
      <c r="M30" s="499"/>
      <c r="O30" s="719" t="s">
        <v>37</v>
      </c>
      <c r="P30" s="504"/>
      <c r="Q30" s="504"/>
      <c r="R30" s="504"/>
      <c r="S30" s="504"/>
      <c r="T30" s="493"/>
      <c r="U30" s="504"/>
      <c r="V30" s="504"/>
      <c r="W30" s="504"/>
      <c r="X30" s="504"/>
      <c r="Y30" s="505"/>
      <c r="Z30" s="492"/>
      <c r="AA30" s="492"/>
      <c r="AB30" s="492"/>
      <c r="AC30" s="492"/>
      <c r="AD30" s="505"/>
      <c r="AE30" s="492"/>
      <c r="AF30" s="492"/>
      <c r="AG30" s="492"/>
      <c r="AH30" s="492"/>
      <c r="AI30" s="505"/>
      <c r="AJ30" s="492"/>
      <c r="AK30" s="492"/>
      <c r="AL30" s="492"/>
      <c r="AM30" s="492"/>
      <c r="AN30" s="493"/>
      <c r="AO30" s="492"/>
      <c r="AP30" s="492"/>
      <c r="AQ30" s="492"/>
      <c r="AR30" s="492"/>
      <c r="AS30" s="492"/>
    </row>
    <row r="31" spans="2:45" ht="9" customHeight="1" x14ac:dyDescent="0.2">
      <c r="B31" s="742"/>
      <c r="C31" s="720"/>
      <c r="D31" s="722"/>
      <c r="E31" s="746"/>
      <c r="F31" s="726"/>
      <c r="G31" s="728"/>
      <c r="H31" s="747"/>
      <c r="I31" s="732"/>
      <c r="J31" s="734"/>
      <c r="L31" s="503">
        <f>('ผลงานรายสัปดาห์(เงิน)'!L31)*100/$I30</f>
        <v>0</v>
      </c>
      <c r="M31" s="503">
        <f>('ผลงานรายสัปดาห์(เงิน)'!M31)*100/$I30</f>
        <v>0</v>
      </c>
      <c r="O31" s="720"/>
      <c r="P31" s="502">
        <f>('ผลงานรายสัปดาห์(เงิน)'!P31)*100/$I30</f>
        <v>0</v>
      </c>
      <c r="Q31" s="502">
        <f>('ผลงานรายสัปดาห์(เงิน)'!Q31)*100/$I30</f>
        <v>0</v>
      </c>
      <c r="R31" s="502">
        <f>('ผลงานรายสัปดาห์(เงิน)'!R31)*100/$I30</f>
        <v>0</v>
      </c>
      <c r="S31" s="502">
        <f>('ผลงานรายสัปดาห์(เงิน)'!S31)*100/$I30</f>
        <v>0</v>
      </c>
      <c r="T31" s="495">
        <f>SUM(P31:S31)</f>
        <v>0</v>
      </c>
      <c r="U31" s="502">
        <f>('ผลงานรายสัปดาห์(เงิน)'!U31)*100/$I30</f>
        <v>0</v>
      </c>
      <c r="V31" s="502">
        <f>('ผลงานรายสัปดาห์(เงิน)'!V31)*100/$I30</f>
        <v>0</v>
      </c>
      <c r="W31" s="502">
        <f>('ผลงานรายสัปดาห์(เงิน)'!W31)*100/$I30</f>
        <v>0</v>
      </c>
      <c r="X31" s="502">
        <f>('ผลงานรายสัปดาห์(เงิน)'!X31)*100/$I30</f>
        <v>0</v>
      </c>
      <c r="Y31" s="503">
        <f>SUM(U31:X31)</f>
        <v>0</v>
      </c>
      <c r="Z31" s="502">
        <f>('ผลงานรายสัปดาห์(เงิน)'!Z31)*100/$I30</f>
        <v>0</v>
      </c>
      <c r="AA31" s="502">
        <f>('ผลงานรายสัปดาห์(เงิน)'!AA31)*100/$I30</f>
        <v>0</v>
      </c>
      <c r="AB31" s="502">
        <f>('ผลงานรายสัปดาห์(เงิน)'!AB31)*100/$I30</f>
        <v>0</v>
      </c>
      <c r="AC31" s="502">
        <f>('ผลงานรายสัปดาห์(เงิน)'!AC31)*100/$I30</f>
        <v>0</v>
      </c>
      <c r="AD31" s="503">
        <f>SUM(Z31:AC31)</f>
        <v>0</v>
      </c>
      <c r="AE31" s="502">
        <f>('ผลงานรายสัปดาห์(เงิน)'!AE31)*100/$I30</f>
        <v>0</v>
      </c>
      <c r="AF31" s="502">
        <f>('ผลงานรายสัปดาห์(เงิน)'!AF31)*100/$I30</f>
        <v>0</v>
      </c>
      <c r="AG31" s="502">
        <f>('ผลงานรายสัปดาห์(เงิน)'!AG31)*100/$I30</f>
        <v>0</v>
      </c>
      <c r="AH31" s="502">
        <f>('ผลงานรายสัปดาห์(เงิน)'!AH31)*100/$I30</f>
        <v>0</v>
      </c>
      <c r="AI31" s="503">
        <f>SUM(AE31:AH31)</f>
        <v>0</v>
      </c>
      <c r="AJ31" s="502">
        <f>('ผลงานรายสัปดาห์(เงิน)'!AJ31)*100/$I30</f>
        <v>0</v>
      </c>
      <c r="AK31" s="502">
        <f>('ผลงานรายสัปดาห์(เงิน)'!AK31)*100/$I30</f>
        <v>0</v>
      </c>
      <c r="AL31" s="502">
        <f>('ผลงานรายสัปดาห์(เงิน)'!AL31)*100/$I30</f>
        <v>0</v>
      </c>
      <c r="AM31" s="502">
        <f>('ผลงานรายสัปดาห์(เงิน)'!AM31)*100/$I30</f>
        <v>0</v>
      </c>
      <c r="AN31" s="494"/>
      <c r="AO31" s="494"/>
      <c r="AP31" s="494"/>
      <c r="AQ31" s="494"/>
      <c r="AR31" s="494"/>
      <c r="AS31" s="494"/>
    </row>
    <row r="32" spans="2:45" ht="9" customHeight="1" x14ac:dyDescent="0.2">
      <c r="B32" s="741">
        <v>-4</v>
      </c>
      <c r="C32" s="719" t="s">
        <v>39</v>
      </c>
      <c r="D32" s="721" t="s">
        <v>6</v>
      </c>
      <c r="E32" s="723">
        <v>1</v>
      </c>
      <c r="F32" s="725">
        <f>แผนการก่อสร้าง!G37</f>
        <v>0</v>
      </c>
      <c r="G32" s="727">
        <f>แผนการก่อสร้าง!H37</f>
        <v>0</v>
      </c>
      <c r="H32" s="729">
        <v>1048108</v>
      </c>
      <c r="I32" s="731">
        <v>1048108</v>
      </c>
      <c r="J32" s="733">
        <v>0.43946715686915994</v>
      </c>
      <c r="L32" s="499"/>
      <c r="M32" s="499"/>
      <c r="O32" s="719" t="s">
        <v>39</v>
      </c>
      <c r="P32" s="504"/>
      <c r="Q32" s="504"/>
      <c r="R32" s="504"/>
      <c r="S32" s="504"/>
      <c r="T32" s="493"/>
      <c r="U32" s="504"/>
      <c r="V32" s="504"/>
      <c r="W32" s="504"/>
      <c r="X32" s="504"/>
      <c r="Y32" s="505"/>
      <c r="Z32" s="492"/>
      <c r="AA32" s="492"/>
      <c r="AB32" s="492"/>
      <c r="AC32" s="492"/>
      <c r="AD32" s="505"/>
      <c r="AE32" s="492"/>
      <c r="AF32" s="492"/>
      <c r="AG32" s="492"/>
      <c r="AH32" s="492"/>
      <c r="AI32" s="505"/>
      <c r="AJ32" s="492"/>
      <c r="AK32" s="492"/>
      <c r="AL32" s="492"/>
      <c r="AM32" s="492"/>
      <c r="AN32" s="493"/>
      <c r="AO32" s="492"/>
      <c r="AP32" s="492"/>
      <c r="AQ32" s="492"/>
      <c r="AR32" s="492"/>
      <c r="AS32" s="492"/>
    </row>
    <row r="33" spans="2:45" ht="9" customHeight="1" x14ac:dyDescent="0.2">
      <c r="B33" s="742"/>
      <c r="C33" s="720"/>
      <c r="D33" s="722"/>
      <c r="E33" s="724"/>
      <c r="F33" s="748"/>
      <c r="G33" s="749"/>
      <c r="H33" s="747"/>
      <c r="I33" s="732"/>
      <c r="J33" s="734"/>
      <c r="L33" s="503">
        <f>('ผลงานรายสัปดาห์(เงิน)'!L33)*100/$I32</f>
        <v>0</v>
      </c>
      <c r="M33" s="503">
        <f>('ผลงานรายสัปดาห์(เงิน)'!M33)*100/$I32</f>
        <v>0</v>
      </c>
      <c r="O33" s="720"/>
      <c r="P33" s="502">
        <f>('ผลงานรายสัปดาห์(เงิน)'!P33)*100/$I32</f>
        <v>0</v>
      </c>
      <c r="Q33" s="502">
        <f>('ผลงานรายสัปดาห์(เงิน)'!Q33)*100/$I32</f>
        <v>0</v>
      </c>
      <c r="R33" s="502">
        <f>('ผลงานรายสัปดาห์(เงิน)'!R33)*100/$I32</f>
        <v>0</v>
      </c>
      <c r="S33" s="502">
        <f>('ผลงานรายสัปดาห์(เงิน)'!S33)*100/$I32</f>
        <v>0</v>
      </c>
      <c r="T33" s="495">
        <f>SUM(P33:S33)</f>
        <v>0</v>
      </c>
      <c r="U33" s="502">
        <f>('ผลงานรายสัปดาห์(เงิน)'!U33)*100/$I32</f>
        <v>0</v>
      </c>
      <c r="V33" s="502">
        <f>('ผลงานรายสัปดาห์(เงิน)'!V33)*100/$I32</f>
        <v>0</v>
      </c>
      <c r="W33" s="502">
        <f>('ผลงานรายสัปดาห์(เงิน)'!W33)*100/$I32</f>
        <v>0</v>
      </c>
      <c r="X33" s="502">
        <f>('ผลงานรายสัปดาห์(เงิน)'!X33)*100/$I32</f>
        <v>0</v>
      </c>
      <c r="Y33" s="503">
        <f>SUM(U33:X33)</f>
        <v>0</v>
      </c>
      <c r="Z33" s="502">
        <f>('ผลงานรายสัปดาห์(เงิน)'!Z33)*100/$I32</f>
        <v>0</v>
      </c>
      <c r="AA33" s="502">
        <f>('ผลงานรายสัปดาห์(เงิน)'!AA33)*100/$I32</f>
        <v>0</v>
      </c>
      <c r="AB33" s="502">
        <f>('ผลงานรายสัปดาห์(เงิน)'!AB33)*100/$I32</f>
        <v>0</v>
      </c>
      <c r="AC33" s="502">
        <f>('ผลงานรายสัปดาห์(เงิน)'!AC33)*100/$I32</f>
        <v>0</v>
      </c>
      <c r="AD33" s="503">
        <f>SUM(Z33:AC33)</f>
        <v>0</v>
      </c>
      <c r="AE33" s="502">
        <f>('ผลงานรายสัปดาห์(เงิน)'!AE33)*100/$I32</f>
        <v>0</v>
      </c>
      <c r="AF33" s="502">
        <f>('ผลงานรายสัปดาห์(เงิน)'!AF33)*100/$I32</f>
        <v>0</v>
      </c>
      <c r="AG33" s="502">
        <f>('ผลงานรายสัปดาห์(เงิน)'!AG33)*100/$I32</f>
        <v>0</v>
      </c>
      <c r="AH33" s="502">
        <f>('ผลงานรายสัปดาห์(เงิน)'!AH33)*100/$I32</f>
        <v>0</v>
      </c>
      <c r="AI33" s="503">
        <f>SUM(AE33:AH33)</f>
        <v>0</v>
      </c>
      <c r="AJ33" s="502">
        <f>('ผลงานรายสัปดาห์(เงิน)'!AJ33)*100/$I32</f>
        <v>0</v>
      </c>
      <c r="AK33" s="502">
        <f>('ผลงานรายสัปดาห์(เงิน)'!AK33)*100/$I32</f>
        <v>0</v>
      </c>
      <c r="AL33" s="502">
        <f>('ผลงานรายสัปดาห์(เงิน)'!AL33)*100/$I32</f>
        <v>0</v>
      </c>
      <c r="AM33" s="502">
        <f>('ผลงานรายสัปดาห์(เงิน)'!AM33)*100/$I32</f>
        <v>0</v>
      </c>
      <c r="AN33" s="494"/>
      <c r="AO33" s="494"/>
      <c r="AP33" s="494"/>
      <c r="AQ33" s="494"/>
      <c r="AR33" s="494"/>
      <c r="AS33" s="494"/>
    </row>
    <row r="34" spans="2:45" ht="9" customHeight="1" x14ac:dyDescent="0.2">
      <c r="B34" s="717">
        <v>1.4</v>
      </c>
      <c r="C34" s="719" t="s">
        <v>118</v>
      </c>
      <c r="D34" s="721" t="s">
        <v>6</v>
      </c>
      <c r="E34" s="723">
        <v>1</v>
      </c>
      <c r="F34" s="750">
        <f>แผนการก่อสร้าง!G39</f>
        <v>0</v>
      </c>
      <c r="G34" s="751">
        <f>แผนการก่อสร้าง!H39</f>
        <v>53.669000000000004</v>
      </c>
      <c r="H34" s="729">
        <v>2827285</v>
      </c>
      <c r="I34" s="731">
        <v>2827285</v>
      </c>
      <c r="J34" s="733">
        <v>1.1854683874265084</v>
      </c>
      <c r="L34" s="499"/>
      <c r="M34" s="499"/>
      <c r="O34" s="719" t="s">
        <v>118</v>
      </c>
      <c r="P34" s="504"/>
      <c r="Q34" s="504"/>
      <c r="R34" s="504"/>
      <c r="S34" s="504"/>
      <c r="T34" s="493"/>
      <c r="U34" s="504"/>
      <c r="V34" s="504"/>
      <c r="W34" s="504"/>
      <c r="X34" s="504"/>
      <c r="Y34" s="505"/>
      <c r="Z34" s="492"/>
      <c r="AA34" s="492"/>
      <c r="AB34" s="492"/>
      <c r="AC34" s="492"/>
      <c r="AD34" s="505"/>
      <c r="AE34" s="492"/>
      <c r="AF34" s="492"/>
      <c r="AG34" s="492"/>
      <c r="AH34" s="492"/>
      <c r="AI34" s="505"/>
      <c r="AJ34" s="492"/>
      <c r="AK34" s="492"/>
      <c r="AL34" s="492"/>
      <c r="AM34" s="492"/>
      <c r="AN34" s="493"/>
      <c r="AO34" s="492"/>
      <c r="AP34" s="492"/>
      <c r="AQ34" s="492"/>
      <c r="AR34" s="492"/>
      <c r="AS34" s="492"/>
    </row>
    <row r="35" spans="2:45" ht="9" customHeight="1" x14ac:dyDescent="0.2">
      <c r="B35" s="718"/>
      <c r="C35" s="720"/>
      <c r="D35" s="722"/>
      <c r="E35" s="724"/>
      <c r="F35" s="726"/>
      <c r="G35" s="728"/>
      <c r="H35" s="747"/>
      <c r="I35" s="732"/>
      <c r="J35" s="734"/>
      <c r="L35" s="503">
        <f>('ผลงานรายสัปดาห์(เงิน)'!L35)*100/$I34</f>
        <v>53.669651273217944</v>
      </c>
      <c r="M35" s="503">
        <f>('ผลงานรายสัปดาห์(เงิน)'!M35)*100/$I34</f>
        <v>53.669651273217944</v>
      </c>
      <c r="O35" s="720"/>
      <c r="P35" s="502">
        <f>('ผลงานรายสัปดาห์(เงิน)'!P35)*100/$I34</f>
        <v>0</v>
      </c>
      <c r="Q35" s="502">
        <f>('ผลงานรายสัปดาห์(เงิน)'!Q35)*100/$I34</f>
        <v>0</v>
      </c>
      <c r="R35" s="502">
        <f>('ผลงานรายสัปดาห์(เงิน)'!R35)*100/$I34</f>
        <v>0</v>
      </c>
      <c r="S35" s="502">
        <f>('ผลงานรายสัปดาห์(เงิน)'!S35)*100/$I34</f>
        <v>0.61521919438613371</v>
      </c>
      <c r="T35" s="495">
        <f>SUM(P35:S35)</f>
        <v>0.61521919438613371</v>
      </c>
      <c r="U35" s="502">
        <f>('ผลงานรายสัปดาห์(เงิน)'!U35)*100/$I34</f>
        <v>0</v>
      </c>
      <c r="V35" s="502">
        <f>('ผลงานรายสัปดาห์(เงิน)'!V35)*100/$I34</f>
        <v>0</v>
      </c>
      <c r="W35" s="502">
        <f>('ผลงานรายสัปดาห์(เงิน)'!W35)*100/$I34</f>
        <v>53.054432078831809</v>
      </c>
      <c r="X35" s="502">
        <f>('ผลงานรายสัปดาห์(เงิน)'!X35)*100/$I34</f>
        <v>0</v>
      </c>
      <c r="Y35" s="503">
        <f>SUM(U35:X35)</f>
        <v>53.054432078831809</v>
      </c>
      <c r="Z35" s="502">
        <f>('ผลงานรายสัปดาห์(เงิน)'!Z35)*100/$I34</f>
        <v>0</v>
      </c>
      <c r="AA35" s="502">
        <f>('ผลงานรายสัปดาห์(เงิน)'!AA35)*100/$I34</f>
        <v>0</v>
      </c>
      <c r="AB35" s="502">
        <f>('ผลงานรายสัปดาห์(เงิน)'!AB35)*100/$I34</f>
        <v>0</v>
      </c>
      <c r="AC35" s="502">
        <f>('ผลงานรายสัปดาห์(เงิน)'!AC35)*100/$I34</f>
        <v>0</v>
      </c>
      <c r="AD35" s="503">
        <f>SUM(Z35:AC35)</f>
        <v>0</v>
      </c>
      <c r="AE35" s="502">
        <f>('ผลงานรายสัปดาห์(เงิน)'!AE35)*100/$I34</f>
        <v>0</v>
      </c>
      <c r="AF35" s="502">
        <f>('ผลงานรายสัปดาห์(เงิน)'!AF35)*100/$I34</f>
        <v>0</v>
      </c>
      <c r="AG35" s="502">
        <f>('ผลงานรายสัปดาห์(เงิน)'!AG35)*100/$I34</f>
        <v>0</v>
      </c>
      <c r="AH35" s="502">
        <f>('ผลงานรายสัปดาห์(เงิน)'!AH35)*100/$I34</f>
        <v>0</v>
      </c>
      <c r="AI35" s="503">
        <f>SUM(AE35:AH35)</f>
        <v>0</v>
      </c>
      <c r="AJ35" s="502">
        <f>('ผลงานรายสัปดาห์(เงิน)'!AJ35)*100/$I34</f>
        <v>0</v>
      </c>
      <c r="AK35" s="502">
        <f>('ผลงานรายสัปดาห์(เงิน)'!AK35)*100/$I34</f>
        <v>0</v>
      </c>
      <c r="AL35" s="502">
        <f>('ผลงานรายสัปดาห์(เงิน)'!AL35)*100/$I34</f>
        <v>0</v>
      </c>
      <c r="AM35" s="502">
        <f>('ผลงานรายสัปดาห์(เงิน)'!AM35)*100/$I34</f>
        <v>0</v>
      </c>
      <c r="AN35" s="494"/>
      <c r="AO35" s="494"/>
      <c r="AP35" s="494"/>
      <c r="AQ35" s="494"/>
      <c r="AR35" s="494"/>
      <c r="AS35" s="494"/>
    </row>
    <row r="36" spans="2:45" ht="9" customHeight="1" x14ac:dyDescent="0.2">
      <c r="B36" s="741">
        <v>-1</v>
      </c>
      <c r="C36" s="719" t="s">
        <v>35</v>
      </c>
      <c r="D36" s="721" t="s">
        <v>6</v>
      </c>
      <c r="E36" s="723">
        <v>1</v>
      </c>
      <c r="F36" s="725">
        <f>แผนการก่อสร้าง!G41</f>
        <v>0</v>
      </c>
      <c r="G36" s="727">
        <f>แผนการก่อสร้าง!H41</f>
        <v>0</v>
      </c>
      <c r="H36" s="729">
        <v>317663</v>
      </c>
      <c r="I36" s="731">
        <v>317663</v>
      </c>
      <c r="J36" s="733">
        <v>0.13319472368546748</v>
      </c>
      <c r="L36" s="499"/>
      <c r="M36" s="499"/>
      <c r="O36" s="719" t="s">
        <v>35</v>
      </c>
      <c r="P36" s="504"/>
      <c r="Q36" s="504"/>
      <c r="R36" s="506"/>
      <c r="S36" s="504"/>
      <c r="T36" s="493"/>
      <c r="U36" s="504"/>
      <c r="V36" s="504"/>
      <c r="W36" s="506"/>
      <c r="X36" s="504"/>
      <c r="Y36" s="505"/>
      <c r="Z36" s="492"/>
      <c r="AA36" s="492"/>
      <c r="AB36" s="492"/>
      <c r="AC36" s="492"/>
      <c r="AD36" s="505"/>
      <c r="AE36" s="492"/>
      <c r="AF36" s="492"/>
      <c r="AG36" s="492"/>
      <c r="AH36" s="492"/>
      <c r="AI36" s="505"/>
      <c r="AJ36" s="492"/>
      <c r="AK36" s="492"/>
      <c r="AL36" s="492"/>
      <c r="AM36" s="492"/>
      <c r="AN36" s="493"/>
      <c r="AO36" s="492"/>
      <c r="AP36" s="492"/>
      <c r="AQ36" s="492"/>
      <c r="AR36" s="492"/>
      <c r="AS36" s="492"/>
    </row>
    <row r="37" spans="2:45" ht="9" customHeight="1" x14ac:dyDescent="0.2">
      <c r="B37" s="742"/>
      <c r="C37" s="720"/>
      <c r="D37" s="722"/>
      <c r="E37" s="724"/>
      <c r="F37" s="726"/>
      <c r="G37" s="728"/>
      <c r="H37" s="747"/>
      <c r="I37" s="732"/>
      <c r="J37" s="734"/>
      <c r="L37" s="503">
        <f>('ผลงานรายสัปดาห์(เงิน)'!L37)*100/$I36</f>
        <v>0</v>
      </c>
      <c r="M37" s="503">
        <f>('ผลงานรายสัปดาห์(เงิน)'!M37)*100/$I36</f>
        <v>0</v>
      </c>
      <c r="O37" s="720"/>
      <c r="P37" s="502">
        <f>('ผลงานรายสัปดาห์(เงิน)'!P37)*100/$I36</f>
        <v>0</v>
      </c>
      <c r="Q37" s="502">
        <f>('ผลงานรายสัปดาห์(เงิน)'!Q37)*100/$I36</f>
        <v>0</v>
      </c>
      <c r="R37" s="502">
        <f>('ผลงานรายสัปดาห์(เงิน)'!R37)*100/$I36</f>
        <v>0</v>
      </c>
      <c r="S37" s="502">
        <f>('ผลงานรายสัปดาห์(เงิน)'!S37)*100/$I36</f>
        <v>0</v>
      </c>
      <c r="T37" s="495">
        <f>SUM(P37:S37)</f>
        <v>0</v>
      </c>
      <c r="U37" s="502">
        <f>('ผลงานรายสัปดาห์(เงิน)'!U37)*100/$I36</f>
        <v>0</v>
      </c>
      <c r="V37" s="502">
        <f>('ผลงานรายสัปดาห์(เงิน)'!V37)*100/$I36</f>
        <v>0</v>
      </c>
      <c r="W37" s="502">
        <f>('ผลงานรายสัปดาห์(เงิน)'!W37)*100/$I36</f>
        <v>0</v>
      </c>
      <c r="X37" s="502">
        <f>('ผลงานรายสัปดาห์(เงิน)'!X37)*100/$I36</f>
        <v>0</v>
      </c>
      <c r="Y37" s="503">
        <f>SUM(U37:X37)</f>
        <v>0</v>
      </c>
      <c r="Z37" s="502">
        <f>('ผลงานรายสัปดาห์(เงิน)'!Z37)*100/$I36</f>
        <v>0</v>
      </c>
      <c r="AA37" s="502">
        <f>('ผลงานรายสัปดาห์(เงิน)'!AA37)*100/$I36</f>
        <v>0</v>
      </c>
      <c r="AB37" s="502">
        <f>('ผลงานรายสัปดาห์(เงิน)'!AB37)*100/$I36</f>
        <v>0</v>
      </c>
      <c r="AC37" s="502">
        <f>('ผลงานรายสัปดาห์(เงิน)'!AC37)*100/$I36</f>
        <v>0</v>
      </c>
      <c r="AD37" s="503">
        <f>SUM(Z37:AC37)</f>
        <v>0</v>
      </c>
      <c r="AE37" s="502">
        <f>('ผลงานรายสัปดาห์(เงิน)'!AE37)*100/$I36</f>
        <v>0</v>
      </c>
      <c r="AF37" s="502">
        <f>('ผลงานรายสัปดาห์(เงิน)'!AF37)*100/$I36</f>
        <v>0</v>
      </c>
      <c r="AG37" s="502">
        <f>('ผลงานรายสัปดาห์(เงิน)'!AG37)*100/$I36</f>
        <v>0</v>
      </c>
      <c r="AH37" s="502">
        <f>('ผลงานรายสัปดาห์(เงิน)'!AH37)*100/$I36</f>
        <v>0</v>
      </c>
      <c r="AI37" s="503">
        <f>SUM(AE37:AH37)</f>
        <v>0</v>
      </c>
      <c r="AJ37" s="502">
        <f>('ผลงานรายสัปดาห์(เงิน)'!AJ37)*100/$I36</f>
        <v>0</v>
      </c>
      <c r="AK37" s="502">
        <f>('ผลงานรายสัปดาห์(เงิน)'!AK37)*100/$I36</f>
        <v>0</v>
      </c>
      <c r="AL37" s="502">
        <f>('ผลงานรายสัปดาห์(เงิน)'!AL37)*100/$I36</f>
        <v>0</v>
      </c>
      <c r="AM37" s="502">
        <f>('ผลงานรายสัปดาห์(เงิน)'!AM37)*100/$I36</f>
        <v>0</v>
      </c>
      <c r="AN37" s="494"/>
      <c r="AO37" s="494"/>
      <c r="AP37" s="494"/>
      <c r="AQ37" s="494"/>
      <c r="AR37" s="494"/>
      <c r="AS37" s="494"/>
    </row>
    <row r="38" spans="2:45" ht="9" customHeight="1" x14ac:dyDescent="0.2">
      <c r="B38" s="741">
        <v>-2</v>
      </c>
      <c r="C38" s="719" t="s">
        <v>121</v>
      </c>
      <c r="D38" s="721" t="s">
        <v>6</v>
      </c>
      <c r="E38" s="723">
        <v>1</v>
      </c>
      <c r="F38" s="725">
        <f>แผนการก่อสร้าง!G43</f>
        <v>0</v>
      </c>
      <c r="G38" s="727">
        <f>แผนการก่อสร้าง!H43</f>
        <v>0</v>
      </c>
      <c r="H38" s="729">
        <v>262286</v>
      </c>
      <c r="I38" s="731">
        <v>262286</v>
      </c>
      <c r="J38" s="733">
        <v>0.10997538679848305</v>
      </c>
      <c r="L38" s="499"/>
      <c r="M38" s="499"/>
      <c r="O38" s="719" t="s">
        <v>121</v>
      </c>
      <c r="P38" s="504"/>
      <c r="Q38" s="504"/>
      <c r="R38" s="504"/>
      <c r="S38" s="504"/>
      <c r="T38" s="493"/>
      <c r="U38" s="504"/>
      <c r="V38" s="504"/>
      <c r="W38" s="504"/>
      <c r="X38" s="504"/>
      <c r="Y38" s="505"/>
      <c r="Z38" s="492"/>
      <c r="AA38" s="492"/>
      <c r="AB38" s="492"/>
      <c r="AC38" s="492"/>
      <c r="AD38" s="505"/>
      <c r="AE38" s="492"/>
      <c r="AF38" s="492"/>
      <c r="AG38" s="492"/>
      <c r="AH38" s="492"/>
      <c r="AI38" s="505"/>
      <c r="AJ38" s="492"/>
      <c r="AK38" s="492"/>
      <c r="AL38" s="492"/>
      <c r="AM38" s="492"/>
      <c r="AN38" s="493"/>
      <c r="AO38" s="492"/>
      <c r="AP38" s="492"/>
      <c r="AQ38" s="492"/>
      <c r="AR38" s="492"/>
      <c r="AS38" s="492"/>
    </row>
    <row r="39" spans="2:45" ht="9" customHeight="1" x14ac:dyDescent="0.2">
      <c r="B39" s="742"/>
      <c r="C39" s="720"/>
      <c r="D39" s="722"/>
      <c r="E39" s="746"/>
      <c r="F39" s="726"/>
      <c r="G39" s="728"/>
      <c r="H39" s="747"/>
      <c r="I39" s="732"/>
      <c r="J39" s="734"/>
      <c r="L39" s="503">
        <f>('ผลงานรายสัปดาห์(เงิน)'!L39)*100/$I38</f>
        <v>0</v>
      </c>
      <c r="M39" s="503">
        <f>('ผลงานรายสัปดาห์(เงิน)'!M39)*100/$I38</f>
        <v>0</v>
      </c>
      <c r="O39" s="720"/>
      <c r="P39" s="502">
        <f>('ผลงานรายสัปดาห์(เงิน)'!P39)*100/$I38</f>
        <v>0</v>
      </c>
      <c r="Q39" s="502">
        <f>('ผลงานรายสัปดาห์(เงิน)'!Q39)*100/$I38</f>
        <v>0</v>
      </c>
      <c r="R39" s="502">
        <f>('ผลงานรายสัปดาห์(เงิน)'!R39)*100/$I38</f>
        <v>0</v>
      </c>
      <c r="S39" s="502">
        <f>('ผลงานรายสัปดาห์(เงิน)'!S39)*100/$I38</f>
        <v>0</v>
      </c>
      <c r="T39" s="495">
        <f>SUM(P39:S39)</f>
        <v>0</v>
      </c>
      <c r="U39" s="502">
        <f>('ผลงานรายสัปดาห์(เงิน)'!U39)*100/$I38</f>
        <v>0</v>
      </c>
      <c r="V39" s="502">
        <f>('ผลงานรายสัปดาห์(เงิน)'!V39)*100/$I38</f>
        <v>0</v>
      </c>
      <c r="W39" s="502">
        <f>('ผลงานรายสัปดาห์(เงิน)'!W39)*100/$I38</f>
        <v>0</v>
      </c>
      <c r="X39" s="502">
        <f>('ผลงานรายสัปดาห์(เงิน)'!X39)*100/$I38</f>
        <v>0</v>
      </c>
      <c r="Y39" s="503">
        <f>SUM(U39:X39)</f>
        <v>0</v>
      </c>
      <c r="Z39" s="502">
        <f>('ผลงานรายสัปดาห์(เงิน)'!Z39)*100/$I38</f>
        <v>0</v>
      </c>
      <c r="AA39" s="502">
        <f>('ผลงานรายสัปดาห์(เงิน)'!AA39)*100/$I38</f>
        <v>0</v>
      </c>
      <c r="AB39" s="502">
        <f>('ผลงานรายสัปดาห์(เงิน)'!AB39)*100/$I38</f>
        <v>0</v>
      </c>
      <c r="AC39" s="502">
        <f>('ผลงานรายสัปดาห์(เงิน)'!AC39)*100/$I38</f>
        <v>0</v>
      </c>
      <c r="AD39" s="503">
        <f>SUM(Z39:AC39)</f>
        <v>0</v>
      </c>
      <c r="AE39" s="502">
        <f>('ผลงานรายสัปดาห์(เงิน)'!AE39)*100/$I38</f>
        <v>0</v>
      </c>
      <c r="AF39" s="502">
        <f>('ผลงานรายสัปดาห์(เงิน)'!AF39)*100/$I38</f>
        <v>0</v>
      </c>
      <c r="AG39" s="502">
        <f>('ผลงานรายสัปดาห์(เงิน)'!AG39)*100/$I38</f>
        <v>0</v>
      </c>
      <c r="AH39" s="502">
        <f>('ผลงานรายสัปดาห์(เงิน)'!AH39)*100/$I38</f>
        <v>0</v>
      </c>
      <c r="AI39" s="503">
        <f>SUM(AE39:AH39)</f>
        <v>0</v>
      </c>
      <c r="AJ39" s="502">
        <f>('ผลงานรายสัปดาห์(เงิน)'!AJ39)*100/$I38</f>
        <v>0</v>
      </c>
      <c r="AK39" s="502">
        <f>('ผลงานรายสัปดาห์(เงิน)'!AK39)*100/$I38</f>
        <v>0</v>
      </c>
      <c r="AL39" s="502">
        <f>('ผลงานรายสัปดาห์(เงิน)'!AL39)*100/$I38</f>
        <v>0</v>
      </c>
      <c r="AM39" s="502">
        <f>('ผลงานรายสัปดาห์(เงิน)'!AM39)*100/$I38</f>
        <v>0</v>
      </c>
      <c r="AN39" s="494"/>
      <c r="AO39" s="494"/>
      <c r="AP39" s="494"/>
      <c r="AQ39" s="494"/>
      <c r="AR39" s="494"/>
      <c r="AS39" s="494"/>
    </row>
    <row r="40" spans="2:45" ht="9" customHeight="1" x14ac:dyDescent="0.2">
      <c r="B40" s="717">
        <v>1.5</v>
      </c>
      <c r="C40" s="719" t="s">
        <v>119</v>
      </c>
      <c r="D40" s="721" t="s">
        <v>6</v>
      </c>
      <c r="E40" s="723">
        <v>1</v>
      </c>
      <c r="F40" s="725">
        <f>แผนการก่อสร้าง!G45</f>
        <v>0</v>
      </c>
      <c r="G40" s="727">
        <f>แผนการก่อสร้าง!H45</f>
        <v>54.391000000000005</v>
      </c>
      <c r="H40" s="729">
        <v>3175884</v>
      </c>
      <c r="I40" s="731">
        <v>3175884</v>
      </c>
      <c r="J40" s="733">
        <v>1.3316344422771842</v>
      </c>
      <c r="L40" s="499"/>
      <c r="M40" s="499"/>
      <c r="O40" s="719" t="s">
        <v>119</v>
      </c>
      <c r="P40" s="504"/>
      <c r="Q40" s="504"/>
      <c r="R40" s="504"/>
      <c r="S40" s="504"/>
      <c r="T40" s="493"/>
      <c r="U40" s="504"/>
      <c r="V40" s="504"/>
      <c r="W40" s="504"/>
      <c r="X40" s="504"/>
      <c r="Y40" s="505"/>
      <c r="Z40" s="492"/>
      <c r="AA40" s="492"/>
      <c r="AB40" s="492"/>
      <c r="AC40" s="492"/>
      <c r="AD40" s="505"/>
      <c r="AE40" s="492"/>
      <c r="AF40" s="492"/>
      <c r="AG40" s="492"/>
      <c r="AH40" s="492"/>
      <c r="AI40" s="505"/>
      <c r="AJ40" s="492"/>
      <c r="AK40" s="492"/>
      <c r="AL40" s="492"/>
      <c r="AM40" s="492"/>
      <c r="AN40" s="493"/>
      <c r="AO40" s="492"/>
      <c r="AP40" s="492"/>
      <c r="AQ40" s="492"/>
      <c r="AR40" s="492"/>
      <c r="AS40" s="492"/>
    </row>
    <row r="41" spans="2:45" ht="9" customHeight="1" x14ac:dyDescent="0.2">
      <c r="B41" s="718"/>
      <c r="C41" s="720"/>
      <c r="D41" s="722"/>
      <c r="E41" s="724"/>
      <c r="F41" s="748"/>
      <c r="G41" s="749"/>
      <c r="H41" s="747"/>
      <c r="I41" s="732"/>
      <c r="J41" s="734"/>
      <c r="L41" s="503">
        <f>('ผลงานรายสัปดาห์(เงิน)'!L41)*100/$I40</f>
        <v>54.39096642068791</v>
      </c>
      <c r="M41" s="503">
        <f>('ผลงานรายสัปดาห์(เงิน)'!M41)*100/$I40</f>
        <v>54.39096642068791</v>
      </c>
      <c r="O41" s="720"/>
      <c r="P41" s="502">
        <f>('ผลงานรายสัปดาห์(เงิน)'!P41)*100/$I40</f>
        <v>0</v>
      </c>
      <c r="Q41" s="502">
        <f>('ผลงานรายสัปดาห์(เงิน)'!Q41)*100/$I40</f>
        <v>0</v>
      </c>
      <c r="R41" s="502">
        <f>('ผลงานรายสัปดาห์(เงิน)'!R41)*100/$I40</f>
        <v>0</v>
      </c>
      <c r="S41" s="502">
        <f>('ผลงานรายสัปดาห์(เงิน)'!S41)*100/$I40</f>
        <v>0.54769002898090735</v>
      </c>
      <c r="T41" s="495">
        <f>SUM(P41:S41)</f>
        <v>0.54769002898090735</v>
      </c>
      <c r="U41" s="502">
        <f>('ผลงานรายสัปดาห์(เงิน)'!U41)*100/$I40</f>
        <v>0</v>
      </c>
      <c r="V41" s="502">
        <f>('ผลงานรายสัปดาห์(เงิน)'!V41)*100/$I40</f>
        <v>0</v>
      </c>
      <c r="W41" s="502">
        <f>('ผลงานรายสัปดาห์(เงิน)'!W41)*100/$I40</f>
        <v>17.003139913170632</v>
      </c>
      <c r="X41" s="502">
        <f>('ผลงานรายสัปดาห์(เงิน)'!X41)*100/$I40</f>
        <v>0</v>
      </c>
      <c r="Y41" s="503">
        <f>SUM(U41:X41)</f>
        <v>17.003139913170632</v>
      </c>
      <c r="Z41" s="502">
        <f>('ผลงานรายสัปดาห์(เงิน)'!Z41)*100/$I40</f>
        <v>0</v>
      </c>
      <c r="AA41" s="502">
        <f>('ผลงานรายสัปดาห์(เงิน)'!AA41)*100/$I40</f>
        <v>0</v>
      </c>
      <c r="AB41" s="502">
        <f>('ผลงานรายสัปดาห์(เงิน)'!AB41)*100/$I40</f>
        <v>0</v>
      </c>
      <c r="AC41" s="502">
        <f>('ผลงานรายสัปดาห์(เงิน)'!AC41)*100/$I40</f>
        <v>36.840136478536373</v>
      </c>
      <c r="AD41" s="503">
        <f>SUM(Z41:AC41)</f>
        <v>36.840136478536373</v>
      </c>
      <c r="AE41" s="502">
        <f>('ผลงานรายสัปดาห์(เงิน)'!AE41)*100/$I40</f>
        <v>0</v>
      </c>
      <c r="AF41" s="502">
        <f>('ผลงานรายสัปดาห์(เงิน)'!AF41)*100/$I40</f>
        <v>0</v>
      </c>
      <c r="AG41" s="502">
        <f>('ผลงานรายสัปดาห์(เงิน)'!AG41)*100/$I40</f>
        <v>0</v>
      </c>
      <c r="AH41" s="502">
        <f>('ผลงานรายสัปดาห์(เงิน)'!AH41)*100/$I40</f>
        <v>0</v>
      </c>
      <c r="AI41" s="503">
        <f>SUM(AE41:AH41)</f>
        <v>0</v>
      </c>
      <c r="AJ41" s="502">
        <f>('ผลงานรายสัปดาห์(เงิน)'!AJ41)*100/$I40</f>
        <v>0</v>
      </c>
      <c r="AK41" s="502">
        <f>('ผลงานรายสัปดาห์(เงิน)'!AK41)*100/$I40</f>
        <v>0</v>
      </c>
      <c r="AL41" s="502">
        <f>('ผลงานรายสัปดาห์(เงิน)'!AL41)*100/$I40</f>
        <v>0</v>
      </c>
      <c r="AM41" s="502">
        <f>('ผลงานรายสัปดาห์(เงิน)'!AM41)*100/$I40</f>
        <v>0</v>
      </c>
      <c r="AN41" s="494"/>
      <c r="AO41" s="494"/>
      <c r="AP41" s="494"/>
      <c r="AQ41" s="494"/>
      <c r="AR41" s="494"/>
      <c r="AS41" s="494"/>
    </row>
    <row r="42" spans="2:45" ht="9" customHeight="1" x14ac:dyDescent="0.2">
      <c r="B42" s="741">
        <v>-1</v>
      </c>
      <c r="C42" s="719" t="s">
        <v>35</v>
      </c>
      <c r="D42" s="721" t="s">
        <v>6</v>
      </c>
      <c r="E42" s="723">
        <v>1</v>
      </c>
      <c r="F42" s="750">
        <f>แผนการก่อสร้าง!G47</f>
        <v>0</v>
      </c>
      <c r="G42" s="751">
        <f>แผนการก่อสร้าง!H47</f>
        <v>0</v>
      </c>
      <c r="H42" s="729">
        <v>358105</v>
      </c>
      <c r="I42" s="731">
        <v>358105</v>
      </c>
      <c r="J42" s="733">
        <v>0.15015187958743803</v>
      </c>
      <c r="L42" s="499"/>
      <c r="M42" s="499"/>
      <c r="O42" s="719" t="s">
        <v>35</v>
      </c>
      <c r="P42" s="504"/>
      <c r="Q42" s="504"/>
      <c r="R42" s="504"/>
      <c r="S42" s="504"/>
      <c r="T42" s="493"/>
      <c r="U42" s="504"/>
      <c r="V42" s="504"/>
      <c r="W42" s="504"/>
      <c r="X42" s="504"/>
      <c r="Y42" s="505"/>
      <c r="Z42" s="492"/>
      <c r="AA42" s="492"/>
      <c r="AB42" s="492"/>
      <c r="AC42" s="492"/>
      <c r="AD42" s="505"/>
      <c r="AE42" s="492"/>
      <c r="AF42" s="492"/>
      <c r="AG42" s="492"/>
      <c r="AH42" s="492"/>
      <c r="AI42" s="505"/>
      <c r="AJ42" s="492"/>
      <c r="AK42" s="492"/>
      <c r="AL42" s="492"/>
      <c r="AM42" s="492"/>
      <c r="AN42" s="493"/>
      <c r="AO42" s="492"/>
      <c r="AP42" s="492"/>
      <c r="AQ42" s="492"/>
      <c r="AR42" s="492"/>
      <c r="AS42" s="492"/>
    </row>
    <row r="43" spans="2:45" ht="9" customHeight="1" x14ac:dyDescent="0.2">
      <c r="B43" s="742"/>
      <c r="C43" s="720"/>
      <c r="D43" s="722"/>
      <c r="E43" s="724"/>
      <c r="F43" s="726"/>
      <c r="G43" s="728"/>
      <c r="H43" s="747"/>
      <c r="I43" s="732"/>
      <c r="J43" s="734"/>
      <c r="L43" s="503">
        <f>('ผลงานรายสัปดาห์(เงิน)'!L43)*100/$I42</f>
        <v>0</v>
      </c>
      <c r="M43" s="503">
        <f>('ผลงานรายสัปดาห์(เงิน)'!M43)*100/$I42</f>
        <v>0</v>
      </c>
      <c r="O43" s="720"/>
      <c r="P43" s="502">
        <f>('ผลงานรายสัปดาห์(เงิน)'!P43)*100/$I42</f>
        <v>0</v>
      </c>
      <c r="Q43" s="502">
        <f>('ผลงานรายสัปดาห์(เงิน)'!Q43)*100/$I42</f>
        <v>0</v>
      </c>
      <c r="R43" s="502">
        <f>('ผลงานรายสัปดาห์(เงิน)'!R43)*100/$I42</f>
        <v>0</v>
      </c>
      <c r="S43" s="502">
        <f>('ผลงานรายสัปดาห์(เงิน)'!S43)*100/$I42</f>
        <v>0</v>
      </c>
      <c r="T43" s="495">
        <f>SUM(P43:S43)</f>
        <v>0</v>
      </c>
      <c r="U43" s="502">
        <f>('ผลงานรายสัปดาห์(เงิน)'!U43)*100/$I42</f>
        <v>0</v>
      </c>
      <c r="V43" s="502">
        <f>('ผลงานรายสัปดาห์(เงิน)'!V43)*100/$I42</f>
        <v>0</v>
      </c>
      <c r="W43" s="502">
        <f>('ผลงานรายสัปดาห์(เงิน)'!W43)*100/$I42</f>
        <v>0</v>
      </c>
      <c r="X43" s="502">
        <f>('ผลงานรายสัปดาห์(เงิน)'!X43)*100/$I42</f>
        <v>0</v>
      </c>
      <c r="Y43" s="503">
        <f>SUM(U43:X43)</f>
        <v>0</v>
      </c>
      <c r="Z43" s="502">
        <f>('ผลงานรายสัปดาห์(เงิน)'!Z43)*100/$I42</f>
        <v>0</v>
      </c>
      <c r="AA43" s="502">
        <f>('ผลงานรายสัปดาห์(เงิน)'!AA43)*100/$I42</f>
        <v>0</v>
      </c>
      <c r="AB43" s="502">
        <f>('ผลงานรายสัปดาห์(เงิน)'!AB43)*100/$I42</f>
        <v>0</v>
      </c>
      <c r="AC43" s="502">
        <f>('ผลงานรายสัปดาห์(เงิน)'!AC43)*100/$I42</f>
        <v>0</v>
      </c>
      <c r="AD43" s="503">
        <f>SUM(Z43:AC43)</f>
        <v>0</v>
      </c>
      <c r="AE43" s="502">
        <f>('ผลงานรายสัปดาห์(เงิน)'!AE43)*100/$I42</f>
        <v>0</v>
      </c>
      <c r="AF43" s="502">
        <f>('ผลงานรายสัปดาห์(เงิน)'!AF43)*100/$I42</f>
        <v>0</v>
      </c>
      <c r="AG43" s="502">
        <f>('ผลงานรายสัปดาห์(เงิน)'!AG43)*100/$I42</f>
        <v>0</v>
      </c>
      <c r="AH43" s="502">
        <f>('ผลงานรายสัปดาห์(เงิน)'!AH43)*100/$I42</f>
        <v>0</v>
      </c>
      <c r="AI43" s="503">
        <f>SUM(AE43:AH43)</f>
        <v>0</v>
      </c>
      <c r="AJ43" s="502">
        <f>('ผลงานรายสัปดาห์(เงิน)'!AJ43)*100/$I42</f>
        <v>0</v>
      </c>
      <c r="AK43" s="502">
        <f>('ผลงานรายสัปดาห์(เงิน)'!AK43)*100/$I42</f>
        <v>0</v>
      </c>
      <c r="AL43" s="502">
        <f>('ผลงานรายสัปดาห์(เงิน)'!AL43)*100/$I42</f>
        <v>0</v>
      </c>
      <c r="AM43" s="502">
        <f>('ผลงานรายสัปดาห์(เงิน)'!AM43)*100/$I42</f>
        <v>0</v>
      </c>
      <c r="AN43" s="494"/>
      <c r="AO43" s="494"/>
      <c r="AP43" s="494"/>
      <c r="AQ43" s="494"/>
      <c r="AR43" s="494"/>
      <c r="AS43" s="494"/>
    </row>
    <row r="44" spans="2:45" ht="9" customHeight="1" x14ac:dyDescent="0.2">
      <c r="B44" s="741">
        <v>-2</v>
      </c>
      <c r="C44" s="719" t="s">
        <v>121</v>
      </c>
      <c r="D44" s="721" t="s">
        <v>6</v>
      </c>
      <c r="E44" s="723">
        <v>1</v>
      </c>
      <c r="F44" s="725">
        <f>แผนการก่อสร้าง!G49</f>
        <v>0</v>
      </c>
      <c r="G44" s="727">
        <f>แผนการก่อสร้าง!H49</f>
        <v>0</v>
      </c>
      <c r="H44" s="729">
        <v>295042</v>
      </c>
      <c r="I44" s="731">
        <v>295042</v>
      </c>
      <c r="J44" s="733">
        <v>0.12370983610180504</v>
      </c>
      <c r="L44" s="499"/>
      <c r="M44" s="499"/>
      <c r="O44" s="719" t="s">
        <v>121</v>
      </c>
      <c r="P44" s="504"/>
      <c r="Q44" s="504"/>
      <c r="R44" s="504"/>
      <c r="S44" s="504"/>
      <c r="T44" s="493"/>
      <c r="U44" s="504"/>
      <c r="V44" s="504"/>
      <c r="W44" s="504"/>
      <c r="X44" s="504"/>
      <c r="Y44" s="505"/>
      <c r="Z44" s="492"/>
      <c r="AA44" s="492"/>
      <c r="AB44" s="492"/>
      <c r="AC44" s="492"/>
      <c r="AD44" s="505"/>
      <c r="AE44" s="492"/>
      <c r="AF44" s="492"/>
      <c r="AG44" s="492"/>
      <c r="AH44" s="492"/>
      <c r="AI44" s="505"/>
      <c r="AJ44" s="492"/>
      <c r="AK44" s="492"/>
      <c r="AL44" s="492"/>
      <c r="AM44" s="492"/>
      <c r="AN44" s="493"/>
      <c r="AO44" s="492"/>
      <c r="AP44" s="492"/>
      <c r="AQ44" s="492"/>
      <c r="AR44" s="492"/>
      <c r="AS44" s="492"/>
    </row>
    <row r="45" spans="2:45" ht="9" customHeight="1" x14ac:dyDescent="0.2">
      <c r="B45" s="742"/>
      <c r="C45" s="720"/>
      <c r="D45" s="722"/>
      <c r="E45" s="724"/>
      <c r="F45" s="726"/>
      <c r="G45" s="728"/>
      <c r="H45" s="747"/>
      <c r="I45" s="732"/>
      <c r="J45" s="734"/>
      <c r="L45" s="503">
        <f>('ผลงานรายสัปดาห์(เงิน)'!L45)*100/$I44</f>
        <v>0</v>
      </c>
      <c r="M45" s="503">
        <f>('ผลงานรายสัปดาห์(เงิน)'!M45)*100/$I44</f>
        <v>0</v>
      </c>
      <c r="O45" s="720"/>
      <c r="P45" s="502">
        <f>('ผลงานรายสัปดาห์(เงิน)'!P45)*100/$I44</f>
        <v>0</v>
      </c>
      <c r="Q45" s="502">
        <f>('ผลงานรายสัปดาห์(เงิน)'!Q45)*100/$I44</f>
        <v>0</v>
      </c>
      <c r="R45" s="502">
        <f>('ผลงานรายสัปดาห์(เงิน)'!R45)*100/$I44</f>
        <v>0</v>
      </c>
      <c r="S45" s="502">
        <f>('ผลงานรายสัปดาห์(เงิน)'!S45)*100/$I44</f>
        <v>0</v>
      </c>
      <c r="T45" s="495">
        <f>SUM(P45:S45)</f>
        <v>0</v>
      </c>
      <c r="U45" s="502">
        <f>('ผลงานรายสัปดาห์(เงิน)'!U45)*100/$I44</f>
        <v>0</v>
      </c>
      <c r="V45" s="502">
        <f>('ผลงานรายสัปดาห์(เงิน)'!V45)*100/$I44</f>
        <v>0</v>
      </c>
      <c r="W45" s="502">
        <f>('ผลงานรายสัปดาห์(เงิน)'!W45)*100/$I44</f>
        <v>0</v>
      </c>
      <c r="X45" s="502">
        <f>('ผลงานรายสัปดาห์(เงิน)'!X45)*100/$I44</f>
        <v>0</v>
      </c>
      <c r="Y45" s="503">
        <f>SUM(U45:X45)</f>
        <v>0</v>
      </c>
      <c r="Z45" s="502">
        <f>('ผลงานรายสัปดาห์(เงิน)'!Z45)*100/$I44</f>
        <v>0</v>
      </c>
      <c r="AA45" s="502">
        <f>('ผลงานรายสัปดาห์(เงิน)'!AA45)*100/$I44</f>
        <v>0</v>
      </c>
      <c r="AB45" s="502">
        <f>('ผลงานรายสัปดาห์(เงิน)'!AB45)*100/$I44</f>
        <v>0</v>
      </c>
      <c r="AC45" s="502">
        <f>('ผลงานรายสัปดาห์(เงิน)'!AC45)*100/$I44</f>
        <v>0</v>
      </c>
      <c r="AD45" s="503">
        <f>SUM(Z45:AC45)</f>
        <v>0</v>
      </c>
      <c r="AE45" s="502">
        <f>('ผลงานรายสัปดาห์(เงิน)'!AE45)*100/$I44</f>
        <v>0</v>
      </c>
      <c r="AF45" s="502">
        <f>('ผลงานรายสัปดาห์(เงิน)'!AF45)*100/$I44</f>
        <v>0</v>
      </c>
      <c r="AG45" s="502">
        <f>('ผลงานรายสัปดาห์(เงิน)'!AG45)*100/$I44</f>
        <v>0</v>
      </c>
      <c r="AH45" s="502">
        <f>('ผลงานรายสัปดาห์(เงิน)'!AH45)*100/$I44</f>
        <v>0</v>
      </c>
      <c r="AI45" s="503">
        <f>SUM(AE45:AH45)</f>
        <v>0</v>
      </c>
      <c r="AJ45" s="502">
        <f>('ผลงานรายสัปดาห์(เงิน)'!AJ45)*100/$I44</f>
        <v>0</v>
      </c>
      <c r="AK45" s="502">
        <f>('ผลงานรายสัปดาห์(เงิน)'!AK45)*100/$I44</f>
        <v>0</v>
      </c>
      <c r="AL45" s="502">
        <f>('ผลงานรายสัปดาห์(เงิน)'!AL45)*100/$I44</f>
        <v>0</v>
      </c>
      <c r="AM45" s="502">
        <f>('ผลงานรายสัปดาห์(เงิน)'!AM45)*100/$I44</f>
        <v>0</v>
      </c>
      <c r="AN45" s="494"/>
      <c r="AO45" s="494"/>
      <c r="AP45" s="494"/>
      <c r="AQ45" s="494"/>
      <c r="AR45" s="494"/>
      <c r="AS45" s="494"/>
    </row>
    <row r="46" spans="2:45" ht="9" customHeight="1" x14ac:dyDescent="0.2">
      <c r="B46" s="717">
        <v>1.6</v>
      </c>
      <c r="C46" s="719" t="s">
        <v>120</v>
      </c>
      <c r="D46" s="721" t="s">
        <v>6</v>
      </c>
      <c r="E46" s="723">
        <v>1</v>
      </c>
      <c r="F46" s="725">
        <f>แผนการก่อสร้าง!G51</f>
        <v>0</v>
      </c>
      <c r="G46" s="727">
        <f>แผนการก่อสร้าง!H51</f>
        <v>82.375</v>
      </c>
      <c r="H46" s="729">
        <v>3323085</v>
      </c>
      <c r="I46" s="731">
        <v>3323085</v>
      </c>
      <c r="J46" s="733">
        <v>1.3933551857103965</v>
      </c>
      <c r="L46" s="499"/>
      <c r="M46" s="499"/>
      <c r="O46" s="719" t="s">
        <v>120</v>
      </c>
      <c r="P46" s="504"/>
      <c r="Q46" s="504"/>
      <c r="R46" s="504"/>
      <c r="S46" s="504"/>
      <c r="T46" s="493"/>
      <c r="U46" s="504"/>
      <c r="V46" s="504"/>
      <c r="W46" s="504"/>
      <c r="X46" s="504"/>
      <c r="Y46" s="505"/>
      <c r="Z46" s="492"/>
      <c r="AA46" s="492"/>
      <c r="AB46" s="492"/>
      <c r="AC46" s="492"/>
      <c r="AD46" s="505"/>
      <c r="AE46" s="492"/>
      <c r="AF46" s="492"/>
      <c r="AG46" s="492"/>
      <c r="AH46" s="492"/>
      <c r="AI46" s="505"/>
      <c r="AJ46" s="492"/>
      <c r="AK46" s="492"/>
      <c r="AL46" s="492"/>
      <c r="AM46" s="492"/>
      <c r="AN46" s="493"/>
      <c r="AO46" s="492"/>
      <c r="AP46" s="492"/>
      <c r="AQ46" s="492"/>
      <c r="AR46" s="492"/>
      <c r="AS46" s="492"/>
    </row>
    <row r="47" spans="2:45" ht="9" customHeight="1" x14ac:dyDescent="0.2">
      <c r="B47" s="718"/>
      <c r="C47" s="720"/>
      <c r="D47" s="722"/>
      <c r="E47" s="746"/>
      <c r="F47" s="726"/>
      <c r="G47" s="728"/>
      <c r="H47" s="747"/>
      <c r="I47" s="732"/>
      <c r="J47" s="734"/>
      <c r="L47" s="503">
        <f>('ผลงานรายสัปดาห์(เงิน)'!L47)*100/$I46</f>
        <v>82.375082190193751</v>
      </c>
      <c r="M47" s="503">
        <f>('ผลงานรายสัปดาห์(เงิน)'!M47)*100/$I46</f>
        <v>82.375082190193751</v>
      </c>
      <c r="O47" s="720"/>
      <c r="P47" s="502">
        <f>('ผลงานรายสัปดาห์(เงิน)'!P47)*100/$I46</f>
        <v>0</v>
      </c>
      <c r="Q47" s="502">
        <f>('ผลงานรายสัปดาห์(เงิน)'!Q47)*100/$I46</f>
        <v>0</v>
      </c>
      <c r="R47" s="502">
        <f>('ผลงานรายสัปดาห์(เงิน)'!R47)*100/$I46</f>
        <v>0</v>
      </c>
      <c r="S47" s="502">
        <f>('ผลงานรายสัปดาห์(เงิน)'!S47)*100/$I46</f>
        <v>0.52342928333160299</v>
      </c>
      <c r="T47" s="495">
        <f>SUM(P47:S47)</f>
        <v>0.52342928333160299</v>
      </c>
      <c r="U47" s="502">
        <f>('ผลงานรายสัปดาห์(เงิน)'!U47)*100/$I46</f>
        <v>0</v>
      </c>
      <c r="V47" s="502">
        <f>('ผลงานรายสัปดาห์(เงิน)'!V47)*100/$I46</f>
        <v>0</v>
      </c>
      <c r="W47" s="502">
        <f>('ผลงานรายสัปดาห์(เงิน)'!W47)*100/$I46</f>
        <v>40.925826453431071</v>
      </c>
      <c r="X47" s="502">
        <f>('ผลงานรายสัปดาห์(เงิน)'!X47)*100/$I46</f>
        <v>0</v>
      </c>
      <c r="Y47" s="503">
        <f>SUM(U47:X47)</f>
        <v>40.925826453431071</v>
      </c>
      <c r="Z47" s="502">
        <f>('ผลงานรายสัปดาห์(เงิน)'!Z47)*100/$I46</f>
        <v>0</v>
      </c>
      <c r="AA47" s="502">
        <f>('ผลงานรายสัปดาห์(เงิน)'!AA47)*100/$I46</f>
        <v>0</v>
      </c>
      <c r="AB47" s="502">
        <f>('ผลงานรายสัปดาห์(เงิน)'!AB47)*100/$I46</f>
        <v>0</v>
      </c>
      <c r="AC47" s="502">
        <f>('ผลงานรายสัปดาห์(เงิน)'!AC47)*100/$I46</f>
        <v>40.925826453431071</v>
      </c>
      <c r="AD47" s="503">
        <f>SUM(Z47:AC47)</f>
        <v>40.925826453431071</v>
      </c>
      <c r="AE47" s="502">
        <f>('ผลงานรายสัปดาห์(เงิน)'!AE47)*100/$I46</f>
        <v>0</v>
      </c>
      <c r="AF47" s="502">
        <f>('ผลงานรายสัปดาห์(เงิน)'!AF47)*100/$I46</f>
        <v>0</v>
      </c>
      <c r="AG47" s="502">
        <f>('ผลงานรายสัปดาห์(เงิน)'!AG47)*100/$I46</f>
        <v>0</v>
      </c>
      <c r="AH47" s="502">
        <f>('ผลงานรายสัปดาห์(เงิน)'!AH47)*100/$I46</f>
        <v>0</v>
      </c>
      <c r="AI47" s="503">
        <f>SUM(AE47:AH47)</f>
        <v>0</v>
      </c>
      <c r="AJ47" s="502">
        <f>('ผลงานรายสัปดาห์(เงิน)'!AJ47)*100/$I46</f>
        <v>0</v>
      </c>
      <c r="AK47" s="502">
        <f>('ผลงานรายสัปดาห์(เงิน)'!AK47)*100/$I46</f>
        <v>0</v>
      </c>
      <c r="AL47" s="502">
        <f>('ผลงานรายสัปดาห์(เงิน)'!AL47)*100/$I46</f>
        <v>0</v>
      </c>
      <c r="AM47" s="502">
        <f>('ผลงานรายสัปดาห์(เงิน)'!AM47)*100/$I46</f>
        <v>0</v>
      </c>
      <c r="AN47" s="494"/>
      <c r="AO47" s="494"/>
      <c r="AP47" s="494"/>
      <c r="AQ47" s="494"/>
      <c r="AR47" s="494"/>
      <c r="AS47" s="494"/>
    </row>
    <row r="48" spans="2:45" ht="9" customHeight="1" x14ac:dyDescent="0.2">
      <c r="B48" s="741">
        <v>-1</v>
      </c>
      <c r="C48" s="719" t="s">
        <v>35</v>
      </c>
      <c r="D48" s="721" t="s">
        <v>6</v>
      </c>
      <c r="E48" s="723">
        <v>1</v>
      </c>
      <c r="F48" s="725">
        <f>แผนการก่อสร้าง!G53</f>
        <v>0</v>
      </c>
      <c r="G48" s="727">
        <f>แผนการก่อสร้าง!H53</f>
        <v>0</v>
      </c>
      <c r="H48" s="729">
        <v>358105</v>
      </c>
      <c r="I48" s="731">
        <v>358105</v>
      </c>
      <c r="J48" s="733">
        <v>0.15015187958743803</v>
      </c>
      <c r="L48" s="499"/>
      <c r="M48" s="499"/>
      <c r="O48" s="719" t="s">
        <v>35</v>
      </c>
      <c r="P48" s="504"/>
      <c r="Q48" s="504"/>
      <c r="R48" s="504"/>
      <c r="S48" s="504"/>
      <c r="T48" s="493"/>
      <c r="U48" s="504"/>
      <c r="V48" s="504"/>
      <c r="W48" s="504"/>
      <c r="X48" s="504"/>
      <c r="Y48" s="505"/>
      <c r="Z48" s="492"/>
      <c r="AA48" s="492"/>
      <c r="AB48" s="492"/>
      <c r="AC48" s="492"/>
      <c r="AD48" s="505"/>
      <c r="AE48" s="492"/>
      <c r="AF48" s="492"/>
      <c r="AG48" s="492"/>
      <c r="AH48" s="492"/>
      <c r="AI48" s="505"/>
      <c r="AJ48" s="492"/>
      <c r="AK48" s="492"/>
      <c r="AL48" s="492"/>
      <c r="AM48" s="492"/>
      <c r="AN48" s="493"/>
      <c r="AO48" s="492"/>
      <c r="AP48" s="492"/>
      <c r="AQ48" s="492"/>
      <c r="AR48" s="492"/>
      <c r="AS48" s="492"/>
    </row>
    <row r="49" spans="2:45" ht="9" customHeight="1" x14ac:dyDescent="0.2">
      <c r="B49" s="742"/>
      <c r="C49" s="720"/>
      <c r="D49" s="722"/>
      <c r="E49" s="724"/>
      <c r="F49" s="748"/>
      <c r="G49" s="749"/>
      <c r="H49" s="747"/>
      <c r="I49" s="732"/>
      <c r="J49" s="734"/>
      <c r="L49" s="503">
        <f>('ผลงานรายสัปดาห์(เงิน)'!L49)*100/$I48</f>
        <v>0</v>
      </c>
      <c r="M49" s="503">
        <f>('ผลงานรายสัปดาห์(เงิน)'!M49)*100/$I48</f>
        <v>0</v>
      </c>
      <c r="O49" s="720"/>
      <c r="P49" s="502">
        <f>('ผลงานรายสัปดาห์(เงิน)'!P49)*100/$I48</f>
        <v>0</v>
      </c>
      <c r="Q49" s="502">
        <f>('ผลงานรายสัปดาห์(เงิน)'!Q49)*100/$I48</f>
        <v>0</v>
      </c>
      <c r="R49" s="502">
        <f>('ผลงานรายสัปดาห์(เงิน)'!R49)*100/$I48</f>
        <v>0</v>
      </c>
      <c r="S49" s="502">
        <f>('ผลงานรายสัปดาห์(เงิน)'!S49)*100/$I48</f>
        <v>0</v>
      </c>
      <c r="T49" s="495">
        <f>SUM(P49:S49)</f>
        <v>0</v>
      </c>
      <c r="U49" s="502">
        <f>('ผลงานรายสัปดาห์(เงิน)'!U49)*100/$I48</f>
        <v>0</v>
      </c>
      <c r="V49" s="502">
        <f>('ผลงานรายสัปดาห์(เงิน)'!V49)*100/$I48</f>
        <v>0</v>
      </c>
      <c r="W49" s="502">
        <f>('ผลงานรายสัปดาห์(เงิน)'!W49)*100/$I48</f>
        <v>0</v>
      </c>
      <c r="X49" s="502">
        <f>('ผลงานรายสัปดาห์(เงิน)'!X49)*100/$I48</f>
        <v>0</v>
      </c>
      <c r="Y49" s="503">
        <f>SUM(U49:X49)</f>
        <v>0</v>
      </c>
      <c r="Z49" s="502">
        <f>('ผลงานรายสัปดาห์(เงิน)'!Z49)*100/$I48</f>
        <v>0</v>
      </c>
      <c r="AA49" s="502">
        <f>('ผลงานรายสัปดาห์(เงิน)'!AA49)*100/$I48</f>
        <v>0</v>
      </c>
      <c r="AB49" s="502">
        <f>('ผลงานรายสัปดาห์(เงิน)'!AB49)*100/$I48</f>
        <v>0</v>
      </c>
      <c r="AC49" s="502">
        <f>('ผลงานรายสัปดาห์(เงิน)'!AC49)*100/$I48</f>
        <v>0</v>
      </c>
      <c r="AD49" s="503">
        <f>SUM(Z49:AC49)</f>
        <v>0</v>
      </c>
      <c r="AE49" s="502">
        <f>('ผลงานรายสัปดาห์(เงิน)'!AE49)*100/$I48</f>
        <v>0</v>
      </c>
      <c r="AF49" s="502">
        <f>('ผลงานรายสัปดาห์(เงิน)'!AF49)*100/$I48</f>
        <v>0</v>
      </c>
      <c r="AG49" s="502">
        <f>('ผลงานรายสัปดาห์(เงิน)'!AG49)*100/$I48</f>
        <v>0</v>
      </c>
      <c r="AH49" s="502">
        <f>('ผลงานรายสัปดาห์(เงิน)'!AH49)*100/$I48</f>
        <v>0</v>
      </c>
      <c r="AI49" s="503">
        <f>SUM(AE49:AH49)</f>
        <v>0</v>
      </c>
      <c r="AJ49" s="502">
        <f>('ผลงานรายสัปดาห์(เงิน)'!AJ49)*100/$I48</f>
        <v>0</v>
      </c>
      <c r="AK49" s="502">
        <f>('ผลงานรายสัปดาห์(เงิน)'!AK49)*100/$I48</f>
        <v>0</v>
      </c>
      <c r="AL49" s="502">
        <f>('ผลงานรายสัปดาห์(เงิน)'!AL49)*100/$I48</f>
        <v>0</v>
      </c>
      <c r="AM49" s="502">
        <f>('ผลงานรายสัปดาห์(เงิน)'!AM49)*100/$I48</f>
        <v>0</v>
      </c>
      <c r="AN49" s="494"/>
      <c r="AO49" s="494"/>
      <c r="AP49" s="494"/>
      <c r="AQ49" s="494"/>
      <c r="AR49" s="494"/>
      <c r="AS49" s="494"/>
    </row>
    <row r="50" spans="2:45" ht="9" customHeight="1" x14ac:dyDescent="0.2">
      <c r="B50" s="741">
        <v>-2</v>
      </c>
      <c r="C50" s="719" t="s">
        <v>121</v>
      </c>
      <c r="D50" s="721" t="s">
        <v>6</v>
      </c>
      <c r="E50" s="723">
        <v>1</v>
      </c>
      <c r="F50" s="750">
        <f>แผนการก่อสร้าง!G55</f>
        <v>0</v>
      </c>
      <c r="G50" s="751">
        <f>แผนการก่อสร้าง!H55</f>
        <v>0</v>
      </c>
      <c r="H50" s="729">
        <v>295042</v>
      </c>
      <c r="I50" s="731">
        <v>295042</v>
      </c>
      <c r="J50" s="733">
        <v>0.12370983610180504</v>
      </c>
      <c r="L50" s="499"/>
      <c r="M50" s="499"/>
      <c r="O50" s="719" t="s">
        <v>121</v>
      </c>
      <c r="P50" s="504"/>
      <c r="Q50" s="504"/>
      <c r="R50" s="504"/>
      <c r="S50" s="504"/>
      <c r="T50" s="493"/>
      <c r="U50" s="504"/>
      <c r="V50" s="504"/>
      <c r="W50" s="504"/>
      <c r="X50" s="504"/>
      <c r="Y50" s="505"/>
      <c r="Z50" s="492"/>
      <c r="AA50" s="492"/>
      <c r="AB50" s="492"/>
      <c r="AC50" s="492"/>
      <c r="AD50" s="505"/>
      <c r="AE50" s="492"/>
      <c r="AF50" s="492"/>
      <c r="AG50" s="492"/>
      <c r="AH50" s="492"/>
      <c r="AI50" s="505"/>
      <c r="AJ50" s="492"/>
      <c r="AK50" s="492"/>
      <c r="AL50" s="492"/>
      <c r="AM50" s="492"/>
      <c r="AN50" s="493"/>
      <c r="AO50" s="492"/>
      <c r="AP50" s="492"/>
      <c r="AQ50" s="492"/>
      <c r="AR50" s="492"/>
      <c r="AS50" s="492"/>
    </row>
    <row r="51" spans="2:45" ht="9" customHeight="1" x14ac:dyDescent="0.2">
      <c r="B51" s="742"/>
      <c r="C51" s="720"/>
      <c r="D51" s="722"/>
      <c r="E51" s="746"/>
      <c r="F51" s="726"/>
      <c r="G51" s="728"/>
      <c r="H51" s="747"/>
      <c r="I51" s="732"/>
      <c r="J51" s="734"/>
      <c r="L51" s="503">
        <f>('ผลงานรายสัปดาห์(เงิน)'!L51)*100/$I50</f>
        <v>0</v>
      </c>
      <c r="M51" s="503">
        <f>('ผลงานรายสัปดาห์(เงิน)'!M51)*100/$I50</f>
        <v>0</v>
      </c>
      <c r="O51" s="720"/>
      <c r="P51" s="502">
        <f>('ผลงานรายสัปดาห์(เงิน)'!P51)*100/$I50</f>
        <v>0</v>
      </c>
      <c r="Q51" s="502">
        <f>('ผลงานรายสัปดาห์(เงิน)'!Q51)*100/$I50</f>
        <v>0</v>
      </c>
      <c r="R51" s="502">
        <f>('ผลงานรายสัปดาห์(เงิน)'!R51)*100/$I50</f>
        <v>0</v>
      </c>
      <c r="S51" s="502">
        <f>('ผลงานรายสัปดาห์(เงิน)'!S51)*100/$I50</f>
        <v>0</v>
      </c>
      <c r="T51" s="495">
        <f>SUM(P51:S51)</f>
        <v>0</v>
      </c>
      <c r="U51" s="502">
        <f>('ผลงานรายสัปดาห์(เงิน)'!U51)*100/$I50</f>
        <v>0</v>
      </c>
      <c r="V51" s="502">
        <f>('ผลงานรายสัปดาห์(เงิน)'!V51)*100/$I50</f>
        <v>0</v>
      </c>
      <c r="W51" s="502">
        <f>('ผลงานรายสัปดาห์(เงิน)'!W51)*100/$I50</f>
        <v>0</v>
      </c>
      <c r="X51" s="502">
        <f>('ผลงานรายสัปดาห์(เงิน)'!X51)*100/$I50</f>
        <v>0</v>
      </c>
      <c r="Y51" s="503">
        <f>SUM(U51:X51)</f>
        <v>0</v>
      </c>
      <c r="Z51" s="502">
        <f>('ผลงานรายสัปดาห์(เงิน)'!Z51)*100/$I50</f>
        <v>0</v>
      </c>
      <c r="AA51" s="502">
        <f>('ผลงานรายสัปดาห์(เงิน)'!AA51)*100/$I50</f>
        <v>0</v>
      </c>
      <c r="AB51" s="502">
        <f>('ผลงานรายสัปดาห์(เงิน)'!AB51)*100/$I50</f>
        <v>0</v>
      </c>
      <c r="AC51" s="502">
        <f>('ผลงานรายสัปดาห์(เงิน)'!AC51)*100/$I50</f>
        <v>0</v>
      </c>
      <c r="AD51" s="503">
        <f>SUM(Z51:AC51)</f>
        <v>0</v>
      </c>
      <c r="AE51" s="502">
        <f>('ผลงานรายสัปดาห์(เงิน)'!AE51)*100/$I50</f>
        <v>0</v>
      </c>
      <c r="AF51" s="502">
        <f>('ผลงานรายสัปดาห์(เงิน)'!AF51)*100/$I50</f>
        <v>0</v>
      </c>
      <c r="AG51" s="502">
        <f>('ผลงานรายสัปดาห์(เงิน)'!AG51)*100/$I50</f>
        <v>0</v>
      </c>
      <c r="AH51" s="502">
        <f>('ผลงานรายสัปดาห์(เงิน)'!AH51)*100/$I50</f>
        <v>0</v>
      </c>
      <c r="AI51" s="503">
        <f>SUM(AE51:AH51)</f>
        <v>0</v>
      </c>
      <c r="AJ51" s="502">
        <f>('ผลงานรายสัปดาห์(เงิน)'!AJ51)*100/$I50</f>
        <v>0</v>
      </c>
      <c r="AK51" s="502">
        <f>('ผลงานรายสัปดาห์(เงิน)'!AK51)*100/$I50</f>
        <v>0</v>
      </c>
      <c r="AL51" s="502">
        <f>('ผลงานรายสัปดาห์(เงิน)'!AL51)*100/$I50</f>
        <v>0</v>
      </c>
      <c r="AM51" s="502">
        <f>('ผลงานรายสัปดาห์(เงิน)'!AM51)*100/$I50</f>
        <v>0</v>
      </c>
      <c r="AN51" s="494"/>
      <c r="AO51" s="494"/>
      <c r="AP51" s="494"/>
      <c r="AQ51" s="494"/>
      <c r="AR51" s="494"/>
      <c r="AS51" s="494"/>
    </row>
    <row r="52" spans="2:45" ht="9" customHeight="1" x14ac:dyDescent="0.2">
      <c r="B52" s="717">
        <v>1.7</v>
      </c>
      <c r="C52" s="719" t="s">
        <v>65</v>
      </c>
      <c r="D52" s="721" t="s">
        <v>6</v>
      </c>
      <c r="E52" s="723">
        <v>1</v>
      </c>
      <c r="F52" s="725">
        <f>แผนการก่อสร้าง!G57</f>
        <v>0</v>
      </c>
      <c r="G52" s="727">
        <f>แผนการก่อสร้าง!H57</f>
        <v>42.96</v>
      </c>
      <c r="H52" s="729">
        <v>14559639</v>
      </c>
      <c r="I52" s="731">
        <v>14559639</v>
      </c>
      <c r="J52" s="733">
        <v>6.1047937391674703</v>
      </c>
      <c r="L52" s="499"/>
      <c r="M52" s="499"/>
      <c r="O52" s="719" t="s">
        <v>65</v>
      </c>
      <c r="P52" s="504"/>
      <c r="Q52" s="504"/>
      <c r="R52" s="504"/>
      <c r="S52" s="504"/>
      <c r="T52" s="493"/>
      <c r="U52" s="504"/>
      <c r="V52" s="504"/>
      <c r="W52" s="504"/>
      <c r="X52" s="504"/>
      <c r="Y52" s="505"/>
      <c r="Z52" s="492"/>
      <c r="AA52" s="492"/>
      <c r="AB52" s="492"/>
      <c r="AC52" s="492"/>
      <c r="AD52" s="505"/>
      <c r="AE52" s="492"/>
      <c r="AF52" s="492"/>
      <c r="AG52" s="492"/>
      <c r="AH52" s="492"/>
      <c r="AI52" s="505"/>
      <c r="AJ52" s="492"/>
      <c r="AK52" s="492"/>
      <c r="AL52" s="492"/>
      <c r="AM52" s="492"/>
      <c r="AN52" s="493"/>
      <c r="AO52" s="492"/>
      <c r="AP52" s="492"/>
      <c r="AQ52" s="492"/>
      <c r="AR52" s="492"/>
      <c r="AS52" s="492"/>
    </row>
    <row r="53" spans="2:45" ht="9" customHeight="1" x14ac:dyDescent="0.2">
      <c r="B53" s="718"/>
      <c r="C53" s="720"/>
      <c r="D53" s="722"/>
      <c r="E53" s="724"/>
      <c r="F53" s="748"/>
      <c r="G53" s="749"/>
      <c r="H53" s="747"/>
      <c r="I53" s="732"/>
      <c r="J53" s="734"/>
      <c r="L53" s="503">
        <f>('ผลงานรายสัปดาห์(เงิน)'!L53)*100/$I52</f>
        <v>42.959773933955368</v>
      </c>
      <c r="M53" s="503">
        <f>('ผลงานรายสัปดาห์(เงิน)'!M53)*100/$I52</f>
        <v>42.959773933955368</v>
      </c>
      <c r="O53" s="720"/>
      <c r="P53" s="502">
        <f>('ผลงานรายสัปดาห์(เงิน)'!P53)*100/$I52</f>
        <v>0</v>
      </c>
      <c r="Q53" s="502">
        <f>('ผลงานรายสัปดาห์(เงิน)'!Q53)*100/$I52</f>
        <v>0</v>
      </c>
      <c r="R53" s="502">
        <f>('ผลงานรายสัปดาห์(เงิน)'!R53)*100/$I52</f>
        <v>0</v>
      </c>
      <c r="S53" s="502">
        <f>('ผลงานรายสัปดาห์(เงิน)'!S53)*100/$I52</f>
        <v>0.23893449555995172</v>
      </c>
      <c r="T53" s="495">
        <f>SUM(P53:S53)</f>
        <v>0.23893449555995172</v>
      </c>
      <c r="U53" s="502">
        <f>('ผลงานรายสัปดาห์(เงิน)'!U53)*100/$I52</f>
        <v>0</v>
      </c>
      <c r="V53" s="502">
        <f>('ผลงานรายสัปดาห์(เงิน)'!V53)*100/$I52</f>
        <v>0</v>
      </c>
      <c r="W53" s="502">
        <f>('ผลงานรายสัปดาห์(เงิน)'!W53)*100/$I52</f>
        <v>23.62695943216724</v>
      </c>
      <c r="X53" s="502">
        <f>('ผลงานรายสัปดาห์(เงิน)'!X53)*100/$I52</f>
        <v>0</v>
      </c>
      <c r="Y53" s="503">
        <f>SUM(U53:X53)</f>
        <v>23.62695943216724</v>
      </c>
      <c r="Z53" s="502">
        <f>('ผลงานรายสัปดาห์(เงิน)'!Z53)*100/$I52</f>
        <v>0</v>
      </c>
      <c r="AA53" s="502">
        <f>('ผลงานรายสัปดาห์(เงิน)'!AA53)*100/$I52</f>
        <v>0</v>
      </c>
      <c r="AB53" s="502">
        <f>('ผลงานรายสัปดาห์(เงิน)'!AB53)*100/$I52</f>
        <v>0</v>
      </c>
      <c r="AC53" s="502">
        <f>('ผลงานรายสัปดาห์(เงิน)'!AC53)*100/$I52</f>
        <v>19.093880006228176</v>
      </c>
      <c r="AD53" s="503">
        <f>SUM(Z53:AC53)</f>
        <v>19.093880006228176</v>
      </c>
      <c r="AE53" s="502">
        <f>('ผลงานรายสัปดาห์(เงิน)'!AE53)*100/$I52</f>
        <v>0</v>
      </c>
      <c r="AF53" s="502">
        <f>('ผลงานรายสัปดาห์(เงิน)'!AF53)*100/$I52</f>
        <v>0</v>
      </c>
      <c r="AG53" s="502">
        <f>('ผลงานรายสัปดาห์(เงิน)'!AG53)*100/$I52</f>
        <v>0</v>
      </c>
      <c r="AH53" s="502">
        <f>('ผลงานรายสัปดาห์(เงิน)'!AH53)*100/$I52</f>
        <v>0</v>
      </c>
      <c r="AI53" s="503">
        <f>SUM(AE53:AH53)</f>
        <v>0</v>
      </c>
      <c r="AJ53" s="502">
        <f>('ผลงานรายสัปดาห์(เงิน)'!AJ53)*100/$I52</f>
        <v>0</v>
      </c>
      <c r="AK53" s="502">
        <f>('ผลงานรายสัปดาห์(เงิน)'!AK53)*100/$I52</f>
        <v>0</v>
      </c>
      <c r="AL53" s="502">
        <f>('ผลงานรายสัปดาห์(เงิน)'!AL53)*100/$I52</f>
        <v>0</v>
      </c>
      <c r="AM53" s="502">
        <f>('ผลงานรายสัปดาห์(เงิน)'!AM53)*100/$I52</f>
        <v>0</v>
      </c>
      <c r="AN53" s="494"/>
      <c r="AO53" s="494"/>
      <c r="AP53" s="494"/>
      <c r="AQ53" s="494"/>
      <c r="AR53" s="494"/>
      <c r="AS53" s="494"/>
    </row>
    <row r="54" spans="2:45" ht="9" customHeight="1" x14ac:dyDescent="0.2">
      <c r="B54" s="741">
        <v>-1</v>
      </c>
      <c r="C54" s="719" t="s">
        <v>35</v>
      </c>
      <c r="D54" s="721" t="s">
        <v>6</v>
      </c>
      <c r="E54" s="723">
        <v>1</v>
      </c>
      <c r="F54" s="750">
        <f>แผนการก่อสร้าง!G59</f>
        <v>0</v>
      </c>
      <c r="G54" s="751">
        <f>แผนการก่อสร้าง!H59</f>
        <v>0</v>
      </c>
      <c r="H54" s="729">
        <v>1620450</v>
      </c>
      <c r="I54" s="731">
        <v>1620450</v>
      </c>
      <c r="J54" s="733">
        <v>0.67944768511320419</v>
      </c>
      <c r="L54" s="499"/>
      <c r="M54" s="499"/>
      <c r="O54" s="719" t="s">
        <v>35</v>
      </c>
      <c r="P54" s="504"/>
      <c r="Q54" s="504"/>
      <c r="R54" s="504"/>
      <c r="S54" s="504"/>
      <c r="T54" s="493"/>
      <c r="U54" s="504"/>
      <c r="V54" s="504"/>
      <c r="W54" s="504"/>
      <c r="X54" s="504"/>
      <c r="Y54" s="505"/>
      <c r="Z54" s="492"/>
      <c r="AA54" s="492"/>
      <c r="AB54" s="492"/>
      <c r="AC54" s="492"/>
      <c r="AD54" s="505"/>
      <c r="AE54" s="492"/>
      <c r="AF54" s="492"/>
      <c r="AG54" s="492"/>
      <c r="AH54" s="492"/>
      <c r="AI54" s="505"/>
      <c r="AJ54" s="492"/>
      <c r="AK54" s="492"/>
      <c r="AL54" s="492"/>
      <c r="AM54" s="492"/>
      <c r="AN54" s="493"/>
      <c r="AO54" s="492"/>
      <c r="AP54" s="492"/>
      <c r="AQ54" s="492"/>
      <c r="AR54" s="492"/>
      <c r="AS54" s="492"/>
    </row>
    <row r="55" spans="2:45" ht="9" customHeight="1" x14ac:dyDescent="0.2">
      <c r="B55" s="742"/>
      <c r="C55" s="720"/>
      <c r="D55" s="722"/>
      <c r="E55" s="746"/>
      <c r="F55" s="726"/>
      <c r="G55" s="728"/>
      <c r="H55" s="747"/>
      <c r="I55" s="732"/>
      <c r="J55" s="734"/>
      <c r="L55" s="503">
        <f>('ผลงานรายสัปดาห์(เงิน)'!L55)*100/$I54</f>
        <v>0</v>
      </c>
      <c r="M55" s="503">
        <f>('ผลงานรายสัปดาห์(เงิน)'!M55)*100/$I54</f>
        <v>0</v>
      </c>
      <c r="O55" s="720"/>
      <c r="P55" s="502">
        <f>('ผลงานรายสัปดาห์(เงิน)'!P55)*100/$I54</f>
        <v>0</v>
      </c>
      <c r="Q55" s="502">
        <f>('ผลงานรายสัปดาห์(เงิน)'!Q55)*100/$I54</f>
        <v>0</v>
      </c>
      <c r="R55" s="502">
        <f>('ผลงานรายสัปดาห์(เงิน)'!R55)*100/$I54</f>
        <v>0</v>
      </c>
      <c r="S55" s="502">
        <f>('ผลงานรายสัปดาห์(เงิน)'!S55)*100/$I54</f>
        <v>0</v>
      </c>
      <c r="T55" s="495">
        <f>SUM(P55:S55)</f>
        <v>0</v>
      </c>
      <c r="U55" s="502">
        <f>('ผลงานรายสัปดาห์(เงิน)'!U55)*100/$I54</f>
        <v>0</v>
      </c>
      <c r="V55" s="502">
        <f>('ผลงานรายสัปดาห์(เงิน)'!V55)*100/$I54</f>
        <v>0</v>
      </c>
      <c r="W55" s="502">
        <f>('ผลงานรายสัปดาห์(เงิน)'!W55)*100/$I54</f>
        <v>0</v>
      </c>
      <c r="X55" s="502">
        <f>('ผลงานรายสัปดาห์(เงิน)'!X55)*100/$I54</f>
        <v>0</v>
      </c>
      <c r="Y55" s="503">
        <f>SUM(U55:X55)</f>
        <v>0</v>
      </c>
      <c r="Z55" s="502">
        <f>('ผลงานรายสัปดาห์(เงิน)'!Z55)*100/$I54</f>
        <v>0</v>
      </c>
      <c r="AA55" s="502">
        <f>('ผลงานรายสัปดาห์(เงิน)'!AA55)*100/$I54</f>
        <v>0</v>
      </c>
      <c r="AB55" s="502">
        <f>('ผลงานรายสัปดาห์(เงิน)'!AB55)*100/$I54</f>
        <v>0</v>
      </c>
      <c r="AC55" s="502">
        <f>('ผลงานรายสัปดาห์(เงิน)'!AC55)*100/$I54</f>
        <v>0</v>
      </c>
      <c r="AD55" s="503">
        <f>SUM(Z55:AC55)</f>
        <v>0</v>
      </c>
      <c r="AE55" s="502">
        <f>('ผลงานรายสัปดาห์(เงิน)'!AE55)*100/$I54</f>
        <v>0</v>
      </c>
      <c r="AF55" s="502">
        <f>('ผลงานรายสัปดาห์(เงิน)'!AF55)*100/$I54</f>
        <v>0</v>
      </c>
      <c r="AG55" s="502">
        <f>('ผลงานรายสัปดาห์(เงิน)'!AG55)*100/$I54</f>
        <v>0</v>
      </c>
      <c r="AH55" s="502">
        <f>('ผลงานรายสัปดาห์(เงิน)'!AH55)*100/$I54</f>
        <v>0</v>
      </c>
      <c r="AI55" s="503">
        <f>SUM(AE55:AH55)</f>
        <v>0</v>
      </c>
      <c r="AJ55" s="502">
        <f>('ผลงานรายสัปดาห์(เงิน)'!AJ55)*100/$I54</f>
        <v>0</v>
      </c>
      <c r="AK55" s="502">
        <f>('ผลงานรายสัปดาห์(เงิน)'!AK55)*100/$I54</f>
        <v>0</v>
      </c>
      <c r="AL55" s="502">
        <f>('ผลงานรายสัปดาห์(เงิน)'!AL55)*100/$I54</f>
        <v>0</v>
      </c>
      <c r="AM55" s="502">
        <f>('ผลงานรายสัปดาห์(เงิน)'!AM55)*100/$I54</f>
        <v>0</v>
      </c>
      <c r="AN55" s="494"/>
      <c r="AO55" s="494"/>
      <c r="AP55" s="494"/>
      <c r="AQ55" s="494"/>
      <c r="AR55" s="494"/>
      <c r="AS55" s="494"/>
    </row>
    <row r="56" spans="2:45" ht="9" customHeight="1" x14ac:dyDescent="0.2">
      <c r="B56" s="741">
        <v>-2</v>
      </c>
      <c r="C56" s="719" t="s">
        <v>121</v>
      </c>
      <c r="D56" s="721" t="s">
        <v>6</v>
      </c>
      <c r="E56" s="723">
        <v>1</v>
      </c>
      <c r="F56" s="725">
        <f>แผนการก่อสร้าง!G61</f>
        <v>0</v>
      </c>
      <c r="G56" s="727">
        <f>แผนการก่อสร้าง!H61</f>
        <v>0</v>
      </c>
      <c r="H56" s="729">
        <v>1340232</v>
      </c>
      <c r="I56" s="731">
        <v>1340232</v>
      </c>
      <c r="J56" s="733">
        <v>0.56195348817590163</v>
      </c>
      <c r="L56" s="499"/>
      <c r="M56" s="499"/>
      <c r="O56" s="719" t="s">
        <v>121</v>
      </c>
      <c r="P56" s="504"/>
      <c r="Q56" s="504"/>
      <c r="R56" s="504"/>
      <c r="S56" s="504"/>
      <c r="T56" s="493"/>
      <c r="U56" s="504"/>
      <c r="V56" s="504"/>
      <c r="W56" s="504"/>
      <c r="X56" s="504"/>
      <c r="Y56" s="505"/>
      <c r="Z56" s="492"/>
      <c r="AA56" s="492"/>
      <c r="AB56" s="492"/>
      <c r="AC56" s="492"/>
      <c r="AD56" s="505"/>
      <c r="AE56" s="492"/>
      <c r="AF56" s="492"/>
      <c r="AG56" s="492"/>
      <c r="AH56" s="492"/>
      <c r="AI56" s="505"/>
      <c r="AJ56" s="492"/>
      <c r="AK56" s="492"/>
      <c r="AL56" s="492"/>
      <c r="AM56" s="492"/>
      <c r="AN56" s="493"/>
      <c r="AO56" s="492"/>
      <c r="AP56" s="492"/>
      <c r="AQ56" s="492"/>
      <c r="AR56" s="492"/>
      <c r="AS56" s="492"/>
    </row>
    <row r="57" spans="2:45" ht="9" customHeight="1" x14ac:dyDescent="0.2">
      <c r="B57" s="742"/>
      <c r="C57" s="720"/>
      <c r="D57" s="722"/>
      <c r="E57" s="724"/>
      <c r="F57" s="748"/>
      <c r="G57" s="749"/>
      <c r="H57" s="747"/>
      <c r="I57" s="732"/>
      <c r="J57" s="734"/>
      <c r="L57" s="503">
        <f>('ผลงานรายสัปดาห์(เงิน)'!L57)*100/$I56</f>
        <v>0</v>
      </c>
      <c r="M57" s="503">
        <f>('ผลงานรายสัปดาห์(เงิน)'!M57)*100/$I56</f>
        <v>0</v>
      </c>
      <c r="O57" s="720"/>
      <c r="P57" s="502">
        <f>('ผลงานรายสัปดาห์(เงิน)'!P57)*100/$I56</f>
        <v>0</v>
      </c>
      <c r="Q57" s="502">
        <f>('ผลงานรายสัปดาห์(เงิน)'!Q57)*100/$I56</f>
        <v>0</v>
      </c>
      <c r="R57" s="502">
        <f>('ผลงานรายสัปดาห์(เงิน)'!R57)*100/$I56</f>
        <v>0</v>
      </c>
      <c r="S57" s="502">
        <f>('ผลงานรายสัปดาห์(เงิน)'!S57)*100/$I56</f>
        <v>0</v>
      </c>
      <c r="T57" s="495">
        <f>SUM(P57:S57)</f>
        <v>0</v>
      </c>
      <c r="U57" s="502">
        <f>('ผลงานรายสัปดาห์(เงิน)'!U57)*100/$I56</f>
        <v>0</v>
      </c>
      <c r="V57" s="502">
        <f>('ผลงานรายสัปดาห์(เงิน)'!V57)*100/$I56</f>
        <v>0</v>
      </c>
      <c r="W57" s="502">
        <f>('ผลงานรายสัปดาห์(เงิน)'!W57)*100/$I56</f>
        <v>0</v>
      </c>
      <c r="X57" s="502">
        <f>('ผลงานรายสัปดาห์(เงิน)'!X57)*100/$I56</f>
        <v>0</v>
      </c>
      <c r="Y57" s="503">
        <f>SUM(U57:X57)</f>
        <v>0</v>
      </c>
      <c r="Z57" s="502">
        <f>('ผลงานรายสัปดาห์(เงิน)'!Z57)*100/$I56</f>
        <v>0</v>
      </c>
      <c r="AA57" s="502">
        <f>('ผลงานรายสัปดาห์(เงิน)'!AA57)*100/$I56</f>
        <v>0</v>
      </c>
      <c r="AB57" s="502">
        <f>('ผลงานรายสัปดาห์(เงิน)'!AB57)*100/$I56</f>
        <v>0</v>
      </c>
      <c r="AC57" s="502">
        <f>('ผลงานรายสัปดาห์(เงิน)'!AC57)*100/$I56</f>
        <v>0</v>
      </c>
      <c r="AD57" s="503">
        <f>SUM(Z57:AC57)</f>
        <v>0</v>
      </c>
      <c r="AE57" s="502">
        <f>('ผลงานรายสัปดาห์(เงิน)'!AE57)*100/$I56</f>
        <v>0</v>
      </c>
      <c r="AF57" s="502">
        <f>('ผลงานรายสัปดาห์(เงิน)'!AF57)*100/$I56</f>
        <v>0</v>
      </c>
      <c r="AG57" s="502">
        <f>('ผลงานรายสัปดาห์(เงิน)'!AG57)*100/$I56</f>
        <v>0</v>
      </c>
      <c r="AH57" s="502">
        <f>('ผลงานรายสัปดาห์(เงิน)'!AH57)*100/$I56</f>
        <v>0</v>
      </c>
      <c r="AI57" s="503">
        <f>SUM(AE57:AH57)</f>
        <v>0</v>
      </c>
      <c r="AJ57" s="502">
        <f>('ผลงานรายสัปดาห์(เงิน)'!AJ57)*100/$I56</f>
        <v>0</v>
      </c>
      <c r="AK57" s="502">
        <f>('ผลงานรายสัปดาห์(เงิน)'!AK57)*100/$I56</f>
        <v>0</v>
      </c>
      <c r="AL57" s="502">
        <f>('ผลงานรายสัปดาห์(เงิน)'!AL57)*100/$I56</f>
        <v>0</v>
      </c>
      <c r="AM57" s="502">
        <f>('ผลงานรายสัปดาห์(เงิน)'!AM57)*100/$I56</f>
        <v>0</v>
      </c>
      <c r="AN57" s="494"/>
      <c r="AO57" s="494"/>
      <c r="AP57" s="494"/>
      <c r="AQ57" s="494"/>
      <c r="AR57" s="494"/>
      <c r="AS57" s="494"/>
    </row>
    <row r="58" spans="2:45" ht="9" customHeight="1" x14ac:dyDescent="0.2">
      <c r="B58" s="717">
        <v>1.8</v>
      </c>
      <c r="C58" s="719" t="s">
        <v>142</v>
      </c>
      <c r="D58" s="721" t="s">
        <v>6</v>
      </c>
      <c r="E58" s="723">
        <v>1</v>
      </c>
      <c r="F58" s="750">
        <f>แผนการก่อสร้าง!G63</f>
        <v>0</v>
      </c>
      <c r="G58" s="751">
        <f>แผนการก่อสร้าง!H63</f>
        <v>19.939</v>
      </c>
      <c r="H58" s="729">
        <v>16172985</v>
      </c>
      <c r="I58" s="731">
        <v>16172985</v>
      </c>
      <c r="J58" s="733">
        <v>6.7812627477679497</v>
      </c>
      <c r="L58" s="499"/>
      <c r="M58" s="499"/>
      <c r="O58" s="719" t="s">
        <v>142</v>
      </c>
      <c r="P58" s="504"/>
      <c r="Q58" s="504"/>
      <c r="R58" s="504"/>
      <c r="S58" s="504"/>
      <c r="T58" s="493"/>
      <c r="U58" s="504"/>
      <c r="V58" s="504"/>
      <c r="W58" s="504"/>
      <c r="X58" s="504"/>
      <c r="Y58" s="505"/>
      <c r="Z58" s="492"/>
      <c r="AA58" s="492"/>
      <c r="AB58" s="492"/>
      <c r="AC58" s="492"/>
      <c r="AD58" s="505"/>
      <c r="AE58" s="492"/>
      <c r="AF58" s="492"/>
      <c r="AG58" s="492"/>
      <c r="AH58" s="492"/>
      <c r="AI58" s="505"/>
      <c r="AJ58" s="492"/>
      <c r="AK58" s="492"/>
      <c r="AL58" s="492"/>
      <c r="AM58" s="492"/>
      <c r="AN58" s="493"/>
      <c r="AO58" s="492"/>
      <c r="AP58" s="492"/>
      <c r="AQ58" s="492"/>
      <c r="AR58" s="492"/>
      <c r="AS58" s="492"/>
    </row>
    <row r="59" spans="2:45" ht="9" customHeight="1" x14ac:dyDescent="0.2">
      <c r="B59" s="718"/>
      <c r="C59" s="720"/>
      <c r="D59" s="722"/>
      <c r="E59" s="746"/>
      <c r="F59" s="726"/>
      <c r="G59" s="728"/>
      <c r="H59" s="747"/>
      <c r="I59" s="732"/>
      <c r="J59" s="734"/>
      <c r="L59" s="503">
        <f>('ผลงานรายสัปดาห์(เงิน)'!L59)*100/$I58</f>
        <v>19.939349476920928</v>
      </c>
      <c r="M59" s="503">
        <f>('ผลงานรายสัปดาห์(เงิน)'!M59)*100/$I58</f>
        <v>19.939349476920928</v>
      </c>
      <c r="O59" s="720"/>
      <c r="P59" s="502">
        <f>('ผลงานรายสัปดาห์(เงิน)'!P59)*100/$I58</f>
        <v>0</v>
      </c>
      <c r="Q59" s="502">
        <f>('ผลงานรายสัปดาห์(เงิน)'!Q59)*100/$I58</f>
        <v>0</v>
      </c>
      <c r="R59" s="502">
        <f>('ผลงานรายสัปดาห์(เงิน)'!R59)*100/$I58</f>
        <v>0</v>
      </c>
      <c r="S59" s="502">
        <f>('ผลงานรายสัปดาห์(เงิน)'!S59)*100/$I58</f>
        <v>0.215099438971841</v>
      </c>
      <c r="T59" s="495">
        <f>SUM(P59:S59)</f>
        <v>0.215099438971841</v>
      </c>
      <c r="U59" s="502">
        <f>('ผลงานรายสัปดาห์(เงิน)'!U59)*100/$I58</f>
        <v>0</v>
      </c>
      <c r="V59" s="502">
        <f>('ผลงานรายสัปดาห์(เงิน)'!V59)*100/$I58</f>
        <v>0</v>
      </c>
      <c r="W59" s="502">
        <f>('ผลงานรายสัปดาห์(เงิน)'!W59)*100/$I58</f>
        <v>5.3793409194406596</v>
      </c>
      <c r="X59" s="502">
        <f>('ผลงานรายสัปดาห์(เงิน)'!X59)*100/$I58</f>
        <v>0</v>
      </c>
      <c r="Y59" s="503">
        <f>SUM(U59:X59)</f>
        <v>5.3793409194406596</v>
      </c>
      <c r="Z59" s="502">
        <f>('ผลงานรายสัปดาห์(เงิน)'!Z59)*100/$I58</f>
        <v>0</v>
      </c>
      <c r="AA59" s="502">
        <f>('ผลงานรายสัปดาห์(เงิน)'!AA59)*100/$I58</f>
        <v>0</v>
      </c>
      <c r="AB59" s="502">
        <f>('ผลงานรายสัปดาห์(เงิน)'!AB59)*100/$I58</f>
        <v>0</v>
      </c>
      <c r="AC59" s="502">
        <f>('ผลงานรายสัปดาห์(เงิน)'!AC59)*100/$I58</f>
        <v>14.344909118508426</v>
      </c>
      <c r="AD59" s="503">
        <f>SUM(Z59:AC59)</f>
        <v>14.344909118508426</v>
      </c>
      <c r="AE59" s="502">
        <f>('ผลงานรายสัปดาห์(เงิน)'!AE59)*100/$I58</f>
        <v>0</v>
      </c>
      <c r="AF59" s="502">
        <f>('ผลงานรายสัปดาห์(เงิน)'!AF59)*100/$I58</f>
        <v>0</v>
      </c>
      <c r="AG59" s="502">
        <f>('ผลงานรายสัปดาห์(เงิน)'!AG59)*100/$I58</f>
        <v>0</v>
      </c>
      <c r="AH59" s="502">
        <f>('ผลงานรายสัปดาห์(เงิน)'!AH59)*100/$I58</f>
        <v>0</v>
      </c>
      <c r="AI59" s="503">
        <f>SUM(AE59:AH59)</f>
        <v>0</v>
      </c>
      <c r="AJ59" s="502">
        <f>('ผลงานรายสัปดาห์(เงิน)'!AJ59)*100/$I58</f>
        <v>0</v>
      </c>
      <c r="AK59" s="502">
        <f>('ผลงานรายสัปดาห์(เงิน)'!AK59)*100/$I58</f>
        <v>0</v>
      </c>
      <c r="AL59" s="502">
        <f>('ผลงานรายสัปดาห์(เงิน)'!AL59)*100/$I58</f>
        <v>0</v>
      </c>
      <c r="AM59" s="502">
        <f>('ผลงานรายสัปดาห์(เงิน)'!AM59)*100/$I58</f>
        <v>0</v>
      </c>
      <c r="AN59" s="494"/>
      <c r="AO59" s="494"/>
      <c r="AP59" s="494"/>
      <c r="AQ59" s="494"/>
      <c r="AR59" s="494"/>
      <c r="AS59" s="494"/>
    </row>
    <row r="60" spans="2:45" ht="9" customHeight="1" x14ac:dyDescent="0.2">
      <c r="B60" s="741">
        <v>-1</v>
      </c>
      <c r="C60" s="719" t="s">
        <v>35</v>
      </c>
      <c r="D60" s="721" t="s">
        <v>6</v>
      </c>
      <c r="E60" s="723">
        <v>1</v>
      </c>
      <c r="F60" s="725">
        <f>แผนการก่อสร้าง!G65</f>
        <v>0</v>
      </c>
      <c r="G60" s="727">
        <f>แผนการก่อสร้าง!H65</f>
        <v>0</v>
      </c>
      <c r="H60" s="729">
        <v>1828365</v>
      </c>
      <c r="I60" s="731">
        <v>1828365</v>
      </c>
      <c r="J60" s="733">
        <v>0.76662554647906667</v>
      </c>
      <c r="L60" s="499"/>
      <c r="M60" s="499"/>
      <c r="O60" s="719" t="s">
        <v>35</v>
      </c>
      <c r="P60" s="504"/>
      <c r="Q60" s="504"/>
      <c r="R60" s="504"/>
      <c r="S60" s="504"/>
      <c r="T60" s="493"/>
      <c r="U60" s="504"/>
      <c r="V60" s="504"/>
      <c r="W60" s="504"/>
      <c r="X60" s="504"/>
      <c r="Y60" s="505"/>
      <c r="Z60" s="492"/>
      <c r="AA60" s="492"/>
      <c r="AB60" s="492"/>
      <c r="AC60" s="492"/>
      <c r="AD60" s="505"/>
      <c r="AE60" s="492"/>
      <c r="AF60" s="492"/>
      <c r="AG60" s="492"/>
      <c r="AH60" s="492"/>
      <c r="AI60" s="505"/>
      <c r="AJ60" s="492"/>
      <c r="AK60" s="492"/>
      <c r="AL60" s="492"/>
      <c r="AM60" s="492"/>
      <c r="AN60" s="493"/>
      <c r="AO60" s="492"/>
      <c r="AP60" s="492"/>
      <c r="AQ60" s="492"/>
      <c r="AR60" s="492"/>
      <c r="AS60" s="492"/>
    </row>
    <row r="61" spans="2:45" ht="9" customHeight="1" x14ac:dyDescent="0.2">
      <c r="B61" s="742"/>
      <c r="C61" s="720"/>
      <c r="D61" s="722"/>
      <c r="E61" s="724"/>
      <c r="F61" s="748"/>
      <c r="G61" s="749"/>
      <c r="H61" s="747"/>
      <c r="I61" s="732"/>
      <c r="J61" s="734"/>
      <c r="L61" s="503">
        <f>('ผลงานรายสัปดาห์(เงิน)'!L61)*100/$I60</f>
        <v>0</v>
      </c>
      <c r="M61" s="503">
        <f>('ผลงานรายสัปดาห์(เงิน)'!M61)*100/$I60</f>
        <v>0</v>
      </c>
      <c r="O61" s="720"/>
      <c r="P61" s="502">
        <f>('ผลงานรายสัปดาห์(เงิน)'!P61)*100/$I60</f>
        <v>0</v>
      </c>
      <c r="Q61" s="502">
        <f>('ผลงานรายสัปดาห์(เงิน)'!Q61)*100/$I60</f>
        <v>0</v>
      </c>
      <c r="R61" s="502">
        <f>('ผลงานรายสัปดาห์(เงิน)'!R61)*100/$I60</f>
        <v>0</v>
      </c>
      <c r="S61" s="502">
        <f>('ผลงานรายสัปดาห์(เงิน)'!S61)*100/$I60</f>
        <v>0</v>
      </c>
      <c r="T61" s="495">
        <f>SUM(P61:S61)</f>
        <v>0</v>
      </c>
      <c r="U61" s="502">
        <f>('ผลงานรายสัปดาห์(เงิน)'!U61)*100/$I60</f>
        <v>0</v>
      </c>
      <c r="V61" s="502">
        <f>('ผลงานรายสัปดาห์(เงิน)'!V61)*100/$I60</f>
        <v>0</v>
      </c>
      <c r="W61" s="502">
        <f>('ผลงานรายสัปดาห์(เงิน)'!W61)*100/$I60</f>
        <v>0</v>
      </c>
      <c r="X61" s="502">
        <f>('ผลงานรายสัปดาห์(เงิน)'!X61)*100/$I60</f>
        <v>0</v>
      </c>
      <c r="Y61" s="503">
        <f>SUM(U61:X61)</f>
        <v>0</v>
      </c>
      <c r="Z61" s="502">
        <f>('ผลงานรายสัปดาห์(เงิน)'!Z61)*100/$I60</f>
        <v>0</v>
      </c>
      <c r="AA61" s="502">
        <f>('ผลงานรายสัปดาห์(เงิน)'!AA61)*100/$I60</f>
        <v>0</v>
      </c>
      <c r="AB61" s="502">
        <f>('ผลงานรายสัปดาห์(เงิน)'!AB61)*100/$I60</f>
        <v>0</v>
      </c>
      <c r="AC61" s="502">
        <f>('ผลงานรายสัปดาห์(เงิน)'!AC61)*100/$I60</f>
        <v>0</v>
      </c>
      <c r="AD61" s="503">
        <f>SUM(Z61:AC61)</f>
        <v>0</v>
      </c>
      <c r="AE61" s="502">
        <f>('ผลงานรายสัปดาห์(เงิน)'!AE61)*100/$I60</f>
        <v>0</v>
      </c>
      <c r="AF61" s="502">
        <f>('ผลงานรายสัปดาห์(เงิน)'!AF61)*100/$I60</f>
        <v>0</v>
      </c>
      <c r="AG61" s="502">
        <f>('ผลงานรายสัปดาห์(เงิน)'!AG61)*100/$I60</f>
        <v>0</v>
      </c>
      <c r="AH61" s="502">
        <f>('ผลงานรายสัปดาห์(เงิน)'!AH61)*100/$I60</f>
        <v>0</v>
      </c>
      <c r="AI61" s="503">
        <f>SUM(AE61:AH61)</f>
        <v>0</v>
      </c>
      <c r="AJ61" s="502">
        <f>('ผลงานรายสัปดาห์(เงิน)'!AJ61)*100/$I60</f>
        <v>0</v>
      </c>
      <c r="AK61" s="502">
        <f>('ผลงานรายสัปดาห์(เงิน)'!AK61)*100/$I60</f>
        <v>0</v>
      </c>
      <c r="AL61" s="502">
        <f>('ผลงานรายสัปดาห์(เงิน)'!AL61)*100/$I60</f>
        <v>0</v>
      </c>
      <c r="AM61" s="502">
        <f>('ผลงานรายสัปดาห์(เงิน)'!AM61)*100/$I60</f>
        <v>0</v>
      </c>
      <c r="AN61" s="494"/>
      <c r="AO61" s="494"/>
      <c r="AP61" s="494"/>
      <c r="AQ61" s="494"/>
      <c r="AR61" s="494"/>
      <c r="AS61" s="494"/>
    </row>
    <row r="62" spans="2:45" ht="9" customHeight="1" x14ac:dyDescent="0.2">
      <c r="B62" s="741">
        <v>-2</v>
      </c>
      <c r="C62" s="719" t="s">
        <v>121</v>
      </c>
      <c r="D62" s="721" t="s">
        <v>6</v>
      </c>
      <c r="E62" s="723">
        <v>1</v>
      </c>
      <c r="F62" s="750">
        <f>แผนการก่อสร้าง!G67</f>
        <v>0</v>
      </c>
      <c r="G62" s="751">
        <f>แผนการก่อสร้าง!H67</f>
        <v>0</v>
      </c>
      <c r="H62" s="729">
        <v>2138194</v>
      </c>
      <c r="I62" s="731">
        <v>2138194</v>
      </c>
      <c r="J62" s="733">
        <v>0.89653550780520375</v>
      </c>
      <c r="L62" s="499"/>
      <c r="M62" s="499"/>
      <c r="O62" s="719" t="s">
        <v>121</v>
      </c>
      <c r="P62" s="504"/>
      <c r="Q62" s="504"/>
      <c r="R62" s="504"/>
      <c r="S62" s="504"/>
      <c r="T62" s="493"/>
      <c r="U62" s="504"/>
      <c r="V62" s="504"/>
      <c r="W62" s="504"/>
      <c r="X62" s="504"/>
      <c r="Y62" s="505"/>
      <c r="Z62" s="492"/>
      <c r="AA62" s="492"/>
      <c r="AB62" s="492"/>
      <c r="AC62" s="492"/>
      <c r="AD62" s="505"/>
      <c r="AE62" s="492"/>
      <c r="AF62" s="492"/>
      <c r="AG62" s="492"/>
      <c r="AH62" s="492"/>
      <c r="AI62" s="505"/>
      <c r="AJ62" s="492"/>
      <c r="AK62" s="492"/>
      <c r="AL62" s="492"/>
      <c r="AM62" s="492"/>
      <c r="AN62" s="493"/>
      <c r="AO62" s="492"/>
      <c r="AP62" s="492"/>
      <c r="AQ62" s="492"/>
      <c r="AR62" s="492"/>
      <c r="AS62" s="492"/>
    </row>
    <row r="63" spans="2:45" ht="9" customHeight="1" x14ac:dyDescent="0.2">
      <c r="B63" s="742"/>
      <c r="C63" s="720"/>
      <c r="D63" s="722"/>
      <c r="E63" s="746"/>
      <c r="F63" s="726"/>
      <c r="G63" s="728"/>
      <c r="H63" s="747"/>
      <c r="I63" s="732"/>
      <c r="J63" s="734"/>
      <c r="L63" s="503">
        <f>('ผลงานรายสัปดาห์(เงิน)'!L63)*100/$I62</f>
        <v>0</v>
      </c>
      <c r="M63" s="503">
        <f>('ผลงานรายสัปดาห์(เงิน)'!M63)*100/$I62</f>
        <v>0</v>
      </c>
      <c r="O63" s="720"/>
      <c r="P63" s="502">
        <f>('ผลงานรายสัปดาห์(เงิน)'!P63)*100/$I62</f>
        <v>0</v>
      </c>
      <c r="Q63" s="502">
        <f>('ผลงานรายสัปดาห์(เงิน)'!Q63)*100/$I62</f>
        <v>0</v>
      </c>
      <c r="R63" s="502">
        <f>('ผลงานรายสัปดาห์(เงิน)'!R63)*100/$I62</f>
        <v>0</v>
      </c>
      <c r="S63" s="502">
        <f>('ผลงานรายสัปดาห์(เงิน)'!S63)*100/$I62</f>
        <v>0</v>
      </c>
      <c r="T63" s="495">
        <f>SUM(P63:S63)</f>
        <v>0</v>
      </c>
      <c r="U63" s="502">
        <f>('ผลงานรายสัปดาห์(เงิน)'!U63)*100/$I62</f>
        <v>0</v>
      </c>
      <c r="V63" s="502">
        <f>('ผลงานรายสัปดาห์(เงิน)'!V63)*100/$I62</f>
        <v>0</v>
      </c>
      <c r="W63" s="502">
        <f>('ผลงานรายสัปดาห์(เงิน)'!W63)*100/$I62</f>
        <v>0</v>
      </c>
      <c r="X63" s="502">
        <f>('ผลงานรายสัปดาห์(เงิน)'!X63)*100/$I62</f>
        <v>0</v>
      </c>
      <c r="Y63" s="503">
        <f>SUM(U63:X63)</f>
        <v>0</v>
      </c>
      <c r="Z63" s="502">
        <f>('ผลงานรายสัปดาห์(เงิน)'!Z63)*100/$I62</f>
        <v>0</v>
      </c>
      <c r="AA63" s="502">
        <f>('ผลงานรายสัปดาห์(เงิน)'!AA63)*100/$I62</f>
        <v>0</v>
      </c>
      <c r="AB63" s="502">
        <f>('ผลงานรายสัปดาห์(เงิน)'!AB63)*100/$I62</f>
        <v>0</v>
      </c>
      <c r="AC63" s="502">
        <f>('ผลงานรายสัปดาห์(เงิน)'!AC63)*100/$I62</f>
        <v>0</v>
      </c>
      <c r="AD63" s="503">
        <f>SUM(Z63:AC63)</f>
        <v>0</v>
      </c>
      <c r="AE63" s="502">
        <f>('ผลงานรายสัปดาห์(เงิน)'!AE63)*100/$I62</f>
        <v>0</v>
      </c>
      <c r="AF63" s="502">
        <f>('ผลงานรายสัปดาห์(เงิน)'!AF63)*100/$I62</f>
        <v>0</v>
      </c>
      <c r="AG63" s="502">
        <f>('ผลงานรายสัปดาห์(เงิน)'!AG63)*100/$I62</f>
        <v>0</v>
      </c>
      <c r="AH63" s="502">
        <f>('ผลงานรายสัปดาห์(เงิน)'!AH63)*100/$I62</f>
        <v>0</v>
      </c>
      <c r="AI63" s="503">
        <f>SUM(AE63:AH63)</f>
        <v>0</v>
      </c>
      <c r="AJ63" s="502">
        <f>('ผลงานรายสัปดาห์(เงิน)'!AJ63)*100/$I62</f>
        <v>0</v>
      </c>
      <c r="AK63" s="502">
        <f>('ผลงานรายสัปดาห์(เงิน)'!AK63)*100/$I62</f>
        <v>0</v>
      </c>
      <c r="AL63" s="502">
        <f>('ผลงานรายสัปดาห์(เงิน)'!AL63)*100/$I62</f>
        <v>0</v>
      </c>
      <c r="AM63" s="502">
        <f>('ผลงานรายสัปดาห์(เงิน)'!AM63)*100/$I62</f>
        <v>0</v>
      </c>
      <c r="AN63" s="494"/>
      <c r="AO63" s="494"/>
      <c r="AP63" s="494"/>
      <c r="AQ63" s="494"/>
      <c r="AR63" s="494"/>
      <c r="AS63" s="494"/>
    </row>
    <row r="64" spans="2:45" ht="9" customHeight="1" x14ac:dyDescent="0.2">
      <c r="B64" s="717">
        <v>1.9</v>
      </c>
      <c r="C64" s="719" t="s">
        <v>66</v>
      </c>
      <c r="D64" s="721" t="s">
        <v>6</v>
      </c>
      <c r="E64" s="723">
        <v>1</v>
      </c>
      <c r="F64" s="725">
        <f>แผนการก่อสร้าง!G69</f>
        <v>0</v>
      </c>
      <c r="G64" s="727">
        <f>แผนการก่อสร้าง!H69</f>
        <v>0</v>
      </c>
      <c r="H64" s="729">
        <v>344287</v>
      </c>
      <c r="I64" s="731">
        <v>344287</v>
      </c>
      <c r="J64" s="733">
        <v>0.14435805187729933</v>
      </c>
      <c r="L64" s="499"/>
      <c r="M64" s="499"/>
      <c r="O64" s="719" t="s">
        <v>66</v>
      </c>
      <c r="P64" s="504"/>
      <c r="Q64" s="504"/>
      <c r="R64" s="504"/>
      <c r="S64" s="504"/>
      <c r="T64" s="493"/>
      <c r="U64" s="504"/>
      <c r="V64" s="504"/>
      <c r="W64" s="504"/>
      <c r="X64" s="504"/>
      <c r="Y64" s="505"/>
      <c r="Z64" s="492"/>
      <c r="AA64" s="492"/>
      <c r="AB64" s="492"/>
      <c r="AC64" s="492"/>
      <c r="AD64" s="505"/>
      <c r="AE64" s="492"/>
      <c r="AF64" s="492"/>
      <c r="AG64" s="492"/>
      <c r="AH64" s="492"/>
      <c r="AI64" s="505"/>
      <c r="AJ64" s="492"/>
      <c r="AK64" s="492"/>
      <c r="AL64" s="492"/>
      <c r="AM64" s="492"/>
      <c r="AN64" s="493"/>
      <c r="AO64" s="492"/>
      <c r="AP64" s="492"/>
      <c r="AQ64" s="492"/>
      <c r="AR64" s="492"/>
      <c r="AS64" s="492"/>
    </row>
    <row r="65" spans="2:45" ht="9" customHeight="1" x14ac:dyDescent="0.2">
      <c r="B65" s="718"/>
      <c r="C65" s="720"/>
      <c r="D65" s="722"/>
      <c r="E65" s="746"/>
      <c r="F65" s="726"/>
      <c r="G65" s="728"/>
      <c r="H65" s="747"/>
      <c r="I65" s="732"/>
      <c r="J65" s="734"/>
      <c r="L65" s="503">
        <f>('ผลงานรายสัปดาห์(เงิน)'!L65)*100/$I64</f>
        <v>0</v>
      </c>
      <c r="M65" s="503">
        <f>('ผลงานรายสัปดาห์(เงิน)'!M65)*100/$I64</f>
        <v>0</v>
      </c>
      <c r="O65" s="720"/>
      <c r="P65" s="502">
        <f>('ผลงานรายสัปดาห์(เงิน)'!P65)*100/$I64</f>
        <v>0</v>
      </c>
      <c r="Q65" s="502">
        <f>('ผลงานรายสัปดาห์(เงิน)'!Q65)*100/$I64</f>
        <v>0</v>
      </c>
      <c r="R65" s="502">
        <f>('ผลงานรายสัปดาห์(เงิน)'!R65)*100/$I64</f>
        <v>0</v>
      </c>
      <c r="S65" s="502">
        <f>('ผลงานรายสัปดาห์(เงิน)'!S65)*100/$I64</f>
        <v>0</v>
      </c>
      <c r="T65" s="495">
        <f>SUM(P65:S65)</f>
        <v>0</v>
      </c>
      <c r="U65" s="502">
        <f>('ผลงานรายสัปดาห์(เงิน)'!U65)*100/$I64</f>
        <v>0</v>
      </c>
      <c r="V65" s="502">
        <f>('ผลงานรายสัปดาห์(เงิน)'!V65)*100/$I64</f>
        <v>0</v>
      </c>
      <c r="W65" s="502">
        <f>('ผลงานรายสัปดาห์(เงิน)'!W65)*100/$I64</f>
        <v>0</v>
      </c>
      <c r="X65" s="502">
        <f>('ผลงานรายสัปดาห์(เงิน)'!X65)*100/$I64</f>
        <v>0</v>
      </c>
      <c r="Y65" s="503">
        <f>SUM(U65:X65)</f>
        <v>0</v>
      </c>
      <c r="Z65" s="502">
        <f>('ผลงานรายสัปดาห์(เงิน)'!Z65)*100/$I64</f>
        <v>0</v>
      </c>
      <c r="AA65" s="502">
        <f>('ผลงานรายสัปดาห์(เงิน)'!AA65)*100/$I64</f>
        <v>0</v>
      </c>
      <c r="AB65" s="502">
        <f>('ผลงานรายสัปดาห์(เงิน)'!AB65)*100/$I64</f>
        <v>0</v>
      </c>
      <c r="AC65" s="502">
        <f>('ผลงานรายสัปดาห์(เงิน)'!AC65)*100/$I64</f>
        <v>0</v>
      </c>
      <c r="AD65" s="503">
        <f>SUM(Z65:AC65)</f>
        <v>0</v>
      </c>
      <c r="AE65" s="502">
        <f>('ผลงานรายสัปดาห์(เงิน)'!AE65)*100/$I64</f>
        <v>0</v>
      </c>
      <c r="AF65" s="502">
        <f>('ผลงานรายสัปดาห์(เงิน)'!AF65)*100/$I64</f>
        <v>0</v>
      </c>
      <c r="AG65" s="502">
        <f>('ผลงานรายสัปดาห์(เงิน)'!AG65)*100/$I64</f>
        <v>0</v>
      </c>
      <c r="AH65" s="502">
        <f>('ผลงานรายสัปดาห์(เงิน)'!AH65)*100/$I64</f>
        <v>0</v>
      </c>
      <c r="AI65" s="503">
        <f>SUM(AE65:AH65)</f>
        <v>0</v>
      </c>
      <c r="AJ65" s="502">
        <f>('ผลงานรายสัปดาห์(เงิน)'!AJ65)*100/$I64</f>
        <v>0</v>
      </c>
      <c r="AK65" s="502">
        <f>('ผลงานรายสัปดาห์(เงิน)'!AK65)*100/$I64</f>
        <v>0</v>
      </c>
      <c r="AL65" s="502">
        <f>('ผลงานรายสัปดาห์(เงิน)'!AL65)*100/$I64</f>
        <v>0</v>
      </c>
      <c r="AM65" s="502">
        <f>('ผลงานรายสัปดาห์(เงิน)'!AM65)*100/$I64</f>
        <v>0</v>
      </c>
      <c r="AN65" s="494"/>
      <c r="AO65" s="494"/>
      <c r="AP65" s="494"/>
      <c r="AQ65" s="494"/>
      <c r="AR65" s="494"/>
      <c r="AS65" s="494"/>
    </row>
    <row r="66" spans="2:45" ht="9" customHeight="1" x14ac:dyDescent="0.2">
      <c r="B66" s="752">
        <v>1.1000000000000001</v>
      </c>
      <c r="C66" s="719" t="s">
        <v>67</v>
      </c>
      <c r="D66" s="721" t="s">
        <v>6</v>
      </c>
      <c r="E66" s="723">
        <v>1</v>
      </c>
      <c r="F66" s="725">
        <f>แผนการก่อสร้าง!G71</f>
        <v>0</v>
      </c>
      <c r="G66" s="727">
        <f>แผนการก่อสร้าง!H71</f>
        <v>0</v>
      </c>
      <c r="H66" s="729">
        <v>1601756</v>
      </c>
      <c r="I66" s="731">
        <v>1601756</v>
      </c>
      <c r="J66" s="733">
        <v>0.67160937166600976</v>
      </c>
      <c r="L66" s="499"/>
      <c r="M66" s="499"/>
      <c r="O66" s="719" t="s">
        <v>67</v>
      </c>
      <c r="P66" s="504"/>
      <c r="Q66" s="504"/>
      <c r="R66" s="504"/>
      <c r="S66" s="504"/>
      <c r="T66" s="493"/>
      <c r="U66" s="504"/>
      <c r="V66" s="504"/>
      <c r="W66" s="504"/>
      <c r="X66" s="504"/>
      <c r="Y66" s="505"/>
      <c r="Z66" s="492"/>
      <c r="AA66" s="492"/>
      <c r="AB66" s="492"/>
      <c r="AC66" s="492"/>
      <c r="AD66" s="505"/>
      <c r="AE66" s="492"/>
      <c r="AF66" s="492"/>
      <c r="AG66" s="492"/>
      <c r="AH66" s="492"/>
      <c r="AI66" s="505"/>
      <c r="AJ66" s="492"/>
      <c r="AK66" s="492"/>
      <c r="AL66" s="492"/>
      <c r="AM66" s="492"/>
      <c r="AN66" s="493"/>
      <c r="AO66" s="492"/>
      <c r="AP66" s="492"/>
      <c r="AQ66" s="492"/>
      <c r="AR66" s="492"/>
      <c r="AS66" s="492"/>
    </row>
    <row r="67" spans="2:45" ht="9" customHeight="1" x14ac:dyDescent="0.2">
      <c r="B67" s="753"/>
      <c r="C67" s="720"/>
      <c r="D67" s="722"/>
      <c r="E67" s="724"/>
      <c r="F67" s="748"/>
      <c r="G67" s="749"/>
      <c r="H67" s="730"/>
      <c r="I67" s="732"/>
      <c r="J67" s="734"/>
      <c r="L67" s="503">
        <f>('ผลงานรายสัปดาห์(เงิน)'!L67)*100/$I66</f>
        <v>0</v>
      </c>
      <c r="M67" s="503">
        <f>('ผลงานรายสัปดาห์(เงิน)'!M67)*100/$I66</f>
        <v>0</v>
      </c>
      <c r="O67" s="720"/>
      <c r="P67" s="502">
        <f>('ผลงานรายสัปดาห์(เงิน)'!P67)*100/$I66</f>
        <v>0</v>
      </c>
      <c r="Q67" s="502">
        <f>('ผลงานรายสัปดาห์(เงิน)'!Q67)*100/$I66</f>
        <v>0</v>
      </c>
      <c r="R67" s="502">
        <f>('ผลงานรายสัปดาห์(เงิน)'!R67)*100/$I66</f>
        <v>0</v>
      </c>
      <c r="S67" s="502">
        <f>('ผลงานรายสัปดาห์(เงิน)'!S67)*100/$I66</f>
        <v>0</v>
      </c>
      <c r="T67" s="495">
        <f>SUM(P67:S67)</f>
        <v>0</v>
      </c>
      <c r="U67" s="502">
        <f>('ผลงานรายสัปดาห์(เงิน)'!U67)*100/$I66</f>
        <v>0</v>
      </c>
      <c r="V67" s="502">
        <f>('ผลงานรายสัปดาห์(เงิน)'!V67)*100/$I66</f>
        <v>0</v>
      </c>
      <c r="W67" s="502">
        <f>('ผลงานรายสัปดาห์(เงิน)'!W67)*100/$I66</f>
        <v>0</v>
      </c>
      <c r="X67" s="502">
        <f>('ผลงานรายสัปดาห์(เงิน)'!X67)*100/$I66</f>
        <v>0</v>
      </c>
      <c r="Y67" s="503">
        <f>SUM(U67:X67)</f>
        <v>0</v>
      </c>
      <c r="Z67" s="502">
        <f>('ผลงานรายสัปดาห์(เงิน)'!Z67)*100/$I66</f>
        <v>0</v>
      </c>
      <c r="AA67" s="502">
        <f>('ผลงานรายสัปดาห์(เงิน)'!AA67)*100/$I66</f>
        <v>0</v>
      </c>
      <c r="AB67" s="502">
        <f>('ผลงานรายสัปดาห์(เงิน)'!AB67)*100/$I66</f>
        <v>0</v>
      </c>
      <c r="AC67" s="502">
        <f>('ผลงานรายสัปดาห์(เงิน)'!AC67)*100/$I66</f>
        <v>0</v>
      </c>
      <c r="AD67" s="503">
        <f>SUM(Z67:AC67)</f>
        <v>0</v>
      </c>
      <c r="AE67" s="502">
        <f>('ผลงานรายสัปดาห์(เงิน)'!AE67)*100/$I66</f>
        <v>0</v>
      </c>
      <c r="AF67" s="502">
        <f>('ผลงานรายสัปดาห์(เงิน)'!AF67)*100/$I66</f>
        <v>0</v>
      </c>
      <c r="AG67" s="502">
        <f>('ผลงานรายสัปดาห์(เงิน)'!AG67)*100/$I66</f>
        <v>0</v>
      </c>
      <c r="AH67" s="502">
        <f>('ผลงานรายสัปดาห์(เงิน)'!AH67)*100/$I66</f>
        <v>0</v>
      </c>
      <c r="AI67" s="503">
        <f>SUM(AE67:AH67)</f>
        <v>0</v>
      </c>
      <c r="AJ67" s="502">
        <f>('ผลงานรายสัปดาห์(เงิน)'!AJ67)*100/$I66</f>
        <v>0</v>
      </c>
      <c r="AK67" s="502">
        <f>('ผลงานรายสัปดาห์(เงิน)'!AK67)*100/$I66</f>
        <v>0</v>
      </c>
      <c r="AL67" s="502">
        <f>('ผลงานรายสัปดาห์(เงิน)'!AL67)*100/$I66</f>
        <v>0</v>
      </c>
      <c r="AM67" s="502">
        <f>('ผลงานรายสัปดาห์(เงิน)'!AM67)*100/$I66</f>
        <v>0</v>
      </c>
      <c r="AN67" s="494"/>
      <c r="AO67" s="494"/>
      <c r="AP67" s="494"/>
      <c r="AQ67" s="494"/>
      <c r="AR67" s="494"/>
      <c r="AS67" s="494"/>
    </row>
    <row r="68" spans="2:45" ht="9" customHeight="1" x14ac:dyDescent="0.2">
      <c r="B68" s="752">
        <v>1.1100000000000001</v>
      </c>
      <c r="C68" s="719" t="s">
        <v>69</v>
      </c>
      <c r="D68" s="721" t="s">
        <v>6</v>
      </c>
      <c r="E68" s="723">
        <v>1</v>
      </c>
      <c r="F68" s="750">
        <f>แผนการก่อสร้าง!G73</f>
        <v>0</v>
      </c>
      <c r="G68" s="751">
        <f>แผนการก่อสร้าง!H73</f>
        <v>0</v>
      </c>
      <c r="H68" s="729">
        <v>333944</v>
      </c>
      <c r="I68" s="731">
        <v>333944</v>
      </c>
      <c r="J68" s="733">
        <v>0.14002127665614111</v>
      </c>
      <c r="L68" s="499"/>
      <c r="M68" s="499"/>
      <c r="O68" s="719" t="s">
        <v>69</v>
      </c>
      <c r="P68" s="504"/>
      <c r="Q68" s="504"/>
      <c r="R68" s="504"/>
      <c r="S68" s="504"/>
      <c r="T68" s="493"/>
      <c r="U68" s="504"/>
      <c r="V68" s="504"/>
      <c r="W68" s="504"/>
      <c r="X68" s="504"/>
      <c r="Y68" s="505"/>
      <c r="Z68" s="492"/>
      <c r="AA68" s="492"/>
      <c r="AB68" s="492"/>
      <c r="AC68" s="492"/>
      <c r="AD68" s="505"/>
      <c r="AE68" s="492"/>
      <c r="AF68" s="492"/>
      <c r="AG68" s="492"/>
      <c r="AH68" s="492"/>
      <c r="AI68" s="505"/>
      <c r="AJ68" s="492"/>
      <c r="AK68" s="492"/>
      <c r="AL68" s="492"/>
      <c r="AM68" s="492"/>
      <c r="AN68" s="493"/>
      <c r="AO68" s="492"/>
      <c r="AP68" s="492"/>
      <c r="AQ68" s="492"/>
      <c r="AR68" s="492"/>
      <c r="AS68" s="492"/>
    </row>
    <row r="69" spans="2:45" ht="9" customHeight="1" x14ac:dyDescent="0.2">
      <c r="B69" s="753"/>
      <c r="C69" s="720"/>
      <c r="D69" s="722"/>
      <c r="E69" s="724"/>
      <c r="F69" s="748"/>
      <c r="G69" s="749"/>
      <c r="H69" s="730"/>
      <c r="I69" s="732"/>
      <c r="J69" s="734"/>
      <c r="L69" s="503">
        <f>('ผลงานรายสัปดาห์(เงิน)'!L69)*100/$I68</f>
        <v>0</v>
      </c>
      <c r="M69" s="503">
        <f>('ผลงานรายสัปดาห์(เงิน)'!M69)*100/$I68</f>
        <v>0</v>
      </c>
      <c r="O69" s="720"/>
      <c r="P69" s="502">
        <f>('ผลงานรายสัปดาห์(เงิน)'!P69)*100/$I68</f>
        <v>0</v>
      </c>
      <c r="Q69" s="502">
        <f>('ผลงานรายสัปดาห์(เงิน)'!Q69)*100/$I68</f>
        <v>0</v>
      </c>
      <c r="R69" s="502">
        <f>('ผลงานรายสัปดาห์(เงิน)'!R69)*100/$I68</f>
        <v>0</v>
      </c>
      <c r="S69" s="502">
        <f>('ผลงานรายสัปดาห์(เงิน)'!S69)*100/$I68</f>
        <v>0</v>
      </c>
      <c r="T69" s="495">
        <f>SUM(P69:S69)</f>
        <v>0</v>
      </c>
      <c r="U69" s="502">
        <f>('ผลงานรายสัปดาห์(เงิน)'!U69)*100/$I68</f>
        <v>0</v>
      </c>
      <c r="V69" s="502">
        <f>('ผลงานรายสัปดาห์(เงิน)'!V69)*100/$I68</f>
        <v>0</v>
      </c>
      <c r="W69" s="502">
        <f>('ผลงานรายสัปดาห์(เงิน)'!W69)*100/$I68</f>
        <v>0</v>
      </c>
      <c r="X69" s="502">
        <f>('ผลงานรายสัปดาห์(เงิน)'!X69)*100/$I68</f>
        <v>0</v>
      </c>
      <c r="Y69" s="503">
        <f>SUM(U69:X69)</f>
        <v>0</v>
      </c>
      <c r="Z69" s="502">
        <f>('ผลงานรายสัปดาห์(เงิน)'!Z69)*100/$I68</f>
        <v>0</v>
      </c>
      <c r="AA69" s="502">
        <f>('ผลงานรายสัปดาห์(เงิน)'!AA69)*100/$I68</f>
        <v>0</v>
      </c>
      <c r="AB69" s="502">
        <f>('ผลงานรายสัปดาห์(เงิน)'!AB69)*100/$I68</f>
        <v>0</v>
      </c>
      <c r="AC69" s="502">
        <f>('ผลงานรายสัปดาห์(เงิน)'!AC69)*100/$I68</f>
        <v>0</v>
      </c>
      <c r="AD69" s="503">
        <f>SUM(Z69:AC69)</f>
        <v>0</v>
      </c>
      <c r="AE69" s="502">
        <f>('ผลงานรายสัปดาห์(เงิน)'!AE69)*100/$I68</f>
        <v>0</v>
      </c>
      <c r="AF69" s="502">
        <f>('ผลงานรายสัปดาห์(เงิน)'!AF69)*100/$I68</f>
        <v>0</v>
      </c>
      <c r="AG69" s="502">
        <f>('ผลงานรายสัปดาห์(เงิน)'!AG69)*100/$I68</f>
        <v>0</v>
      </c>
      <c r="AH69" s="502">
        <f>('ผลงานรายสัปดาห์(เงิน)'!AH69)*100/$I68</f>
        <v>0</v>
      </c>
      <c r="AI69" s="503">
        <f>SUM(AE69:AH69)</f>
        <v>0</v>
      </c>
      <c r="AJ69" s="502">
        <f>('ผลงานรายสัปดาห์(เงิน)'!AJ69)*100/$I68</f>
        <v>0</v>
      </c>
      <c r="AK69" s="502">
        <f>('ผลงานรายสัปดาห์(เงิน)'!AK69)*100/$I68</f>
        <v>0</v>
      </c>
      <c r="AL69" s="502">
        <f>('ผลงานรายสัปดาห์(เงิน)'!AL69)*100/$I68</f>
        <v>0</v>
      </c>
      <c r="AM69" s="502">
        <f>('ผลงานรายสัปดาห์(เงิน)'!AM69)*100/$I68</f>
        <v>0</v>
      </c>
      <c r="AN69" s="494"/>
      <c r="AO69" s="494"/>
      <c r="AP69" s="494"/>
      <c r="AQ69" s="494"/>
      <c r="AR69" s="494"/>
      <c r="AS69" s="494"/>
    </row>
    <row r="70" spans="2:45" ht="9" customHeight="1" x14ac:dyDescent="0.2">
      <c r="B70" s="752">
        <v>1.1200000000000001</v>
      </c>
      <c r="C70" s="719" t="s">
        <v>70</v>
      </c>
      <c r="D70" s="721" t="s">
        <v>6</v>
      </c>
      <c r="E70" s="723">
        <v>1</v>
      </c>
      <c r="F70" s="750">
        <f>แผนการก่อสร้าง!G75</f>
        <v>0</v>
      </c>
      <c r="G70" s="751">
        <f>แผนการก่อสร้าง!H75</f>
        <v>0</v>
      </c>
      <c r="H70" s="729">
        <v>1597253</v>
      </c>
      <c r="I70" s="731">
        <v>1597253</v>
      </c>
      <c r="J70" s="733">
        <v>0.66972128321769919</v>
      </c>
      <c r="L70" s="499"/>
      <c r="M70" s="499"/>
      <c r="O70" s="719" t="s">
        <v>70</v>
      </c>
      <c r="P70" s="504"/>
      <c r="Q70" s="504"/>
      <c r="R70" s="504"/>
      <c r="S70" s="504"/>
      <c r="T70" s="493"/>
      <c r="U70" s="504"/>
      <c r="V70" s="504"/>
      <c r="W70" s="504"/>
      <c r="X70" s="504"/>
      <c r="Y70" s="505"/>
      <c r="Z70" s="492"/>
      <c r="AA70" s="492"/>
      <c r="AB70" s="492"/>
      <c r="AC70" s="492"/>
      <c r="AD70" s="505"/>
      <c r="AE70" s="492"/>
      <c r="AF70" s="492"/>
      <c r="AG70" s="492"/>
      <c r="AH70" s="492"/>
      <c r="AI70" s="505"/>
      <c r="AJ70" s="492"/>
      <c r="AK70" s="492"/>
      <c r="AL70" s="492"/>
      <c r="AM70" s="492"/>
      <c r="AN70" s="493"/>
      <c r="AO70" s="492"/>
      <c r="AP70" s="492"/>
      <c r="AQ70" s="492"/>
      <c r="AR70" s="492"/>
      <c r="AS70" s="492"/>
    </row>
    <row r="71" spans="2:45" ht="9" customHeight="1" x14ac:dyDescent="0.2">
      <c r="B71" s="753"/>
      <c r="C71" s="720"/>
      <c r="D71" s="722"/>
      <c r="E71" s="724"/>
      <c r="F71" s="748"/>
      <c r="G71" s="749"/>
      <c r="H71" s="730"/>
      <c r="I71" s="732"/>
      <c r="J71" s="734"/>
      <c r="L71" s="503">
        <f>('ผลงานรายสัปดาห์(เงิน)'!L71)*100/$I70</f>
        <v>0</v>
      </c>
      <c r="M71" s="503">
        <f>('ผลงานรายสัปดาห์(เงิน)'!M71)*100/$I70</f>
        <v>0</v>
      </c>
      <c r="O71" s="720"/>
      <c r="P71" s="502">
        <f>('ผลงานรายสัปดาห์(เงิน)'!P71)*100/$I70</f>
        <v>0</v>
      </c>
      <c r="Q71" s="502">
        <f>('ผลงานรายสัปดาห์(เงิน)'!Q71)*100/$I70</f>
        <v>0</v>
      </c>
      <c r="R71" s="502">
        <f>('ผลงานรายสัปดาห์(เงิน)'!R71)*100/$I70</f>
        <v>0</v>
      </c>
      <c r="S71" s="502">
        <f>('ผลงานรายสัปดาห์(เงิน)'!S71)*100/$I70</f>
        <v>0</v>
      </c>
      <c r="T71" s="495">
        <f>SUM(P71:S71)</f>
        <v>0</v>
      </c>
      <c r="U71" s="502">
        <f>('ผลงานรายสัปดาห์(เงิน)'!U71)*100/$I70</f>
        <v>0</v>
      </c>
      <c r="V71" s="502">
        <f>('ผลงานรายสัปดาห์(เงิน)'!V71)*100/$I70</f>
        <v>0</v>
      </c>
      <c r="W71" s="502">
        <f>('ผลงานรายสัปดาห์(เงิน)'!W71)*100/$I70</f>
        <v>0</v>
      </c>
      <c r="X71" s="502">
        <f>('ผลงานรายสัปดาห์(เงิน)'!X71)*100/$I70</f>
        <v>0</v>
      </c>
      <c r="Y71" s="503">
        <f>SUM(U71:X71)</f>
        <v>0</v>
      </c>
      <c r="Z71" s="502">
        <f>('ผลงานรายสัปดาห์(เงิน)'!Z71)*100/$I70</f>
        <v>0</v>
      </c>
      <c r="AA71" s="502">
        <f>('ผลงานรายสัปดาห์(เงิน)'!AA71)*100/$I70</f>
        <v>0</v>
      </c>
      <c r="AB71" s="502">
        <f>('ผลงานรายสัปดาห์(เงิน)'!AB71)*100/$I70</f>
        <v>0</v>
      </c>
      <c r="AC71" s="502">
        <f>('ผลงานรายสัปดาห์(เงิน)'!AC71)*100/$I70</f>
        <v>0</v>
      </c>
      <c r="AD71" s="503">
        <f>SUM(Z71:AC71)</f>
        <v>0</v>
      </c>
      <c r="AE71" s="502">
        <f>('ผลงานรายสัปดาห์(เงิน)'!AE71)*100/$I70</f>
        <v>0</v>
      </c>
      <c r="AF71" s="502">
        <f>('ผลงานรายสัปดาห์(เงิน)'!AF71)*100/$I70</f>
        <v>0</v>
      </c>
      <c r="AG71" s="502">
        <f>('ผลงานรายสัปดาห์(เงิน)'!AG71)*100/$I70</f>
        <v>0</v>
      </c>
      <c r="AH71" s="502">
        <f>('ผลงานรายสัปดาห์(เงิน)'!AH71)*100/$I70</f>
        <v>0</v>
      </c>
      <c r="AI71" s="503">
        <f>SUM(AE71:AH71)</f>
        <v>0</v>
      </c>
      <c r="AJ71" s="502">
        <f>('ผลงานรายสัปดาห์(เงิน)'!AJ71)*100/$I70</f>
        <v>0</v>
      </c>
      <c r="AK71" s="502">
        <f>('ผลงานรายสัปดาห์(เงิน)'!AK71)*100/$I70</f>
        <v>0</v>
      </c>
      <c r="AL71" s="502">
        <f>('ผลงานรายสัปดาห์(เงิน)'!AL71)*100/$I70</f>
        <v>0</v>
      </c>
      <c r="AM71" s="502">
        <f>('ผลงานรายสัปดาห์(เงิน)'!AM71)*100/$I70</f>
        <v>0</v>
      </c>
      <c r="AN71" s="494"/>
      <c r="AO71" s="494"/>
      <c r="AP71" s="494"/>
      <c r="AQ71" s="494"/>
      <c r="AR71" s="494"/>
      <c r="AS71" s="494"/>
    </row>
    <row r="72" spans="2:45" ht="9" customHeight="1" x14ac:dyDescent="0.2">
      <c r="B72" s="754">
        <v>2</v>
      </c>
      <c r="C72" s="693" t="s">
        <v>71</v>
      </c>
      <c r="D72" s="757"/>
      <c r="E72" s="759"/>
      <c r="F72" s="486">
        <f>แผนการก่อสร้าง!G77</f>
        <v>0</v>
      </c>
      <c r="G72" s="487">
        <f>แผนการก่อสร้าง!H77</f>
        <v>0</v>
      </c>
      <c r="H72" s="759"/>
      <c r="I72" s="759"/>
      <c r="J72" s="761"/>
      <c r="L72" s="499"/>
      <c r="M72" s="499"/>
      <c r="O72" s="693" t="s">
        <v>71</v>
      </c>
      <c r="P72" s="504"/>
      <c r="Q72" s="504"/>
      <c r="R72" s="504"/>
      <c r="S72" s="504"/>
      <c r="T72" s="493"/>
      <c r="U72" s="504"/>
      <c r="V72" s="504"/>
      <c r="W72" s="504"/>
      <c r="X72" s="504"/>
      <c r="Y72" s="505"/>
      <c r="Z72" s="492"/>
      <c r="AA72" s="492"/>
      <c r="AB72" s="492"/>
      <c r="AC72" s="492"/>
      <c r="AD72" s="505"/>
      <c r="AE72" s="492"/>
      <c r="AF72" s="492"/>
      <c r="AG72" s="492"/>
      <c r="AH72" s="492"/>
      <c r="AI72" s="505"/>
      <c r="AJ72" s="492"/>
      <c r="AK72" s="492"/>
      <c r="AL72" s="492"/>
      <c r="AM72" s="492"/>
      <c r="AN72" s="493"/>
      <c r="AO72" s="492"/>
      <c r="AP72" s="492"/>
      <c r="AQ72" s="492"/>
      <c r="AR72" s="492"/>
      <c r="AS72" s="492"/>
    </row>
    <row r="73" spans="2:45" ht="9" customHeight="1" x14ac:dyDescent="0.2">
      <c r="B73" s="755"/>
      <c r="C73" s="756"/>
      <c r="D73" s="758"/>
      <c r="E73" s="760"/>
      <c r="F73" s="488">
        <f>แผนการก่อสร้าง!G78</f>
        <v>0</v>
      </c>
      <c r="G73" s="489">
        <f>แผนการก่อสร้าง!H78</f>
        <v>0</v>
      </c>
      <c r="H73" s="760"/>
      <c r="I73" s="760"/>
      <c r="J73" s="762"/>
      <c r="L73" s="499"/>
      <c r="M73" s="499"/>
      <c r="O73" s="756"/>
      <c r="P73" s="504"/>
      <c r="Q73" s="504"/>
      <c r="R73" s="504"/>
      <c r="S73" s="504"/>
      <c r="T73" s="493"/>
      <c r="U73" s="504"/>
      <c r="V73" s="504"/>
      <c r="W73" s="504"/>
      <c r="X73" s="504"/>
      <c r="Y73" s="505"/>
      <c r="Z73" s="492"/>
      <c r="AA73" s="492"/>
      <c r="AB73" s="492"/>
      <c r="AC73" s="492"/>
      <c r="AD73" s="505"/>
      <c r="AE73" s="492"/>
      <c r="AF73" s="492"/>
      <c r="AG73" s="492"/>
      <c r="AH73" s="492"/>
      <c r="AI73" s="505"/>
      <c r="AJ73" s="492"/>
      <c r="AK73" s="492"/>
      <c r="AL73" s="492"/>
      <c r="AM73" s="492"/>
      <c r="AN73" s="493"/>
      <c r="AO73" s="492"/>
      <c r="AP73" s="492"/>
      <c r="AQ73" s="492"/>
      <c r="AR73" s="492"/>
      <c r="AS73" s="492"/>
    </row>
    <row r="74" spans="2:45" ht="9" customHeight="1" x14ac:dyDescent="0.2">
      <c r="B74" s="717">
        <v>2.1</v>
      </c>
      <c r="C74" s="719" t="s">
        <v>72</v>
      </c>
      <c r="D74" s="721" t="s">
        <v>6</v>
      </c>
      <c r="E74" s="723">
        <v>1</v>
      </c>
      <c r="F74" s="725">
        <f>แผนการก่อสร้าง!G79</f>
        <v>0</v>
      </c>
      <c r="G74" s="727">
        <f>แผนการก่อสร้าง!H79</f>
        <v>0</v>
      </c>
      <c r="H74" s="729">
        <v>3297434</v>
      </c>
      <c r="I74" s="731">
        <v>3297434</v>
      </c>
      <c r="J74" s="733">
        <v>1.3825998322154791</v>
      </c>
      <c r="L74" s="499"/>
      <c r="M74" s="499"/>
      <c r="O74" s="719" t="s">
        <v>72</v>
      </c>
      <c r="P74" s="504"/>
      <c r="Q74" s="504"/>
      <c r="R74" s="504"/>
      <c r="S74" s="504"/>
      <c r="T74" s="493"/>
      <c r="U74" s="504"/>
      <c r="V74" s="504"/>
      <c r="W74" s="504"/>
      <c r="X74" s="504"/>
      <c r="Y74" s="505"/>
      <c r="Z74" s="492"/>
      <c r="AA74" s="492"/>
      <c r="AB74" s="492"/>
      <c r="AC74" s="492"/>
      <c r="AD74" s="505"/>
      <c r="AE74" s="492"/>
      <c r="AF74" s="492"/>
      <c r="AG74" s="492"/>
      <c r="AH74" s="492"/>
      <c r="AI74" s="505"/>
      <c r="AJ74" s="492"/>
      <c r="AK74" s="492"/>
      <c r="AL74" s="492"/>
      <c r="AM74" s="492"/>
      <c r="AN74" s="493"/>
      <c r="AO74" s="492"/>
      <c r="AP74" s="492"/>
      <c r="AQ74" s="492"/>
      <c r="AR74" s="492"/>
      <c r="AS74" s="492"/>
    </row>
    <row r="75" spans="2:45" ht="9" customHeight="1" x14ac:dyDescent="0.2">
      <c r="B75" s="718"/>
      <c r="C75" s="720"/>
      <c r="D75" s="722"/>
      <c r="E75" s="724"/>
      <c r="F75" s="726"/>
      <c r="G75" s="728"/>
      <c r="H75" s="730"/>
      <c r="I75" s="732"/>
      <c r="J75" s="734"/>
      <c r="L75" s="503">
        <f>('ผลงานรายสัปดาห์(เงิน)'!L75)*100/$I74</f>
        <v>0</v>
      </c>
      <c r="M75" s="503">
        <f>('ผลงานรายสัปดาห์(เงิน)'!M75)*100/$I74</f>
        <v>0</v>
      </c>
      <c r="O75" s="720"/>
      <c r="P75" s="502">
        <f>('ผลงานรายสัปดาห์(เงิน)'!P75)*100/$I74</f>
        <v>0</v>
      </c>
      <c r="Q75" s="502">
        <f>('ผลงานรายสัปดาห์(เงิน)'!Q75)*100/$I74</f>
        <v>0</v>
      </c>
      <c r="R75" s="502">
        <f>('ผลงานรายสัปดาห์(เงิน)'!R75)*100/$I74</f>
        <v>0</v>
      </c>
      <c r="S75" s="502">
        <f>('ผลงานรายสัปดาห์(เงิน)'!S75)*100/$I74</f>
        <v>0</v>
      </c>
      <c r="T75" s="495">
        <f>SUM(P75:S75)</f>
        <v>0</v>
      </c>
      <c r="U75" s="502">
        <f>('ผลงานรายสัปดาห์(เงิน)'!U75)*100/$I74</f>
        <v>0</v>
      </c>
      <c r="V75" s="502">
        <f>('ผลงานรายสัปดาห์(เงิน)'!V75)*100/$I74</f>
        <v>0</v>
      </c>
      <c r="W75" s="502">
        <f>('ผลงานรายสัปดาห์(เงิน)'!W75)*100/$I74</f>
        <v>0</v>
      </c>
      <c r="X75" s="502">
        <f>('ผลงานรายสัปดาห์(เงิน)'!X75)*100/$I74</f>
        <v>0</v>
      </c>
      <c r="Y75" s="503">
        <f>SUM(U75:X75)</f>
        <v>0</v>
      </c>
      <c r="Z75" s="502">
        <f>('ผลงานรายสัปดาห์(เงิน)'!Z75)*100/$I74</f>
        <v>0</v>
      </c>
      <c r="AA75" s="502">
        <f>('ผลงานรายสัปดาห์(เงิน)'!AA75)*100/$I74</f>
        <v>0</v>
      </c>
      <c r="AB75" s="502">
        <f>('ผลงานรายสัปดาห์(เงิน)'!AB75)*100/$I74</f>
        <v>0</v>
      </c>
      <c r="AC75" s="502">
        <f>('ผลงานรายสัปดาห์(เงิน)'!AC75)*100/$I74</f>
        <v>0</v>
      </c>
      <c r="AD75" s="503">
        <f>SUM(Z75:AC75)</f>
        <v>0</v>
      </c>
      <c r="AE75" s="502">
        <f>('ผลงานรายสัปดาห์(เงิน)'!AE75)*100/$I74</f>
        <v>0</v>
      </c>
      <c r="AF75" s="502">
        <f>('ผลงานรายสัปดาห์(เงิน)'!AF75)*100/$I74</f>
        <v>0</v>
      </c>
      <c r="AG75" s="502">
        <f>('ผลงานรายสัปดาห์(เงิน)'!AG75)*100/$I74</f>
        <v>0</v>
      </c>
      <c r="AH75" s="502">
        <f>('ผลงานรายสัปดาห์(เงิน)'!AH75)*100/$I74</f>
        <v>0</v>
      </c>
      <c r="AI75" s="503">
        <f>SUM(AE75:AH75)</f>
        <v>0</v>
      </c>
      <c r="AJ75" s="502">
        <f>('ผลงานรายสัปดาห์(เงิน)'!AJ75)*100/$I74</f>
        <v>0</v>
      </c>
      <c r="AK75" s="502">
        <f>('ผลงานรายสัปดาห์(เงิน)'!AK75)*100/$I74</f>
        <v>0</v>
      </c>
      <c r="AL75" s="502">
        <f>('ผลงานรายสัปดาห์(เงิน)'!AL75)*100/$I74</f>
        <v>0</v>
      </c>
      <c r="AM75" s="502">
        <f>('ผลงานรายสัปดาห์(เงิน)'!AM75)*100/$I74</f>
        <v>0</v>
      </c>
      <c r="AN75" s="494"/>
      <c r="AO75" s="494"/>
      <c r="AP75" s="494"/>
      <c r="AQ75" s="494"/>
      <c r="AR75" s="494"/>
      <c r="AS75" s="494"/>
    </row>
    <row r="76" spans="2:45" ht="9" customHeight="1" x14ac:dyDescent="0.2">
      <c r="B76" s="717">
        <v>2.2000000000000002</v>
      </c>
      <c r="C76" s="719" t="s">
        <v>122</v>
      </c>
      <c r="D76" s="721" t="s">
        <v>6</v>
      </c>
      <c r="E76" s="723">
        <v>1</v>
      </c>
      <c r="F76" s="725">
        <f>แผนการก่อสร้าง!G81</f>
        <v>1.57E-3</v>
      </c>
      <c r="G76" s="727">
        <f>แผนการก่อสร้าง!H81</f>
        <v>0.157</v>
      </c>
      <c r="H76" s="729">
        <v>22731675</v>
      </c>
      <c r="I76" s="731">
        <v>22731675</v>
      </c>
      <c r="J76" s="733">
        <v>9.5312931330776607</v>
      </c>
      <c r="L76" s="499"/>
      <c r="M76" s="499"/>
      <c r="O76" s="719" t="s">
        <v>122</v>
      </c>
      <c r="P76" s="504"/>
      <c r="Q76" s="504"/>
      <c r="R76" s="504"/>
      <c r="S76" s="504"/>
      <c r="T76" s="493"/>
      <c r="U76" s="504"/>
      <c r="V76" s="504"/>
      <c r="W76" s="504"/>
      <c r="X76" s="504"/>
      <c r="Y76" s="505"/>
      <c r="Z76" s="492"/>
      <c r="AA76" s="492"/>
      <c r="AB76" s="492"/>
      <c r="AC76" s="492"/>
      <c r="AD76" s="505"/>
      <c r="AE76" s="492"/>
      <c r="AF76" s="492"/>
      <c r="AG76" s="492"/>
      <c r="AH76" s="492"/>
      <c r="AI76" s="505"/>
      <c r="AJ76" s="492"/>
      <c r="AK76" s="492"/>
      <c r="AL76" s="492"/>
      <c r="AM76" s="492"/>
      <c r="AN76" s="493"/>
      <c r="AO76" s="492"/>
      <c r="AP76" s="492"/>
      <c r="AQ76" s="492"/>
      <c r="AR76" s="492"/>
      <c r="AS76" s="492"/>
    </row>
    <row r="77" spans="2:45" ht="9" customHeight="1" x14ac:dyDescent="0.2">
      <c r="B77" s="718"/>
      <c r="C77" s="720"/>
      <c r="D77" s="722"/>
      <c r="E77" s="724"/>
      <c r="F77" s="748"/>
      <c r="G77" s="749"/>
      <c r="H77" s="730"/>
      <c r="I77" s="732"/>
      <c r="J77" s="763"/>
      <c r="L77" s="503">
        <f>('ผลงานรายสัปดาห์(เงิน)'!L77)*100/$I76</f>
        <v>0.15715515904569285</v>
      </c>
      <c r="M77" s="503">
        <f>('ผลงานรายสัปดาห์(เงิน)'!M77)*100/$I76</f>
        <v>0.15715515904569285</v>
      </c>
      <c r="O77" s="720"/>
      <c r="P77" s="502">
        <f>('ผลงานรายสัปดาห์(เงิน)'!P77)*100/$I76</f>
        <v>0</v>
      </c>
      <c r="Q77" s="502">
        <f>('ผลงานรายสัปดาห์(เงิน)'!Q77)*100/$I76</f>
        <v>0</v>
      </c>
      <c r="R77" s="502">
        <f>('ผลงานรายสัปดาห์(เงิน)'!R77)*100/$I76</f>
        <v>0</v>
      </c>
      <c r="S77" s="502">
        <f>('ผลงานรายสัปดาห์(เงิน)'!S77)*100/$I76</f>
        <v>0.15715515904569285</v>
      </c>
      <c r="T77" s="495">
        <f>SUM(P77:S77)</f>
        <v>0.15715515904569285</v>
      </c>
      <c r="U77" s="502">
        <f>('ผลงานรายสัปดาห์(เงิน)'!U77)*100/$I76</f>
        <v>0</v>
      </c>
      <c r="V77" s="502">
        <f>('ผลงานรายสัปดาห์(เงิน)'!V77)*100/$I76</f>
        <v>0</v>
      </c>
      <c r="W77" s="502">
        <f>('ผลงานรายสัปดาห์(เงิน)'!W77)*100/$I76</f>
        <v>0</v>
      </c>
      <c r="X77" s="502">
        <f>('ผลงานรายสัปดาห์(เงิน)'!X77)*100/$I76</f>
        <v>0</v>
      </c>
      <c r="Y77" s="503">
        <f>SUM(U77:X77)</f>
        <v>0</v>
      </c>
      <c r="Z77" s="502">
        <f>('ผลงานรายสัปดาห์(เงิน)'!Z77)*100/$I76</f>
        <v>0</v>
      </c>
      <c r="AA77" s="502">
        <f>('ผลงานรายสัปดาห์(เงิน)'!AA77)*100/$I76</f>
        <v>0</v>
      </c>
      <c r="AB77" s="502">
        <f>('ผลงานรายสัปดาห์(เงิน)'!AB77)*100/$I76</f>
        <v>0</v>
      </c>
      <c r="AC77" s="502">
        <f>('ผลงานรายสัปดาห์(เงิน)'!AC77)*100/$I76</f>
        <v>0</v>
      </c>
      <c r="AD77" s="503">
        <f>SUM(Z77:AC77)</f>
        <v>0</v>
      </c>
      <c r="AE77" s="502">
        <f>('ผลงานรายสัปดาห์(เงิน)'!AE77)*100/$I76</f>
        <v>0</v>
      </c>
      <c r="AF77" s="502">
        <f>('ผลงานรายสัปดาห์(เงิน)'!AF77)*100/$I76</f>
        <v>0</v>
      </c>
      <c r="AG77" s="502">
        <f>('ผลงานรายสัปดาห์(เงิน)'!AG77)*100/$I76</f>
        <v>0</v>
      </c>
      <c r="AH77" s="502">
        <f>('ผลงานรายสัปดาห์(เงิน)'!AH77)*100/$I76</f>
        <v>0</v>
      </c>
      <c r="AI77" s="503">
        <f>SUM(AE77:AH77)</f>
        <v>0</v>
      </c>
      <c r="AJ77" s="502">
        <f>('ผลงานรายสัปดาห์(เงิน)'!AJ77)*100/$I76</f>
        <v>0</v>
      </c>
      <c r="AK77" s="502">
        <f>('ผลงานรายสัปดาห์(เงิน)'!AK77)*100/$I76</f>
        <v>0</v>
      </c>
      <c r="AL77" s="502">
        <f>('ผลงานรายสัปดาห์(เงิน)'!AL77)*100/$I76</f>
        <v>0</v>
      </c>
      <c r="AM77" s="502">
        <f>('ผลงานรายสัปดาห์(เงิน)'!AM77)*100/$I76</f>
        <v>0</v>
      </c>
      <c r="AN77" s="494"/>
      <c r="AO77" s="494"/>
      <c r="AP77" s="494"/>
      <c r="AQ77" s="494"/>
      <c r="AR77" s="494"/>
      <c r="AS77" s="494"/>
    </row>
    <row r="78" spans="2:45" ht="9" customHeight="1" x14ac:dyDescent="0.2">
      <c r="B78" s="754">
        <v>3</v>
      </c>
      <c r="C78" s="693" t="s">
        <v>29</v>
      </c>
      <c r="D78" s="757"/>
      <c r="E78" s="759"/>
      <c r="F78" s="486">
        <f>แผนการก่อสร้าง!G83</f>
        <v>0</v>
      </c>
      <c r="G78" s="487">
        <f>แผนการก่อสร้าง!H83</f>
        <v>0</v>
      </c>
      <c r="H78" s="759"/>
      <c r="I78" s="759"/>
      <c r="J78" s="761"/>
      <c r="L78" s="499"/>
      <c r="M78" s="499"/>
      <c r="O78" s="693" t="s">
        <v>29</v>
      </c>
      <c r="P78" s="504"/>
      <c r="Q78" s="504"/>
      <c r="R78" s="504"/>
      <c r="S78" s="504"/>
      <c r="T78" s="493"/>
      <c r="U78" s="504"/>
      <c r="V78" s="504"/>
      <c r="W78" s="504"/>
      <c r="X78" s="504"/>
      <c r="Y78" s="505"/>
      <c r="Z78" s="492"/>
      <c r="AA78" s="492"/>
      <c r="AB78" s="492"/>
      <c r="AC78" s="492"/>
      <c r="AD78" s="505"/>
      <c r="AE78" s="492"/>
      <c r="AF78" s="492"/>
      <c r="AG78" s="492"/>
      <c r="AH78" s="492"/>
      <c r="AI78" s="505"/>
      <c r="AJ78" s="492"/>
      <c r="AK78" s="492"/>
      <c r="AL78" s="492"/>
      <c r="AM78" s="492"/>
      <c r="AN78" s="493"/>
      <c r="AO78" s="492"/>
      <c r="AP78" s="492"/>
      <c r="AQ78" s="492"/>
      <c r="AR78" s="492"/>
      <c r="AS78" s="492"/>
    </row>
    <row r="79" spans="2:45" ht="9" customHeight="1" x14ac:dyDescent="0.2">
      <c r="B79" s="755"/>
      <c r="C79" s="756"/>
      <c r="D79" s="758"/>
      <c r="E79" s="760"/>
      <c r="F79" s="488">
        <f>แผนการก่อสร้าง!G84</f>
        <v>0</v>
      </c>
      <c r="G79" s="489">
        <f>แผนการก่อสร้าง!H84</f>
        <v>0</v>
      </c>
      <c r="H79" s="760"/>
      <c r="I79" s="760"/>
      <c r="J79" s="762"/>
      <c r="L79" s="499"/>
      <c r="M79" s="499"/>
      <c r="O79" s="756"/>
      <c r="P79" s="504"/>
      <c r="Q79" s="504"/>
      <c r="R79" s="504"/>
      <c r="S79" s="504"/>
      <c r="T79" s="493"/>
      <c r="U79" s="504"/>
      <c r="V79" s="504"/>
      <c r="W79" s="504"/>
      <c r="X79" s="504"/>
      <c r="Y79" s="505"/>
      <c r="Z79" s="492"/>
      <c r="AA79" s="492"/>
      <c r="AB79" s="492"/>
      <c r="AC79" s="492"/>
      <c r="AD79" s="505"/>
      <c r="AE79" s="492"/>
      <c r="AF79" s="492"/>
      <c r="AG79" s="492"/>
      <c r="AH79" s="492"/>
      <c r="AI79" s="505"/>
      <c r="AJ79" s="492"/>
      <c r="AK79" s="492"/>
      <c r="AL79" s="492"/>
      <c r="AM79" s="492"/>
      <c r="AN79" s="493"/>
      <c r="AO79" s="492"/>
      <c r="AP79" s="492"/>
      <c r="AQ79" s="492"/>
      <c r="AR79" s="492"/>
      <c r="AS79" s="492"/>
    </row>
    <row r="80" spans="2:45" ht="9" customHeight="1" x14ac:dyDescent="0.2">
      <c r="B80" s="717">
        <v>3.1</v>
      </c>
      <c r="C80" s="764" t="s">
        <v>105</v>
      </c>
      <c r="D80" s="721" t="s">
        <v>6</v>
      </c>
      <c r="E80" s="723">
        <v>1</v>
      </c>
      <c r="F80" s="725">
        <f>แผนการก่อสร้าง!G85</f>
        <v>0.1623</v>
      </c>
      <c r="G80" s="727">
        <f>แผนการก่อสร้าง!H85</f>
        <v>16.23</v>
      </c>
      <c r="H80" s="729">
        <v>20579504</v>
      </c>
      <c r="I80" s="731">
        <v>20579504</v>
      </c>
      <c r="J80" s="733">
        <v>8.6288971295491539</v>
      </c>
      <c r="L80" s="499"/>
      <c r="M80" s="499"/>
      <c r="O80" s="764" t="s">
        <v>105</v>
      </c>
      <c r="P80" s="504"/>
      <c r="Q80" s="504"/>
      <c r="R80" s="504"/>
      <c r="S80" s="504"/>
      <c r="T80" s="493"/>
      <c r="U80" s="504"/>
      <c r="V80" s="504"/>
      <c r="W80" s="504"/>
      <c r="X80" s="504"/>
      <c r="Y80" s="505"/>
      <c r="Z80" s="492"/>
      <c r="AA80" s="492"/>
      <c r="AB80" s="492"/>
      <c r="AC80" s="492"/>
      <c r="AD80" s="505"/>
      <c r="AE80" s="492"/>
      <c r="AF80" s="492"/>
      <c r="AG80" s="492"/>
      <c r="AH80" s="492"/>
      <c r="AI80" s="505"/>
      <c r="AJ80" s="492"/>
      <c r="AK80" s="492"/>
      <c r="AL80" s="492"/>
      <c r="AM80" s="492"/>
      <c r="AN80" s="493"/>
      <c r="AO80" s="492"/>
      <c r="AP80" s="492"/>
      <c r="AQ80" s="492"/>
      <c r="AR80" s="492"/>
      <c r="AS80" s="492"/>
    </row>
    <row r="81" spans="2:45" ht="9" customHeight="1" x14ac:dyDescent="0.2">
      <c r="B81" s="718"/>
      <c r="C81" s="765"/>
      <c r="D81" s="722"/>
      <c r="E81" s="724"/>
      <c r="F81" s="726"/>
      <c r="G81" s="728"/>
      <c r="H81" s="730"/>
      <c r="I81" s="732"/>
      <c r="J81" s="734"/>
      <c r="L81" s="503">
        <f>('ผลงานรายสัปดาห์(เงิน)'!L81)*100/$I80</f>
        <v>16.229740036494562</v>
      </c>
      <c r="M81" s="503">
        <f>('ผลงานรายสัปดาห์(เงิน)'!M81)*100/$I80</f>
        <v>16.229740036494562</v>
      </c>
      <c r="O81" s="765"/>
      <c r="P81" s="502">
        <f>('ผลงานรายสัปดาห์(เงิน)'!P81)*100/$I80</f>
        <v>0</v>
      </c>
      <c r="Q81" s="502">
        <f>('ผลงานรายสัปดาห์(เงิน)'!Q81)*100/$I80</f>
        <v>0</v>
      </c>
      <c r="R81" s="502">
        <f>('ผลงานรายสัปดาห์(เงิน)'!R81)*100/$I80</f>
        <v>0</v>
      </c>
      <c r="S81" s="502">
        <f>('ผลงานรายสัปดาห์(เงิน)'!S81)*100/$I80</f>
        <v>0</v>
      </c>
      <c r="T81" s="495">
        <f>SUM(P81:S81)</f>
        <v>0</v>
      </c>
      <c r="U81" s="502">
        <f>('ผลงานรายสัปดาห์(เงิน)'!U81)*100/$I80</f>
        <v>0</v>
      </c>
      <c r="V81" s="502">
        <f>('ผลงานรายสัปดาห์(เงิน)'!V81)*100/$I80</f>
        <v>0</v>
      </c>
      <c r="W81" s="502">
        <f>('ผลงานรายสัปดาห์(เงิน)'!W81)*100/$I80</f>
        <v>16.229740036494562</v>
      </c>
      <c r="X81" s="502">
        <f>('ผลงานรายสัปดาห์(เงิน)'!X81)*100/$I80</f>
        <v>0</v>
      </c>
      <c r="Y81" s="503">
        <f>SUM(U81:X81)</f>
        <v>16.229740036494562</v>
      </c>
      <c r="Z81" s="502">
        <f>('ผลงานรายสัปดาห์(เงิน)'!Z81)*100/$I80</f>
        <v>0</v>
      </c>
      <c r="AA81" s="502">
        <f>('ผลงานรายสัปดาห์(เงิน)'!AA81)*100/$I80</f>
        <v>0</v>
      </c>
      <c r="AB81" s="502">
        <f>('ผลงานรายสัปดาห์(เงิน)'!AB81)*100/$I80</f>
        <v>0</v>
      </c>
      <c r="AC81" s="502">
        <f>('ผลงานรายสัปดาห์(เงิน)'!AC81)*100/$I80</f>
        <v>0</v>
      </c>
      <c r="AD81" s="503">
        <f>SUM(Z81:AC81)</f>
        <v>0</v>
      </c>
      <c r="AE81" s="502">
        <f>('ผลงานรายสัปดาห์(เงิน)'!AE81)*100/$I80</f>
        <v>0</v>
      </c>
      <c r="AF81" s="502">
        <f>('ผลงานรายสัปดาห์(เงิน)'!AF81)*100/$I80</f>
        <v>0</v>
      </c>
      <c r="AG81" s="502">
        <f>('ผลงานรายสัปดาห์(เงิน)'!AG81)*100/$I80</f>
        <v>0</v>
      </c>
      <c r="AH81" s="502">
        <f>('ผลงานรายสัปดาห์(เงิน)'!AH81)*100/$I80</f>
        <v>0</v>
      </c>
      <c r="AI81" s="503">
        <f>SUM(AE81:AH81)</f>
        <v>0</v>
      </c>
      <c r="AJ81" s="502">
        <f>('ผลงานรายสัปดาห์(เงิน)'!AJ81)*100/$I80</f>
        <v>0</v>
      </c>
      <c r="AK81" s="502">
        <f>('ผลงานรายสัปดาห์(เงิน)'!AK81)*100/$I80</f>
        <v>0</v>
      </c>
      <c r="AL81" s="502">
        <f>('ผลงานรายสัปดาห์(เงิน)'!AL81)*100/$I80</f>
        <v>0</v>
      </c>
      <c r="AM81" s="502">
        <f>('ผลงานรายสัปดาห์(เงิน)'!AM81)*100/$I80</f>
        <v>0</v>
      </c>
      <c r="AN81" s="494"/>
      <c r="AO81" s="494"/>
      <c r="AP81" s="494"/>
      <c r="AQ81" s="494"/>
      <c r="AR81" s="494"/>
      <c r="AS81" s="494"/>
    </row>
    <row r="82" spans="2:45" ht="9" customHeight="1" x14ac:dyDescent="0.2">
      <c r="B82" s="717">
        <v>3.2</v>
      </c>
      <c r="C82" s="764" t="s">
        <v>107</v>
      </c>
      <c r="D82" s="721" t="s">
        <v>6</v>
      </c>
      <c r="E82" s="723">
        <v>1</v>
      </c>
      <c r="F82" s="725">
        <f>แผนการก่อสร้าง!G87</f>
        <v>0.26985999999999999</v>
      </c>
      <c r="G82" s="727">
        <f>แผนการก่อสร้าง!H87</f>
        <v>26.986000000000001</v>
      </c>
      <c r="H82" s="729">
        <v>17824270</v>
      </c>
      <c r="I82" s="731">
        <v>17824270</v>
      </c>
      <c r="J82" s="733">
        <v>7.473639415182654</v>
      </c>
      <c r="L82" s="499"/>
      <c r="M82" s="499"/>
      <c r="O82" s="764" t="s">
        <v>107</v>
      </c>
      <c r="P82" s="504"/>
      <c r="Q82" s="504"/>
      <c r="R82" s="504"/>
      <c r="S82" s="504"/>
      <c r="T82" s="493"/>
      <c r="U82" s="504"/>
      <c r="V82" s="504"/>
      <c r="W82" s="504"/>
      <c r="X82" s="504"/>
      <c r="Y82" s="505"/>
      <c r="Z82" s="492"/>
      <c r="AA82" s="492"/>
      <c r="AB82" s="492"/>
      <c r="AC82" s="492"/>
      <c r="AD82" s="505"/>
      <c r="AE82" s="492"/>
      <c r="AF82" s="492"/>
      <c r="AG82" s="492"/>
      <c r="AH82" s="492"/>
      <c r="AI82" s="505"/>
      <c r="AJ82" s="492"/>
      <c r="AK82" s="492"/>
      <c r="AL82" s="492"/>
      <c r="AM82" s="492"/>
      <c r="AN82" s="493"/>
      <c r="AO82" s="492"/>
      <c r="AP82" s="492"/>
      <c r="AQ82" s="492"/>
      <c r="AR82" s="492"/>
      <c r="AS82" s="492"/>
    </row>
    <row r="83" spans="2:45" ht="9" customHeight="1" x14ac:dyDescent="0.2">
      <c r="B83" s="718"/>
      <c r="C83" s="765"/>
      <c r="D83" s="722"/>
      <c r="E83" s="724"/>
      <c r="F83" s="726"/>
      <c r="G83" s="728"/>
      <c r="H83" s="730"/>
      <c r="I83" s="732"/>
      <c r="J83" s="734"/>
      <c r="L83" s="503">
        <f>('ผลงานรายสัปดาห์(เงิน)'!L83)*100/$I82</f>
        <v>26.9856773938007</v>
      </c>
      <c r="M83" s="503">
        <f>('ผลงานรายสัปดาห์(เงิน)'!M83)*100/$I82</f>
        <v>26.9856773938007</v>
      </c>
      <c r="O83" s="765"/>
      <c r="P83" s="502">
        <f>('ผลงานรายสัปดาห์(เงิน)'!P83)*100/$I82</f>
        <v>0</v>
      </c>
      <c r="Q83" s="502">
        <f>('ผลงานรายสัปดาห์(เงิน)'!Q83)*100/$I82</f>
        <v>0</v>
      </c>
      <c r="R83" s="502">
        <f>('ผลงานรายสัปดาห์(เงิน)'!R83)*100/$I82</f>
        <v>0</v>
      </c>
      <c r="S83" s="502">
        <f>('ผลงานรายสัปดาห์(เงิน)'!S83)*100/$I82</f>
        <v>0</v>
      </c>
      <c r="T83" s="495">
        <f>SUM(P83:S83)</f>
        <v>0</v>
      </c>
      <c r="U83" s="502">
        <f>('ผลงานรายสัปดาห์(เงิน)'!U83)*100/$I82</f>
        <v>0</v>
      </c>
      <c r="V83" s="502">
        <f>('ผลงานรายสัปดาห์(เงิน)'!V83)*100/$I82</f>
        <v>0</v>
      </c>
      <c r="W83" s="502">
        <f>('ผลงานรายสัปดาห์(เงิน)'!W83)*100/$I82</f>
        <v>0</v>
      </c>
      <c r="X83" s="502">
        <f>('ผลงานรายสัปดาห์(เงิน)'!X83)*100/$I82</f>
        <v>0</v>
      </c>
      <c r="Y83" s="503">
        <f>SUM(U83:X83)</f>
        <v>0</v>
      </c>
      <c r="Z83" s="502">
        <f>('ผลงานรายสัปดาห์(เงิน)'!Z83)*100/$I82</f>
        <v>0</v>
      </c>
      <c r="AA83" s="502">
        <f>('ผลงานรายสัปดาห์(เงิน)'!AA83)*100/$I82</f>
        <v>0</v>
      </c>
      <c r="AB83" s="502">
        <f>('ผลงานรายสัปดาห์(เงิน)'!AB83)*100/$I82</f>
        <v>0</v>
      </c>
      <c r="AC83" s="502">
        <f>('ผลงานรายสัปดาห์(เงิน)'!AC83)*100/$I82</f>
        <v>26.9856773938007</v>
      </c>
      <c r="AD83" s="503">
        <f>SUM(Z83:AC83)</f>
        <v>26.9856773938007</v>
      </c>
      <c r="AE83" s="502">
        <f>('ผลงานรายสัปดาห์(เงิน)'!AE83)*100/$I82</f>
        <v>0</v>
      </c>
      <c r="AF83" s="502">
        <f>('ผลงานรายสัปดาห์(เงิน)'!AF83)*100/$I82</f>
        <v>0</v>
      </c>
      <c r="AG83" s="502">
        <f>('ผลงานรายสัปดาห์(เงิน)'!AG83)*100/$I82</f>
        <v>0</v>
      </c>
      <c r="AH83" s="502">
        <f>('ผลงานรายสัปดาห์(เงิน)'!AH83)*100/$I82</f>
        <v>0</v>
      </c>
      <c r="AI83" s="503">
        <f>SUM(AE83:AH83)</f>
        <v>0</v>
      </c>
      <c r="AJ83" s="502">
        <f>('ผลงานรายสัปดาห์(เงิน)'!AJ83)*100/$I82</f>
        <v>0</v>
      </c>
      <c r="AK83" s="502">
        <f>('ผลงานรายสัปดาห์(เงิน)'!AK83)*100/$I82</f>
        <v>0</v>
      </c>
      <c r="AL83" s="502">
        <f>('ผลงานรายสัปดาห์(เงิน)'!AL83)*100/$I82</f>
        <v>0</v>
      </c>
      <c r="AM83" s="502">
        <f>('ผลงานรายสัปดาห์(เงิน)'!AM83)*100/$I82</f>
        <v>0</v>
      </c>
      <c r="AN83" s="494"/>
      <c r="AO83" s="494"/>
      <c r="AP83" s="494"/>
      <c r="AQ83" s="494"/>
      <c r="AR83" s="494"/>
      <c r="AS83" s="494"/>
    </row>
    <row r="84" spans="2:45" ht="9" customHeight="1" x14ac:dyDescent="0.2">
      <c r="B84" s="717">
        <v>3.3</v>
      </c>
      <c r="C84" s="764" t="s">
        <v>108</v>
      </c>
      <c r="D84" s="721" t="s">
        <v>6</v>
      </c>
      <c r="E84" s="723">
        <v>1</v>
      </c>
      <c r="F84" s="725">
        <f>แผนการก่อสร้าง!G89</f>
        <v>0.21559</v>
      </c>
      <c r="G84" s="727">
        <f>แผนการก่อสร้าง!H89</f>
        <v>21.559000000000001</v>
      </c>
      <c r="H84" s="729">
        <v>24768803</v>
      </c>
      <c r="I84" s="731">
        <v>24768803</v>
      </c>
      <c r="J84" s="733">
        <v>10.385452103659469</v>
      </c>
      <c r="L84" s="499"/>
      <c r="M84" s="499"/>
      <c r="O84" s="764" t="s">
        <v>108</v>
      </c>
      <c r="P84" s="504"/>
      <c r="Q84" s="504"/>
      <c r="R84" s="504"/>
      <c r="S84" s="504"/>
      <c r="T84" s="493"/>
      <c r="U84" s="504"/>
      <c r="V84" s="504"/>
      <c r="W84" s="504"/>
      <c r="X84" s="504"/>
      <c r="Y84" s="505"/>
      <c r="Z84" s="492"/>
      <c r="AA84" s="492"/>
      <c r="AB84" s="492"/>
      <c r="AC84" s="492"/>
      <c r="AD84" s="505"/>
      <c r="AE84" s="492"/>
      <c r="AF84" s="492"/>
      <c r="AG84" s="492"/>
      <c r="AH84" s="492"/>
      <c r="AI84" s="505"/>
      <c r="AJ84" s="492"/>
      <c r="AK84" s="492"/>
      <c r="AL84" s="492"/>
      <c r="AM84" s="492"/>
      <c r="AN84" s="493"/>
      <c r="AO84" s="492"/>
      <c r="AP84" s="492"/>
      <c r="AQ84" s="492"/>
      <c r="AR84" s="492"/>
      <c r="AS84" s="492"/>
    </row>
    <row r="85" spans="2:45" ht="9" customHeight="1" x14ac:dyDescent="0.2">
      <c r="B85" s="718"/>
      <c r="C85" s="765"/>
      <c r="D85" s="722"/>
      <c r="E85" s="724"/>
      <c r="F85" s="726"/>
      <c r="G85" s="728"/>
      <c r="H85" s="730"/>
      <c r="I85" s="732"/>
      <c r="J85" s="734"/>
      <c r="L85" s="503">
        <f>('ผลงานรายสัปดาห์(เงิน)'!L85)*100/$I84</f>
        <v>21.559378545664885</v>
      </c>
      <c r="M85" s="503">
        <f>('ผลงานรายสัปดาห์(เงิน)'!M85)*100/$I84</f>
        <v>21.559378545664885</v>
      </c>
      <c r="O85" s="765"/>
      <c r="P85" s="502">
        <f>('ผลงานรายสัปดาห์(เงิน)'!P85)*100/$I84</f>
        <v>0</v>
      </c>
      <c r="Q85" s="502">
        <f>('ผลงานรายสัปดาห์(เงิน)'!Q85)*100/$I84</f>
        <v>0</v>
      </c>
      <c r="R85" s="502">
        <f>('ผลงานรายสัปดาห์(เงิน)'!R85)*100/$I84</f>
        <v>0</v>
      </c>
      <c r="S85" s="502">
        <f>('ผลงานรายสัปดาห์(เงิน)'!S85)*100/$I84</f>
        <v>0</v>
      </c>
      <c r="T85" s="495">
        <f>SUM(P85:S85)</f>
        <v>0</v>
      </c>
      <c r="U85" s="502">
        <f>('ผลงานรายสัปดาห์(เงิน)'!U85)*100/$I84</f>
        <v>0</v>
      </c>
      <c r="V85" s="502">
        <f>('ผลงานรายสัปดาห์(เงิน)'!V85)*100/$I84</f>
        <v>0</v>
      </c>
      <c r="W85" s="502">
        <f>('ผลงานรายสัปดาห์(เงิน)'!W85)*100/$I84</f>
        <v>21.559378545664885</v>
      </c>
      <c r="X85" s="502">
        <f>('ผลงานรายสัปดาห์(เงิน)'!X85)*100/$I84</f>
        <v>0</v>
      </c>
      <c r="Y85" s="503">
        <f>SUM(U85:X85)</f>
        <v>21.559378545664885</v>
      </c>
      <c r="Z85" s="502">
        <f>('ผลงานรายสัปดาห์(เงิน)'!Z85)*100/$I84</f>
        <v>0</v>
      </c>
      <c r="AA85" s="502">
        <f>('ผลงานรายสัปดาห์(เงิน)'!AA85)*100/$I84</f>
        <v>0</v>
      </c>
      <c r="AB85" s="502">
        <f>('ผลงานรายสัปดาห์(เงิน)'!AB85)*100/$I84</f>
        <v>0</v>
      </c>
      <c r="AC85" s="502">
        <f>('ผลงานรายสัปดาห์(เงิน)'!AC85)*100/$I84</f>
        <v>0</v>
      </c>
      <c r="AD85" s="503">
        <f>SUM(Z85:AC85)</f>
        <v>0</v>
      </c>
      <c r="AE85" s="502">
        <f>('ผลงานรายสัปดาห์(เงิน)'!AE85)*100/$I84</f>
        <v>0</v>
      </c>
      <c r="AF85" s="502">
        <f>('ผลงานรายสัปดาห์(เงิน)'!AF85)*100/$I84</f>
        <v>0</v>
      </c>
      <c r="AG85" s="502">
        <f>('ผลงานรายสัปดาห์(เงิน)'!AG85)*100/$I84</f>
        <v>0</v>
      </c>
      <c r="AH85" s="502">
        <f>('ผลงานรายสัปดาห์(เงิน)'!AH85)*100/$I84</f>
        <v>0</v>
      </c>
      <c r="AI85" s="503">
        <f>SUM(AE85:AH85)</f>
        <v>0</v>
      </c>
      <c r="AJ85" s="502">
        <f>('ผลงานรายสัปดาห์(เงิน)'!AJ85)*100/$I84</f>
        <v>0</v>
      </c>
      <c r="AK85" s="502">
        <f>('ผลงานรายสัปดาห์(เงิน)'!AK85)*100/$I84</f>
        <v>0</v>
      </c>
      <c r="AL85" s="502">
        <f>('ผลงานรายสัปดาห์(เงิน)'!AL85)*100/$I84</f>
        <v>0</v>
      </c>
      <c r="AM85" s="502">
        <f>('ผลงานรายสัปดาห์(เงิน)'!AM85)*100/$I84</f>
        <v>0</v>
      </c>
      <c r="AN85" s="494"/>
      <c r="AO85" s="494"/>
      <c r="AP85" s="494"/>
      <c r="AQ85" s="494"/>
      <c r="AR85" s="494"/>
      <c r="AS85" s="494"/>
    </row>
    <row r="86" spans="2:45" ht="9" customHeight="1" x14ac:dyDescent="0.2">
      <c r="B86" s="717">
        <v>3.4</v>
      </c>
      <c r="C86" s="764" t="s">
        <v>109</v>
      </c>
      <c r="D86" s="721" t="s">
        <v>6</v>
      </c>
      <c r="E86" s="723">
        <v>1</v>
      </c>
      <c r="F86" s="725">
        <f>แผนการก่อสร้าง!G91</f>
        <v>0</v>
      </c>
      <c r="G86" s="727">
        <f>แผนการก่อสร้าง!H91</f>
        <v>0</v>
      </c>
      <c r="H86" s="729">
        <v>2252864</v>
      </c>
      <c r="I86" s="731">
        <v>2252864</v>
      </c>
      <c r="J86" s="733">
        <v>0.94461614346315748</v>
      </c>
      <c r="L86" s="499"/>
      <c r="M86" s="499"/>
      <c r="O86" s="764" t="s">
        <v>109</v>
      </c>
      <c r="P86" s="504"/>
      <c r="Q86" s="504"/>
      <c r="R86" s="504"/>
      <c r="S86" s="504"/>
      <c r="T86" s="493"/>
      <c r="U86" s="504"/>
      <c r="V86" s="504"/>
      <c r="W86" s="504"/>
      <c r="X86" s="504"/>
      <c r="Y86" s="505"/>
      <c r="Z86" s="492"/>
      <c r="AA86" s="492"/>
      <c r="AB86" s="492"/>
      <c r="AC86" s="492"/>
      <c r="AD86" s="505"/>
      <c r="AE86" s="492"/>
      <c r="AF86" s="492"/>
      <c r="AG86" s="492"/>
      <c r="AH86" s="492"/>
      <c r="AI86" s="505"/>
      <c r="AJ86" s="492"/>
      <c r="AK86" s="492"/>
      <c r="AL86" s="492"/>
      <c r="AM86" s="492"/>
      <c r="AN86" s="493"/>
      <c r="AO86" s="492"/>
      <c r="AP86" s="492"/>
      <c r="AQ86" s="492"/>
      <c r="AR86" s="492"/>
      <c r="AS86" s="492"/>
    </row>
    <row r="87" spans="2:45" ht="9" customHeight="1" x14ac:dyDescent="0.2">
      <c r="B87" s="718"/>
      <c r="C87" s="765"/>
      <c r="D87" s="722"/>
      <c r="E87" s="724"/>
      <c r="F87" s="726"/>
      <c r="G87" s="728"/>
      <c r="H87" s="730"/>
      <c r="I87" s="732"/>
      <c r="J87" s="734"/>
      <c r="L87" s="503">
        <f>('ผลงานรายสัปดาห์(เงิน)'!L87)*100/$I86</f>
        <v>0</v>
      </c>
      <c r="M87" s="503">
        <f>('ผลงานรายสัปดาห์(เงิน)'!M87)*100/$I86</f>
        <v>0</v>
      </c>
      <c r="O87" s="765"/>
      <c r="P87" s="502">
        <f>('ผลงานรายสัปดาห์(เงิน)'!P87)*100/$I86</f>
        <v>0</v>
      </c>
      <c r="Q87" s="502">
        <f>('ผลงานรายสัปดาห์(เงิน)'!Q87)*100/$I86</f>
        <v>0</v>
      </c>
      <c r="R87" s="502">
        <f>('ผลงานรายสัปดาห์(เงิน)'!R87)*100/$I86</f>
        <v>0</v>
      </c>
      <c r="S87" s="502">
        <f>('ผลงานรายสัปดาห์(เงิน)'!S87)*100/$I86</f>
        <v>0</v>
      </c>
      <c r="T87" s="495">
        <f>SUM(P87:S87)</f>
        <v>0</v>
      </c>
      <c r="U87" s="502">
        <f>('ผลงานรายสัปดาห์(เงิน)'!U87)*100/$I86</f>
        <v>0</v>
      </c>
      <c r="V87" s="502">
        <f>('ผลงานรายสัปดาห์(เงิน)'!V87)*100/$I86</f>
        <v>0</v>
      </c>
      <c r="W87" s="502">
        <f>('ผลงานรายสัปดาห์(เงิน)'!W87)*100/$I86</f>
        <v>0</v>
      </c>
      <c r="X87" s="502">
        <f>('ผลงานรายสัปดาห์(เงิน)'!X87)*100/$I86</f>
        <v>0</v>
      </c>
      <c r="Y87" s="503">
        <f>SUM(U87:X87)</f>
        <v>0</v>
      </c>
      <c r="Z87" s="502">
        <f>('ผลงานรายสัปดาห์(เงิน)'!Z87)*100/$I86</f>
        <v>0</v>
      </c>
      <c r="AA87" s="502">
        <f>('ผลงานรายสัปดาห์(เงิน)'!AA87)*100/$I86</f>
        <v>0</v>
      </c>
      <c r="AB87" s="502">
        <f>('ผลงานรายสัปดาห์(เงิน)'!AB87)*100/$I86</f>
        <v>0</v>
      </c>
      <c r="AC87" s="502">
        <f>('ผลงานรายสัปดาห์(เงิน)'!AC87)*100/$I86</f>
        <v>0</v>
      </c>
      <c r="AD87" s="503">
        <f>SUM(Z87:AC87)</f>
        <v>0</v>
      </c>
      <c r="AE87" s="502">
        <f>('ผลงานรายสัปดาห์(เงิน)'!AE87)*100/$I86</f>
        <v>0</v>
      </c>
      <c r="AF87" s="502">
        <f>('ผลงานรายสัปดาห์(เงิน)'!AF87)*100/$I86</f>
        <v>0</v>
      </c>
      <c r="AG87" s="502">
        <f>('ผลงานรายสัปดาห์(เงิน)'!AG87)*100/$I86</f>
        <v>0</v>
      </c>
      <c r="AH87" s="502">
        <f>('ผลงานรายสัปดาห์(เงิน)'!AH87)*100/$I86</f>
        <v>0</v>
      </c>
      <c r="AI87" s="503">
        <f>SUM(AE87:AH87)</f>
        <v>0</v>
      </c>
      <c r="AJ87" s="502">
        <f>('ผลงานรายสัปดาห์(เงิน)'!AJ87)*100/$I86</f>
        <v>0</v>
      </c>
      <c r="AK87" s="502">
        <f>('ผลงานรายสัปดาห์(เงิน)'!AK87)*100/$I86</f>
        <v>0</v>
      </c>
      <c r="AL87" s="502">
        <f>('ผลงานรายสัปดาห์(เงิน)'!AL87)*100/$I86</f>
        <v>0</v>
      </c>
      <c r="AM87" s="502">
        <f>('ผลงานรายสัปดาห์(เงิน)'!AM87)*100/$I86</f>
        <v>0</v>
      </c>
      <c r="AN87" s="494"/>
      <c r="AO87" s="494"/>
      <c r="AP87" s="494"/>
      <c r="AQ87" s="494"/>
      <c r="AR87" s="494"/>
      <c r="AS87" s="494"/>
    </row>
    <row r="88" spans="2:45" ht="9" customHeight="1" x14ac:dyDescent="0.2">
      <c r="B88" s="717">
        <v>3.5</v>
      </c>
      <c r="C88" s="764" t="s">
        <v>110</v>
      </c>
      <c r="D88" s="721" t="s">
        <v>6</v>
      </c>
      <c r="E88" s="723">
        <v>1</v>
      </c>
      <c r="F88" s="725">
        <f>แผนการก่อสร้าง!G93</f>
        <v>0</v>
      </c>
      <c r="G88" s="727">
        <f>แผนการก่อสร้าง!H93</f>
        <v>0</v>
      </c>
      <c r="H88" s="729">
        <v>1866144</v>
      </c>
      <c r="I88" s="731">
        <v>1866144</v>
      </c>
      <c r="J88" s="733">
        <v>0.78246611798444587</v>
      </c>
      <c r="L88" s="499"/>
      <c r="M88" s="499"/>
      <c r="O88" s="764" t="s">
        <v>110</v>
      </c>
      <c r="P88" s="504"/>
      <c r="Q88" s="504"/>
      <c r="R88" s="504"/>
      <c r="S88" s="504"/>
      <c r="T88" s="493"/>
      <c r="U88" s="504"/>
      <c r="V88" s="504"/>
      <c r="W88" s="504"/>
      <c r="X88" s="504"/>
      <c r="Y88" s="505"/>
      <c r="Z88" s="492"/>
      <c r="AA88" s="492"/>
      <c r="AB88" s="492"/>
      <c r="AC88" s="492"/>
      <c r="AD88" s="505"/>
      <c r="AE88" s="492"/>
      <c r="AF88" s="492"/>
      <c r="AG88" s="492"/>
      <c r="AH88" s="492"/>
      <c r="AI88" s="505"/>
      <c r="AJ88" s="492"/>
      <c r="AK88" s="492"/>
      <c r="AL88" s="492"/>
      <c r="AM88" s="492"/>
      <c r="AN88" s="493"/>
      <c r="AO88" s="492"/>
      <c r="AP88" s="492"/>
      <c r="AQ88" s="492"/>
      <c r="AR88" s="492"/>
      <c r="AS88" s="492"/>
    </row>
    <row r="89" spans="2:45" ht="9" customHeight="1" x14ac:dyDescent="0.2">
      <c r="B89" s="718"/>
      <c r="C89" s="765"/>
      <c r="D89" s="722"/>
      <c r="E89" s="724"/>
      <c r="F89" s="726"/>
      <c r="G89" s="728"/>
      <c r="H89" s="730"/>
      <c r="I89" s="732"/>
      <c r="J89" s="734"/>
      <c r="L89" s="503">
        <f>('ผลงานรายสัปดาห์(เงิน)'!L89)*100/$I88</f>
        <v>0</v>
      </c>
      <c r="M89" s="503">
        <f>('ผลงานรายสัปดาห์(เงิน)'!M89)*100/$I88</f>
        <v>0</v>
      </c>
      <c r="O89" s="765"/>
      <c r="P89" s="502">
        <f>('ผลงานรายสัปดาห์(เงิน)'!P89)*100/$I88</f>
        <v>0</v>
      </c>
      <c r="Q89" s="502">
        <f>('ผลงานรายสัปดาห์(เงิน)'!Q89)*100/$I88</f>
        <v>0</v>
      </c>
      <c r="R89" s="502">
        <f>('ผลงานรายสัปดาห์(เงิน)'!R89)*100/$I88</f>
        <v>0</v>
      </c>
      <c r="S89" s="502">
        <f>('ผลงานรายสัปดาห์(เงิน)'!S89)*100/$I88</f>
        <v>0</v>
      </c>
      <c r="T89" s="495">
        <f>SUM(P89:S89)</f>
        <v>0</v>
      </c>
      <c r="U89" s="502">
        <f>('ผลงานรายสัปดาห์(เงิน)'!U89)*100/$I88</f>
        <v>0</v>
      </c>
      <c r="V89" s="502">
        <f>('ผลงานรายสัปดาห์(เงิน)'!V89)*100/$I88</f>
        <v>0</v>
      </c>
      <c r="W89" s="502">
        <f>('ผลงานรายสัปดาห์(เงิน)'!W89)*100/$I88</f>
        <v>0</v>
      </c>
      <c r="X89" s="502">
        <f>('ผลงานรายสัปดาห์(เงิน)'!X89)*100/$I88</f>
        <v>0</v>
      </c>
      <c r="Y89" s="503">
        <f>SUM(U89:X89)</f>
        <v>0</v>
      </c>
      <c r="Z89" s="502">
        <f>('ผลงานรายสัปดาห์(เงิน)'!Z89)*100/$I88</f>
        <v>0</v>
      </c>
      <c r="AA89" s="502">
        <f>('ผลงานรายสัปดาห์(เงิน)'!AA89)*100/$I88</f>
        <v>0</v>
      </c>
      <c r="AB89" s="502">
        <f>('ผลงานรายสัปดาห์(เงิน)'!AB89)*100/$I88</f>
        <v>0</v>
      </c>
      <c r="AC89" s="502">
        <f>('ผลงานรายสัปดาห์(เงิน)'!AC89)*100/$I88</f>
        <v>0</v>
      </c>
      <c r="AD89" s="503">
        <f>SUM(Z89:AC89)</f>
        <v>0</v>
      </c>
      <c r="AE89" s="502">
        <f>('ผลงานรายสัปดาห์(เงิน)'!AE89)*100/$I88</f>
        <v>0</v>
      </c>
      <c r="AF89" s="502">
        <f>('ผลงานรายสัปดาห์(เงิน)'!AF89)*100/$I88</f>
        <v>0</v>
      </c>
      <c r="AG89" s="502">
        <f>('ผลงานรายสัปดาห์(เงิน)'!AG89)*100/$I88</f>
        <v>0</v>
      </c>
      <c r="AH89" s="502">
        <f>('ผลงานรายสัปดาห์(เงิน)'!AH89)*100/$I88</f>
        <v>0</v>
      </c>
      <c r="AI89" s="503">
        <f>SUM(AE89:AH89)</f>
        <v>0</v>
      </c>
      <c r="AJ89" s="502">
        <f>('ผลงานรายสัปดาห์(เงิน)'!AJ89)*100/$I88</f>
        <v>0</v>
      </c>
      <c r="AK89" s="502">
        <f>('ผลงานรายสัปดาห์(เงิน)'!AK89)*100/$I88</f>
        <v>0</v>
      </c>
      <c r="AL89" s="502">
        <f>('ผลงานรายสัปดาห์(เงิน)'!AL89)*100/$I88</f>
        <v>0</v>
      </c>
      <c r="AM89" s="502">
        <f>('ผลงานรายสัปดาห์(เงิน)'!AM89)*100/$I88</f>
        <v>0</v>
      </c>
      <c r="AN89" s="494"/>
      <c r="AO89" s="494"/>
      <c r="AP89" s="494"/>
      <c r="AQ89" s="494"/>
      <c r="AR89" s="494"/>
      <c r="AS89" s="494"/>
    </row>
    <row r="90" spans="2:45" ht="9" customHeight="1" x14ac:dyDescent="0.2">
      <c r="B90" s="717">
        <v>3.6</v>
      </c>
      <c r="C90" s="764" t="s">
        <v>111</v>
      </c>
      <c r="D90" s="721" t="s">
        <v>6</v>
      </c>
      <c r="E90" s="723">
        <v>1</v>
      </c>
      <c r="F90" s="725">
        <f>แผนการก่อสร้าง!G95</f>
        <v>0.77425999999999984</v>
      </c>
      <c r="G90" s="727">
        <f>แผนการก่อสร้าง!H95</f>
        <v>77.425999999999988</v>
      </c>
      <c r="H90" s="729">
        <v>15408281</v>
      </c>
      <c r="I90" s="731">
        <v>15408281</v>
      </c>
      <c r="J90" s="733">
        <v>6.4606256638734711</v>
      </c>
      <c r="L90" s="499"/>
      <c r="M90" s="499"/>
      <c r="O90" s="764" t="s">
        <v>111</v>
      </c>
      <c r="P90" s="504"/>
      <c r="Q90" s="504"/>
      <c r="R90" s="504"/>
      <c r="S90" s="504"/>
      <c r="T90" s="493"/>
      <c r="U90" s="504"/>
      <c r="V90" s="504"/>
      <c r="W90" s="504"/>
      <c r="X90" s="504"/>
      <c r="Y90" s="505"/>
      <c r="Z90" s="492"/>
      <c r="AA90" s="492"/>
      <c r="AB90" s="492"/>
      <c r="AC90" s="492"/>
      <c r="AD90" s="505"/>
      <c r="AE90" s="492"/>
      <c r="AF90" s="492"/>
      <c r="AG90" s="492"/>
      <c r="AH90" s="492"/>
      <c r="AI90" s="505"/>
      <c r="AJ90" s="492"/>
      <c r="AK90" s="492"/>
      <c r="AL90" s="492"/>
      <c r="AM90" s="492"/>
      <c r="AN90" s="493"/>
      <c r="AO90" s="492"/>
      <c r="AP90" s="492"/>
      <c r="AQ90" s="492"/>
      <c r="AR90" s="492"/>
      <c r="AS90" s="492"/>
    </row>
    <row r="91" spans="2:45" ht="9" customHeight="1" x14ac:dyDescent="0.2">
      <c r="B91" s="718"/>
      <c r="C91" s="765"/>
      <c r="D91" s="722"/>
      <c r="E91" s="724"/>
      <c r="F91" s="726"/>
      <c r="G91" s="728"/>
      <c r="H91" s="730"/>
      <c r="I91" s="732"/>
      <c r="J91" s="734"/>
      <c r="L91" s="503">
        <f>('ผลงานรายสัปดาห์(เงิน)'!L91)*100/$I90</f>
        <v>77.425898450320318</v>
      </c>
      <c r="M91" s="503">
        <f>('ผลงานรายสัปดาห์(เงิน)'!M91)*100/$I90</f>
        <v>77.425898450320318</v>
      </c>
      <c r="N91" s="555">
        <f>M91-L91</f>
        <v>0</v>
      </c>
      <c r="O91" s="765"/>
      <c r="P91" s="502">
        <f>('ผลงานรายสัปดาห์(เงิน)'!P91)*100/$I90</f>
        <v>0</v>
      </c>
      <c r="Q91" s="502">
        <f>('ผลงานรายสัปดาห์(เงิน)'!Q91)*100/$I90</f>
        <v>0</v>
      </c>
      <c r="R91" s="502">
        <f>('ผลงานรายสัปดาห์(เงิน)'!R91)*100/$I90</f>
        <v>0</v>
      </c>
      <c r="S91" s="502">
        <f>('ผลงานรายสัปดาห์(เงิน)'!S91)*100/$I90</f>
        <v>0</v>
      </c>
      <c r="T91" s="495">
        <f>SUM(P91:S91)</f>
        <v>0</v>
      </c>
      <c r="U91" s="502">
        <f>('ผลงานรายสัปดาห์(เงิน)'!U91)*100/$I90</f>
        <v>0</v>
      </c>
      <c r="V91" s="502">
        <f>('ผลงานรายสัปดาห์(เงิน)'!V91)*100/$I90</f>
        <v>0</v>
      </c>
      <c r="W91" s="502">
        <f>('ผลงานรายสัปดาห์(เงิน)'!W91)*100/$I90</f>
        <v>22.066056557509562</v>
      </c>
      <c r="X91" s="502">
        <f>('ผลงานรายสัปดาห์(เงิน)'!X91)*100/$I90</f>
        <v>0</v>
      </c>
      <c r="Y91" s="503">
        <f>SUM(U91:X91)</f>
        <v>22.066056557509562</v>
      </c>
      <c r="Z91" s="502">
        <f>('ผลงานรายสัปดาห์(เงิน)'!Z91)*100/$I90</f>
        <v>0</v>
      </c>
      <c r="AA91" s="502">
        <f>('ผลงานรายสัปดาห์(เงิน)'!AA91)*100/$I90</f>
        <v>0</v>
      </c>
      <c r="AB91" s="502">
        <f>('ผลงานรายสัปดาห์(เงิน)'!AB91)*100/$I90</f>
        <v>0</v>
      </c>
      <c r="AC91" s="502">
        <f>('ผลงานรายสัปดาห์(เงิน)'!AC91)*100/$I90</f>
        <v>22.066056557509562</v>
      </c>
      <c r="AD91" s="503">
        <f>SUM(Z91:AC91)</f>
        <v>22.066056557509562</v>
      </c>
      <c r="AE91" s="502">
        <f>('ผลงานรายสัปดาห์(เงิน)'!AE91)*100/$I90</f>
        <v>0</v>
      </c>
      <c r="AF91" s="502">
        <f>('ผลงานรายสัปดาห์(เงิน)'!AF91)*100/$I90</f>
        <v>0</v>
      </c>
      <c r="AG91" s="502">
        <f>('ผลงานรายสัปดาห์(เงิน)'!AG91)*100/$I90</f>
        <v>0</v>
      </c>
      <c r="AH91" s="502">
        <f>('ผลงานรายสัปดาห์(เงิน)'!AH91)*100/$I90</f>
        <v>0</v>
      </c>
      <c r="AI91" s="503">
        <f>SUM(AE91:AH91)</f>
        <v>0</v>
      </c>
      <c r="AJ91" s="502">
        <f>('ผลงานรายสัปดาห์(เงิน)'!AJ91)*100/$I90</f>
        <v>0</v>
      </c>
      <c r="AK91" s="502">
        <f>('ผลงานรายสัปดาห์(เงิน)'!AK91)*100/$I90</f>
        <v>0</v>
      </c>
      <c r="AL91" s="502">
        <f>('ผลงานรายสัปดาห์(เงิน)'!AL91)*100/$I90</f>
        <v>0</v>
      </c>
      <c r="AM91" s="502">
        <f>('ผลงานรายสัปดาห์(เงิน)'!AM91)*100/$I90</f>
        <v>0</v>
      </c>
      <c r="AN91" s="494"/>
      <c r="AO91" s="494"/>
      <c r="AP91" s="494"/>
      <c r="AQ91" s="494"/>
      <c r="AR91" s="494"/>
      <c r="AS91" s="494"/>
    </row>
    <row r="92" spans="2:45" ht="9" customHeight="1" x14ac:dyDescent="0.2">
      <c r="B92" s="717">
        <v>3.7</v>
      </c>
      <c r="C92" s="764" t="s">
        <v>112</v>
      </c>
      <c r="D92" s="721" t="s">
        <v>6</v>
      </c>
      <c r="E92" s="723">
        <v>1</v>
      </c>
      <c r="F92" s="725">
        <f>แผนการก่อสร้าง!G97</f>
        <v>0.16725000000000001</v>
      </c>
      <c r="G92" s="727">
        <f>แผนการก่อสร้าง!H97</f>
        <v>16.725000000000001</v>
      </c>
      <c r="H92" s="729">
        <v>15007259</v>
      </c>
      <c r="I92" s="731">
        <v>15007259</v>
      </c>
      <c r="J92" s="733">
        <v>6.2924788715753639</v>
      </c>
      <c r="L92" s="499"/>
      <c r="M92" s="499"/>
      <c r="O92" s="764" t="s">
        <v>112</v>
      </c>
      <c r="P92" s="504"/>
      <c r="Q92" s="504"/>
      <c r="R92" s="504"/>
      <c r="S92" s="504"/>
      <c r="T92" s="493"/>
      <c r="U92" s="504"/>
      <c r="V92" s="504"/>
      <c r="W92" s="504"/>
      <c r="X92" s="504"/>
      <c r="Y92" s="505"/>
      <c r="Z92" s="492"/>
      <c r="AA92" s="492"/>
      <c r="AB92" s="492"/>
      <c r="AC92" s="492"/>
      <c r="AD92" s="505"/>
      <c r="AE92" s="492"/>
      <c r="AF92" s="492"/>
      <c r="AG92" s="492"/>
      <c r="AH92" s="492"/>
      <c r="AI92" s="505"/>
      <c r="AJ92" s="492"/>
      <c r="AK92" s="492"/>
      <c r="AL92" s="492"/>
      <c r="AM92" s="492"/>
      <c r="AN92" s="493"/>
      <c r="AO92" s="492"/>
      <c r="AP92" s="492"/>
      <c r="AQ92" s="492"/>
      <c r="AR92" s="492"/>
      <c r="AS92" s="492"/>
    </row>
    <row r="93" spans="2:45" ht="9" customHeight="1" x14ac:dyDescent="0.2">
      <c r="B93" s="718"/>
      <c r="C93" s="765"/>
      <c r="D93" s="722"/>
      <c r="E93" s="724"/>
      <c r="F93" s="726"/>
      <c r="G93" s="728"/>
      <c r="H93" s="730"/>
      <c r="I93" s="732"/>
      <c r="J93" s="734"/>
      <c r="L93" s="503">
        <f>('ผลงานรายสัปดาห์(เงิน)'!L93)*100/$I92</f>
        <v>16.725239432463983</v>
      </c>
      <c r="M93" s="503">
        <f>('ผลงานรายสัปดาห์(เงิน)'!M93)*100/$I92</f>
        <v>16.725239432463983</v>
      </c>
      <c r="O93" s="765"/>
      <c r="P93" s="502">
        <f>('ผลงานรายสัปดาห์(เงิน)'!P93)*100/$I92</f>
        <v>0</v>
      </c>
      <c r="Q93" s="502">
        <f>('ผลงานรายสัปดาห์(เงิน)'!Q93)*100/$I92</f>
        <v>0</v>
      </c>
      <c r="R93" s="502">
        <f>('ผลงานรายสัปดาห์(เงิน)'!R93)*100/$I92</f>
        <v>0</v>
      </c>
      <c r="S93" s="502">
        <f>('ผลงานรายสัปดาห์(เงิน)'!S93)*100/$I92</f>
        <v>0</v>
      </c>
      <c r="T93" s="495">
        <f>SUM(P93:S93)</f>
        <v>0</v>
      </c>
      <c r="U93" s="502">
        <f>('ผลงานรายสัปดาห์(เงิน)'!U93)*100/$I92</f>
        <v>0</v>
      </c>
      <c r="V93" s="502">
        <f>('ผลงานรายสัปดาห์(เงิน)'!V93)*100/$I92</f>
        <v>0</v>
      </c>
      <c r="W93" s="502">
        <f>('ผลงานรายสัปดาห์(เงิน)'!W93)*100/$I92</f>
        <v>16.725239432463983</v>
      </c>
      <c r="X93" s="502">
        <f>('ผลงานรายสัปดาห์(เงิน)'!X93)*100/$I92</f>
        <v>0</v>
      </c>
      <c r="Y93" s="503">
        <f>SUM(U93:X93)</f>
        <v>16.725239432463983</v>
      </c>
      <c r="Z93" s="502">
        <f>('ผลงานรายสัปดาห์(เงิน)'!Z93)*100/$I92</f>
        <v>0</v>
      </c>
      <c r="AA93" s="502">
        <f>('ผลงานรายสัปดาห์(เงิน)'!AA93)*100/$I92</f>
        <v>0</v>
      </c>
      <c r="AB93" s="502">
        <f>('ผลงานรายสัปดาห์(เงิน)'!AB93)*100/$I92</f>
        <v>0</v>
      </c>
      <c r="AC93" s="502">
        <f>('ผลงานรายสัปดาห์(เงิน)'!AC93)*100/$I92</f>
        <v>0</v>
      </c>
      <c r="AD93" s="503">
        <f>SUM(Z93:AC93)</f>
        <v>0</v>
      </c>
      <c r="AE93" s="502">
        <f>('ผลงานรายสัปดาห์(เงิน)'!AE93)*100/$I92</f>
        <v>0</v>
      </c>
      <c r="AF93" s="502">
        <f>('ผลงานรายสัปดาห์(เงิน)'!AF93)*100/$I92</f>
        <v>0</v>
      </c>
      <c r="AG93" s="502">
        <f>('ผลงานรายสัปดาห์(เงิน)'!AG93)*100/$I92</f>
        <v>0</v>
      </c>
      <c r="AH93" s="502">
        <f>('ผลงานรายสัปดาห์(เงิน)'!AH93)*100/$I92</f>
        <v>0</v>
      </c>
      <c r="AI93" s="503">
        <f>SUM(AE93:AH93)</f>
        <v>0</v>
      </c>
      <c r="AJ93" s="502">
        <f>('ผลงานรายสัปดาห์(เงิน)'!AJ93)*100/$I92</f>
        <v>0</v>
      </c>
      <c r="AK93" s="502">
        <f>('ผลงานรายสัปดาห์(เงิน)'!AK93)*100/$I92</f>
        <v>0</v>
      </c>
      <c r="AL93" s="502">
        <f>('ผลงานรายสัปดาห์(เงิน)'!AL93)*100/$I92</f>
        <v>0</v>
      </c>
      <c r="AM93" s="502">
        <f>('ผลงานรายสัปดาห์(เงิน)'!AM93)*100/$I92</f>
        <v>0</v>
      </c>
      <c r="AN93" s="494"/>
      <c r="AO93" s="494"/>
      <c r="AP93" s="494"/>
      <c r="AQ93" s="494"/>
      <c r="AR93" s="494"/>
      <c r="AS93" s="494"/>
    </row>
    <row r="94" spans="2:45" ht="9" customHeight="1" x14ac:dyDescent="0.2">
      <c r="B94" s="717">
        <v>3.8</v>
      </c>
      <c r="C94" s="764" t="s">
        <v>113</v>
      </c>
      <c r="D94" s="721" t="s">
        <v>6</v>
      </c>
      <c r="E94" s="723">
        <v>1</v>
      </c>
      <c r="F94" s="725">
        <f>แผนการก่อสร้าง!G99</f>
        <v>0.32947000000000004</v>
      </c>
      <c r="G94" s="727">
        <f>แผนการก่อสร้าง!H99</f>
        <v>32.947000000000003</v>
      </c>
      <c r="H94" s="729">
        <v>26163587</v>
      </c>
      <c r="I94" s="731">
        <v>26163587</v>
      </c>
      <c r="J94" s="733">
        <v>10.970279009786122</v>
      </c>
      <c r="L94" s="499"/>
      <c r="M94" s="499"/>
      <c r="O94" s="764" t="s">
        <v>113</v>
      </c>
      <c r="P94" s="504"/>
      <c r="Q94" s="504"/>
      <c r="R94" s="504"/>
      <c r="S94" s="504"/>
      <c r="T94" s="493"/>
      <c r="U94" s="504"/>
      <c r="V94" s="504"/>
      <c r="W94" s="504"/>
      <c r="X94" s="504"/>
      <c r="Y94" s="505"/>
      <c r="Z94" s="492"/>
      <c r="AA94" s="492"/>
      <c r="AB94" s="492"/>
      <c r="AC94" s="492"/>
      <c r="AD94" s="505"/>
      <c r="AE94" s="492"/>
      <c r="AF94" s="492"/>
      <c r="AG94" s="492"/>
      <c r="AH94" s="492"/>
      <c r="AI94" s="505"/>
      <c r="AJ94" s="492"/>
      <c r="AK94" s="492"/>
      <c r="AL94" s="492"/>
      <c r="AM94" s="492"/>
      <c r="AN94" s="493"/>
      <c r="AO94" s="492"/>
      <c r="AP94" s="492"/>
      <c r="AQ94" s="492"/>
      <c r="AR94" s="492"/>
      <c r="AS94" s="492"/>
    </row>
    <row r="95" spans="2:45" ht="9" customHeight="1" x14ac:dyDescent="0.2">
      <c r="B95" s="718"/>
      <c r="C95" s="765"/>
      <c r="D95" s="722"/>
      <c r="E95" s="724"/>
      <c r="F95" s="726"/>
      <c r="G95" s="728"/>
      <c r="H95" s="730"/>
      <c r="I95" s="732"/>
      <c r="J95" s="734"/>
      <c r="L95" s="503">
        <f>('ผลงานรายสัปดาห์(เงิน)'!L95)*100/$I94</f>
        <v>32.946552779632242</v>
      </c>
      <c r="M95" s="503">
        <f>('ผลงานรายสัปดาห์(เงิน)'!M95)*100/$I94</f>
        <v>32.946552779632242</v>
      </c>
      <c r="O95" s="765"/>
      <c r="P95" s="502">
        <f>('ผลงานรายสัปดาห์(เงิน)'!P95)*100/$I94</f>
        <v>0</v>
      </c>
      <c r="Q95" s="502">
        <f>('ผลงานรายสัปดาห์(เงิน)'!Q95)*100/$I94</f>
        <v>0</v>
      </c>
      <c r="R95" s="502">
        <f>('ผลงานรายสัปดาห์(เงิน)'!R95)*100/$I94</f>
        <v>0</v>
      </c>
      <c r="S95" s="502">
        <f>('ผลงานรายสัปดาห์(เงิน)'!S95)*100/$I94</f>
        <v>0</v>
      </c>
      <c r="T95" s="495">
        <f>SUM(P95:S95)</f>
        <v>0</v>
      </c>
      <c r="U95" s="502">
        <f>('ผลงานรายสัปดาห์(เงิน)'!U95)*100/$I94</f>
        <v>0</v>
      </c>
      <c r="V95" s="502">
        <f>('ผลงานรายสัปดาห์(เงิน)'!V95)*100/$I94</f>
        <v>0</v>
      </c>
      <c r="W95" s="502">
        <f>('ผลงานรายสัปดาห์(เงิน)'!W95)*100/$I94</f>
        <v>32.946552779632242</v>
      </c>
      <c r="X95" s="502">
        <f>('ผลงานรายสัปดาห์(เงิน)'!X95)*100/$I94</f>
        <v>0</v>
      </c>
      <c r="Y95" s="503">
        <f>SUM(U95:X95)</f>
        <v>32.946552779632242</v>
      </c>
      <c r="Z95" s="502">
        <f>('ผลงานรายสัปดาห์(เงิน)'!Z95)*100/$I94</f>
        <v>0</v>
      </c>
      <c r="AA95" s="502">
        <f>('ผลงานรายสัปดาห์(เงิน)'!AA95)*100/$I94</f>
        <v>0</v>
      </c>
      <c r="AB95" s="502">
        <f>('ผลงานรายสัปดาห์(เงิน)'!AB95)*100/$I94</f>
        <v>0</v>
      </c>
      <c r="AC95" s="502">
        <f>('ผลงานรายสัปดาห์(เงิน)'!AC95)*100/$I94</f>
        <v>0</v>
      </c>
      <c r="AD95" s="503">
        <f>SUM(Z95:AC95)</f>
        <v>0</v>
      </c>
      <c r="AE95" s="502">
        <f>('ผลงานรายสัปดาห์(เงิน)'!AE95)*100/$I94</f>
        <v>0</v>
      </c>
      <c r="AF95" s="502">
        <f>('ผลงานรายสัปดาห์(เงิน)'!AF95)*100/$I94</f>
        <v>0</v>
      </c>
      <c r="AG95" s="502">
        <f>('ผลงานรายสัปดาห์(เงิน)'!AG95)*100/$I94</f>
        <v>0</v>
      </c>
      <c r="AH95" s="502">
        <f>('ผลงานรายสัปดาห์(เงิน)'!AH95)*100/$I94</f>
        <v>0</v>
      </c>
      <c r="AI95" s="503">
        <f>SUM(AE95:AH95)</f>
        <v>0</v>
      </c>
      <c r="AJ95" s="502">
        <f>('ผลงานรายสัปดาห์(เงิน)'!AJ95)*100/$I94</f>
        <v>0</v>
      </c>
      <c r="AK95" s="502">
        <f>('ผลงานรายสัปดาห์(เงิน)'!AK95)*100/$I94</f>
        <v>0</v>
      </c>
      <c r="AL95" s="502">
        <f>('ผลงานรายสัปดาห์(เงิน)'!AL95)*100/$I94</f>
        <v>0</v>
      </c>
      <c r="AM95" s="502">
        <f>('ผลงานรายสัปดาห์(เงิน)'!AM95)*100/$I94</f>
        <v>0</v>
      </c>
      <c r="AN95" s="494"/>
      <c r="AO95" s="494"/>
      <c r="AP95" s="494"/>
      <c r="AQ95" s="494"/>
      <c r="AR95" s="494"/>
      <c r="AS95" s="494"/>
    </row>
    <row r="96" spans="2:45" ht="9" customHeight="1" x14ac:dyDescent="0.2">
      <c r="B96" s="717">
        <v>3.9</v>
      </c>
      <c r="C96" s="764" t="s">
        <v>123</v>
      </c>
      <c r="D96" s="721" t="s">
        <v>6</v>
      </c>
      <c r="E96" s="723">
        <v>1</v>
      </c>
      <c r="F96" s="725">
        <f>แผนการก่อสร้าง!G101</f>
        <v>0</v>
      </c>
      <c r="G96" s="727">
        <f>แผนการก่อสร้าง!H101</f>
        <v>0</v>
      </c>
      <c r="H96" s="729">
        <v>1519335</v>
      </c>
      <c r="I96" s="731">
        <v>1519335</v>
      </c>
      <c r="J96" s="733">
        <v>0.63705060240147493</v>
      </c>
      <c r="L96" s="499"/>
      <c r="M96" s="499"/>
      <c r="O96" s="764" t="s">
        <v>123</v>
      </c>
      <c r="P96" s="504"/>
      <c r="Q96" s="504"/>
      <c r="R96" s="504"/>
      <c r="S96" s="504"/>
      <c r="T96" s="493"/>
      <c r="U96" s="504"/>
      <c r="V96" s="504"/>
      <c r="W96" s="504"/>
      <c r="X96" s="504"/>
      <c r="Y96" s="505"/>
      <c r="Z96" s="492"/>
      <c r="AA96" s="492"/>
      <c r="AB96" s="492"/>
      <c r="AC96" s="492"/>
      <c r="AD96" s="505"/>
      <c r="AE96" s="492"/>
      <c r="AF96" s="492"/>
      <c r="AG96" s="492"/>
      <c r="AH96" s="492"/>
      <c r="AI96" s="505"/>
      <c r="AJ96" s="492"/>
      <c r="AK96" s="492"/>
      <c r="AL96" s="492"/>
      <c r="AM96" s="492"/>
      <c r="AN96" s="493"/>
      <c r="AO96" s="492"/>
      <c r="AP96" s="492"/>
      <c r="AQ96" s="492"/>
      <c r="AR96" s="492"/>
      <c r="AS96" s="492"/>
    </row>
    <row r="97" spans="2:45" ht="9" customHeight="1" x14ac:dyDescent="0.2">
      <c r="B97" s="718"/>
      <c r="C97" s="765"/>
      <c r="D97" s="722"/>
      <c r="E97" s="724"/>
      <c r="F97" s="726"/>
      <c r="G97" s="728"/>
      <c r="H97" s="730"/>
      <c r="I97" s="732"/>
      <c r="J97" s="734"/>
      <c r="L97" s="503">
        <f>('ผลงานรายสัปดาห์(เงิน)'!L97)*100/$I96</f>
        <v>0</v>
      </c>
      <c r="M97" s="503">
        <f>('ผลงานรายสัปดาห์(เงิน)'!M97)*100/$I96</f>
        <v>0</v>
      </c>
      <c r="O97" s="765"/>
      <c r="P97" s="502">
        <f>('ผลงานรายสัปดาห์(เงิน)'!P97)*100/$I96</f>
        <v>0</v>
      </c>
      <c r="Q97" s="502">
        <f>('ผลงานรายสัปดาห์(เงิน)'!Q97)*100/$I96</f>
        <v>0</v>
      </c>
      <c r="R97" s="502">
        <f>('ผลงานรายสัปดาห์(เงิน)'!R97)*100/$I96</f>
        <v>0</v>
      </c>
      <c r="S97" s="502">
        <f>('ผลงานรายสัปดาห์(เงิน)'!S97)*100/$I96</f>
        <v>0</v>
      </c>
      <c r="T97" s="495">
        <f>SUM(P97:S97)</f>
        <v>0</v>
      </c>
      <c r="U97" s="502">
        <f>('ผลงานรายสัปดาห์(เงิน)'!U97)*100/$I96</f>
        <v>0</v>
      </c>
      <c r="V97" s="502">
        <f>('ผลงานรายสัปดาห์(เงิน)'!V97)*100/$I96</f>
        <v>0</v>
      </c>
      <c r="W97" s="502">
        <f>('ผลงานรายสัปดาห์(เงิน)'!W97)*100/$I96</f>
        <v>0</v>
      </c>
      <c r="X97" s="502">
        <f>('ผลงานรายสัปดาห์(เงิน)'!X97)*100/$I96</f>
        <v>0</v>
      </c>
      <c r="Y97" s="503">
        <f>SUM(U97:X97)</f>
        <v>0</v>
      </c>
      <c r="Z97" s="502">
        <f>('ผลงานรายสัปดาห์(เงิน)'!Z97)*100/$I96</f>
        <v>0</v>
      </c>
      <c r="AA97" s="502">
        <f>('ผลงานรายสัปดาห์(เงิน)'!AA97)*100/$I96</f>
        <v>0</v>
      </c>
      <c r="AB97" s="502">
        <f>('ผลงานรายสัปดาห์(เงิน)'!AB97)*100/$I96</f>
        <v>0</v>
      </c>
      <c r="AC97" s="502">
        <f>('ผลงานรายสัปดาห์(เงิน)'!AC97)*100/$I96</f>
        <v>0</v>
      </c>
      <c r="AD97" s="503">
        <f>SUM(Z97:AC97)</f>
        <v>0</v>
      </c>
      <c r="AE97" s="502">
        <f>('ผลงานรายสัปดาห์(เงิน)'!AE97)*100/$I96</f>
        <v>0</v>
      </c>
      <c r="AF97" s="502">
        <f>('ผลงานรายสัปดาห์(เงิน)'!AF97)*100/$I96</f>
        <v>0</v>
      </c>
      <c r="AG97" s="502">
        <f>('ผลงานรายสัปดาห์(เงิน)'!AG97)*100/$I96</f>
        <v>0</v>
      </c>
      <c r="AH97" s="502">
        <f>('ผลงานรายสัปดาห์(เงิน)'!AH97)*100/$I96</f>
        <v>0</v>
      </c>
      <c r="AI97" s="503">
        <f>SUM(AE97:AH97)</f>
        <v>0</v>
      </c>
      <c r="AJ97" s="502">
        <f>('ผลงานรายสัปดาห์(เงิน)'!AJ97)*100/$I96</f>
        <v>0</v>
      </c>
      <c r="AK97" s="502">
        <f>('ผลงานรายสัปดาห์(เงิน)'!AK97)*100/$I96</f>
        <v>0</v>
      </c>
      <c r="AL97" s="502">
        <f>('ผลงานรายสัปดาห์(เงิน)'!AL97)*100/$I96</f>
        <v>0</v>
      </c>
      <c r="AM97" s="502">
        <f>('ผลงานรายสัปดาห์(เงิน)'!AM97)*100/$I96</f>
        <v>0</v>
      </c>
      <c r="AN97" s="494"/>
      <c r="AO97" s="494"/>
      <c r="AP97" s="494"/>
      <c r="AQ97" s="494"/>
      <c r="AR97" s="494"/>
      <c r="AS97" s="494"/>
    </row>
    <row r="98" spans="2:45" ht="9" customHeight="1" x14ac:dyDescent="0.2">
      <c r="B98" s="752">
        <v>3.1</v>
      </c>
      <c r="C98" s="764" t="s">
        <v>124</v>
      </c>
      <c r="D98" s="721" t="s">
        <v>6</v>
      </c>
      <c r="E98" s="723">
        <v>1</v>
      </c>
      <c r="F98" s="725">
        <f>แผนการก่อสร้าง!G103</f>
        <v>0</v>
      </c>
      <c r="G98" s="727">
        <f>แผนการก่อสร้าง!H103</f>
        <v>0</v>
      </c>
      <c r="H98" s="729">
        <v>4431757</v>
      </c>
      <c r="I98" s="731">
        <v>4431757</v>
      </c>
      <c r="J98" s="733">
        <v>1.8582165661601644</v>
      </c>
      <c r="L98" s="499"/>
      <c r="M98" s="499"/>
      <c r="O98" s="764" t="s">
        <v>124</v>
      </c>
      <c r="P98" s="504"/>
      <c r="Q98" s="504"/>
      <c r="R98" s="504"/>
      <c r="S98" s="504"/>
      <c r="T98" s="493"/>
      <c r="U98" s="504"/>
      <c r="V98" s="504"/>
      <c r="W98" s="504"/>
      <c r="X98" s="504"/>
      <c r="Y98" s="505"/>
      <c r="Z98" s="492"/>
      <c r="AA98" s="492"/>
      <c r="AB98" s="492"/>
      <c r="AC98" s="492"/>
      <c r="AD98" s="505"/>
      <c r="AE98" s="492"/>
      <c r="AF98" s="492"/>
      <c r="AG98" s="492"/>
      <c r="AH98" s="492"/>
      <c r="AI98" s="505"/>
      <c r="AJ98" s="492"/>
      <c r="AK98" s="492"/>
      <c r="AL98" s="492"/>
      <c r="AM98" s="492"/>
      <c r="AN98" s="493"/>
      <c r="AO98" s="492"/>
      <c r="AP98" s="492"/>
      <c r="AQ98" s="492"/>
      <c r="AR98" s="492"/>
      <c r="AS98" s="492"/>
    </row>
    <row r="99" spans="2:45" ht="9" customHeight="1" x14ac:dyDescent="0.2">
      <c r="B99" s="753"/>
      <c r="C99" s="765"/>
      <c r="D99" s="722"/>
      <c r="E99" s="724"/>
      <c r="F99" s="748"/>
      <c r="G99" s="749"/>
      <c r="H99" s="730"/>
      <c r="I99" s="732"/>
      <c r="J99" s="763"/>
      <c r="L99" s="503">
        <f>('ผลงานรายสัปดาห์(เงิน)'!L99)*100/$I98</f>
        <v>0</v>
      </c>
      <c r="M99" s="503">
        <f>('ผลงานรายสัปดาห์(เงิน)'!M99)*100/$I98</f>
        <v>0</v>
      </c>
      <c r="O99" s="765"/>
      <c r="P99" s="502">
        <f>('ผลงานรายสัปดาห์(เงิน)'!P99)*100/$I98</f>
        <v>0</v>
      </c>
      <c r="Q99" s="502">
        <f>('ผลงานรายสัปดาห์(เงิน)'!Q99)*100/$I98</f>
        <v>0</v>
      </c>
      <c r="R99" s="502">
        <f>('ผลงานรายสัปดาห์(เงิน)'!R99)*100/$I98</f>
        <v>0</v>
      </c>
      <c r="S99" s="502">
        <f>('ผลงานรายสัปดาห์(เงิน)'!S99)*100/$I98</f>
        <v>0</v>
      </c>
      <c r="T99" s="495">
        <f>SUM(P99:S99)</f>
        <v>0</v>
      </c>
      <c r="U99" s="502">
        <f>('ผลงานรายสัปดาห์(เงิน)'!U99)*100/$I98</f>
        <v>0</v>
      </c>
      <c r="V99" s="502">
        <f>('ผลงานรายสัปดาห์(เงิน)'!V99)*100/$I98</f>
        <v>0</v>
      </c>
      <c r="W99" s="502">
        <f>('ผลงานรายสัปดาห์(เงิน)'!W99)*100/$I98</f>
        <v>0</v>
      </c>
      <c r="X99" s="502">
        <f>('ผลงานรายสัปดาห์(เงิน)'!X99)*100/$I98</f>
        <v>0</v>
      </c>
      <c r="Y99" s="503">
        <f>SUM(U99:X99)</f>
        <v>0</v>
      </c>
      <c r="Z99" s="502">
        <f>('ผลงานรายสัปดาห์(เงิน)'!Z99)*100/$I98</f>
        <v>0</v>
      </c>
      <c r="AA99" s="502">
        <f>('ผลงานรายสัปดาห์(เงิน)'!AA99)*100/$I98</f>
        <v>0</v>
      </c>
      <c r="AB99" s="502">
        <f>('ผลงานรายสัปดาห์(เงิน)'!AB99)*100/$I98</f>
        <v>0</v>
      </c>
      <c r="AC99" s="502">
        <f>('ผลงานรายสัปดาห์(เงิน)'!AC99)*100/$I98</f>
        <v>0</v>
      </c>
      <c r="AD99" s="503">
        <f>SUM(Z99:AC99)</f>
        <v>0</v>
      </c>
      <c r="AE99" s="502">
        <f>('ผลงานรายสัปดาห์(เงิน)'!AE99)*100/$I98</f>
        <v>0</v>
      </c>
      <c r="AF99" s="502">
        <f>('ผลงานรายสัปดาห์(เงิน)'!AF99)*100/$I98</f>
        <v>0</v>
      </c>
      <c r="AG99" s="502">
        <f>('ผลงานรายสัปดาห์(เงิน)'!AG99)*100/$I98</f>
        <v>0</v>
      </c>
      <c r="AH99" s="502">
        <f>('ผลงานรายสัปดาห์(เงิน)'!AH99)*100/$I98</f>
        <v>0</v>
      </c>
      <c r="AI99" s="503">
        <f>SUM(AE99:AH99)</f>
        <v>0</v>
      </c>
      <c r="AJ99" s="502">
        <f>('ผลงานรายสัปดาห์(เงิน)'!AJ99)*100/$I98</f>
        <v>0</v>
      </c>
      <c r="AK99" s="502">
        <f>('ผลงานรายสัปดาห์(เงิน)'!AK99)*100/$I98</f>
        <v>0</v>
      </c>
      <c r="AL99" s="502">
        <f>('ผลงานรายสัปดาห์(เงิน)'!AL99)*100/$I98</f>
        <v>0</v>
      </c>
      <c r="AM99" s="502">
        <f>('ผลงานรายสัปดาห์(เงิน)'!AM99)*100/$I98</f>
        <v>0</v>
      </c>
      <c r="AN99" s="494"/>
      <c r="AO99" s="494"/>
      <c r="AP99" s="494"/>
      <c r="AQ99" s="494"/>
      <c r="AR99" s="494"/>
      <c r="AS99" s="494"/>
    </row>
    <row r="100" spans="2:45" ht="9" customHeight="1" x14ac:dyDescent="0.2">
      <c r="B100" s="754">
        <v>4</v>
      </c>
      <c r="C100" s="693" t="s">
        <v>125</v>
      </c>
      <c r="D100" s="757"/>
      <c r="E100" s="759"/>
      <c r="F100" s="486">
        <f>แผนการก่อสร้าง!G105</f>
        <v>0</v>
      </c>
      <c r="G100" s="487">
        <f>แผนการก่อสร้าง!H105</f>
        <v>0</v>
      </c>
      <c r="H100" s="759"/>
      <c r="I100" s="759"/>
      <c r="J100" s="761"/>
      <c r="L100" s="499"/>
      <c r="M100" s="499"/>
      <c r="O100" s="693" t="s">
        <v>125</v>
      </c>
      <c r="P100" s="504"/>
      <c r="Q100" s="504"/>
      <c r="R100" s="504"/>
      <c r="S100" s="504"/>
      <c r="T100" s="493"/>
      <c r="U100" s="504"/>
      <c r="V100" s="504"/>
      <c r="W100" s="504"/>
      <c r="X100" s="504"/>
      <c r="Y100" s="505"/>
      <c r="Z100" s="492"/>
      <c r="AA100" s="492"/>
      <c r="AB100" s="492"/>
      <c r="AC100" s="492"/>
      <c r="AD100" s="505"/>
      <c r="AE100" s="492"/>
      <c r="AF100" s="492"/>
      <c r="AG100" s="492"/>
      <c r="AH100" s="492"/>
      <c r="AI100" s="505"/>
      <c r="AJ100" s="492"/>
      <c r="AK100" s="492"/>
      <c r="AL100" s="492"/>
      <c r="AM100" s="492"/>
      <c r="AN100" s="493"/>
      <c r="AO100" s="492"/>
      <c r="AP100" s="492"/>
      <c r="AQ100" s="492"/>
      <c r="AR100" s="492"/>
      <c r="AS100" s="492"/>
    </row>
    <row r="101" spans="2:45" ht="9" customHeight="1" x14ac:dyDescent="0.2">
      <c r="B101" s="755"/>
      <c r="C101" s="756"/>
      <c r="D101" s="758"/>
      <c r="E101" s="760"/>
      <c r="F101" s="488">
        <f>แผนการก่อสร้าง!G106</f>
        <v>0</v>
      </c>
      <c r="G101" s="489">
        <f>แผนการก่อสร้าง!H106</f>
        <v>0</v>
      </c>
      <c r="H101" s="760"/>
      <c r="I101" s="760"/>
      <c r="J101" s="762"/>
      <c r="L101" s="499"/>
      <c r="M101" s="499"/>
      <c r="O101" s="756"/>
      <c r="P101" s="504"/>
      <c r="Q101" s="504"/>
      <c r="R101" s="504"/>
      <c r="S101" s="504"/>
      <c r="T101" s="493"/>
      <c r="U101" s="504"/>
      <c r="V101" s="504"/>
      <c r="W101" s="504"/>
      <c r="X101" s="504"/>
      <c r="Y101" s="505"/>
      <c r="Z101" s="492"/>
      <c r="AA101" s="492"/>
      <c r="AB101" s="492"/>
      <c r="AC101" s="492"/>
      <c r="AD101" s="505"/>
      <c r="AE101" s="492"/>
      <c r="AF101" s="492"/>
      <c r="AG101" s="492"/>
      <c r="AH101" s="492"/>
      <c r="AI101" s="505"/>
      <c r="AJ101" s="492"/>
      <c r="AK101" s="492"/>
      <c r="AL101" s="492"/>
      <c r="AM101" s="492"/>
      <c r="AN101" s="493"/>
      <c r="AO101" s="492"/>
      <c r="AP101" s="492"/>
      <c r="AQ101" s="492"/>
      <c r="AR101" s="492"/>
      <c r="AS101" s="492"/>
    </row>
    <row r="102" spans="2:45" ht="9" customHeight="1" x14ac:dyDescent="0.2">
      <c r="B102" s="717">
        <v>4.0999999999999996</v>
      </c>
      <c r="C102" s="764" t="s">
        <v>126</v>
      </c>
      <c r="D102" s="721" t="s">
        <v>6</v>
      </c>
      <c r="E102" s="723">
        <v>1</v>
      </c>
      <c r="F102" s="769">
        <f>แผนการก่อสร้าง!G107</f>
        <v>0</v>
      </c>
      <c r="G102" s="727">
        <f>แผนการก่อสร้าง!H107</f>
        <v>0</v>
      </c>
      <c r="H102" s="729">
        <v>4431757</v>
      </c>
      <c r="I102" s="731">
        <v>2540833</v>
      </c>
      <c r="J102" s="733">
        <v>1.0653603012183268</v>
      </c>
      <c r="L102" s="499"/>
      <c r="M102" s="499"/>
      <c r="O102" s="764" t="s">
        <v>126</v>
      </c>
      <c r="P102" s="504"/>
      <c r="Q102" s="504"/>
      <c r="R102" s="504"/>
      <c r="S102" s="504"/>
      <c r="T102" s="493"/>
      <c r="U102" s="504"/>
      <c r="V102" s="504"/>
      <c r="W102" s="504"/>
      <c r="X102" s="504"/>
      <c r="Y102" s="505"/>
      <c r="Z102" s="492"/>
      <c r="AA102" s="492"/>
      <c r="AB102" s="492"/>
      <c r="AC102" s="492"/>
      <c r="AD102" s="505"/>
      <c r="AE102" s="492"/>
      <c r="AF102" s="492"/>
      <c r="AG102" s="492"/>
      <c r="AH102" s="492"/>
      <c r="AI102" s="505"/>
      <c r="AJ102" s="492"/>
      <c r="AK102" s="492"/>
      <c r="AL102" s="492"/>
      <c r="AM102" s="492"/>
      <c r="AN102" s="493"/>
      <c r="AO102" s="492"/>
      <c r="AP102" s="492"/>
      <c r="AQ102" s="492"/>
      <c r="AR102" s="492"/>
      <c r="AS102" s="492"/>
    </row>
    <row r="103" spans="2:45" ht="9" customHeight="1" x14ac:dyDescent="0.2">
      <c r="B103" s="718"/>
      <c r="C103" s="765"/>
      <c r="D103" s="722"/>
      <c r="E103" s="724"/>
      <c r="F103" s="770"/>
      <c r="G103" s="749"/>
      <c r="H103" s="730"/>
      <c r="I103" s="732"/>
      <c r="J103" s="763"/>
      <c r="L103" s="503">
        <f>('ผลงานรายสัปดาห์(เงิน)'!L103)*100/$I102</f>
        <v>0</v>
      </c>
      <c r="M103" s="503">
        <f>('ผลงานรายสัปดาห์(เงิน)'!M103)*100/$I102</f>
        <v>0</v>
      </c>
      <c r="O103" s="765"/>
      <c r="P103" s="502">
        <f>('ผลงานรายสัปดาห์(เงิน)'!P103)*100/$I102</f>
        <v>0</v>
      </c>
      <c r="Q103" s="502">
        <f>('ผลงานรายสัปดาห์(เงิน)'!Q103)*100/$I102</f>
        <v>0</v>
      </c>
      <c r="R103" s="502">
        <f>('ผลงานรายสัปดาห์(เงิน)'!R103)*100/$I102</f>
        <v>0</v>
      </c>
      <c r="S103" s="502">
        <f>('ผลงานรายสัปดาห์(เงิน)'!S103)*100/$I102</f>
        <v>0</v>
      </c>
      <c r="T103" s="495">
        <f>SUM(P103:S103)</f>
        <v>0</v>
      </c>
      <c r="U103" s="502">
        <f>('ผลงานรายสัปดาห์(เงิน)'!U103)*100/$I102</f>
        <v>0</v>
      </c>
      <c r="V103" s="502">
        <f>('ผลงานรายสัปดาห์(เงิน)'!V103)*100/$I102</f>
        <v>0</v>
      </c>
      <c r="W103" s="502">
        <f>('ผลงานรายสัปดาห์(เงิน)'!W103)*100/$I102</f>
        <v>0</v>
      </c>
      <c r="X103" s="502">
        <f>('ผลงานรายสัปดาห์(เงิน)'!X103)*100/$I102</f>
        <v>0</v>
      </c>
      <c r="Y103" s="503">
        <f>SUM(U103:X103)</f>
        <v>0</v>
      </c>
      <c r="Z103" s="502">
        <f>('ผลงานรายสัปดาห์(เงิน)'!Z103)*100/$I102</f>
        <v>0</v>
      </c>
      <c r="AA103" s="502">
        <f>('ผลงานรายสัปดาห์(เงิน)'!AA103)*100/$I102</f>
        <v>0</v>
      </c>
      <c r="AB103" s="502">
        <f>('ผลงานรายสัปดาห์(เงิน)'!AB103)*100/$I102</f>
        <v>0</v>
      </c>
      <c r="AC103" s="502">
        <f>('ผลงานรายสัปดาห์(เงิน)'!AC103)*100/$I102</f>
        <v>0</v>
      </c>
      <c r="AD103" s="503">
        <f>SUM(Z103:AC103)</f>
        <v>0</v>
      </c>
      <c r="AE103" s="502">
        <f>('ผลงานรายสัปดาห์(เงิน)'!AE103)*100/$I102</f>
        <v>0</v>
      </c>
      <c r="AF103" s="502">
        <f>('ผลงานรายสัปดาห์(เงิน)'!AF103)*100/$I102</f>
        <v>0</v>
      </c>
      <c r="AG103" s="502">
        <f>('ผลงานรายสัปดาห์(เงิน)'!AG103)*100/$I102</f>
        <v>0</v>
      </c>
      <c r="AH103" s="502">
        <f>('ผลงานรายสัปดาห์(เงิน)'!AH103)*100/$I102</f>
        <v>0</v>
      </c>
      <c r="AI103" s="503">
        <f>SUM(AE103:AH103)</f>
        <v>0</v>
      </c>
      <c r="AJ103" s="502">
        <f>('ผลงานรายสัปดาห์(เงิน)'!AJ103)*100/$I102</f>
        <v>0</v>
      </c>
      <c r="AK103" s="502">
        <f>('ผลงานรายสัปดาห์(เงิน)'!AK103)*100/$I102</f>
        <v>0</v>
      </c>
      <c r="AL103" s="502">
        <f>('ผลงานรายสัปดาห์(เงิน)'!AL103)*100/$I102</f>
        <v>0</v>
      </c>
      <c r="AM103" s="502">
        <f>('ผลงานรายสัปดาห์(เงิน)'!AM103)*100/$I102</f>
        <v>0</v>
      </c>
      <c r="AN103" s="494"/>
      <c r="AO103" s="494"/>
      <c r="AP103" s="494"/>
      <c r="AQ103" s="494"/>
      <c r="AR103" s="494"/>
      <c r="AS103" s="494"/>
    </row>
    <row r="104" spans="2:45" ht="9" customHeight="1" x14ac:dyDescent="0.2">
      <c r="B104" s="754">
        <v>5</v>
      </c>
      <c r="C104" s="693" t="s">
        <v>127</v>
      </c>
      <c r="D104" s="757"/>
      <c r="E104" s="759"/>
      <c r="F104" s="486">
        <f>แผนการก่อสร้าง!G109</f>
        <v>0</v>
      </c>
      <c r="G104" s="487">
        <f>แผนการก่อสร้าง!H109</f>
        <v>0</v>
      </c>
      <c r="H104" s="759"/>
      <c r="I104" s="759"/>
      <c r="J104" s="761"/>
      <c r="L104" s="499"/>
      <c r="M104" s="499"/>
      <c r="O104" s="693" t="s">
        <v>127</v>
      </c>
      <c r="P104" s="504"/>
      <c r="Q104" s="504"/>
      <c r="R104" s="504"/>
      <c r="S104" s="504"/>
      <c r="T104" s="493"/>
      <c r="U104" s="504"/>
      <c r="V104" s="504"/>
      <c r="W104" s="504"/>
      <c r="X104" s="504"/>
      <c r="Y104" s="505"/>
      <c r="Z104" s="492"/>
      <c r="AA104" s="492"/>
      <c r="AB104" s="492"/>
      <c r="AC104" s="492"/>
      <c r="AD104" s="505"/>
      <c r="AE104" s="492"/>
      <c r="AF104" s="492"/>
      <c r="AG104" s="492"/>
      <c r="AH104" s="492"/>
      <c r="AI104" s="505"/>
      <c r="AJ104" s="492"/>
      <c r="AK104" s="492"/>
      <c r="AL104" s="492"/>
      <c r="AM104" s="492"/>
      <c r="AN104" s="493"/>
      <c r="AO104" s="492"/>
      <c r="AP104" s="492"/>
      <c r="AQ104" s="492"/>
      <c r="AR104" s="492"/>
      <c r="AS104" s="492"/>
    </row>
    <row r="105" spans="2:45" ht="9" customHeight="1" x14ac:dyDescent="0.2">
      <c r="B105" s="766"/>
      <c r="C105" s="694"/>
      <c r="D105" s="767"/>
      <c r="E105" s="768"/>
      <c r="F105" s="490">
        <f>แผนการก่อสร้าง!G110</f>
        <v>0</v>
      </c>
      <c r="G105" s="491">
        <f>แผนการก่อสร้าง!H110</f>
        <v>0</v>
      </c>
      <c r="H105" s="760"/>
      <c r="I105" s="760"/>
      <c r="J105" s="762"/>
      <c r="L105" s="499"/>
      <c r="M105" s="499"/>
      <c r="O105" s="694"/>
      <c r="P105" s="504"/>
      <c r="Q105" s="504"/>
      <c r="R105" s="504"/>
      <c r="S105" s="504"/>
      <c r="T105" s="493"/>
      <c r="U105" s="504"/>
      <c r="V105" s="504"/>
      <c r="W105" s="504"/>
      <c r="X105" s="504"/>
      <c r="Y105" s="505"/>
      <c r="Z105" s="492"/>
      <c r="AA105" s="492"/>
      <c r="AB105" s="492"/>
      <c r="AC105" s="492"/>
      <c r="AD105" s="505"/>
      <c r="AE105" s="492"/>
      <c r="AF105" s="492"/>
      <c r="AG105" s="492"/>
      <c r="AH105" s="492"/>
      <c r="AI105" s="505"/>
      <c r="AJ105" s="492"/>
      <c r="AK105" s="492"/>
      <c r="AL105" s="492"/>
      <c r="AM105" s="492"/>
      <c r="AN105" s="493"/>
      <c r="AO105" s="492"/>
      <c r="AP105" s="492"/>
      <c r="AQ105" s="492"/>
      <c r="AR105" s="492"/>
      <c r="AS105" s="492"/>
    </row>
    <row r="106" spans="2:45" ht="9" customHeight="1" x14ac:dyDescent="0.2">
      <c r="B106" s="717">
        <v>5.0999999999999996</v>
      </c>
      <c r="C106" s="764" t="s">
        <v>127</v>
      </c>
      <c r="D106" s="721" t="s">
        <v>6</v>
      </c>
      <c r="E106" s="723">
        <v>1</v>
      </c>
      <c r="F106" s="725">
        <f>แผนการก่อสร้าง!G111</f>
        <v>0</v>
      </c>
      <c r="G106" s="727">
        <f>แผนการก่อสร้าง!H111</f>
        <v>0</v>
      </c>
      <c r="H106" s="729">
        <v>574191</v>
      </c>
      <c r="I106" s="731">
        <v>574191</v>
      </c>
      <c r="J106" s="733">
        <v>0.24075580595688592</v>
      </c>
      <c r="L106" s="499"/>
      <c r="M106" s="499"/>
      <c r="O106" s="764" t="s">
        <v>127</v>
      </c>
      <c r="P106" s="504"/>
      <c r="Q106" s="504"/>
      <c r="R106" s="504"/>
      <c r="S106" s="504"/>
      <c r="T106" s="493"/>
      <c r="U106" s="504"/>
      <c r="V106" s="504"/>
      <c r="W106" s="504"/>
      <c r="X106" s="504"/>
      <c r="Y106" s="505"/>
      <c r="Z106" s="492"/>
      <c r="AA106" s="492"/>
      <c r="AB106" s="492"/>
      <c r="AC106" s="492"/>
      <c r="AD106" s="505"/>
      <c r="AE106" s="492"/>
      <c r="AF106" s="492"/>
      <c r="AG106" s="492"/>
      <c r="AH106" s="492"/>
      <c r="AI106" s="505"/>
      <c r="AJ106" s="492"/>
      <c r="AK106" s="492"/>
      <c r="AL106" s="492"/>
      <c r="AM106" s="492"/>
      <c r="AN106" s="493"/>
      <c r="AO106" s="492"/>
      <c r="AP106" s="492"/>
      <c r="AQ106" s="492"/>
      <c r="AR106" s="492"/>
      <c r="AS106" s="492"/>
    </row>
    <row r="107" spans="2:45" ht="9" customHeight="1" x14ac:dyDescent="0.2">
      <c r="B107" s="718"/>
      <c r="C107" s="765"/>
      <c r="D107" s="722"/>
      <c r="E107" s="724"/>
      <c r="F107" s="748"/>
      <c r="G107" s="749"/>
      <c r="H107" s="730"/>
      <c r="I107" s="732"/>
      <c r="J107" s="789"/>
      <c r="K107" s="513"/>
      <c r="L107" s="503">
        <f>('ผลงานรายสัปดาห์(เงิน)'!L107)*100/$I106</f>
        <v>0</v>
      </c>
      <c r="M107" s="503">
        <f>('ผลงานรายสัปดาห์(เงิน)'!M107)*100/$I106</f>
        <v>0</v>
      </c>
      <c r="O107" s="765"/>
      <c r="P107" s="502">
        <f>('ผลงานรายสัปดาห์(เงิน)'!P107)*100/$I106</f>
        <v>0</v>
      </c>
      <c r="Q107" s="502">
        <f>('ผลงานรายสัปดาห์(เงิน)'!Q107)*100/$I106</f>
        <v>0</v>
      </c>
      <c r="R107" s="502">
        <f>('ผลงานรายสัปดาห์(เงิน)'!R107)*100/$I106</f>
        <v>0</v>
      </c>
      <c r="S107" s="502">
        <f>('ผลงานรายสัปดาห์(เงิน)'!S107)*100/$I106</f>
        <v>0</v>
      </c>
      <c r="T107" s="495">
        <f>SUM(P107:S107)</f>
        <v>0</v>
      </c>
      <c r="U107" s="502">
        <f>('ผลงานรายสัปดาห์(เงิน)'!U107)*100/$I106</f>
        <v>0</v>
      </c>
      <c r="V107" s="502">
        <f>('ผลงานรายสัปดาห์(เงิน)'!V107)*100/$I106</f>
        <v>0</v>
      </c>
      <c r="W107" s="502">
        <f>('ผลงานรายสัปดาห์(เงิน)'!W107)*100/$I106</f>
        <v>0</v>
      </c>
      <c r="X107" s="502">
        <f>('ผลงานรายสัปดาห์(เงิน)'!X107)*100/$I106</f>
        <v>0</v>
      </c>
      <c r="Y107" s="503">
        <f>SUM(U107:X107)</f>
        <v>0</v>
      </c>
      <c r="Z107" s="502">
        <f>('ผลงานรายสัปดาห์(เงิน)'!Z107)*100/$I106</f>
        <v>0</v>
      </c>
      <c r="AA107" s="502">
        <f>('ผลงานรายสัปดาห์(เงิน)'!AA107)*100/$I106</f>
        <v>0</v>
      </c>
      <c r="AB107" s="502">
        <f>('ผลงานรายสัปดาห์(เงิน)'!AB107)*100/$I106</f>
        <v>0</v>
      </c>
      <c r="AC107" s="502">
        <f>('ผลงานรายสัปดาห์(เงิน)'!AC107)*100/$I106</f>
        <v>0</v>
      </c>
      <c r="AD107" s="503">
        <f>SUM(Z107:AC107)</f>
        <v>0</v>
      </c>
      <c r="AE107" s="502">
        <f>('ผลงานรายสัปดาห์(เงิน)'!AE107)*100/$I106</f>
        <v>0</v>
      </c>
      <c r="AF107" s="502">
        <f>('ผลงานรายสัปดาห์(เงิน)'!AF107)*100/$I106</f>
        <v>0</v>
      </c>
      <c r="AG107" s="502">
        <f>('ผลงานรายสัปดาห์(เงิน)'!AG107)*100/$I106</f>
        <v>0</v>
      </c>
      <c r="AH107" s="502">
        <f>('ผลงานรายสัปดาห์(เงิน)'!AH107)*100/$I106</f>
        <v>0</v>
      </c>
      <c r="AI107" s="503">
        <f>SUM(AE107:AH107)</f>
        <v>0</v>
      </c>
      <c r="AJ107" s="502">
        <f>('ผลงานรายสัปดาห์(เงิน)'!AJ107)*100/$I106</f>
        <v>0</v>
      </c>
      <c r="AK107" s="502">
        <f>('ผลงานรายสัปดาห์(เงิน)'!AK107)*100/$I106</f>
        <v>0</v>
      </c>
      <c r="AL107" s="502">
        <f>('ผลงานรายสัปดาห์(เงิน)'!AL107)*100/$I106</f>
        <v>0</v>
      </c>
      <c r="AM107" s="502">
        <f>('ผลงานรายสัปดาห์(เงิน)'!AM107)*100/$I106</f>
        <v>0</v>
      </c>
      <c r="AN107" s="494"/>
      <c r="AO107" s="494"/>
      <c r="AP107" s="494"/>
      <c r="AQ107" s="494"/>
      <c r="AR107" s="494"/>
      <c r="AS107" s="494"/>
    </row>
    <row r="108" spans="2:45" ht="9" customHeight="1" x14ac:dyDescent="0.2">
      <c r="B108" s="790" t="s">
        <v>7</v>
      </c>
      <c r="C108" s="791"/>
      <c r="D108" s="791"/>
      <c r="E108" s="791"/>
      <c r="F108" s="791"/>
      <c r="G108" s="791"/>
      <c r="H108" s="792"/>
      <c r="I108" s="799">
        <f>SUM(I6:I107)</f>
        <v>238495183</v>
      </c>
      <c r="J108" s="739">
        <f>SUM(J6:J107)</f>
        <v>99.999999999999986</v>
      </c>
      <c r="K108" s="513" t="s">
        <v>859</v>
      </c>
      <c r="L108" s="503">
        <f>('ผลงานรายสัปดาห์(เงิน)'!L108)*100/$I$108</f>
        <v>23.144980668225909</v>
      </c>
      <c r="M108" s="503">
        <f>('ผลงานรายสัปดาห์(เงิน)'!M108)*100/$I$108</f>
        <v>23.144980668225909</v>
      </c>
      <c r="O108" s="480"/>
      <c r="P108" s="803" t="s">
        <v>859</v>
      </c>
      <c r="Q108" s="804"/>
      <c r="R108" s="804"/>
      <c r="S108" s="805"/>
      <c r="T108" s="497">
        <f>(('ผลงานรายสัปดาห์(เงิน)'!T108)*100/$I$108)</f>
        <v>0.17177034556710521</v>
      </c>
      <c r="U108" s="685" t="s">
        <v>859</v>
      </c>
      <c r="V108" s="686"/>
      <c r="W108" s="686"/>
      <c r="X108" s="687"/>
      <c r="Y108" s="497">
        <f>(('ผลงานรายสัปดาห์(เงิน)'!Y108)*100/$I$108)</f>
        <v>13.02751678636629</v>
      </c>
      <c r="Z108" s="685" t="s">
        <v>859</v>
      </c>
      <c r="AA108" s="686"/>
      <c r="AB108" s="686"/>
      <c r="AC108" s="687"/>
      <c r="AD108" s="497">
        <f>(('ผลงานรายสัปดาห์(เงิน)'!AD108)*100/$I$108)</f>
        <v>6.6416435756691987</v>
      </c>
      <c r="AE108" s="685" t="s">
        <v>859</v>
      </c>
      <c r="AF108" s="686"/>
      <c r="AG108" s="686"/>
      <c r="AH108" s="687"/>
      <c r="AI108" s="497">
        <f>(('ผลงานรายสัปดาห์(เงิน)'!AI108)*100/$I$108)</f>
        <v>0</v>
      </c>
      <c r="AJ108" s="494"/>
      <c r="AK108" s="494"/>
      <c r="AL108" s="494"/>
      <c r="AM108" s="494"/>
      <c r="AN108" s="494"/>
      <c r="AO108" s="494"/>
      <c r="AP108" s="494"/>
      <c r="AQ108" s="494"/>
      <c r="AR108" s="494"/>
      <c r="AS108" s="494"/>
    </row>
    <row r="109" spans="2:45" ht="9" customHeight="1" x14ac:dyDescent="0.2">
      <c r="B109" s="793"/>
      <c r="C109" s="794"/>
      <c r="D109" s="794"/>
      <c r="E109" s="794"/>
      <c r="F109" s="794"/>
      <c r="G109" s="794"/>
      <c r="H109" s="795"/>
      <c r="I109" s="800"/>
      <c r="J109" s="802"/>
      <c r="O109" s="480"/>
      <c r="P109" s="496"/>
      <c r="Q109" s="496"/>
      <c r="R109" s="496"/>
      <c r="S109" s="496"/>
      <c r="T109" s="496"/>
      <c r="U109" s="771"/>
      <c r="V109" s="772"/>
      <c r="W109" s="772"/>
      <c r="X109" s="772"/>
      <c r="Y109" s="772"/>
      <c r="Z109" s="772"/>
      <c r="AA109" s="772"/>
      <c r="AB109" s="772"/>
      <c r="AC109" s="772"/>
      <c r="AD109" s="772"/>
      <c r="AE109" s="772"/>
      <c r="AF109" s="772"/>
      <c r="AG109" s="772"/>
      <c r="AH109" s="772"/>
      <c r="AI109" s="772"/>
      <c r="AJ109" s="772"/>
      <c r="AK109" s="772"/>
      <c r="AL109" s="772"/>
      <c r="AM109" s="772"/>
      <c r="AN109" s="772"/>
      <c r="AO109" s="772"/>
      <c r="AP109" s="772"/>
      <c r="AQ109" s="772"/>
      <c r="AR109" s="772"/>
      <c r="AS109" s="773"/>
    </row>
    <row r="110" spans="2:45" ht="9" customHeight="1" x14ac:dyDescent="0.2">
      <c r="B110" s="796"/>
      <c r="C110" s="797"/>
      <c r="D110" s="797"/>
      <c r="E110" s="797"/>
      <c r="F110" s="797"/>
      <c r="G110" s="797"/>
      <c r="H110" s="798"/>
      <c r="I110" s="801"/>
      <c r="J110" s="740"/>
      <c r="O110" s="480"/>
      <c r="P110" s="496"/>
      <c r="Q110" s="496"/>
      <c r="R110" s="496"/>
      <c r="S110" s="496"/>
      <c r="T110" s="496"/>
      <c r="U110" s="774"/>
      <c r="V110" s="775"/>
      <c r="W110" s="775"/>
      <c r="X110" s="775"/>
      <c r="Y110" s="775"/>
      <c r="Z110" s="775"/>
      <c r="AA110" s="775"/>
      <c r="AB110" s="775"/>
      <c r="AC110" s="775"/>
      <c r="AD110" s="775"/>
      <c r="AE110" s="775"/>
      <c r="AF110" s="775"/>
      <c r="AG110" s="775"/>
      <c r="AH110" s="775"/>
      <c r="AI110" s="775"/>
      <c r="AJ110" s="775"/>
      <c r="AK110" s="775"/>
      <c r="AL110" s="775"/>
      <c r="AM110" s="775"/>
      <c r="AN110" s="775"/>
      <c r="AO110" s="775"/>
      <c r="AP110" s="775"/>
      <c r="AQ110" s="775"/>
      <c r="AR110" s="775"/>
      <c r="AS110" s="776"/>
    </row>
    <row r="111" spans="2:45" ht="9" customHeight="1" x14ac:dyDescent="0.7">
      <c r="P111" s="496"/>
      <c r="Q111" s="496"/>
      <c r="R111" s="496"/>
      <c r="S111" s="496"/>
      <c r="T111" s="496"/>
      <c r="U111" s="777"/>
      <c r="V111" s="778"/>
      <c r="W111" s="778"/>
      <c r="X111" s="778"/>
      <c r="Y111" s="778"/>
      <c r="Z111" s="778"/>
      <c r="AA111" s="778"/>
      <c r="AB111" s="778"/>
      <c r="AC111" s="778"/>
      <c r="AD111" s="778"/>
      <c r="AE111" s="778"/>
      <c r="AF111" s="778"/>
      <c r="AG111" s="778"/>
      <c r="AH111" s="778"/>
      <c r="AI111" s="778"/>
      <c r="AJ111" s="778"/>
      <c r="AK111" s="778"/>
      <c r="AL111" s="778"/>
      <c r="AM111" s="778"/>
      <c r="AN111" s="778"/>
      <c r="AO111" s="778"/>
      <c r="AP111" s="778"/>
      <c r="AQ111" s="778"/>
      <c r="AR111" s="778"/>
      <c r="AS111" s="779"/>
    </row>
    <row r="117" spans="2:15" ht="9" customHeight="1" thickBot="1" x14ac:dyDescent="0.75">
      <c r="L117" s="511"/>
      <c r="M117" s="511"/>
    </row>
    <row r="118" spans="2:15" ht="9" customHeight="1" thickBot="1" x14ac:dyDescent="0.75">
      <c r="B118" s="783" t="s">
        <v>25</v>
      </c>
      <c r="C118" s="785" t="s">
        <v>860</v>
      </c>
      <c r="D118" s="515" t="s">
        <v>861</v>
      </c>
      <c r="E118" s="787" t="s">
        <v>862</v>
      </c>
      <c r="F118" s="788"/>
      <c r="G118" s="514" t="s">
        <v>49</v>
      </c>
      <c r="J118" s="480"/>
      <c r="K118" s="511"/>
      <c r="L118" s="511"/>
      <c r="M118" s="480"/>
      <c r="N118" s="481"/>
      <c r="O118" s="480"/>
    </row>
    <row r="119" spans="2:15" ht="9" customHeight="1" thickBot="1" x14ac:dyDescent="0.75">
      <c r="B119" s="784"/>
      <c r="C119" s="786"/>
      <c r="D119" s="517" t="s">
        <v>20</v>
      </c>
      <c r="E119" s="518" t="s">
        <v>863</v>
      </c>
      <c r="F119" s="518" t="s">
        <v>864</v>
      </c>
      <c r="G119" s="516"/>
      <c r="J119" s="480"/>
      <c r="K119" s="511"/>
      <c r="L119" s="511"/>
      <c r="M119" s="480"/>
      <c r="N119" s="481"/>
      <c r="O119" s="480"/>
    </row>
    <row r="120" spans="2:15" ht="9" customHeight="1" thickBot="1" x14ac:dyDescent="0.75">
      <c r="B120" s="512">
        <v>1</v>
      </c>
      <c r="C120" s="519" t="s">
        <v>865</v>
      </c>
      <c r="D120" s="520">
        <f>G120/$G$125*100</f>
        <v>33.346269303896172</v>
      </c>
      <c r="E120" s="520">
        <f>SUM('ผลงานรายสัปดาห์(เงิน)'!L6:L71)*100/$G$125</f>
        <v>7.8047446350310565</v>
      </c>
      <c r="F120" s="520">
        <f>SUM('ผลงานรายสัปดาห์(เงิน)'!M6:M71)*100/$G$125</f>
        <v>7.8047446350310565</v>
      </c>
      <c r="G120" s="520">
        <v>79529246</v>
      </c>
      <c r="J120" s="480"/>
      <c r="K120" s="511"/>
      <c r="L120" s="511"/>
      <c r="M120" s="480"/>
      <c r="N120" s="481"/>
      <c r="O120" s="480"/>
    </row>
    <row r="121" spans="2:15" ht="9" customHeight="1" thickBot="1" x14ac:dyDescent="0.75">
      <c r="B121" s="512">
        <v>2</v>
      </c>
      <c r="C121" s="519" t="s">
        <v>71</v>
      </c>
      <c r="D121" s="520">
        <f t="shared" ref="D121:D124" si="0">G121/$G$125*100</f>
        <v>10.91389296529314</v>
      </c>
      <c r="E121" s="520">
        <f>SUM('ผลงานรายสัปดาห์(เงิน)'!L74:L77)*100/$G$125</f>
        <v>1.4978918882399399E-2</v>
      </c>
      <c r="F121" s="520">
        <f>SUM('ผลงานรายสัปดาห์(เงิน)'!M74:M77)*100/$G$125</f>
        <v>1.4978918882399399E-2</v>
      </c>
      <c r="G121" s="520">
        <v>26029109</v>
      </c>
      <c r="J121" s="480"/>
      <c r="K121" s="511"/>
      <c r="L121" s="511"/>
      <c r="M121" s="480"/>
      <c r="N121" s="481"/>
      <c r="O121" s="480"/>
    </row>
    <row r="122" spans="2:15" ht="9" customHeight="1" thickBot="1" x14ac:dyDescent="0.75">
      <c r="B122" s="512">
        <v>3</v>
      </c>
      <c r="C122" s="519" t="s">
        <v>29</v>
      </c>
      <c r="D122" s="520">
        <f t="shared" si="0"/>
        <v>54.433721623635478</v>
      </c>
      <c r="E122" s="520">
        <f>SUM('ผลงานรายสัปดาห์(เงิน)'!L80:L99)*100/$G$125</f>
        <v>15.325257114312452</v>
      </c>
      <c r="F122" s="520">
        <f>SUM('ผลงานรายสัปดาห์(เงิน)'!M80:M99)*100/$G$125</f>
        <v>15.325257114312452</v>
      </c>
      <c r="G122" s="520">
        <v>129821804</v>
      </c>
      <c r="J122" s="480"/>
      <c r="K122" s="511"/>
      <c r="L122" s="511"/>
      <c r="M122" s="480"/>
      <c r="N122" s="481"/>
      <c r="O122" s="480"/>
    </row>
    <row r="123" spans="2:15" ht="9" customHeight="1" thickBot="1" x14ac:dyDescent="0.75">
      <c r="B123" s="512">
        <v>4</v>
      </c>
      <c r="C123" s="519" t="s">
        <v>125</v>
      </c>
      <c r="D123" s="520">
        <f t="shared" si="0"/>
        <v>1.065360301218327</v>
      </c>
      <c r="E123" s="520">
        <f>SUM('ผลงานรายสัปดาห์(เงิน)'!L103)*100/$G$125</f>
        <v>0</v>
      </c>
      <c r="F123" s="520">
        <f>SUM('ผลงานรายสัปดาห์(เงิน)'!M103)*100/$G$125</f>
        <v>0</v>
      </c>
      <c r="G123" s="520">
        <v>2540833</v>
      </c>
      <c r="J123" s="480"/>
      <c r="K123" s="511"/>
      <c r="L123" s="511"/>
      <c r="M123" s="480"/>
      <c r="N123" s="481"/>
      <c r="O123" s="480"/>
    </row>
    <row r="124" spans="2:15" ht="9" customHeight="1" thickBot="1" x14ac:dyDescent="0.75">
      <c r="B124" s="512">
        <v>5</v>
      </c>
      <c r="C124" s="519" t="s">
        <v>127</v>
      </c>
      <c r="D124" s="520">
        <f t="shared" si="0"/>
        <v>0.24075580595688592</v>
      </c>
      <c r="E124" s="520">
        <f>SUM('ผลงานรายสัปดาห์(เงิน)'!L107)*100/$G$125</f>
        <v>0</v>
      </c>
      <c r="F124" s="520">
        <f>SUM('ผลงานรายสัปดาห์(เงิน)'!M107)*100/$G$125</f>
        <v>0</v>
      </c>
      <c r="G124" s="520">
        <v>574191</v>
      </c>
      <c r="J124" s="480"/>
      <c r="K124" s="511"/>
      <c r="L124" s="511"/>
      <c r="M124" s="480"/>
      <c r="N124" s="481"/>
      <c r="O124" s="480"/>
    </row>
    <row r="125" spans="2:15" ht="9" customHeight="1" thickBot="1" x14ac:dyDescent="0.75">
      <c r="B125" s="512"/>
      <c r="C125" s="519" t="s">
        <v>31</v>
      </c>
      <c r="D125" s="520">
        <f>SUM(D120:D124)</f>
        <v>100</v>
      </c>
      <c r="E125" s="520">
        <f>SUM(E120:E124)</f>
        <v>23.144980668225909</v>
      </c>
      <c r="F125" s="520">
        <f>SUM(F120:F124)</f>
        <v>23.144980668225909</v>
      </c>
      <c r="G125" s="520">
        <f>SUM(G120:G124)</f>
        <v>238495183</v>
      </c>
      <c r="J125" s="480"/>
      <c r="K125" s="498"/>
      <c r="M125" s="480"/>
      <c r="N125" s="481"/>
      <c r="O125" s="480"/>
    </row>
  </sheetData>
  <mergeCells count="570">
    <mergeCell ref="U108:X108"/>
    <mergeCell ref="U109:AS111"/>
    <mergeCell ref="L2:L5"/>
    <mergeCell ref="M2:M5"/>
    <mergeCell ref="B118:B119"/>
    <mergeCell ref="C118:C119"/>
    <mergeCell ref="E118:F118"/>
    <mergeCell ref="J106:J107"/>
    <mergeCell ref="O106:O107"/>
    <mergeCell ref="B108:H110"/>
    <mergeCell ref="I108:I110"/>
    <mergeCell ref="J108:J110"/>
    <mergeCell ref="P108:S108"/>
    <mergeCell ref="J104:J105"/>
    <mergeCell ref="O104:O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H102:H103"/>
    <mergeCell ref="I102:I103"/>
    <mergeCell ref="J102:J103"/>
    <mergeCell ref="O102:O103"/>
    <mergeCell ref="B104:B105"/>
    <mergeCell ref="C104:C105"/>
    <mergeCell ref="D104:D105"/>
    <mergeCell ref="E104:E105"/>
    <mergeCell ref="H104:H105"/>
    <mergeCell ref="I104:I105"/>
    <mergeCell ref="B102:B103"/>
    <mergeCell ref="C102:C103"/>
    <mergeCell ref="D102:D103"/>
    <mergeCell ref="E102:E103"/>
    <mergeCell ref="F102:F103"/>
    <mergeCell ref="G102:G103"/>
    <mergeCell ref="O98:O99"/>
    <mergeCell ref="B100:B101"/>
    <mergeCell ref="C100:C101"/>
    <mergeCell ref="D100:D101"/>
    <mergeCell ref="E100:E101"/>
    <mergeCell ref="H100:H101"/>
    <mergeCell ref="I100:I101"/>
    <mergeCell ref="J100:J101"/>
    <mergeCell ref="O100:O101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O94:O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O96:O97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O90:O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O92:O93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O86:O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O88:O89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O82:O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O84:O85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B78:B79"/>
    <mergeCell ref="C78:C79"/>
    <mergeCell ref="D78:D79"/>
    <mergeCell ref="E78:E79"/>
    <mergeCell ref="H78:H79"/>
    <mergeCell ref="I78:I79"/>
    <mergeCell ref="J78:J79"/>
    <mergeCell ref="O78:O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O80:O81"/>
    <mergeCell ref="H74:H75"/>
    <mergeCell ref="I74:I75"/>
    <mergeCell ref="J74:J75"/>
    <mergeCell ref="O74:O75"/>
    <mergeCell ref="B76:B77"/>
    <mergeCell ref="C76:C77"/>
    <mergeCell ref="D76:D77"/>
    <mergeCell ref="E76:E77"/>
    <mergeCell ref="F76:F77"/>
    <mergeCell ref="G76:G77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O76:O77"/>
    <mergeCell ref="O70:O71"/>
    <mergeCell ref="B72:B73"/>
    <mergeCell ref="C72:C73"/>
    <mergeCell ref="D72:D73"/>
    <mergeCell ref="E72:E73"/>
    <mergeCell ref="H72:H73"/>
    <mergeCell ref="I72:I73"/>
    <mergeCell ref="J72:J73"/>
    <mergeCell ref="O72:O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O66:O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O68:O69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O62:O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O64:O65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O58:O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O60:O61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O54:O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O56:O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O50:O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O52:O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O46:O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O48:O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O42:O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O44:O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O38:O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O40:O41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O34:O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O36:O37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O32:O3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O26:O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O28:O29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O22:O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O24:O25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O20:O21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O14:O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O16:O17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O8:O9"/>
    <mergeCell ref="O10:O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O12:O13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F2:F3"/>
    <mergeCell ref="G2:G3"/>
    <mergeCell ref="J2:J3"/>
    <mergeCell ref="AO4:AO5"/>
    <mergeCell ref="AP4:AP5"/>
    <mergeCell ref="AQ4:AQ5"/>
    <mergeCell ref="AR4:AR5"/>
    <mergeCell ref="AG4:AG5"/>
    <mergeCell ref="AK4:AK5"/>
    <mergeCell ref="AL4:AL5"/>
    <mergeCell ref="O6:O7"/>
    <mergeCell ref="O4:O5"/>
    <mergeCell ref="P4:P5"/>
    <mergeCell ref="Q4:Q5"/>
    <mergeCell ref="R4:R5"/>
    <mergeCell ref="S4:S5"/>
    <mergeCell ref="T4:T5"/>
    <mergeCell ref="AH4:AH5"/>
    <mergeCell ref="AI4:AI5"/>
    <mergeCell ref="AJ4:AJ5"/>
    <mergeCell ref="AA4:AA5"/>
    <mergeCell ref="AB4:AB5"/>
    <mergeCell ref="AF4:AF5"/>
    <mergeCell ref="U4:U5"/>
    <mergeCell ref="V4:V5"/>
    <mergeCell ref="W4:W5"/>
    <mergeCell ref="X4:X5"/>
    <mergeCell ref="AM4:AM5"/>
    <mergeCell ref="AN4:AN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Y4:Y5"/>
    <mergeCell ref="AC4:AC5"/>
    <mergeCell ref="AD4:AD5"/>
    <mergeCell ref="AE4:AE5"/>
    <mergeCell ref="Z4:Z5"/>
    <mergeCell ref="AE108:AH108"/>
    <mergeCell ref="Z108:AC108"/>
    <mergeCell ref="AO3:AS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O2:O3"/>
    <mergeCell ref="P2:T2"/>
    <mergeCell ref="U2:AN2"/>
    <mergeCell ref="P3:T3"/>
    <mergeCell ref="U3:Y3"/>
    <mergeCell ref="Z3:AD3"/>
    <mergeCell ref="AE3:AI3"/>
    <mergeCell ref="AJ3:AN3"/>
    <mergeCell ref="C2:C3"/>
    <mergeCell ref="D2:D3"/>
    <mergeCell ref="E2:E3"/>
    <mergeCell ref="AS4:AS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345E-1648-4D8F-9A09-1FDED1D48C32}">
  <dimension ref="A1:AD641"/>
  <sheetViews>
    <sheetView topLeftCell="C1" zoomScale="55" zoomScaleNormal="55" workbookViewId="0">
      <pane ySplit="8" topLeftCell="A9" activePane="bottomLeft" state="frozen"/>
      <selection activeCell="B1" sqref="B1"/>
      <selection pane="bottomLeft" activeCell="V31" sqref="V31"/>
    </sheetView>
  </sheetViews>
  <sheetFormatPr defaultRowHeight="19.8" customHeight="1" x14ac:dyDescent="0.6"/>
  <cols>
    <col min="1" max="1" width="9.109375" style="255" hidden="1" customWidth="1"/>
    <col min="2" max="2" width="7.88671875" style="265" customWidth="1"/>
    <col min="3" max="3" width="56.21875" style="255" customWidth="1"/>
    <col min="4" max="4" width="8.6640625" style="278" hidden="1" customWidth="1"/>
    <col min="5" max="5" width="8.6640625" style="258" hidden="1" customWidth="1"/>
    <col min="6" max="6" width="14.109375" style="282" hidden="1" customWidth="1"/>
    <col min="7" max="7" width="14.109375" style="286" hidden="1" customWidth="1"/>
    <col min="8" max="8" width="7.21875" style="255" hidden="1" customWidth="1"/>
    <col min="9" max="9" width="12.109375" style="286" hidden="1" customWidth="1"/>
    <col min="10" max="10" width="12.44140625" style="255" hidden="1" customWidth="1"/>
    <col min="11" max="11" width="17.109375" style="274" hidden="1" customWidth="1"/>
    <col min="12" max="12" width="24.109375" style="255" customWidth="1"/>
    <col min="13" max="13" width="16.5546875" style="258" hidden="1" customWidth="1"/>
    <col min="14" max="14" width="16.5546875" style="286" hidden="1" customWidth="1"/>
    <col min="15" max="15" width="16.5546875" style="258" hidden="1" customWidth="1"/>
    <col min="16" max="16" width="16.5546875" style="286" hidden="1" customWidth="1"/>
    <col min="17" max="17" width="16.5546875" style="258" customWidth="1"/>
    <col min="18" max="18" width="16.5546875" style="286" customWidth="1"/>
    <col min="19" max="19" width="16.5546875" style="258" customWidth="1"/>
    <col min="20" max="20" width="16.5546875" style="286" customWidth="1"/>
    <col min="21" max="21" width="16.5546875" style="258" customWidth="1"/>
    <col min="22" max="22" width="16.5546875" style="286" customWidth="1"/>
    <col min="23" max="25" width="8.88671875" style="255"/>
    <col min="26" max="26" width="11" style="258" customWidth="1"/>
    <col min="27" max="27" width="46" style="255" customWidth="1"/>
    <col min="28" max="28" width="27.5546875" style="258" customWidth="1"/>
    <col min="29" max="29" width="20.21875" style="255" customWidth="1"/>
    <col min="30" max="30" width="22.109375" style="255" customWidth="1"/>
    <col min="31" max="16384" width="8.88671875" style="255"/>
  </cols>
  <sheetData>
    <row r="1" spans="2:30" ht="19.8" hidden="1" customHeight="1" x14ac:dyDescent="0.6"/>
    <row r="2" spans="2:30" ht="19.8" hidden="1" customHeight="1" x14ac:dyDescent="0.6"/>
    <row r="3" spans="2:30" ht="19.8" hidden="1" customHeight="1" x14ac:dyDescent="0.7">
      <c r="B3" s="806" t="s">
        <v>300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</row>
    <row r="4" spans="2:30" ht="19.8" hidden="1" customHeight="1" x14ac:dyDescent="0.7">
      <c r="B4" s="806" t="s">
        <v>170</v>
      </c>
      <c r="C4" s="806"/>
      <c r="D4" s="806"/>
      <c r="E4" s="806"/>
      <c r="F4" s="806"/>
      <c r="G4" s="806"/>
      <c r="H4" s="806"/>
      <c r="I4" s="806"/>
      <c r="J4" s="806"/>
      <c r="K4" s="806"/>
      <c r="L4" s="806"/>
      <c r="M4" s="806"/>
      <c r="N4" s="806"/>
      <c r="O4" s="806"/>
      <c r="P4" s="806"/>
      <c r="Q4" s="806"/>
      <c r="R4" s="806"/>
      <c r="S4" s="806"/>
      <c r="T4" s="806"/>
      <c r="U4" s="806"/>
      <c r="V4" s="806"/>
      <c r="W4" s="806"/>
    </row>
    <row r="5" spans="2:30" ht="19.8" hidden="1" customHeight="1" x14ac:dyDescent="0.6">
      <c r="B5" s="305" t="s">
        <v>41</v>
      </c>
    </row>
    <row r="6" spans="2:30" ht="19.8" customHeight="1" x14ac:dyDescent="0.6">
      <c r="B6" s="260" t="s">
        <v>42</v>
      </c>
      <c r="C6" s="260" t="s">
        <v>43</v>
      </c>
      <c r="D6" s="260" t="s">
        <v>44</v>
      </c>
      <c r="E6" s="260" t="s">
        <v>45</v>
      </c>
      <c r="F6" s="283" t="s">
        <v>46</v>
      </c>
      <c r="G6" s="287" t="s">
        <v>47</v>
      </c>
      <c r="H6" s="807" t="s">
        <v>304</v>
      </c>
      <c r="I6" s="808" t="s">
        <v>48</v>
      </c>
      <c r="J6" s="809"/>
      <c r="K6" s="810"/>
      <c r="L6" s="811" t="s">
        <v>49</v>
      </c>
      <c r="M6" s="812" t="s">
        <v>841</v>
      </c>
      <c r="N6" s="812"/>
      <c r="O6" s="813" t="s">
        <v>842</v>
      </c>
      <c r="P6" s="814"/>
      <c r="Q6" s="813" t="s">
        <v>885</v>
      </c>
      <c r="R6" s="814"/>
      <c r="S6" s="813" t="s">
        <v>904</v>
      </c>
      <c r="T6" s="814"/>
      <c r="U6" s="813" t="s">
        <v>905</v>
      </c>
      <c r="V6" s="814"/>
      <c r="W6" s="258"/>
    </row>
    <row r="7" spans="2:30" ht="19.8" customHeight="1" x14ac:dyDescent="0.6">
      <c r="B7" s="811" t="s">
        <v>51</v>
      </c>
      <c r="C7" s="811" t="s">
        <v>0</v>
      </c>
      <c r="D7" s="807" t="s">
        <v>301</v>
      </c>
      <c r="E7" s="811" t="s">
        <v>1</v>
      </c>
      <c r="F7" s="819" t="s">
        <v>302</v>
      </c>
      <c r="G7" s="820" t="s">
        <v>303</v>
      </c>
      <c r="H7" s="807"/>
      <c r="I7" s="821" t="s">
        <v>50</v>
      </c>
      <c r="J7" s="822"/>
      <c r="K7" s="823"/>
      <c r="L7" s="811"/>
      <c r="M7" s="812"/>
      <c r="N7" s="812"/>
      <c r="O7" s="815"/>
      <c r="P7" s="816"/>
      <c r="Q7" s="815"/>
      <c r="R7" s="816"/>
      <c r="S7" s="815"/>
      <c r="T7" s="816"/>
      <c r="U7" s="815"/>
      <c r="V7" s="816"/>
      <c r="W7" s="258"/>
      <c r="AC7" s="824" t="s">
        <v>846</v>
      </c>
      <c r="AD7" s="825"/>
    </row>
    <row r="8" spans="2:30" ht="40.799999999999997" customHeight="1" x14ac:dyDescent="0.6">
      <c r="B8" s="811"/>
      <c r="C8" s="811"/>
      <c r="D8" s="807"/>
      <c r="E8" s="811"/>
      <c r="F8" s="819"/>
      <c r="G8" s="820"/>
      <c r="H8" s="807"/>
      <c r="I8" s="288" t="s">
        <v>175</v>
      </c>
      <c r="J8" s="256" t="s">
        <v>406</v>
      </c>
      <c r="K8" s="256" t="s">
        <v>305</v>
      </c>
      <c r="L8" s="811"/>
      <c r="M8" s="449" t="s">
        <v>143</v>
      </c>
      <c r="N8" s="450" t="s">
        <v>829</v>
      </c>
      <c r="O8" s="449" t="s">
        <v>143</v>
      </c>
      <c r="P8" s="450" t="s">
        <v>829</v>
      </c>
      <c r="Q8" s="449" t="s">
        <v>143</v>
      </c>
      <c r="R8" s="450" t="s">
        <v>829</v>
      </c>
      <c r="S8" s="449" t="s">
        <v>143</v>
      </c>
      <c r="T8" s="450" t="s">
        <v>829</v>
      </c>
      <c r="U8" s="449" t="s">
        <v>143</v>
      </c>
      <c r="V8" s="450" t="s">
        <v>829</v>
      </c>
      <c r="W8" s="258"/>
      <c r="Z8" s="260" t="s">
        <v>24</v>
      </c>
      <c r="AA8" s="260" t="s">
        <v>171</v>
      </c>
      <c r="AB8" s="325" t="s">
        <v>822</v>
      </c>
      <c r="AC8" s="325" t="s">
        <v>832</v>
      </c>
      <c r="AD8" s="325" t="s">
        <v>833</v>
      </c>
    </row>
    <row r="9" spans="2:30" ht="19.8" customHeight="1" x14ac:dyDescent="0.6">
      <c r="B9" s="266">
        <v>1</v>
      </c>
      <c r="C9" s="270" t="s">
        <v>33</v>
      </c>
      <c r="D9" s="279"/>
      <c r="E9" s="275"/>
      <c r="F9" s="284"/>
      <c r="G9" s="289"/>
      <c r="H9" s="263"/>
      <c r="I9" s="289"/>
      <c r="J9" s="263"/>
      <c r="K9" s="314"/>
      <c r="L9" s="454" t="s">
        <v>844</v>
      </c>
      <c r="M9" s="275"/>
      <c r="N9" s="289"/>
      <c r="O9" s="275"/>
      <c r="P9" s="289"/>
      <c r="Q9" s="275"/>
      <c r="R9" s="289"/>
      <c r="S9" s="275"/>
      <c r="T9" s="289"/>
      <c r="U9" s="275"/>
      <c r="V9" s="289"/>
      <c r="Z9" s="260">
        <v>1</v>
      </c>
      <c r="AA9" s="324" t="s">
        <v>33</v>
      </c>
      <c r="AB9" s="257"/>
      <c r="AC9" s="262"/>
      <c r="AD9" s="262"/>
    </row>
    <row r="10" spans="2:30" ht="19.8" customHeight="1" x14ac:dyDescent="0.6">
      <c r="B10" s="267">
        <v>1.2</v>
      </c>
      <c r="C10" s="271" t="s">
        <v>34</v>
      </c>
      <c r="D10" s="280"/>
      <c r="E10" s="276"/>
      <c r="G10" s="290"/>
      <c r="I10" s="290"/>
      <c r="K10" s="315"/>
      <c r="L10" s="455" t="s">
        <v>845</v>
      </c>
      <c r="M10" s="276"/>
      <c r="N10" s="290"/>
      <c r="O10" s="276"/>
      <c r="P10" s="290"/>
      <c r="Q10" s="276"/>
      <c r="R10" s="290"/>
      <c r="S10" s="276"/>
      <c r="T10" s="290"/>
      <c r="U10" s="276"/>
      <c r="V10" s="290"/>
      <c r="Z10" s="260">
        <v>1.1000000000000001</v>
      </c>
      <c r="AA10" s="440" t="s">
        <v>34</v>
      </c>
      <c r="AB10" s="429">
        <f>SUM(K13:K21,K52,K54)</f>
        <v>5090507</v>
      </c>
      <c r="AC10" s="421">
        <f>SUM(V13:V21,V52,V54)</f>
        <v>367394</v>
      </c>
      <c r="AD10" s="441">
        <f>AC10/AB10</f>
        <v>7.217237890056924E-2</v>
      </c>
    </row>
    <row r="11" spans="2:30" ht="19.8" customHeight="1" x14ac:dyDescent="0.6">
      <c r="B11" s="267"/>
      <c r="C11" s="271" t="s">
        <v>306</v>
      </c>
      <c r="D11" s="280"/>
      <c r="E11" s="276"/>
      <c r="G11" s="290"/>
      <c r="I11" s="290"/>
      <c r="K11" s="315"/>
      <c r="L11" s="271"/>
      <c r="M11" s="276"/>
      <c r="N11" s="290"/>
      <c r="O11" s="276"/>
      <c r="P11" s="290"/>
      <c r="Q11" s="276"/>
      <c r="R11" s="290"/>
      <c r="S11" s="276"/>
      <c r="T11" s="290"/>
      <c r="U11" s="276"/>
      <c r="V11" s="290"/>
      <c r="Z11" s="322">
        <v>1</v>
      </c>
      <c r="AA11" s="262" t="s">
        <v>35</v>
      </c>
      <c r="AB11" s="326">
        <f>SUM(K22:K29)</f>
        <v>2151709</v>
      </c>
      <c r="AC11" s="421">
        <f>SUM(V22:V29)</f>
        <v>0</v>
      </c>
      <c r="AD11" s="441">
        <f t="shared" ref="AD11:AD14" si="0">AC11/AB11</f>
        <v>0</v>
      </c>
    </row>
    <row r="12" spans="2:30" ht="19.8" customHeight="1" x14ac:dyDescent="0.6">
      <c r="B12" s="267"/>
      <c r="C12" s="271" t="s">
        <v>307</v>
      </c>
      <c r="D12" s="280"/>
      <c r="E12" s="276"/>
      <c r="G12" s="290"/>
      <c r="I12" s="290"/>
      <c r="K12" s="315"/>
      <c r="L12" s="271"/>
      <c r="M12" s="276"/>
      <c r="N12" s="290"/>
      <c r="O12" s="276"/>
      <c r="P12" s="290"/>
      <c r="Q12" s="276"/>
      <c r="R12" s="290"/>
      <c r="S12" s="276"/>
      <c r="T12" s="290"/>
      <c r="U12" s="276"/>
      <c r="V12" s="290"/>
      <c r="Z12" s="322">
        <v>2</v>
      </c>
      <c r="AA12" s="262" t="s">
        <v>36</v>
      </c>
      <c r="AB12" s="326">
        <f>SUM(K30:K36)</f>
        <v>906762</v>
      </c>
      <c r="AC12" s="421">
        <f>SUM(V30:V36)</f>
        <v>0</v>
      </c>
      <c r="AD12" s="441">
        <f t="shared" si="0"/>
        <v>0</v>
      </c>
    </row>
    <row r="13" spans="2:30" ht="19.8" customHeight="1" x14ac:dyDescent="0.6">
      <c r="B13" s="268">
        <v>1</v>
      </c>
      <c r="C13" s="271" t="s">
        <v>194</v>
      </c>
      <c r="D13" s="280">
        <v>1</v>
      </c>
      <c r="E13" s="276" t="s">
        <v>78</v>
      </c>
      <c r="F13" s="282" t="s">
        <v>346</v>
      </c>
      <c r="G13" s="290">
        <f>F13*D13</f>
        <v>15000</v>
      </c>
      <c r="H13" s="255">
        <v>1.1596</v>
      </c>
      <c r="I13" s="290">
        <f>H13*F13</f>
        <v>17394</v>
      </c>
      <c r="J13" s="298">
        <f>IF(G13="-","-",IF(D13&gt;0,ROUNDDOWN(I13*D13,0),""))</f>
        <v>17394</v>
      </c>
      <c r="K13" s="316">
        <v>17394</v>
      </c>
      <c r="L13" s="271"/>
      <c r="M13" s="276">
        <v>1</v>
      </c>
      <c r="N13" s="290">
        <f>ROUNDDOWN(M13*$I13,0)</f>
        <v>17394</v>
      </c>
      <c r="O13" s="276"/>
      <c r="P13" s="290">
        <f>ROUNDDOWN(O13*$I13,0)</f>
        <v>0</v>
      </c>
      <c r="Q13" s="276"/>
      <c r="R13" s="290"/>
      <c r="S13" s="276"/>
      <c r="T13" s="290"/>
      <c r="U13" s="276">
        <v>1</v>
      </c>
      <c r="V13" s="290">
        <v>17394</v>
      </c>
      <c r="Z13" s="322">
        <v>3</v>
      </c>
      <c r="AA13" s="262" t="s">
        <v>37</v>
      </c>
      <c r="AB13" s="326">
        <f>SUM(K37:K39)</f>
        <v>1372327</v>
      </c>
      <c r="AC13" s="421">
        <f>SUM(V37:V39)</f>
        <v>0</v>
      </c>
      <c r="AD13" s="441">
        <f t="shared" si="0"/>
        <v>0</v>
      </c>
    </row>
    <row r="14" spans="2:30" ht="19.8" customHeight="1" x14ac:dyDescent="0.6">
      <c r="B14" s="268">
        <v>2</v>
      </c>
      <c r="C14" s="271" t="s">
        <v>195</v>
      </c>
      <c r="D14" s="280" t="s">
        <v>322</v>
      </c>
      <c r="E14" s="276" t="s">
        <v>55</v>
      </c>
      <c r="F14" s="282">
        <v>33.15</v>
      </c>
      <c r="G14" s="290">
        <f>IF(D14="-","-",ROUNDDOWN(F14*D14,0))</f>
        <v>50056</v>
      </c>
      <c r="H14" s="255">
        <v>1.1596</v>
      </c>
      <c r="I14" s="290">
        <f t="shared" ref="I14:I15" si="1">H14*F14</f>
        <v>38.440739999999998</v>
      </c>
      <c r="J14" s="298">
        <f t="shared" ref="J14:J54" si="2">IF(G14="-","-",IF(D14&gt;0,ROUNDDOWN(I14*D14,0),""))</f>
        <v>58045</v>
      </c>
      <c r="K14" s="316">
        <v>58044</v>
      </c>
      <c r="L14" s="271"/>
      <c r="M14" s="276"/>
      <c r="N14" s="290">
        <f>ROUNDDOWN(M14*$I14,0)</f>
        <v>0</v>
      </c>
      <c r="O14" s="276"/>
      <c r="P14" s="290">
        <f>ROUNDDOWN(O14*$I14,0)</f>
        <v>0</v>
      </c>
      <c r="Q14" s="276"/>
      <c r="R14" s="290"/>
      <c r="S14" s="276"/>
      <c r="T14" s="290"/>
      <c r="U14" s="276">
        <v>0</v>
      </c>
      <c r="V14" s="290">
        <v>0</v>
      </c>
      <c r="Z14" s="322">
        <v>4</v>
      </c>
      <c r="AA14" s="262" t="s">
        <v>39</v>
      </c>
      <c r="AB14" s="326">
        <f>SUM(K42,K43,K45,K46,K47,K49,K50)</f>
        <v>789372</v>
      </c>
      <c r="AC14" s="421">
        <f>SUM(V42,V43,V45,V46,V47,V49,V50)</f>
        <v>0</v>
      </c>
      <c r="AD14" s="441">
        <f t="shared" si="0"/>
        <v>0</v>
      </c>
    </row>
    <row r="15" spans="2:30" ht="19.8" customHeight="1" x14ac:dyDescent="0.6">
      <c r="B15" s="268">
        <v>3</v>
      </c>
      <c r="C15" s="271" t="s">
        <v>308</v>
      </c>
      <c r="D15" s="280" t="s">
        <v>176</v>
      </c>
      <c r="E15" s="276" t="s">
        <v>61</v>
      </c>
      <c r="F15" s="282" t="s">
        <v>347</v>
      </c>
      <c r="G15" s="300" t="str">
        <f>IF(D15="-","-",F15*D15)</f>
        <v>-</v>
      </c>
      <c r="H15" s="255">
        <v>1.1409</v>
      </c>
      <c r="I15" s="290">
        <f t="shared" si="1"/>
        <v>17978.302200000002</v>
      </c>
      <c r="J15" s="298" t="str">
        <f t="shared" si="2"/>
        <v>-</v>
      </c>
      <c r="K15" s="317" t="s">
        <v>176</v>
      </c>
      <c r="L15" s="271"/>
      <c r="M15" s="276"/>
      <c r="N15" s="290"/>
      <c r="O15" s="276"/>
      <c r="P15" s="290"/>
      <c r="Q15" s="276"/>
      <c r="R15" s="290"/>
      <c r="S15" s="276"/>
      <c r="T15" s="290"/>
      <c r="U15" s="276">
        <v>0</v>
      </c>
      <c r="V15" s="290">
        <v>0</v>
      </c>
      <c r="Z15" s="817" t="s">
        <v>823</v>
      </c>
      <c r="AA15" s="818"/>
      <c r="AB15" s="326">
        <f>SUM(AB10:AB14)</f>
        <v>10310677</v>
      </c>
      <c r="AC15" s="287">
        <f>SUM(AC10:AC14)</f>
        <v>367394</v>
      </c>
      <c r="AD15" s="445">
        <f>SUM(AD10:AD14)</f>
        <v>7.217237890056924E-2</v>
      </c>
    </row>
    <row r="16" spans="2:30" ht="19.8" customHeight="1" x14ac:dyDescent="0.6">
      <c r="B16" s="268"/>
      <c r="C16" s="271" t="s">
        <v>52</v>
      </c>
      <c r="D16" s="280"/>
      <c r="E16" s="276"/>
      <c r="G16" s="290"/>
      <c r="I16" s="290"/>
      <c r="J16" s="298" t="str">
        <f t="shared" si="2"/>
        <v/>
      </c>
      <c r="K16" s="315"/>
      <c r="L16" s="271"/>
      <c r="M16" s="276"/>
      <c r="N16" s="290"/>
      <c r="O16" s="276"/>
      <c r="P16" s="290"/>
      <c r="Q16" s="276"/>
      <c r="R16" s="290"/>
      <c r="S16" s="276"/>
      <c r="T16" s="290"/>
      <c r="U16" s="276">
        <v>0</v>
      </c>
      <c r="V16" s="290">
        <v>0</v>
      </c>
      <c r="Z16" s="323">
        <v>1.2</v>
      </c>
      <c r="AA16" s="324" t="s">
        <v>40</v>
      </c>
      <c r="AB16" s="326">
        <f>SUM(K60,K61,K62,K63,K65,K67,K69,K70,K75)</f>
        <v>5004503</v>
      </c>
      <c r="AC16" s="422">
        <f>SUM(V60,V61,V62,V63,V65,V67,V69,V70,V75)</f>
        <v>17394</v>
      </c>
      <c r="AD16" s="441">
        <f>AC16/AB16</f>
        <v>3.4756698117675224E-3</v>
      </c>
    </row>
    <row r="17" spans="2:30" ht="19.8" customHeight="1" x14ac:dyDescent="0.6">
      <c r="B17" s="268">
        <v>4</v>
      </c>
      <c r="C17" s="271" t="s">
        <v>309</v>
      </c>
      <c r="D17" s="280" t="s">
        <v>176</v>
      </c>
      <c r="E17" s="276" t="s">
        <v>61</v>
      </c>
      <c r="F17" s="282" t="s">
        <v>348</v>
      </c>
      <c r="G17" s="300" t="str">
        <f>IF(D17="-","-",F17*D17)</f>
        <v>-</v>
      </c>
      <c r="H17" s="255">
        <v>1.1409</v>
      </c>
      <c r="I17" s="290">
        <f>H17*F17</f>
        <v>15663.4161</v>
      </c>
      <c r="J17" s="298" t="str">
        <f t="shared" si="2"/>
        <v>-</v>
      </c>
      <c r="K17" s="317" t="s">
        <v>176</v>
      </c>
      <c r="L17" s="271"/>
      <c r="M17" s="276"/>
      <c r="N17" s="290"/>
      <c r="O17" s="276"/>
      <c r="P17" s="290"/>
      <c r="Q17" s="276"/>
      <c r="R17" s="290"/>
      <c r="S17" s="276"/>
      <c r="T17" s="290"/>
      <c r="U17" s="276">
        <v>0</v>
      </c>
      <c r="V17" s="290">
        <v>0</v>
      </c>
      <c r="Z17" s="322">
        <v>1</v>
      </c>
      <c r="AA17" s="262" t="s">
        <v>35</v>
      </c>
      <c r="AB17" s="326">
        <f>SUM(K71)</f>
        <v>1136018</v>
      </c>
      <c r="AC17" s="423">
        <f>SUM(V71)</f>
        <v>0</v>
      </c>
      <c r="AD17" s="441">
        <f t="shared" ref="AD17:AD19" si="3">AC17/AB17</f>
        <v>0</v>
      </c>
    </row>
    <row r="18" spans="2:30" ht="19.8" customHeight="1" x14ac:dyDescent="0.6">
      <c r="B18" s="268"/>
      <c r="C18" s="271" t="s">
        <v>52</v>
      </c>
      <c r="D18" s="280"/>
      <c r="E18" s="276"/>
      <c r="G18" s="290"/>
      <c r="I18" s="290"/>
      <c r="J18" s="298" t="str">
        <f t="shared" si="2"/>
        <v/>
      </c>
      <c r="K18" s="315"/>
      <c r="L18" s="271"/>
      <c r="M18" s="276"/>
      <c r="N18" s="290"/>
      <c r="O18" s="276"/>
      <c r="P18" s="290"/>
      <c r="Q18" s="276"/>
      <c r="R18" s="290"/>
      <c r="S18" s="276"/>
      <c r="T18" s="290"/>
      <c r="U18" s="276">
        <v>0</v>
      </c>
      <c r="V18" s="290">
        <v>0</v>
      </c>
      <c r="Z18" s="322">
        <v>2</v>
      </c>
      <c r="AA18" s="262" t="s">
        <v>37</v>
      </c>
      <c r="AB18" s="326">
        <f>SUM(K68)</f>
        <v>528774</v>
      </c>
      <c r="AC18" s="423">
        <f>SUM(V68)</f>
        <v>0</v>
      </c>
      <c r="AD18" s="441">
        <f t="shared" si="3"/>
        <v>0</v>
      </c>
    </row>
    <row r="19" spans="2:30" ht="19.8" customHeight="1" x14ac:dyDescent="0.6">
      <c r="B19" s="268">
        <v>5</v>
      </c>
      <c r="C19" s="271" t="s">
        <v>196</v>
      </c>
      <c r="D19" s="280" t="s">
        <v>323</v>
      </c>
      <c r="E19" s="276" t="s">
        <v>61</v>
      </c>
      <c r="F19" s="282" t="s">
        <v>349</v>
      </c>
      <c r="G19" s="290">
        <f t="shared" ref="G19:G30" si="4">IF(D19="-","-",F19*D19)</f>
        <v>2100</v>
      </c>
      <c r="H19" s="255">
        <v>1.1596</v>
      </c>
      <c r="I19" s="290">
        <f t="shared" ref="I19:I34" si="5">H19*F19</f>
        <v>811.72</v>
      </c>
      <c r="J19" s="298">
        <f t="shared" si="2"/>
        <v>2435</v>
      </c>
      <c r="K19" s="316">
        <v>2435</v>
      </c>
      <c r="L19" s="271"/>
      <c r="M19" s="276"/>
      <c r="N19" s="290">
        <f t="shared" ref="N19:N34" si="6">ROUNDDOWN(M19*$I19,0)</f>
        <v>0</v>
      </c>
      <c r="O19" s="276"/>
      <c r="P19" s="290">
        <f t="shared" ref="P19:P34" si="7">ROUNDDOWN(O19*$I19,0)</f>
        <v>0</v>
      </c>
      <c r="Q19" s="276"/>
      <c r="R19" s="290"/>
      <c r="S19" s="276"/>
      <c r="T19" s="290"/>
      <c r="U19" s="276">
        <v>0</v>
      </c>
      <c r="V19" s="290">
        <v>0</v>
      </c>
      <c r="Z19" s="322">
        <v>3</v>
      </c>
      <c r="AA19" s="262" t="s">
        <v>56</v>
      </c>
      <c r="AB19" s="326">
        <f>SUM(K73,K74)</f>
        <v>160623</v>
      </c>
      <c r="AC19" s="423">
        <f>SUM(V73,V74)</f>
        <v>0</v>
      </c>
      <c r="AD19" s="441">
        <f t="shared" si="3"/>
        <v>0</v>
      </c>
    </row>
    <row r="20" spans="2:30" ht="19.8" customHeight="1" x14ac:dyDescent="0.6">
      <c r="B20" s="268">
        <v>6</v>
      </c>
      <c r="C20" s="271" t="s">
        <v>197</v>
      </c>
      <c r="D20" s="280" t="s">
        <v>324</v>
      </c>
      <c r="E20" s="276" t="s">
        <v>54</v>
      </c>
      <c r="F20" s="282" t="s">
        <v>350</v>
      </c>
      <c r="G20" s="290">
        <f>IF(D20="-","-",ROUNDDOWN(F20*D20,0))</f>
        <v>121228</v>
      </c>
      <c r="H20" s="255">
        <v>1.1596</v>
      </c>
      <c r="I20" s="290">
        <f t="shared" si="5"/>
        <v>104.59592000000001</v>
      </c>
      <c r="J20" s="298">
        <f t="shared" si="2"/>
        <v>140576</v>
      </c>
      <c r="K20" s="316">
        <v>140582</v>
      </c>
      <c r="L20" s="271"/>
      <c r="M20" s="276"/>
      <c r="N20" s="290">
        <f t="shared" si="6"/>
        <v>0</v>
      </c>
      <c r="O20" s="276"/>
      <c r="P20" s="290">
        <f t="shared" si="7"/>
        <v>0</v>
      </c>
      <c r="Q20" s="276"/>
      <c r="R20" s="290"/>
      <c r="S20" s="276"/>
      <c r="T20" s="290"/>
      <c r="U20" s="276">
        <v>0</v>
      </c>
      <c r="V20" s="290">
        <v>0</v>
      </c>
      <c r="Z20" s="817" t="s">
        <v>823</v>
      </c>
      <c r="AA20" s="818"/>
      <c r="AB20" s="326">
        <f>SUM(AB16:AB19)</f>
        <v>6829918</v>
      </c>
      <c r="AC20" s="430">
        <f>SUM(AC16:AC19)</f>
        <v>17394</v>
      </c>
      <c r="AD20" s="445">
        <f>SUM(AD16:AD19)</f>
        <v>3.4756698117675224E-3</v>
      </c>
    </row>
    <row r="21" spans="2:30" ht="19.8" customHeight="1" x14ac:dyDescent="0.6">
      <c r="B21" s="268">
        <v>7</v>
      </c>
      <c r="C21" s="271" t="s">
        <v>310</v>
      </c>
      <c r="D21" s="280" t="s">
        <v>325</v>
      </c>
      <c r="E21" s="276" t="s">
        <v>55</v>
      </c>
      <c r="F21" s="282" t="s">
        <v>376</v>
      </c>
      <c r="G21" s="290">
        <f>IF(D21="-","-",ROUNDDOWN(F21*D21,0))</f>
        <v>578730</v>
      </c>
      <c r="H21" s="255">
        <v>1.1596</v>
      </c>
      <c r="I21" s="290">
        <f t="shared" si="5"/>
        <v>2252.0011799999997</v>
      </c>
      <c r="J21" s="298">
        <f t="shared" si="2"/>
        <v>671096</v>
      </c>
      <c r="K21" s="316">
        <v>671096</v>
      </c>
      <c r="L21" s="271"/>
      <c r="M21" s="276"/>
      <c r="N21" s="290">
        <f t="shared" si="6"/>
        <v>0</v>
      </c>
      <c r="O21" s="276"/>
      <c r="P21" s="290">
        <f t="shared" si="7"/>
        <v>0</v>
      </c>
      <c r="Q21" s="276"/>
      <c r="R21" s="290"/>
      <c r="S21" s="276"/>
      <c r="T21" s="290"/>
      <c r="U21" s="276">
        <v>0</v>
      </c>
      <c r="V21" s="290">
        <v>0</v>
      </c>
      <c r="Z21" s="323" t="s">
        <v>809</v>
      </c>
      <c r="AA21" s="324" t="s">
        <v>34</v>
      </c>
      <c r="AB21" s="426">
        <f>SUM(K81:K85,K116:K118)</f>
        <v>4272939</v>
      </c>
      <c r="AC21" s="427">
        <f>SUM(V81:V85,V116:V118)</f>
        <v>2767394</v>
      </c>
      <c r="AD21" s="442">
        <f t="shared" ref="AD21:AD66" si="8">AC21/AB21</f>
        <v>0.6476558640317589</v>
      </c>
    </row>
    <row r="22" spans="2:30" ht="19.8" customHeight="1" x14ac:dyDescent="0.6">
      <c r="B22" s="268">
        <v>8</v>
      </c>
      <c r="C22" s="271" t="s">
        <v>198</v>
      </c>
      <c r="D22" s="280" t="s">
        <v>326</v>
      </c>
      <c r="E22" s="276" t="s">
        <v>57</v>
      </c>
      <c r="F22" s="282" t="s">
        <v>351</v>
      </c>
      <c r="G22" s="290">
        <f t="shared" si="4"/>
        <v>246344</v>
      </c>
      <c r="H22" s="255">
        <v>1.1409</v>
      </c>
      <c r="I22" s="290">
        <f t="shared" si="5"/>
        <v>1693.0956000000001</v>
      </c>
      <c r="J22" s="298">
        <f t="shared" si="2"/>
        <v>281053</v>
      </c>
      <c r="K22" s="316">
        <v>281054</v>
      </c>
      <c r="L22" s="271"/>
      <c r="M22" s="276"/>
      <c r="N22" s="290">
        <f t="shared" si="6"/>
        <v>0</v>
      </c>
      <c r="O22" s="276"/>
      <c r="P22" s="290">
        <f t="shared" si="7"/>
        <v>0</v>
      </c>
      <c r="Q22" s="276"/>
      <c r="R22" s="290"/>
      <c r="S22" s="276"/>
      <c r="T22" s="290"/>
      <c r="U22" s="276">
        <v>0</v>
      </c>
      <c r="V22" s="290">
        <v>0</v>
      </c>
      <c r="Z22" s="322">
        <v>1</v>
      </c>
      <c r="AA22" s="262" t="s">
        <v>35</v>
      </c>
      <c r="AB22" s="426">
        <f>SUM(K86:K93)</f>
        <v>2092762</v>
      </c>
      <c r="AC22" s="421">
        <f>SUM(V86:V93)</f>
        <v>0</v>
      </c>
      <c r="AD22" s="442">
        <f t="shared" si="8"/>
        <v>0</v>
      </c>
    </row>
    <row r="23" spans="2:30" ht="19.8" customHeight="1" x14ac:dyDescent="0.6">
      <c r="B23" s="268">
        <v>9</v>
      </c>
      <c r="C23" s="271" t="s">
        <v>199</v>
      </c>
      <c r="D23" s="280" t="s">
        <v>326</v>
      </c>
      <c r="E23" s="276" t="s">
        <v>57</v>
      </c>
      <c r="F23" s="282" t="s">
        <v>352</v>
      </c>
      <c r="G23" s="290">
        <f t="shared" si="4"/>
        <v>485218</v>
      </c>
      <c r="H23" s="255">
        <v>1.1409</v>
      </c>
      <c r="I23" s="290">
        <f t="shared" si="5"/>
        <v>3334.8507</v>
      </c>
      <c r="J23" s="298">
        <f t="shared" si="2"/>
        <v>553585</v>
      </c>
      <c r="K23" s="316">
        <v>553585</v>
      </c>
      <c r="L23" s="271"/>
      <c r="M23" s="276"/>
      <c r="N23" s="290">
        <f t="shared" si="6"/>
        <v>0</v>
      </c>
      <c r="O23" s="276"/>
      <c r="P23" s="290">
        <f t="shared" si="7"/>
        <v>0</v>
      </c>
      <c r="Q23" s="276"/>
      <c r="R23" s="290"/>
      <c r="S23" s="276"/>
      <c r="T23" s="290"/>
      <c r="U23" s="276">
        <v>0</v>
      </c>
      <c r="V23" s="290">
        <v>0</v>
      </c>
      <c r="Z23" s="322">
        <v>2</v>
      </c>
      <c r="AA23" s="262" t="s">
        <v>36</v>
      </c>
      <c r="AB23" s="426">
        <f>SUM(K94:K100)</f>
        <v>883548</v>
      </c>
      <c r="AC23" s="421">
        <f>SUM(V94:V100)</f>
        <v>0</v>
      </c>
      <c r="AD23" s="442">
        <f t="shared" si="8"/>
        <v>0</v>
      </c>
    </row>
    <row r="24" spans="2:30" ht="19.8" customHeight="1" x14ac:dyDescent="0.6">
      <c r="B24" s="268">
        <v>10</v>
      </c>
      <c r="C24" s="271" t="s">
        <v>200</v>
      </c>
      <c r="D24" s="280" t="s">
        <v>326</v>
      </c>
      <c r="E24" s="276" t="s">
        <v>57</v>
      </c>
      <c r="F24" s="282" t="s">
        <v>353</v>
      </c>
      <c r="G24" s="290">
        <f t="shared" si="4"/>
        <v>759616</v>
      </c>
      <c r="H24" s="255">
        <v>1.1409</v>
      </c>
      <c r="I24" s="290">
        <f t="shared" si="5"/>
        <v>5220.7583999999997</v>
      </c>
      <c r="J24" s="298">
        <f t="shared" si="2"/>
        <v>866645</v>
      </c>
      <c r="K24" s="316">
        <v>866646</v>
      </c>
      <c r="L24" s="271"/>
      <c r="M24" s="276"/>
      <c r="N24" s="290">
        <f t="shared" si="6"/>
        <v>0</v>
      </c>
      <c r="O24" s="276"/>
      <c r="P24" s="290">
        <f t="shared" si="7"/>
        <v>0</v>
      </c>
      <c r="Q24" s="276"/>
      <c r="R24" s="290"/>
      <c r="S24" s="276"/>
      <c r="T24" s="290"/>
      <c r="U24" s="276">
        <v>0</v>
      </c>
      <c r="V24" s="290">
        <v>0</v>
      </c>
      <c r="Z24" s="322">
        <v>3</v>
      </c>
      <c r="AA24" s="262" t="s">
        <v>37</v>
      </c>
      <c r="AB24" s="426">
        <f>SUM(K101:K103)</f>
        <v>1344618</v>
      </c>
      <c r="AC24" s="421">
        <f>SUM(V101:V103)</f>
        <v>0</v>
      </c>
      <c r="AD24" s="442">
        <f t="shared" si="8"/>
        <v>0</v>
      </c>
    </row>
    <row r="25" spans="2:30" ht="19.8" customHeight="1" x14ac:dyDescent="0.6">
      <c r="B25" s="268">
        <v>11</v>
      </c>
      <c r="C25" s="271" t="s">
        <v>201</v>
      </c>
      <c r="D25" s="280" t="s">
        <v>327</v>
      </c>
      <c r="E25" s="276" t="s">
        <v>57</v>
      </c>
      <c r="F25" s="282" t="s">
        <v>354</v>
      </c>
      <c r="G25" s="290">
        <f t="shared" si="4"/>
        <v>226872</v>
      </c>
      <c r="H25" s="255">
        <v>1.1409</v>
      </c>
      <c r="I25" s="290">
        <f t="shared" si="5"/>
        <v>1250.4264000000001</v>
      </c>
      <c r="J25" s="298">
        <f t="shared" si="2"/>
        <v>258838</v>
      </c>
      <c r="K25" s="316">
        <v>258839</v>
      </c>
      <c r="L25" s="271"/>
      <c r="M25" s="276"/>
      <c r="N25" s="290">
        <f t="shared" si="6"/>
        <v>0</v>
      </c>
      <c r="O25" s="276"/>
      <c r="P25" s="290">
        <f t="shared" si="7"/>
        <v>0</v>
      </c>
      <c r="Q25" s="276"/>
      <c r="R25" s="290"/>
      <c r="S25" s="276"/>
      <c r="T25" s="290"/>
      <c r="U25" s="276">
        <v>0</v>
      </c>
      <c r="V25" s="290">
        <v>0</v>
      </c>
      <c r="Z25" s="322">
        <v>4</v>
      </c>
      <c r="AA25" s="262" t="s">
        <v>39</v>
      </c>
      <c r="AB25" s="426">
        <f>SUM(K106:K114)</f>
        <v>1048108</v>
      </c>
      <c r="AC25" s="429">
        <f>SUM(V106:V114)</f>
        <v>0</v>
      </c>
      <c r="AD25" s="442">
        <f t="shared" si="8"/>
        <v>0</v>
      </c>
    </row>
    <row r="26" spans="2:30" ht="19.8" customHeight="1" x14ac:dyDescent="0.6">
      <c r="B26" s="268">
        <v>12</v>
      </c>
      <c r="C26" s="271" t="s">
        <v>202</v>
      </c>
      <c r="D26" s="280" t="s">
        <v>328</v>
      </c>
      <c r="E26" s="276" t="s">
        <v>57</v>
      </c>
      <c r="F26" s="282" t="s">
        <v>355</v>
      </c>
      <c r="G26" s="290">
        <f>IF(D26="-","-",ROUNDDOWN(F26*D26,0))</f>
        <v>14658</v>
      </c>
      <c r="H26" s="255">
        <v>1.1409</v>
      </c>
      <c r="I26" s="290">
        <f t="shared" si="5"/>
        <v>913.86090000000002</v>
      </c>
      <c r="J26" s="298">
        <f t="shared" si="2"/>
        <v>16723</v>
      </c>
      <c r="K26" s="316">
        <v>16723</v>
      </c>
      <c r="L26" s="271"/>
      <c r="M26" s="276"/>
      <c r="N26" s="290">
        <f t="shared" si="6"/>
        <v>0</v>
      </c>
      <c r="O26" s="276"/>
      <c r="P26" s="290">
        <f t="shared" si="7"/>
        <v>0</v>
      </c>
      <c r="Q26" s="276"/>
      <c r="R26" s="290"/>
      <c r="S26" s="276"/>
      <c r="T26" s="290"/>
      <c r="U26" s="276">
        <v>0</v>
      </c>
      <c r="V26" s="290">
        <v>0</v>
      </c>
      <c r="Z26" s="817" t="s">
        <v>823</v>
      </c>
      <c r="AA26" s="818"/>
      <c r="AB26" s="326">
        <f>SUM(AB21:AB25)</f>
        <v>9641975</v>
      </c>
      <c r="AC26" s="428">
        <f>SUM(AC21:AC25)</f>
        <v>2767394</v>
      </c>
      <c r="AD26" s="445">
        <f>SUM(AD22:AD25)</f>
        <v>0</v>
      </c>
    </row>
    <row r="27" spans="2:30" ht="19.8" customHeight="1" x14ac:dyDescent="0.6">
      <c r="B27" s="268">
        <v>13</v>
      </c>
      <c r="C27" s="271" t="s">
        <v>203</v>
      </c>
      <c r="D27" s="280" t="s">
        <v>329</v>
      </c>
      <c r="E27" s="276" t="s">
        <v>57</v>
      </c>
      <c r="F27" s="282" t="s">
        <v>356</v>
      </c>
      <c r="G27" s="290">
        <f t="shared" si="4"/>
        <v>15408</v>
      </c>
      <c r="H27" s="255">
        <v>1.1409</v>
      </c>
      <c r="I27" s="290">
        <f t="shared" si="5"/>
        <v>976.61040000000003</v>
      </c>
      <c r="J27" s="298">
        <f t="shared" si="2"/>
        <v>17578</v>
      </c>
      <c r="K27" s="316">
        <v>17578</v>
      </c>
      <c r="L27" s="271"/>
      <c r="M27" s="276"/>
      <c r="N27" s="290">
        <f t="shared" si="6"/>
        <v>0</v>
      </c>
      <c r="O27" s="276"/>
      <c r="P27" s="290">
        <f t="shared" si="7"/>
        <v>0</v>
      </c>
      <c r="Q27" s="276"/>
      <c r="R27" s="290"/>
      <c r="S27" s="276"/>
      <c r="T27" s="290"/>
      <c r="U27" s="276">
        <v>0</v>
      </c>
      <c r="V27" s="290">
        <v>0</v>
      </c>
      <c r="Z27" s="323" t="s">
        <v>810</v>
      </c>
      <c r="AA27" s="324" t="s">
        <v>118</v>
      </c>
      <c r="AB27" s="326">
        <f>SUM(K125:K131,K139,K141)</f>
        <v>2827285</v>
      </c>
      <c r="AC27" s="421">
        <f>SUM(V125:V131,V139,V141)</f>
        <v>1517394</v>
      </c>
      <c r="AD27" s="441">
        <f t="shared" si="8"/>
        <v>0.53669651273217944</v>
      </c>
    </row>
    <row r="28" spans="2:30" ht="19.8" customHeight="1" x14ac:dyDescent="0.6">
      <c r="B28" s="268">
        <v>14</v>
      </c>
      <c r="C28" s="271" t="s">
        <v>204</v>
      </c>
      <c r="D28" s="280" t="s">
        <v>330</v>
      </c>
      <c r="E28" s="276" t="s">
        <v>57</v>
      </c>
      <c r="F28" s="282" t="s">
        <v>357</v>
      </c>
      <c r="G28" s="290">
        <f t="shared" si="4"/>
        <v>24360</v>
      </c>
      <c r="H28" s="255">
        <v>1.1409</v>
      </c>
      <c r="I28" s="290">
        <f t="shared" si="5"/>
        <v>926.41079999999999</v>
      </c>
      <c r="J28" s="298">
        <f t="shared" si="2"/>
        <v>27792</v>
      </c>
      <c r="K28" s="316">
        <v>27792</v>
      </c>
      <c r="L28" s="271"/>
      <c r="M28" s="276"/>
      <c r="N28" s="290">
        <f t="shared" si="6"/>
        <v>0</v>
      </c>
      <c r="O28" s="276"/>
      <c r="P28" s="290">
        <f t="shared" si="7"/>
        <v>0</v>
      </c>
      <c r="Q28" s="276"/>
      <c r="R28" s="290"/>
      <c r="S28" s="276"/>
      <c r="T28" s="290"/>
      <c r="U28" s="276">
        <v>0</v>
      </c>
      <c r="V28" s="290">
        <v>0</v>
      </c>
      <c r="Z28" s="322">
        <v>1</v>
      </c>
      <c r="AA28" s="262" t="s">
        <v>35</v>
      </c>
      <c r="AB28" s="326">
        <f>SUM(K132,K133)</f>
        <v>317663</v>
      </c>
      <c r="AC28" s="421">
        <f>SUM(V132,V133)</f>
        <v>0</v>
      </c>
      <c r="AD28" s="441">
        <f t="shared" si="8"/>
        <v>0</v>
      </c>
    </row>
    <row r="29" spans="2:30" ht="19.8" customHeight="1" x14ac:dyDescent="0.6">
      <c r="B29" s="268">
        <v>15</v>
      </c>
      <c r="C29" s="271" t="s">
        <v>205</v>
      </c>
      <c r="D29" s="280" t="s">
        <v>331</v>
      </c>
      <c r="E29" s="276" t="s">
        <v>57</v>
      </c>
      <c r="F29" s="282" t="s">
        <v>358</v>
      </c>
      <c r="G29" s="290">
        <f t="shared" si="4"/>
        <v>113500</v>
      </c>
      <c r="H29" s="255">
        <v>1.1409</v>
      </c>
      <c r="I29" s="290">
        <f t="shared" si="5"/>
        <v>2589.8429999999998</v>
      </c>
      <c r="J29" s="298">
        <f t="shared" si="2"/>
        <v>129492</v>
      </c>
      <c r="K29" s="316">
        <v>129492</v>
      </c>
      <c r="L29" s="271"/>
      <c r="M29" s="276"/>
      <c r="N29" s="290">
        <f t="shared" si="6"/>
        <v>0</v>
      </c>
      <c r="O29" s="276"/>
      <c r="P29" s="290">
        <f t="shared" si="7"/>
        <v>0</v>
      </c>
      <c r="Q29" s="276"/>
      <c r="R29" s="290"/>
      <c r="S29" s="276"/>
      <c r="T29" s="290"/>
      <c r="U29" s="276">
        <v>0</v>
      </c>
      <c r="V29" s="290">
        <v>0</v>
      </c>
      <c r="Z29" s="322">
        <v>2</v>
      </c>
      <c r="AA29" s="262" t="s">
        <v>121</v>
      </c>
      <c r="AB29" s="326">
        <f>SUM(K134:K137)</f>
        <v>262286</v>
      </c>
      <c r="AC29" s="421">
        <f>SUM(V134:V137)</f>
        <v>0</v>
      </c>
      <c r="AD29" s="441">
        <f t="shared" si="8"/>
        <v>0</v>
      </c>
    </row>
    <row r="30" spans="2:30" ht="19.8" customHeight="1" x14ac:dyDescent="0.6">
      <c r="B30" s="268">
        <v>16</v>
      </c>
      <c r="C30" s="271" t="s">
        <v>206</v>
      </c>
      <c r="D30" s="280" t="s">
        <v>332</v>
      </c>
      <c r="E30" s="276" t="s">
        <v>57</v>
      </c>
      <c r="F30" s="282" t="s">
        <v>359</v>
      </c>
      <c r="G30" s="290">
        <f t="shared" si="4"/>
        <v>17190</v>
      </c>
      <c r="H30" s="255">
        <v>1.1409</v>
      </c>
      <c r="I30" s="290">
        <f t="shared" si="5"/>
        <v>2179.1190000000001</v>
      </c>
      <c r="J30" s="298">
        <f t="shared" si="2"/>
        <v>19612</v>
      </c>
      <c r="K30" s="316">
        <v>19612</v>
      </c>
      <c r="L30" s="271"/>
      <c r="M30" s="276"/>
      <c r="N30" s="290">
        <f t="shared" si="6"/>
        <v>0</v>
      </c>
      <c r="O30" s="276"/>
      <c r="P30" s="290">
        <f t="shared" si="7"/>
        <v>0</v>
      </c>
      <c r="Q30" s="276"/>
      <c r="R30" s="290"/>
      <c r="S30" s="276"/>
      <c r="T30" s="290"/>
      <c r="U30" s="276">
        <v>0</v>
      </c>
      <c r="V30" s="290">
        <v>0</v>
      </c>
      <c r="Z30" s="817" t="s">
        <v>823</v>
      </c>
      <c r="AA30" s="818"/>
      <c r="AB30" s="326">
        <f>SUM(AB27:AB29)</f>
        <v>3407234</v>
      </c>
      <c r="AC30" s="287">
        <f>SUM(AC27:AC29)</f>
        <v>1517394</v>
      </c>
      <c r="AD30" s="445">
        <f>SUM(AD27:AD29)</f>
        <v>0.53669651273217944</v>
      </c>
    </row>
    <row r="31" spans="2:30" ht="19.8" customHeight="1" x14ac:dyDescent="0.6">
      <c r="B31" s="268">
        <v>17</v>
      </c>
      <c r="C31" s="271" t="s">
        <v>207</v>
      </c>
      <c r="D31" s="280" t="s">
        <v>333</v>
      </c>
      <c r="E31" s="276" t="s">
        <v>214</v>
      </c>
      <c r="F31" s="282" t="s">
        <v>360</v>
      </c>
      <c r="G31" s="290">
        <f>IF(D31="-","-",ROUNDDOWN(F31*D31,0))</f>
        <v>221080</v>
      </c>
      <c r="H31" s="255">
        <v>1.1409</v>
      </c>
      <c r="I31" s="290">
        <f t="shared" si="5"/>
        <v>50446.034400000004</v>
      </c>
      <c r="J31" s="298">
        <f t="shared" si="2"/>
        <v>252230</v>
      </c>
      <c r="K31" s="316">
        <v>252230</v>
      </c>
      <c r="L31" s="271"/>
      <c r="M31" s="276"/>
      <c r="N31" s="290">
        <f t="shared" si="6"/>
        <v>0</v>
      </c>
      <c r="O31" s="276"/>
      <c r="P31" s="290">
        <f t="shared" si="7"/>
        <v>0</v>
      </c>
      <c r="Q31" s="276"/>
      <c r="R31" s="290"/>
      <c r="S31" s="276"/>
      <c r="T31" s="290"/>
      <c r="U31" s="276">
        <v>0</v>
      </c>
      <c r="V31" s="290">
        <v>0</v>
      </c>
      <c r="Z31" s="323" t="s">
        <v>811</v>
      </c>
      <c r="AA31" s="324" t="s">
        <v>119</v>
      </c>
      <c r="AB31" s="326">
        <f>SUM(K148:K155,K163,K165)</f>
        <v>3175884</v>
      </c>
      <c r="AC31" s="421">
        <f>SUM(V148:V155,V163,V165)</f>
        <v>1727394</v>
      </c>
      <c r="AD31" s="443">
        <f t="shared" si="8"/>
        <v>0.54390966420687914</v>
      </c>
    </row>
    <row r="32" spans="2:30" ht="19.8" customHeight="1" x14ac:dyDescent="0.6">
      <c r="B32" s="268">
        <v>18</v>
      </c>
      <c r="C32" s="271" t="s">
        <v>311</v>
      </c>
      <c r="D32" s="280" t="s">
        <v>323</v>
      </c>
      <c r="E32" s="276" t="s">
        <v>214</v>
      </c>
      <c r="F32" s="282" t="s">
        <v>361</v>
      </c>
      <c r="G32" s="290">
        <f t="shared" ref="G32:G34" si="9">IF(D32="-","-",ROUNDDOWN(F32*D32,0))</f>
        <v>14673</v>
      </c>
      <c r="H32" s="255">
        <v>1.1409</v>
      </c>
      <c r="I32" s="290">
        <f t="shared" si="5"/>
        <v>5580.1419000000005</v>
      </c>
      <c r="J32" s="298">
        <f t="shared" si="2"/>
        <v>16740</v>
      </c>
      <c r="K32" s="316">
        <v>16740</v>
      </c>
      <c r="L32" s="271"/>
      <c r="M32" s="276"/>
      <c r="N32" s="290">
        <f t="shared" si="6"/>
        <v>0</v>
      </c>
      <c r="O32" s="276"/>
      <c r="P32" s="290">
        <f t="shared" si="7"/>
        <v>0</v>
      </c>
      <c r="Q32" s="276"/>
      <c r="R32" s="290"/>
      <c r="S32" s="276"/>
      <c r="T32" s="290"/>
      <c r="U32" s="276">
        <v>0</v>
      </c>
      <c r="V32" s="290">
        <v>0</v>
      </c>
      <c r="Z32" s="322">
        <v>1</v>
      </c>
      <c r="AA32" s="262" t="s">
        <v>35</v>
      </c>
      <c r="AB32" s="326">
        <f>SUM(K156:K157)</f>
        <v>358105</v>
      </c>
      <c r="AC32" s="421">
        <f>SUM(V156:V157)</f>
        <v>0</v>
      </c>
      <c r="AD32" s="443">
        <f t="shared" si="8"/>
        <v>0</v>
      </c>
    </row>
    <row r="33" spans="2:30" ht="19.8" customHeight="1" x14ac:dyDescent="0.6">
      <c r="B33" s="268">
        <v>19</v>
      </c>
      <c r="C33" s="271" t="s">
        <v>312</v>
      </c>
      <c r="D33" s="280" t="s">
        <v>334</v>
      </c>
      <c r="E33" s="276" t="s">
        <v>54</v>
      </c>
      <c r="F33" s="282" t="s">
        <v>362</v>
      </c>
      <c r="G33" s="290">
        <f t="shared" si="9"/>
        <v>366000</v>
      </c>
      <c r="H33" s="255">
        <v>1.1409</v>
      </c>
      <c r="I33" s="290">
        <f t="shared" si="5"/>
        <v>427.83750000000003</v>
      </c>
      <c r="J33" s="298">
        <f t="shared" si="2"/>
        <v>417569</v>
      </c>
      <c r="K33" s="316">
        <v>417571</v>
      </c>
      <c r="L33" s="271"/>
      <c r="M33" s="276"/>
      <c r="N33" s="290">
        <f t="shared" si="6"/>
        <v>0</v>
      </c>
      <c r="O33" s="276"/>
      <c r="P33" s="290">
        <f t="shared" si="7"/>
        <v>0</v>
      </c>
      <c r="Q33" s="276"/>
      <c r="R33" s="290"/>
      <c r="S33" s="276"/>
      <c r="T33" s="290"/>
      <c r="U33" s="276">
        <v>0</v>
      </c>
      <c r="V33" s="290">
        <v>0</v>
      </c>
      <c r="Z33" s="322">
        <v>2</v>
      </c>
      <c r="AA33" s="262" t="s">
        <v>121</v>
      </c>
      <c r="AB33" s="326">
        <f>SUM(K158:K161)</f>
        <v>295042</v>
      </c>
      <c r="AC33" s="421">
        <f>SUM(V158:V161)</f>
        <v>0</v>
      </c>
      <c r="AD33" s="443">
        <f t="shared" si="8"/>
        <v>0</v>
      </c>
    </row>
    <row r="34" spans="2:30" ht="19.8" customHeight="1" x14ac:dyDescent="0.6">
      <c r="B34" s="268">
        <v>20</v>
      </c>
      <c r="C34" s="271" t="s">
        <v>208</v>
      </c>
      <c r="D34" s="280" t="s">
        <v>334</v>
      </c>
      <c r="E34" s="276" t="s">
        <v>54</v>
      </c>
      <c r="F34" s="282" t="s">
        <v>342</v>
      </c>
      <c r="G34" s="290">
        <f t="shared" si="9"/>
        <v>155184</v>
      </c>
      <c r="H34" s="255">
        <v>1.1409</v>
      </c>
      <c r="I34" s="290">
        <f t="shared" si="5"/>
        <v>181.40309999999999</v>
      </c>
      <c r="J34" s="298">
        <f t="shared" si="2"/>
        <v>177049</v>
      </c>
      <c r="K34" s="316">
        <v>177046</v>
      </c>
      <c r="L34" s="271"/>
      <c r="M34" s="276"/>
      <c r="N34" s="290">
        <f t="shared" si="6"/>
        <v>0</v>
      </c>
      <c r="O34" s="276"/>
      <c r="P34" s="290">
        <f t="shared" si="7"/>
        <v>0</v>
      </c>
      <c r="Q34" s="276"/>
      <c r="R34" s="290"/>
      <c r="S34" s="276"/>
      <c r="T34" s="290"/>
      <c r="U34" s="276">
        <v>0</v>
      </c>
      <c r="V34" s="290">
        <v>0</v>
      </c>
      <c r="Z34" s="817" t="s">
        <v>823</v>
      </c>
      <c r="AA34" s="818"/>
      <c r="AB34" s="326">
        <f>SUM(AB31:AB33)</f>
        <v>3829031</v>
      </c>
      <c r="AC34" s="287">
        <f>SUM(AC31:AC33)</f>
        <v>1727394</v>
      </c>
      <c r="AD34" s="445">
        <f>SUM(AD31:AD33)</f>
        <v>0.54390966420687914</v>
      </c>
    </row>
    <row r="35" spans="2:30" ht="19.8" customHeight="1" x14ac:dyDescent="0.6">
      <c r="B35" s="267"/>
      <c r="C35" s="271" t="s">
        <v>209</v>
      </c>
      <c r="D35" s="280"/>
      <c r="E35" s="276"/>
      <c r="G35" s="290"/>
      <c r="I35" s="290"/>
      <c r="J35" s="298" t="str">
        <f t="shared" si="2"/>
        <v/>
      </c>
      <c r="K35" s="315"/>
      <c r="L35" s="271"/>
      <c r="M35" s="276"/>
      <c r="N35" s="290"/>
      <c r="O35" s="276"/>
      <c r="P35" s="290"/>
      <c r="Q35" s="276"/>
      <c r="R35" s="290"/>
      <c r="S35" s="276"/>
      <c r="T35" s="290"/>
      <c r="U35" s="276">
        <v>0</v>
      </c>
      <c r="V35" s="290">
        <v>0</v>
      </c>
      <c r="Z35" s="323" t="s">
        <v>476</v>
      </c>
      <c r="AA35" s="324" t="s">
        <v>120</v>
      </c>
      <c r="AB35" s="326">
        <f>SUM(K172:K178,K186,K188)</f>
        <v>3323085</v>
      </c>
      <c r="AC35" s="421">
        <f>SUM(V172:V178,V186,V188)</f>
        <v>2737394</v>
      </c>
      <c r="AD35" s="443">
        <f t="shared" si="8"/>
        <v>0.82375082190193749</v>
      </c>
    </row>
    <row r="36" spans="2:30" ht="19.8" customHeight="1" x14ac:dyDescent="0.6">
      <c r="B36" s="268">
        <v>21</v>
      </c>
      <c r="C36" s="271" t="s">
        <v>210</v>
      </c>
      <c r="D36" s="280" t="s">
        <v>335</v>
      </c>
      <c r="E36" s="276" t="s">
        <v>54</v>
      </c>
      <c r="F36" s="282" t="s">
        <v>363</v>
      </c>
      <c r="G36" s="290">
        <f t="shared" ref="G36:G39" si="10">IF(D36="-","-",ROUNDDOWN(F36*D36,0))</f>
        <v>20653</v>
      </c>
      <c r="H36" s="255">
        <v>1.1409</v>
      </c>
      <c r="I36" s="290">
        <f t="shared" ref="I36:I39" si="11">H36*F36</f>
        <v>1240.1583000000001</v>
      </c>
      <c r="J36" s="298">
        <f t="shared" si="2"/>
        <v>23563</v>
      </c>
      <c r="K36" s="316">
        <v>23563</v>
      </c>
      <c r="L36" s="271"/>
      <c r="M36" s="276"/>
      <c r="N36" s="290">
        <f t="shared" ref="N36:N39" si="12">ROUNDDOWN(M36*$I36,0)</f>
        <v>0</v>
      </c>
      <c r="O36" s="276"/>
      <c r="P36" s="290">
        <f t="shared" ref="P36:P39" si="13">ROUNDDOWN(O36*$I36,0)</f>
        <v>0</v>
      </c>
      <c r="Q36" s="276"/>
      <c r="R36" s="290"/>
      <c r="S36" s="276"/>
      <c r="T36" s="290"/>
      <c r="U36" s="276">
        <v>0</v>
      </c>
      <c r="V36" s="290">
        <v>0</v>
      </c>
      <c r="Z36" s="322">
        <v>1</v>
      </c>
      <c r="AA36" s="262" t="s">
        <v>35</v>
      </c>
      <c r="AB36" s="326">
        <f>SUM(K179:K180)</f>
        <v>358105</v>
      </c>
      <c r="AC36" s="421">
        <f>SUM(V179:V180)</f>
        <v>0</v>
      </c>
      <c r="AD36" s="443">
        <f t="shared" si="8"/>
        <v>0</v>
      </c>
    </row>
    <row r="37" spans="2:30" ht="19.8" customHeight="1" x14ac:dyDescent="0.6">
      <c r="B37" s="268">
        <v>22</v>
      </c>
      <c r="C37" s="271" t="s">
        <v>211</v>
      </c>
      <c r="D37" s="280" t="s">
        <v>336</v>
      </c>
      <c r="E37" s="276" t="s">
        <v>57</v>
      </c>
      <c r="F37" s="282" t="s">
        <v>364</v>
      </c>
      <c r="G37" s="290">
        <f t="shared" si="10"/>
        <v>418400</v>
      </c>
      <c r="H37" s="255">
        <v>1.1596</v>
      </c>
      <c r="I37" s="290">
        <f t="shared" si="11"/>
        <v>3032.3539999999998</v>
      </c>
      <c r="J37" s="298">
        <f t="shared" si="2"/>
        <v>485176</v>
      </c>
      <c r="K37" s="316">
        <v>485176</v>
      </c>
      <c r="L37" s="271"/>
      <c r="M37" s="276"/>
      <c r="N37" s="290">
        <f t="shared" si="12"/>
        <v>0</v>
      </c>
      <c r="O37" s="276"/>
      <c r="P37" s="290">
        <f t="shared" si="13"/>
        <v>0</v>
      </c>
      <c r="Q37" s="276"/>
      <c r="R37" s="290"/>
      <c r="S37" s="276"/>
      <c r="T37" s="290"/>
      <c r="U37" s="276">
        <v>0</v>
      </c>
      <c r="V37" s="290">
        <v>0</v>
      </c>
      <c r="Z37" s="322">
        <v>2</v>
      </c>
      <c r="AA37" s="262" t="s">
        <v>121</v>
      </c>
      <c r="AB37" s="326">
        <f>SUM(K181:K184)</f>
        <v>295042</v>
      </c>
      <c r="AC37" s="421">
        <f>SUM(V181:V184)</f>
        <v>0</v>
      </c>
      <c r="AD37" s="443">
        <f t="shared" si="8"/>
        <v>0</v>
      </c>
    </row>
    <row r="38" spans="2:30" ht="19.8" customHeight="1" x14ac:dyDescent="0.6">
      <c r="B38" s="268">
        <v>23</v>
      </c>
      <c r="C38" s="271" t="s">
        <v>212</v>
      </c>
      <c r="D38" s="280" t="s">
        <v>336</v>
      </c>
      <c r="E38" s="276" t="s">
        <v>57</v>
      </c>
      <c r="F38" s="282" t="s">
        <v>365</v>
      </c>
      <c r="G38" s="290">
        <f t="shared" si="10"/>
        <v>428000</v>
      </c>
      <c r="H38" s="255">
        <v>1.1596</v>
      </c>
      <c r="I38" s="290">
        <f t="shared" si="11"/>
        <v>3101.93</v>
      </c>
      <c r="J38" s="298">
        <f t="shared" si="2"/>
        <v>496308</v>
      </c>
      <c r="K38" s="316">
        <v>496308</v>
      </c>
      <c r="L38" s="271"/>
      <c r="M38" s="276"/>
      <c r="N38" s="290">
        <f t="shared" si="12"/>
        <v>0</v>
      </c>
      <c r="O38" s="276"/>
      <c r="P38" s="290">
        <f t="shared" si="13"/>
        <v>0</v>
      </c>
      <c r="Q38" s="276"/>
      <c r="R38" s="290"/>
      <c r="S38" s="276"/>
      <c r="T38" s="290"/>
      <c r="U38" s="276">
        <v>0</v>
      </c>
      <c r="V38" s="290">
        <v>0</v>
      </c>
      <c r="Z38" s="817" t="s">
        <v>823</v>
      </c>
      <c r="AA38" s="818"/>
      <c r="AB38" s="326">
        <f>SUM(AB35:AB37)</f>
        <v>3976232</v>
      </c>
      <c r="AC38" s="287">
        <f>SUM(AC35:AC37)</f>
        <v>2737394</v>
      </c>
      <c r="AD38" s="439">
        <f>SUM(AD35:AD37)</f>
        <v>0.82375082190193749</v>
      </c>
    </row>
    <row r="39" spans="2:30" ht="19.8" customHeight="1" x14ac:dyDescent="0.6">
      <c r="B39" s="268">
        <v>24</v>
      </c>
      <c r="C39" s="271" t="s">
        <v>213</v>
      </c>
      <c r="D39" s="280" t="s">
        <v>337</v>
      </c>
      <c r="E39" s="276" t="s">
        <v>57</v>
      </c>
      <c r="F39" s="282" t="s">
        <v>365</v>
      </c>
      <c r="G39" s="290">
        <f t="shared" si="10"/>
        <v>337050</v>
      </c>
      <c r="H39" s="255">
        <v>1.1596</v>
      </c>
      <c r="I39" s="290">
        <f t="shared" si="11"/>
        <v>3101.93</v>
      </c>
      <c r="J39" s="298">
        <f t="shared" si="2"/>
        <v>390843</v>
      </c>
      <c r="K39" s="316">
        <v>390843</v>
      </c>
      <c r="L39" s="271"/>
      <c r="M39" s="276"/>
      <c r="N39" s="290">
        <f t="shared" si="12"/>
        <v>0</v>
      </c>
      <c r="O39" s="276"/>
      <c r="P39" s="290">
        <f t="shared" si="13"/>
        <v>0</v>
      </c>
      <c r="Q39" s="276"/>
      <c r="R39" s="290"/>
      <c r="S39" s="276"/>
      <c r="T39" s="290"/>
      <c r="U39" s="276">
        <v>0</v>
      </c>
      <c r="V39" s="290">
        <v>0</v>
      </c>
      <c r="Z39" s="323" t="s">
        <v>812</v>
      </c>
      <c r="AA39" s="324" t="s">
        <v>65</v>
      </c>
      <c r="AB39" s="326">
        <f>SUM(K195:K202,K210,K212)</f>
        <v>14559639</v>
      </c>
      <c r="AC39" s="421">
        <f>SUM(V195:V202,V210,V212)</f>
        <v>6254788</v>
      </c>
      <c r="AD39" s="443">
        <f>AC39/AB39</f>
        <v>0.4295977393395537</v>
      </c>
    </row>
    <row r="40" spans="2:30" ht="19.8" customHeight="1" x14ac:dyDescent="0.6">
      <c r="B40" s="268">
        <v>25</v>
      </c>
      <c r="C40" s="271" t="s">
        <v>38</v>
      </c>
      <c r="D40" s="280"/>
      <c r="E40" s="276"/>
      <c r="G40" s="290"/>
      <c r="I40" s="290"/>
      <c r="J40" s="298" t="str">
        <f t="shared" si="2"/>
        <v/>
      </c>
      <c r="K40" s="315"/>
      <c r="L40" s="271"/>
      <c r="M40" s="276"/>
      <c r="N40" s="290"/>
      <c r="O40" s="276"/>
      <c r="P40" s="290"/>
      <c r="Q40" s="276"/>
      <c r="R40" s="290"/>
      <c r="S40" s="276"/>
      <c r="T40" s="290"/>
      <c r="U40" s="276">
        <v>0</v>
      </c>
      <c r="V40" s="290">
        <v>0</v>
      </c>
      <c r="Z40" s="322">
        <v>1</v>
      </c>
      <c r="AA40" s="262" t="s">
        <v>35</v>
      </c>
      <c r="AB40" s="326">
        <f>SUM(K203,K204)</f>
        <v>1620450</v>
      </c>
      <c r="AC40" s="421">
        <f>SUM(V203,V204)</f>
        <v>0</v>
      </c>
      <c r="AD40" s="443">
        <f t="shared" si="8"/>
        <v>0</v>
      </c>
    </row>
    <row r="41" spans="2:30" ht="19.8" customHeight="1" x14ac:dyDescent="0.6">
      <c r="B41" s="267"/>
      <c r="C41" s="272" t="s">
        <v>313</v>
      </c>
      <c r="D41" s="280" t="s">
        <v>176</v>
      </c>
      <c r="E41" s="276" t="s">
        <v>54</v>
      </c>
      <c r="F41" s="282" t="s">
        <v>366</v>
      </c>
      <c r="G41" s="290" t="str">
        <f t="shared" ref="G41" si="14">IF(D41="-","-",F41*D41)</f>
        <v>-</v>
      </c>
      <c r="H41" s="255">
        <v>1.1596</v>
      </c>
      <c r="I41" s="290">
        <f t="shared" ref="I41:I43" si="15">H41*F41</f>
        <v>1391.52</v>
      </c>
      <c r="J41" s="298" t="str">
        <f t="shared" si="2"/>
        <v>-</v>
      </c>
      <c r="K41" s="316"/>
      <c r="L41" s="271"/>
      <c r="M41" s="276"/>
      <c r="N41" s="290"/>
      <c r="O41" s="276"/>
      <c r="P41" s="290"/>
      <c r="Q41" s="276"/>
      <c r="R41" s="290"/>
      <c r="S41" s="276"/>
      <c r="T41" s="290"/>
      <c r="U41" s="276">
        <v>0</v>
      </c>
      <c r="V41" s="290">
        <v>0</v>
      </c>
      <c r="Z41" s="322">
        <v>2</v>
      </c>
      <c r="AA41" s="262" t="s">
        <v>121</v>
      </c>
      <c r="AB41" s="326">
        <f>SUM(K205,K207,K208)</f>
        <v>1340232</v>
      </c>
      <c r="AC41" s="421">
        <f>SUM(V205,V207,V208)</f>
        <v>0</v>
      </c>
      <c r="AD41" s="443">
        <f t="shared" si="8"/>
        <v>0</v>
      </c>
    </row>
    <row r="42" spans="2:30" ht="19.8" customHeight="1" x14ac:dyDescent="0.6">
      <c r="B42" s="267"/>
      <c r="C42" s="272" t="s">
        <v>314</v>
      </c>
      <c r="D42" s="280" t="s">
        <v>338</v>
      </c>
      <c r="E42" s="276" t="s">
        <v>54</v>
      </c>
      <c r="F42" s="282" t="s">
        <v>367</v>
      </c>
      <c r="G42" s="290">
        <f t="shared" ref="G42:G43" si="16">IF(D42="-","-",ROUNDDOWN(F42*D42,0))</f>
        <v>104499</v>
      </c>
      <c r="H42" s="255">
        <v>1.1596</v>
      </c>
      <c r="I42" s="290">
        <f t="shared" si="15"/>
        <v>2376.0203999999999</v>
      </c>
      <c r="J42" s="298">
        <f t="shared" si="2"/>
        <v>121177</v>
      </c>
      <c r="K42" s="316">
        <v>121177</v>
      </c>
      <c r="L42" s="271"/>
      <c r="M42" s="276"/>
      <c r="N42" s="290">
        <f t="shared" ref="N42:N43" si="17">ROUNDDOWN(M42*$I42,0)</f>
        <v>0</v>
      </c>
      <c r="O42" s="276"/>
      <c r="P42" s="290">
        <f t="shared" ref="P42:P43" si="18">ROUNDDOWN(O42*$I42,0)</f>
        <v>0</v>
      </c>
      <c r="Q42" s="276"/>
      <c r="R42" s="290"/>
      <c r="S42" s="276"/>
      <c r="T42" s="290"/>
      <c r="U42" s="276">
        <v>0</v>
      </c>
      <c r="V42" s="290">
        <v>0</v>
      </c>
      <c r="Z42" s="817" t="s">
        <v>823</v>
      </c>
      <c r="AA42" s="818"/>
      <c r="AB42" s="326">
        <f>SUM(AB39:AB41)</f>
        <v>17520321</v>
      </c>
      <c r="AC42" s="287">
        <f>SUM(AC39:AC41)</f>
        <v>6254788</v>
      </c>
      <c r="AD42" s="439">
        <f>SUM(AD39:AD41)</f>
        <v>0.4295977393395537</v>
      </c>
    </row>
    <row r="43" spans="2:30" ht="19.8" customHeight="1" x14ac:dyDescent="0.6">
      <c r="B43" s="268">
        <v>26</v>
      </c>
      <c r="C43" s="271" t="s">
        <v>315</v>
      </c>
      <c r="D43" s="280" t="s">
        <v>339</v>
      </c>
      <c r="E43" s="276" t="s">
        <v>54</v>
      </c>
      <c r="F43" s="282" t="s">
        <v>368</v>
      </c>
      <c r="G43" s="290">
        <f t="shared" si="16"/>
        <v>152874</v>
      </c>
      <c r="H43" s="255">
        <v>1.1525000000000001</v>
      </c>
      <c r="I43" s="290">
        <f t="shared" si="15"/>
        <v>1182.4650000000001</v>
      </c>
      <c r="J43" s="298">
        <f t="shared" si="2"/>
        <v>176187</v>
      </c>
      <c r="K43" s="316">
        <v>176188</v>
      </c>
      <c r="L43" s="271"/>
      <c r="M43" s="276"/>
      <c r="N43" s="290">
        <f t="shared" si="17"/>
        <v>0</v>
      </c>
      <c r="O43" s="276"/>
      <c r="P43" s="290">
        <f t="shared" si="18"/>
        <v>0</v>
      </c>
      <c r="Q43" s="276"/>
      <c r="R43" s="290"/>
      <c r="S43" s="276"/>
      <c r="T43" s="290"/>
      <c r="U43" s="276">
        <v>0</v>
      </c>
      <c r="V43" s="290">
        <v>0</v>
      </c>
      <c r="Z43" s="323" t="s">
        <v>813</v>
      </c>
      <c r="AA43" s="324" t="s">
        <v>142</v>
      </c>
      <c r="AB43" s="326">
        <f>SUM(K219:K226,K235,K237)</f>
        <v>16172985</v>
      </c>
      <c r="AC43" s="421">
        <f>SUM(V219:V226,V235,V237)</f>
        <v>3224788</v>
      </c>
      <c r="AD43" s="443">
        <f t="shared" si="8"/>
        <v>0.19939349476920928</v>
      </c>
    </row>
    <row r="44" spans="2:30" ht="19.8" customHeight="1" x14ac:dyDescent="0.6">
      <c r="B44" s="268">
        <v>27</v>
      </c>
      <c r="C44" s="271" t="s">
        <v>53</v>
      </c>
      <c r="D44" s="280"/>
      <c r="E44" s="276"/>
      <c r="G44" s="290"/>
      <c r="I44" s="290"/>
      <c r="J44" s="298" t="str">
        <f t="shared" si="2"/>
        <v/>
      </c>
      <c r="K44" s="315"/>
      <c r="L44" s="271"/>
      <c r="M44" s="276"/>
      <c r="N44" s="290"/>
      <c r="O44" s="276"/>
      <c r="P44" s="290"/>
      <c r="Q44" s="276"/>
      <c r="R44" s="290"/>
      <c r="S44" s="276"/>
      <c r="T44" s="290"/>
      <c r="U44" s="276">
        <v>0</v>
      </c>
      <c r="V44" s="290">
        <v>0</v>
      </c>
      <c r="Z44" s="322">
        <v>1</v>
      </c>
      <c r="AA44" s="262" t="s">
        <v>35</v>
      </c>
      <c r="AB44" s="326">
        <f>SUM(K227,K228)</f>
        <v>1828365</v>
      </c>
      <c r="AC44" s="421">
        <f>SUM(V227,V228)</f>
        <v>0</v>
      </c>
      <c r="AD44" s="443">
        <f t="shared" si="8"/>
        <v>0</v>
      </c>
    </row>
    <row r="45" spans="2:30" ht="19.8" customHeight="1" x14ac:dyDescent="0.6">
      <c r="B45" s="268"/>
      <c r="C45" s="272" t="s">
        <v>316</v>
      </c>
      <c r="D45" s="280" t="s">
        <v>340</v>
      </c>
      <c r="E45" s="276" t="s">
        <v>54</v>
      </c>
      <c r="F45" s="282" t="s">
        <v>369</v>
      </c>
      <c r="G45" s="290">
        <f t="shared" ref="G45:G46" si="19">IF(D45="-","-",ROUNDDOWN(F45*D45,0))</f>
        <v>111672</v>
      </c>
      <c r="H45" s="255">
        <v>1.1596</v>
      </c>
      <c r="I45" s="290">
        <f t="shared" ref="I45:I47" si="20">H45*F45</f>
        <v>981.02159999999992</v>
      </c>
      <c r="J45" s="298">
        <f t="shared" si="2"/>
        <v>129494</v>
      </c>
      <c r="K45" s="316">
        <v>129494</v>
      </c>
      <c r="L45" s="271"/>
      <c r="M45" s="276"/>
      <c r="N45" s="290">
        <f t="shared" ref="N45:N47" si="21">ROUNDDOWN(M45*$I45,0)</f>
        <v>0</v>
      </c>
      <c r="O45" s="276"/>
      <c r="P45" s="290">
        <f t="shared" ref="P45:P47" si="22">ROUNDDOWN(O45*$I45,0)</f>
        <v>0</v>
      </c>
      <c r="Q45" s="276"/>
      <c r="R45" s="290"/>
      <c r="S45" s="276"/>
      <c r="T45" s="290"/>
      <c r="U45" s="276">
        <v>0</v>
      </c>
      <c r="V45" s="290">
        <v>0</v>
      </c>
      <c r="Z45" s="322">
        <v>2</v>
      </c>
      <c r="AA45" s="262" t="s">
        <v>121</v>
      </c>
      <c r="AB45" s="326">
        <f>SUM(K231:K233,K229)</f>
        <v>2138194</v>
      </c>
      <c r="AC45" s="421">
        <f>SUM(V231:V233,V229)</f>
        <v>0</v>
      </c>
      <c r="AD45" s="443">
        <f t="shared" si="8"/>
        <v>0</v>
      </c>
    </row>
    <row r="46" spans="2:30" ht="19.8" customHeight="1" x14ac:dyDescent="0.6">
      <c r="B46" s="267"/>
      <c r="C46" s="272" t="s">
        <v>317</v>
      </c>
      <c r="D46" s="280" t="s">
        <v>338</v>
      </c>
      <c r="E46" s="276" t="s">
        <v>54</v>
      </c>
      <c r="F46" s="282" t="s">
        <v>370</v>
      </c>
      <c r="G46" s="290">
        <f t="shared" si="19"/>
        <v>110670</v>
      </c>
      <c r="H46" s="255">
        <v>1.1596</v>
      </c>
      <c r="I46" s="290">
        <f t="shared" si="20"/>
        <v>2516.3319999999999</v>
      </c>
      <c r="J46" s="298">
        <f t="shared" si="2"/>
        <v>128332</v>
      </c>
      <c r="K46" s="316">
        <v>128332</v>
      </c>
      <c r="L46" s="271"/>
      <c r="M46" s="276"/>
      <c r="N46" s="290">
        <f t="shared" si="21"/>
        <v>0</v>
      </c>
      <c r="O46" s="276"/>
      <c r="P46" s="290">
        <f t="shared" si="22"/>
        <v>0</v>
      </c>
      <c r="Q46" s="276"/>
      <c r="R46" s="290"/>
      <c r="S46" s="276"/>
      <c r="T46" s="290"/>
      <c r="U46" s="276">
        <v>0</v>
      </c>
      <c r="V46" s="290">
        <v>0</v>
      </c>
      <c r="Z46" s="817" t="s">
        <v>823</v>
      </c>
      <c r="AA46" s="818"/>
      <c r="AB46" s="326">
        <f>SUM(AB43:AB45)</f>
        <v>20139544</v>
      </c>
      <c r="AC46" s="287">
        <f>SUM(AC43:AC45)</f>
        <v>3224788</v>
      </c>
      <c r="AD46" s="439">
        <f>SUM(AD43:AD45)</f>
        <v>0.19939349476920928</v>
      </c>
    </row>
    <row r="47" spans="2:30" ht="19.8" customHeight="1" x14ac:dyDescent="0.6">
      <c r="B47" s="268">
        <v>28</v>
      </c>
      <c r="C47" s="271" t="s">
        <v>215</v>
      </c>
      <c r="D47" s="280" t="s">
        <v>341</v>
      </c>
      <c r="E47" s="276" t="s">
        <v>55</v>
      </c>
      <c r="F47" s="282" t="s">
        <v>371</v>
      </c>
      <c r="G47" s="290">
        <f>IF(D47="-","-",ROUNDDOWN(F47*D47,0))</f>
        <v>61358</v>
      </c>
      <c r="H47" s="255">
        <v>1.1596</v>
      </c>
      <c r="I47" s="290">
        <f t="shared" si="20"/>
        <v>330.938244</v>
      </c>
      <c r="J47" s="298">
        <f t="shared" si="2"/>
        <v>71151</v>
      </c>
      <c r="K47" s="316">
        <v>71152</v>
      </c>
      <c r="L47" s="271"/>
      <c r="M47" s="276"/>
      <c r="N47" s="290">
        <f t="shared" si="21"/>
        <v>0</v>
      </c>
      <c r="O47" s="276"/>
      <c r="P47" s="290">
        <f t="shared" si="22"/>
        <v>0</v>
      </c>
      <c r="Q47" s="276"/>
      <c r="R47" s="290"/>
      <c r="S47" s="276"/>
      <c r="T47" s="290"/>
      <c r="U47" s="276">
        <v>0</v>
      </c>
      <c r="V47" s="290">
        <v>0</v>
      </c>
      <c r="Z47" s="323" t="s">
        <v>814</v>
      </c>
      <c r="AA47" s="324" t="s">
        <v>66</v>
      </c>
      <c r="AB47" s="326">
        <f>SUM(K244:K261)</f>
        <v>344287</v>
      </c>
      <c r="AC47" s="287">
        <f>SUM(V244:V261)</f>
        <v>0</v>
      </c>
      <c r="AD47" s="439">
        <f t="shared" si="8"/>
        <v>0</v>
      </c>
    </row>
    <row r="48" spans="2:30" ht="19.8" customHeight="1" x14ac:dyDescent="0.6">
      <c r="B48" s="268">
        <v>29</v>
      </c>
      <c r="C48" s="271" t="s">
        <v>56</v>
      </c>
      <c r="D48" s="280"/>
      <c r="E48" s="276"/>
      <c r="G48" s="290"/>
      <c r="I48" s="290"/>
      <c r="J48" s="298" t="str">
        <f t="shared" si="2"/>
        <v/>
      </c>
      <c r="K48" s="315"/>
      <c r="L48" s="271"/>
      <c r="M48" s="276"/>
      <c r="N48" s="290"/>
      <c r="O48" s="276"/>
      <c r="P48" s="290"/>
      <c r="Q48" s="276"/>
      <c r="R48" s="290"/>
      <c r="S48" s="276"/>
      <c r="T48" s="290"/>
      <c r="U48" s="276">
        <v>0</v>
      </c>
      <c r="V48" s="290">
        <v>0</v>
      </c>
      <c r="Z48" s="323" t="s">
        <v>534</v>
      </c>
      <c r="AA48" s="324" t="s">
        <v>67</v>
      </c>
      <c r="AB48" s="326">
        <f>SUM(K268:K287)</f>
        <v>1601756</v>
      </c>
      <c r="AC48" s="287">
        <f>SUM(V268:V287)</f>
        <v>0</v>
      </c>
      <c r="AD48" s="439">
        <f t="shared" si="8"/>
        <v>0</v>
      </c>
    </row>
    <row r="49" spans="2:30" ht="19.8" customHeight="1" x14ac:dyDescent="0.6">
      <c r="B49" s="267"/>
      <c r="C49" s="272" t="s">
        <v>318</v>
      </c>
      <c r="D49" s="280" t="s">
        <v>342</v>
      </c>
      <c r="E49" s="276" t="s">
        <v>57</v>
      </c>
      <c r="F49" s="282" t="s">
        <v>372</v>
      </c>
      <c r="G49" s="290">
        <f t="shared" ref="G49:G50" si="23">IF(D49="-","-",ROUNDDOWN(F49*D49,0))</f>
        <v>111777</v>
      </c>
      <c r="H49" s="255">
        <v>1.1409</v>
      </c>
      <c r="I49" s="290">
        <f t="shared" ref="I49:I50" si="24">H49*F49</f>
        <v>802.05270000000007</v>
      </c>
      <c r="J49" s="298">
        <f t="shared" si="2"/>
        <v>127526</v>
      </c>
      <c r="K49" s="316">
        <v>127525</v>
      </c>
      <c r="L49" s="271"/>
      <c r="M49" s="276"/>
      <c r="N49" s="290">
        <f t="shared" ref="N49:N50" si="25">ROUNDDOWN(M49*$I49,0)</f>
        <v>0</v>
      </c>
      <c r="O49" s="276"/>
      <c r="P49" s="290">
        <f t="shared" ref="P49:P52" si="26">ROUNDDOWN(O49*$I49,0)</f>
        <v>0</v>
      </c>
      <c r="Q49" s="276"/>
      <c r="R49" s="290"/>
      <c r="S49" s="276"/>
      <c r="T49" s="290"/>
      <c r="U49" s="276">
        <v>0</v>
      </c>
      <c r="V49" s="290">
        <v>0</v>
      </c>
      <c r="Z49" s="323" t="s">
        <v>815</v>
      </c>
      <c r="AA49" s="324" t="s">
        <v>69</v>
      </c>
      <c r="AB49" s="326">
        <f>SUM(K294:K312)</f>
        <v>333944</v>
      </c>
      <c r="AC49" s="287">
        <f>SUM(V294:V312)</f>
        <v>0</v>
      </c>
      <c r="AD49" s="439">
        <f t="shared" si="8"/>
        <v>0</v>
      </c>
    </row>
    <row r="50" spans="2:30" ht="19.8" customHeight="1" x14ac:dyDescent="0.6">
      <c r="B50" s="267"/>
      <c r="C50" s="272" t="s">
        <v>319</v>
      </c>
      <c r="D50" s="280" t="s">
        <v>343</v>
      </c>
      <c r="E50" s="276" t="s">
        <v>58</v>
      </c>
      <c r="F50" s="282" t="s">
        <v>373</v>
      </c>
      <c r="G50" s="290">
        <f t="shared" si="23"/>
        <v>31120</v>
      </c>
      <c r="H50" s="255">
        <v>1.1409</v>
      </c>
      <c r="I50" s="290">
        <f t="shared" si="24"/>
        <v>4438.1009999999997</v>
      </c>
      <c r="J50" s="298">
        <f t="shared" si="2"/>
        <v>35504</v>
      </c>
      <c r="K50" s="316">
        <v>35504</v>
      </c>
      <c r="L50" s="271"/>
      <c r="M50" s="276"/>
      <c r="N50" s="290">
        <f t="shared" si="25"/>
        <v>0</v>
      </c>
      <c r="O50" s="276"/>
      <c r="P50" s="290">
        <f t="shared" si="26"/>
        <v>0</v>
      </c>
      <c r="Q50" s="276"/>
      <c r="R50" s="290"/>
      <c r="S50" s="276"/>
      <c r="T50" s="290"/>
      <c r="U50" s="276">
        <v>0</v>
      </c>
      <c r="V50" s="290">
        <v>0</v>
      </c>
      <c r="Z50" s="323" t="s">
        <v>816</v>
      </c>
      <c r="AA50" s="324" t="s">
        <v>70</v>
      </c>
      <c r="AB50" s="326">
        <f>SUM(K318:K333)</f>
        <v>1597253</v>
      </c>
      <c r="AC50" s="287">
        <f>SUM(V318:V333)</f>
        <v>0</v>
      </c>
      <c r="AD50" s="439">
        <f t="shared" si="8"/>
        <v>0</v>
      </c>
    </row>
    <row r="51" spans="2:30" ht="19.8" customHeight="1" x14ac:dyDescent="0.6">
      <c r="B51" s="268">
        <v>30</v>
      </c>
      <c r="C51" s="271" t="s">
        <v>59</v>
      </c>
      <c r="D51" s="280"/>
      <c r="E51" s="276"/>
      <c r="G51" s="290"/>
      <c r="I51" s="290"/>
      <c r="J51" s="298" t="str">
        <f t="shared" si="2"/>
        <v/>
      </c>
      <c r="K51" s="315"/>
      <c r="L51" s="271"/>
      <c r="M51" s="276"/>
      <c r="N51" s="290"/>
      <c r="O51" s="276"/>
      <c r="P51" s="290"/>
      <c r="Q51" s="276"/>
      <c r="R51" s="290"/>
      <c r="S51" s="276"/>
      <c r="T51" s="290"/>
      <c r="U51" s="276">
        <v>0</v>
      </c>
      <c r="V51" s="290">
        <v>0</v>
      </c>
      <c r="Z51" s="323" t="s">
        <v>410</v>
      </c>
      <c r="AA51" s="324" t="s">
        <v>71</v>
      </c>
      <c r="AB51" s="257"/>
      <c r="AC51" s="271"/>
      <c r="AD51" s="444"/>
    </row>
    <row r="52" spans="2:30" ht="19.8" customHeight="1" x14ac:dyDescent="0.6">
      <c r="B52" s="268">
        <v>25</v>
      </c>
      <c r="C52" s="271" t="s">
        <v>320</v>
      </c>
      <c r="D52" s="280" t="s">
        <v>344</v>
      </c>
      <c r="E52" s="276" t="s">
        <v>61</v>
      </c>
      <c r="F52" s="282" t="s">
        <v>374</v>
      </c>
      <c r="G52" s="290">
        <f>IF(D52="-","-",ROUNDDOWN(F52*D52,0))</f>
        <v>3525678</v>
      </c>
      <c r="H52" s="255">
        <v>1.1409</v>
      </c>
      <c r="I52" s="290">
        <f>H52*F52</f>
        <v>11900.7279</v>
      </c>
      <c r="J52" s="298">
        <f t="shared" si="2"/>
        <v>4022446</v>
      </c>
      <c r="K52" s="316">
        <v>4022446</v>
      </c>
      <c r="L52" s="271" t="s">
        <v>834</v>
      </c>
      <c r="M52" s="276"/>
      <c r="N52" s="290">
        <f>ROUNDDOWN(M52*$I52,0)+200000</f>
        <v>200000</v>
      </c>
      <c r="O52" s="276"/>
      <c r="P52" s="290">
        <f t="shared" si="26"/>
        <v>0</v>
      </c>
      <c r="Q52" s="276"/>
      <c r="R52" s="290"/>
      <c r="S52" s="276"/>
      <c r="T52" s="290"/>
      <c r="U52" s="276">
        <v>0</v>
      </c>
      <c r="V52" s="290">
        <v>350000</v>
      </c>
      <c r="Z52" s="292" t="s">
        <v>571</v>
      </c>
      <c r="AA52" s="327" t="s">
        <v>72</v>
      </c>
      <c r="AB52" s="326">
        <f>SUM(K339:K352)</f>
        <v>3297434</v>
      </c>
      <c r="AC52" s="287">
        <f>SUM(V339:V352)</f>
        <v>0</v>
      </c>
      <c r="AD52" s="439">
        <f t="shared" si="8"/>
        <v>0</v>
      </c>
    </row>
    <row r="53" spans="2:30" ht="19.8" customHeight="1" x14ac:dyDescent="0.6">
      <c r="B53" s="268"/>
      <c r="C53" s="271" t="s">
        <v>52</v>
      </c>
      <c r="D53" s="280"/>
      <c r="E53" s="276"/>
      <c r="G53" s="290"/>
      <c r="I53" s="290"/>
      <c r="J53" s="298" t="str">
        <f t="shared" si="2"/>
        <v/>
      </c>
      <c r="K53" s="315"/>
      <c r="L53" s="271"/>
      <c r="M53" s="276"/>
      <c r="N53" s="290"/>
      <c r="O53" s="276"/>
      <c r="P53" s="290"/>
      <c r="Q53" s="276"/>
      <c r="R53" s="290"/>
      <c r="S53" s="276"/>
      <c r="T53" s="290"/>
      <c r="U53" s="276">
        <v>0</v>
      </c>
      <c r="V53" s="290">
        <v>0</v>
      </c>
      <c r="Z53" s="292" t="s">
        <v>817</v>
      </c>
      <c r="AA53" s="327" t="s">
        <v>122</v>
      </c>
      <c r="AB53" s="326">
        <f>SUM(K358:K386)</f>
        <v>22731675</v>
      </c>
      <c r="AC53" s="287">
        <f>SUM(V358:V386)</f>
        <v>35724</v>
      </c>
      <c r="AD53" s="439">
        <f t="shared" si="8"/>
        <v>1.5715515904569286E-3</v>
      </c>
    </row>
    <row r="54" spans="2:30" ht="19.8" customHeight="1" x14ac:dyDescent="0.6">
      <c r="B54" s="268">
        <v>26</v>
      </c>
      <c r="C54" s="271" t="s">
        <v>321</v>
      </c>
      <c r="D54" s="280" t="s">
        <v>345</v>
      </c>
      <c r="E54" s="276" t="s">
        <v>61</v>
      </c>
      <c r="F54" s="282" t="s">
        <v>374</v>
      </c>
      <c r="G54" s="290">
        <f>IF(D54="-","-",ROUNDDOWN(F54*D54,0))</f>
        <v>156465</v>
      </c>
      <c r="H54" s="255">
        <v>1.1409</v>
      </c>
      <c r="I54" s="290">
        <f>H54*F54</f>
        <v>11900.7279</v>
      </c>
      <c r="J54" s="298">
        <f t="shared" si="2"/>
        <v>178510</v>
      </c>
      <c r="K54" s="316">
        <v>178510</v>
      </c>
      <c r="L54" s="271"/>
      <c r="M54" s="276"/>
      <c r="N54" s="290">
        <f t="shared" ref="N54" si="27">ROUNDDOWN(M54*$I54,0)</f>
        <v>0</v>
      </c>
      <c r="O54" s="276"/>
      <c r="P54" s="290">
        <f t="shared" ref="P54" si="28">ROUNDDOWN(O54*$I54,0)</f>
        <v>0</v>
      </c>
      <c r="Q54" s="276"/>
      <c r="R54" s="290"/>
      <c r="S54" s="276"/>
      <c r="T54" s="290"/>
      <c r="U54" s="276">
        <v>0</v>
      </c>
      <c r="V54" s="290">
        <v>0</v>
      </c>
      <c r="Z54" s="323" t="s">
        <v>323</v>
      </c>
      <c r="AA54" s="324" t="s">
        <v>29</v>
      </c>
      <c r="AB54" s="257"/>
      <c r="AC54" s="271"/>
      <c r="AD54" s="271"/>
    </row>
    <row r="55" spans="2:30" ht="19.8" customHeight="1" x14ac:dyDescent="0.6">
      <c r="B55" s="269"/>
      <c r="C55" s="273" t="s">
        <v>52</v>
      </c>
      <c r="D55" s="281"/>
      <c r="E55" s="277"/>
      <c r="F55" s="285"/>
      <c r="G55" s="291"/>
      <c r="H55" s="264"/>
      <c r="I55" s="291"/>
      <c r="J55" s="298" t="str">
        <f t="shared" ref="J55" si="29">IF(G55="-","-",IF(D55&gt;0,ROUNDDOWN(I55*D55,2),""))</f>
        <v/>
      </c>
      <c r="K55" s="318"/>
      <c r="L55" s="273"/>
      <c r="M55" s="276"/>
      <c r="N55" s="290"/>
      <c r="O55" s="276"/>
      <c r="P55" s="290"/>
      <c r="Q55" s="276"/>
      <c r="R55" s="290"/>
      <c r="S55" s="276"/>
      <c r="T55" s="290"/>
      <c r="U55" s="276">
        <v>0</v>
      </c>
      <c r="V55" s="290">
        <v>0</v>
      </c>
      <c r="Z55" s="292" t="s">
        <v>601</v>
      </c>
      <c r="AA55" s="262" t="s">
        <v>105</v>
      </c>
      <c r="AB55" s="326">
        <f>K431</f>
        <v>20579504</v>
      </c>
      <c r="AC55" s="287">
        <f>V431</f>
        <v>3340000</v>
      </c>
      <c r="AD55" s="439">
        <f>AC55/AB55</f>
        <v>0.16229740036494564</v>
      </c>
    </row>
    <row r="56" spans="2:30" ht="19.8" customHeight="1" x14ac:dyDescent="0.6">
      <c r="B56" s="828" t="s">
        <v>375</v>
      </c>
      <c r="C56" s="828"/>
      <c r="D56" s="294" t="s">
        <v>326</v>
      </c>
      <c r="E56" s="257" t="s">
        <v>57</v>
      </c>
      <c r="F56" s="292"/>
      <c r="G56" s="293">
        <f>SUM(G13:G55)</f>
        <v>8997433</v>
      </c>
      <c r="H56" s="262"/>
      <c r="I56" s="293"/>
      <c r="J56" s="299">
        <f>SUM(J13:J55)</f>
        <v>10310669</v>
      </c>
      <c r="K56" s="319">
        <f>SUM(K13:K55)</f>
        <v>10310677</v>
      </c>
      <c r="L56" s="262"/>
      <c r="M56" s="453">
        <f>N56/$K56</f>
        <v>2.1084357506301478E-2</v>
      </c>
      <c r="N56" s="293">
        <f>SUM(N13:N54)</f>
        <v>217394</v>
      </c>
      <c r="O56" s="453">
        <f>P56/$K56</f>
        <v>0</v>
      </c>
      <c r="P56" s="293">
        <f>SUM(P13:P54)</f>
        <v>0</v>
      </c>
      <c r="Q56" s="453">
        <v>0</v>
      </c>
      <c r="R56" s="293">
        <v>0</v>
      </c>
      <c r="S56" s="453">
        <v>0</v>
      </c>
      <c r="T56" s="293">
        <v>0</v>
      </c>
      <c r="U56" s="453">
        <v>3.5632383790123581E-2</v>
      </c>
      <c r="V56" s="293">
        <v>367394</v>
      </c>
      <c r="Z56" s="292" t="s">
        <v>653</v>
      </c>
      <c r="AA56" s="262" t="s">
        <v>107</v>
      </c>
      <c r="AB56" s="326">
        <f>SUM(K462)</f>
        <v>17824270</v>
      </c>
      <c r="AC56" s="287">
        <f>SUM(V462)</f>
        <v>4810000</v>
      </c>
      <c r="AD56" s="439">
        <f t="shared" si="8"/>
        <v>0.269856773938007</v>
      </c>
    </row>
    <row r="57" spans="2:30" ht="19.8" customHeight="1" x14ac:dyDescent="0.6">
      <c r="B57" s="267">
        <v>1.2</v>
      </c>
      <c r="C57" s="271" t="s">
        <v>40</v>
      </c>
      <c r="D57" s="280"/>
      <c r="E57" s="276"/>
      <c r="G57" s="290"/>
      <c r="I57" s="290"/>
      <c r="K57" s="315"/>
      <c r="L57" s="271"/>
      <c r="M57" s="276"/>
      <c r="N57" s="290"/>
      <c r="O57" s="276"/>
      <c r="P57" s="290"/>
      <c r="Q57" s="276"/>
      <c r="R57" s="290"/>
      <c r="S57" s="276"/>
      <c r="T57" s="290"/>
      <c r="U57" s="276">
        <v>0</v>
      </c>
      <c r="V57" s="290">
        <v>0</v>
      </c>
      <c r="Z57" s="292" t="s">
        <v>676</v>
      </c>
      <c r="AA57" s="262" t="s">
        <v>108</v>
      </c>
      <c r="AB57" s="326">
        <f>SUM(K493)</f>
        <v>24768803</v>
      </c>
      <c r="AC57" s="287">
        <f>SUM(V493)</f>
        <v>5340000</v>
      </c>
      <c r="AD57" s="439">
        <f t="shared" si="8"/>
        <v>0.21559378545664884</v>
      </c>
    </row>
    <row r="58" spans="2:30" ht="19.8" customHeight="1" x14ac:dyDescent="0.6">
      <c r="B58" s="267"/>
      <c r="C58" s="271" t="s">
        <v>306</v>
      </c>
      <c r="D58" s="280"/>
      <c r="E58" s="276"/>
      <c r="G58" s="290"/>
      <c r="I58" s="290"/>
      <c r="K58" s="315"/>
      <c r="L58" s="271"/>
      <c r="M58" s="276"/>
      <c r="N58" s="290"/>
      <c r="O58" s="276"/>
      <c r="P58" s="290"/>
      <c r="Q58" s="276"/>
      <c r="R58" s="290"/>
      <c r="S58" s="276"/>
      <c r="T58" s="290"/>
      <c r="U58" s="276">
        <v>0</v>
      </c>
      <c r="V58" s="290">
        <v>0</v>
      </c>
      <c r="Z58" s="292" t="s">
        <v>699</v>
      </c>
      <c r="AA58" s="262" t="s">
        <v>109</v>
      </c>
      <c r="AB58" s="326">
        <f>K507</f>
        <v>2252864</v>
      </c>
      <c r="AC58" s="287">
        <f>V507</f>
        <v>0</v>
      </c>
      <c r="AD58" s="439">
        <f t="shared" si="8"/>
        <v>0</v>
      </c>
    </row>
    <row r="59" spans="2:30" ht="19.8" customHeight="1" x14ac:dyDescent="0.6">
      <c r="B59" s="267"/>
      <c r="C59" s="271" t="s">
        <v>307</v>
      </c>
      <c r="D59" s="280"/>
      <c r="E59" s="276"/>
      <c r="G59" s="290"/>
      <c r="I59" s="290"/>
      <c r="K59" s="315"/>
      <c r="L59" s="271"/>
      <c r="M59" s="276"/>
      <c r="N59" s="290"/>
      <c r="O59" s="276"/>
      <c r="P59" s="290"/>
      <c r="Q59" s="276"/>
      <c r="R59" s="290"/>
      <c r="S59" s="276"/>
      <c r="T59" s="290"/>
      <c r="U59" s="276">
        <v>0</v>
      </c>
      <c r="V59" s="290">
        <v>0</v>
      </c>
      <c r="Z59" s="292" t="s">
        <v>711</v>
      </c>
      <c r="AA59" s="262" t="s">
        <v>110</v>
      </c>
      <c r="AB59" s="326">
        <f>K524</f>
        <v>1866144</v>
      </c>
      <c r="AC59" s="287">
        <f>V524</f>
        <v>0</v>
      </c>
      <c r="AD59" s="439">
        <f t="shared" si="8"/>
        <v>0</v>
      </c>
    </row>
    <row r="60" spans="2:30" ht="19.8" customHeight="1" x14ac:dyDescent="0.6">
      <c r="B60" s="268">
        <v>25</v>
      </c>
      <c r="C60" s="271" t="s">
        <v>194</v>
      </c>
      <c r="D60" s="280">
        <v>1</v>
      </c>
      <c r="E60" s="276" t="s">
        <v>78</v>
      </c>
      <c r="F60" s="282" t="s">
        <v>346</v>
      </c>
      <c r="G60" s="290">
        <f>ROUNDDOWN(F60*D60,0)</f>
        <v>15000</v>
      </c>
      <c r="H60" s="255">
        <v>1.1596</v>
      </c>
      <c r="I60" s="290">
        <f>H60*F60</f>
        <v>17394</v>
      </c>
      <c r="J60" s="298">
        <f>IF(G60="-","-",IF(D60&gt;0,ROUNDDOWN(I60*D60,0),""))</f>
        <v>17394</v>
      </c>
      <c r="K60" s="316">
        <v>17394</v>
      </c>
      <c r="L60" s="271"/>
      <c r="M60" s="276">
        <v>1</v>
      </c>
      <c r="N60" s="290">
        <f t="shared" ref="N60:N63" si="30">ROUNDDOWN(M60*$I60,0)</f>
        <v>17394</v>
      </c>
      <c r="O60" s="276"/>
      <c r="P60" s="290">
        <f t="shared" ref="P60:P63" si="31">ROUNDDOWN(O60*$I60,0)</f>
        <v>0</v>
      </c>
      <c r="Q60" s="276"/>
      <c r="R60" s="290"/>
      <c r="S60" s="276"/>
      <c r="T60" s="290"/>
      <c r="U60" s="276">
        <v>1</v>
      </c>
      <c r="V60" s="290">
        <v>17394</v>
      </c>
      <c r="Z60" s="292" t="s">
        <v>728</v>
      </c>
      <c r="AA60" s="262" t="s">
        <v>111</v>
      </c>
      <c r="AB60" s="326">
        <f>K549</f>
        <v>15408281</v>
      </c>
      <c r="AC60" s="287">
        <f>V549</f>
        <v>11930000</v>
      </c>
      <c r="AD60" s="439">
        <f t="shared" si="8"/>
        <v>0.77425898450320318</v>
      </c>
    </row>
    <row r="61" spans="2:30" ht="19.8" customHeight="1" x14ac:dyDescent="0.6">
      <c r="B61" s="268">
        <v>26</v>
      </c>
      <c r="C61" s="271" t="s">
        <v>195</v>
      </c>
      <c r="D61" s="280" t="s">
        <v>377</v>
      </c>
      <c r="E61" s="276" t="s">
        <v>55</v>
      </c>
      <c r="F61" s="282" t="s">
        <v>378</v>
      </c>
      <c r="G61" s="290">
        <f t="shared" ref="G61:G63" si="32">ROUNDDOWN(F61*D61,0)</f>
        <v>6033</v>
      </c>
      <c r="H61" s="255">
        <v>1.1596</v>
      </c>
      <c r="I61" s="290">
        <f t="shared" ref="I61:I63" si="33">H61*F61</f>
        <v>38.440739999999998</v>
      </c>
      <c r="J61" s="298">
        <f t="shared" ref="J61:J75" si="34">IF(G61="-","-",IF(D61&gt;0,ROUNDDOWN(I61*D61,0),""))</f>
        <v>6996</v>
      </c>
      <c r="K61" s="316">
        <v>6996</v>
      </c>
      <c r="L61" s="271"/>
      <c r="M61" s="276"/>
      <c r="N61" s="290">
        <f t="shared" si="30"/>
        <v>0</v>
      </c>
      <c r="O61" s="276"/>
      <c r="P61" s="290">
        <f t="shared" si="31"/>
        <v>0</v>
      </c>
      <c r="Q61" s="276"/>
      <c r="R61" s="290"/>
      <c r="S61" s="276"/>
      <c r="T61" s="290"/>
      <c r="U61" s="276">
        <v>0</v>
      </c>
      <c r="V61" s="290">
        <v>0</v>
      </c>
      <c r="Z61" s="292" t="s">
        <v>742</v>
      </c>
      <c r="AA61" s="262" t="s">
        <v>112</v>
      </c>
      <c r="AB61" s="326">
        <f>K580</f>
        <v>15007259</v>
      </c>
      <c r="AC61" s="287">
        <f>V580</f>
        <v>2510000</v>
      </c>
      <c r="AD61" s="439">
        <f t="shared" si="8"/>
        <v>0.16725239432463984</v>
      </c>
    </row>
    <row r="62" spans="2:30" ht="19.8" customHeight="1" x14ac:dyDescent="0.6">
      <c r="B62" s="268">
        <v>27</v>
      </c>
      <c r="C62" s="271" t="s">
        <v>196</v>
      </c>
      <c r="D62" s="280" t="s">
        <v>389</v>
      </c>
      <c r="E62" s="276" t="s">
        <v>61</v>
      </c>
      <c r="F62" s="282" t="s">
        <v>390</v>
      </c>
      <c r="G62" s="290">
        <f t="shared" si="32"/>
        <v>700</v>
      </c>
      <c r="H62" s="255">
        <v>1.1596</v>
      </c>
      <c r="I62" s="290">
        <f t="shared" si="33"/>
        <v>811.72</v>
      </c>
      <c r="J62" s="298">
        <f t="shared" si="34"/>
        <v>811</v>
      </c>
      <c r="K62" s="316">
        <v>811</v>
      </c>
      <c r="L62" s="271"/>
      <c r="M62" s="276"/>
      <c r="N62" s="290">
        <f t="shared" si="30"/>
        <v>0</v>
      </c>
      <c r="O62" s="276"/>
      <c r="P62" s="290">
        <f t="shared" si="31"/>
        <v>0</v>
      </c>
      <c r="Q62" s="276"/>
      <c r="R62" s="290"/>
      <c r="S62" s="276"/>
      <c r="T62" s="290"/>
      <c r="U62" s="276">
        <v>0</v>
      </c>
      <c r="V62" s="290">
        <v>0</v>
      </c>
      <c r="Z62" s="292" t="s">
        <v>818</v>
      </c>
      <c r="AA62" s="262" t="s">
        <v>113</v>
      </c>
      <c r="AB62" s="326">
        <f>K612</f>
        <v>26163587</v>
      </c>
      <c r="AC62" s="287">
        <f>V612</f>
        <v>8620000</v>
      </c>
      <c r="AD62" s="439">
        <f t="shared" si="8"/>
        <v>0.32946552779632243</v>
      </c>
    </row>
    <row r="63" spans="2:30" ht="19.8" customHeight="1" x14ac:dyDescent="0.6">
      <c r="B63" s="268">
        <v>28</v>
      </c>
      <c r="C63" s="271" t="s">
        <v>379</v>
      </c>
      <c r="D63" s="280" t="s">
        <v>380</v>
      </c>
      <c r="E63" s="276" t="s">
        <v>61</v>
      </c>
      <c r="F63" s="282" t="s">
        <v>391</v>
      </c>
      <c r="G63" s="290">
        <f t="shared" si="32"/>
        <v>2788212</v>
      </c>
      <c r="H63" s="255">
        <v>1.1409</v>
      </c>
      <c r="I63" s="290">
        <f t="shared" si="33"/>
        <v>23917.827600000001</v>
      </c>
      <c r="J63" s="298">
        <f t="shared" si="34"/>
        <v>3181071</v>
      </c>
      <c r="K63" s="316">
        <v>3181071</v>
      </c>
      <c r="L63" s="271"/>
      <c r="M63" s="276"/>
      <c r="N63" s="290">
        <f t="shared" si="30"/>
        <v>0</v>
      </c>
      <c r="O63" s="276"/>
      <c r="P63" s="290">
        <f t="shared" si="31"/>
        <v>0</v>
      </c>
      <c r="Q63" s="276"/>
      <c r="R63" s="290"/>
      <c r="S63" s="276"/>
      <c r="T63" s="290"/>
      <c r="U63" s="276">
        <v>0</v>
      </c>
      <c r="V63" s="290">
        <v>0</v>
      </c>
      <c r="Z63" s="292" t="s">
        <v>819</v>
      </c>
      <c r="AA63" s="262" t="s">
        <v>123</v>
      </c>
      <c r="AB63" s="326">
        <f>K622</f>
        <v>1519335</v>
      </c>
      <c r="AC63" s="287">
        <f>V622</f>
        <v>0</v>
      </c>
      <c r="AD63" s="439">
        <f t="shared" si="8"/>
        <v>0</v>
      </c>
    </row>
    <row r="64" spans="2:30" ht="19.8" customHeight="1" x14ac:dyDescent="0.6">
      <c r="B64" s="268"/>
      <c r="C64" s="271" t="s">
        <v>52</v>
      </c>
      <c r="D64" s="280"/>
      <c r="E64" s="276"/>
      <c r="G64" s="290"/>
      <c r="I64" s="290"/>
      <c r="J64" s="298" t="str">
        <f t="shared" si="34"/>
        <v/>
      </c>
      <c r="K64" s="316"/>
      <c r="L64" s="271"/>
      <c r="M64" s="276"/>
      <c r="N64" s="290"/>
      <c r="O64" s="276"/>
      <c r="P64" s="290"/>
      <c r="Q64" s="276"/>
      <c r="R64" s="290"/>
      <c r="S64" s="276"/>
      <c r="T64" s="290"/>
      <c r="U64" s="276">
        <v>0</v>
      </c>
      <c r="V64" s="290">
        <v>0</v>
      </c>
      <c r="Z64" s="292" t="s">
        <v>804</v>
      </c>
      <c r="AA64" s="262" t="s">
        <v>124</v>
      </c>
      <c r="AB64" s="326">
        <f>K624</f>
        <v>4431757</v>
      </c>
      <c r="AC64" s="287">
        <f>V624</f>
        <v>0</v>
      </c>
      <c r="AD64" s="439">
        <f t="shared" si="8"/>
        <v>0</v>
      </c>
    </row>
    <row r="65" spans="2:30" ht="19.8" customHeight="1" x14ac:dyDescent="0.6">
      <c r="B65" s="268">
        <v>29</v>
      </c>
      <c r="C65" s="271" t="s">
        <v>381</v>
      </c>
      <c r="D65" s="280" t="s">
        <v>382</v>
      </c>
      <c r="E65" s="276" t="s">
        <v>61</v>
      </c>
      <c r="F65" s="282" t="s">
        <v>392</v>
      </c>
      <c r="G65" s="290">
        <f>ROUNDDOWN(F65*D65,0)</f>
        <v>511870</v>
      </c>
      <c r="H65" s="255">
        <v>1.1409</v>
      </c>
      <c r="I65" s="290">
        <f t="shared" ref="I65" si="35">H65*F65</f>
        <v>17176.249500000002</v>
      </c>
      <c r="J65" s="298">
        <f t="shared" si="34"/>
        <v>583992</v>
      </c>
      <c r="K65" s="316">
        <v>583992</v>
      </c>
      <c r="L65" s="271"/>
      <c r="M65" s="276"/>
      <c r="N65" s="290">
        <f t="shared" ref="N65" si="36">ROUNDDOWN(M65*$I65,0)</f>
        <v>0</v>
      </c>
      <c r="O65" s="276"/>
      <c r="P65" s="290">
        <f t="shared" ref="P65" si="37">ROUNDDOWN(O65*$I65,0)</f>
        <v>0</v>
      </c>
      <c r="Q65" s="276"/>
      <c r="R65" s="290"/>
      <c r="S65" s="276"/>
      <c r="T65" s="290"/>
      <c r="U65" s="276">
        <v>0</v>
      </c>
      <c r="V65" s="290">
        <v>0</v>
      </c>
      <c r="Z65" s="323" t="s">
        <v>529</v>
      </c>
      <c r="AA65" s="324" t="s">
        <v>125</v>
      </c>
      <c r="AB65" s="257"/>
      <c r="AC65" s="271"/>
      <c r="AD65" s="444"/>
    </row>
    <row r="66" spans="2:30" ht="19.8" customHeight="1" x14ac:dyDescent="0.6">
      <c r="B66" s="268"/>
      <c r="C66" s="271" t="s">
        <v>52</v>
      </c>
      <c r="D66" s="280"/>
      <c r="E66" s="276"/>
      <c r="G66" s="290"/>
      <c r="I66" s="290"/>
      <c r="J66" s="298" t="str">
        <f t="shared" si="34"/>
        <v/>
      </c>
      <c r="K66" s="316"/>
      <c r="L66" s="271"/>
      <c r="M66" s="276"/>
      <c r="N66" s="290"/>
      <c r="O66" s="276"/>
      <c r="P66" s="290"/>
      <c r="Q66" s="276"/>
      <c r="R66" s="290"/>
      <c r="S66" s="276"/>
      <c r="T66" s="290"/>
      <c r="U66" s="276">
        <v>0</v>
      </c>
      <c r="V66" s="290">
        <v>0</v>
      </c>
      <c r="Z66" s="292" t="s">
        <v>820</v>
      </c>
      <c r="AA66" s="262" t="s">
        <v>126</v>
      </c>
      <c r="AB66" s="326">
        <f>K631</f>
        <v>2540833</v>
      </c>
      <c r="AC66" s="287">
        <f>V631</f>
        <v>0</v>
      </c>
      <c r="AD66" s="439">
        <f t="shared" si="8"/>
        <v>0</v>
      </c>
    </row>
    <row r="67" spans="2:30" ht="19.8" customHeight="1" x14ac:dyDescent="0.6">
      <c r="B67" s="268">
        <v>30</v>
      </c>
      <c r="C67" s="271" t="s">
        <v>383</v>
      </c>
      <c r="D67" s="280" t="s">
        <v>340</v>
      </c>
      <c r="E67" s="276" t="s">
        <v>54</v>
      </c>
      <c r="F67" s="282" t="s">
        <v>393</v>
      </c>
      <c r="G67" s="290">
        <f t="shared" ref="G67:G75" si="38">ROUNDDOWN(F67*D67,0)</f>
        <v>194832</v>
      </c>
      <c r="H67" s="255">
        <v>1.1908000000000001</v>
      </c>
      <c r="I67" s="290">
        <f t="shared" ref="I67:I75" si="39">H67*F67</f>
        <v>1757.6208000000001</v>
      </c>
      <c r="J67" s="298">
        <f t="shared" si="34"/>
        <v>232005</v>
      </c>
      <c r="K67" s="316">
        <v>232005</v>
      </c>
      <c r="L67" s="271"/>
      <c r="M67" s="276"/>
      <c r="N67" s="290">
        <f t="shared" ref="N67:N71" si="40">ROUNDDOWN(M67*$I67,0)</f>
        <v>0</v>
      </c>
      <c r="O67" s="276"/>
      <c r="P67" s="290">
        <f t="shared" ref="P67:P71" si="41">ROUNDDOWN(O67*$I67,0)</f>
        <v>0</v>
      </c>
      <c r="Q67" s="276"/>
      <c r="R67" s="290"/>
      <c r="S67" s="276"/>
      <c r="T67" s="290"/>
      <c r="U67" s="276">
        <v>0</v>
      </c>
      <c r="V67" s="290">
        <v>0</v>
      </c>
      <c r="Z67" s="323" t="s">
        <v>333</v>
      </c>
      <c r="AA67" s="324" t="s">
        <v>127</v>
      </c>
      <c r="AB67" s="257"/>
      <c r="AC67" s="271"/>
      <c r="AD67" s="271"/>
    </row>
    <row r="68" spans="2:30" ht="19.8" customHeight="1" x14ac:dyDescent="0.6">
      <c r="B68" s="268">
        <v>31</v>
      </c>
      <c r="C68" s="271" t="s">
        <v>384</v>
      </c>
      <c r="D68" s="280" t="s">
        <v>326</v>
      </c>
      <c r="E68" s="276" t="s">
        <v>57</v>
      </c>
      <c r="F68" s="282" t="s">
        <v>365</v>
      </c>
      <c r="G68" s="290">
        <f t="shared" si="38"/>
        <v>444050</v>
      </c>
      <c r="H68" s="255">
        <v>1.1908000000000001</v>
      </c>
      <c r="I68" s="290">
        <f t="shared" si="39"/>
        <v>3185.3900000000003</v>
      </c>
      <c r="J68" s="298">
        <f t="shared" si="34"/>
        <v>528774</v>
      </c>
      <c r="K68" s="316">
        <v>528774</v>
      </c>
      <c r="L68" s="271"/>
      <c r="M68" s="276"/>
      <c r="N68" s="290">
        <f t="shared" si="40"/>
        <v>0</v>
      </c>
      <c r="O68" s="276"/>
      <c r="P68" s="290">
        <f t="shared" si="41"/>
        <v>0</v>
      </c>
      <c r="Q68" s="276"/>
      <c r="R68" s="290"/>
      <c r="S68" s="276"/>
      <c r="T68" s="290"/>
      <c r="U68" s="276">
        <v>0</v>
      </c>
      <c r="V68" s="290">
        <v>0</v>
      </c>
      <c r="Z68" s="292" t="s">
        <v>821</v>
      </c>
      <c r="AA68" s="262" t="s">
        <v>127</v>
      </c>
      <c r="AB68" s="326">
        <v>574191</v>
      </c>
      <c r="AC68" s="262"/>
      <c r="AD68" s="262"/>
    </row>
    <row r="69" spans="2:30" ht="19.8" customHeight="1" x14ac:dyDescent="0.6">
      <c r="B69" s="268">
        <v>32</v>
      </c>
      <c r="C69" s="271" t="s">
        <v>385</v>
      </c>
      <c r="D69" s="280" t="s">
        <v>386</v>
      </c>
      <c r="E69" s="276" t="s">
        <v>55</v>
      </c>
      <c r="F69" s="282" t="s">
        <v>394</v>
      </c>
      <c r="G69" s="290">
        <f t="shared" si="38"/>
        <v>19242</v>
      </c>
      <c r="H69" s="255">
        <v>1.1596</v>
      </c>
      <c r="I69" s="290">
        <f t="shared" si="39"/>
        <v>29.245111999999999</v>
      </c>
      <c r="J69" s="298">
        <f t="shared" si="34"/>
        <v>22314</v>
      </c>
      <c r="K69" s="316">
        <v>22317</v>
      </c>
      <c r="L69" s="271"/>
      <c r="M69" s="276"/>
      <c r="N69" s="290">
        <f t="shared" si="40"/>
        <v>0</v>
      </c>
      <c r="O69" s="276"/>
      <c r="P69" s="290">
        <f t="shared" si="41"/>
        <v>0</v>
      </c>
      <c r="Q69" s="276"/>
      <c r="R69" s="290"/>
      <c r="S69" s="276"/>
      <c r="T69" s="290"/>
      <c r="U69" s="276">
        <v>0</v>
      </c>
      <c r="V69" s="290">
        <v>0</v>
      </c>
      <c r="Z69" s="824" t="s">
        <v>7</v>
      </c>
      <c r="AA69" s="825"/>
      <c r="AB69" s="326">
        <f>SUM(AB15,AB20,AB26,AB30,AB34,AB38,AB42,AB46,AB47,AB48,AB49,AB50,AB52,AB53,AB55,AB56,AB57,AB58,AB59,AB60,AB61,AB62,AB63,AB64,AB66,AB68)</f>
        <v>238498109</v>
      </c>
      <c r="AC69" s="424">
        <f>SUM(AC66+AC64+AC63+AC62+AC61+AC60+AC59+AC58+AC57+AC56+AC55+AC53+AC52+AC50+AC49+AC48+AC47+AC46+AC42+AC38+AC34+AC30+AC26+AC20+AC15)</f>
        <v>55199664</v>
      </c>
      <c r="AD69" s="425">
        <f>AC69/AB69</f>
        <v>0.23144696715394084</v>
      </c>
    </row>
    <row r="70" spans="2:30" ht="19.8" customHeight="1" x14ac:dyDescent="0.6">
      <c r="B70" s="268">
        <v>33</v>
      </c>
      <c r="C70" s="271" t="s">
        <v>387</v>
      </c>
      <c r="D70" s="280" t="s">
        <v>388</v>
      </c>
      <c r="E70" s="276" t="s">
        <v>55</v>
      </c>
      <c r="F70" s="282" t="s">
        <v>395</v>
      </c>
      <c r="G70" s="290">
        <f t="shared" si="38"/>
        <v>507280</v>
      </c>
      <c r="H70" s="255">
        <v>1.1596</v>
      </c>
      <c r="I70" s="290">
        <f t="shared" si="39"/>
        <v>865.0616</v>
      </c>
      <c r="J70" s="298">
        <f t="shared" si="34"/>
        <v>588241</v>
      </c>
      <c r="K70" s="316">
        <v>588240</v>
      </c>
      <c r="L70" s="271"/>
      <c r="M70" s="276"/>
      <c r="N70" s="290">
        <f t="shared" si="40"/>
        <v>0</v>
      </c>
      <c r="O70" s="276"/>
      <c r="P70" s="290">
        <f t="shared" si="41"/>
        <v>0</v>
      </c>
      <c r="Q70" s="276"/>
      <c r="R70" s="290"/>
      <c r="S70" s="276"/>
      <c r="T70" s="290"/>
      <c r="U70" s="276">
        <v>0</v>
      </c>
      <c r="V70" s="290">
        <v>0</v>
      </c>
    </row>
    <row r="71" spans="2:30" ht="19.8" customHeight="1" x14ac:dyDescent="0.6">
      <c r="B71" s="268">
        <v>34</v>
      </c>
      <c r="C71" s="271" t="s">
        <v>396</v>
      </c>
      <c r="D71" s="280" t="s">
        <v>400</v>
      </c>
      <c r="E71" s="276" t="s">
        <v>57</v>
      </c>
      <c r="F71" s="282" t="s">
        <v>404</v>
      </c>
      <c r="G71" s="290">
        <f t="shared" si="38"/>
        <v>996943</v>
      </c>
      <c r="H71" s="255">
        <v>1.1409</v>
      </c>
      <c r="I71" s="290">
        <f t="shared" si="39"/>
        <v>3168.2793000000001</v>
      </c>
      <c r="J71" s="298">
        <f t="shared" si="34"/>
        <v>1137412</v>
      </c>
      <c r="K71" s="316">
        <v>1136018</v>
      </c>
      <c r="L71" s="271"/>
      <c r="M71" s="276"/>
      <c r="N71" s="290">
        <f t="shared" si="40"/>
        <v>0</v>
      </c>
      <c r="O71" s="276"/>
      <c r="P71" s="290">
        <f t="shared" si="41"/>
        <v>0</v>
      </c>
      <c r="Q71" s="276"/>
      <c r="R71" s="290"/>
      <c r="S71" s="276"/>
      <c r="T71" s="290"/>
      <c r="U71" s="276">
        <v>0</v>
      </c>
      <c r="V71" s="290">
        <v>0</v>
      </c>
    </row>
    <row r="72" spans="2:30" ht="19.8" customHeight="1" x14ac:dyDescent="0.6">
      <c r="B72" s="268">
        <v>35</v>
      </c>
      <c r="C72" s="271" t="s">
        <v>56</v>
      </c>
      <c r="D72" s="280"/>
      <c r="E72" s="276"/>
      <c r="G72" s="290"/>
      <c r="I72" s="290"/>
      <c r="J72" s="298" t="str">
        <f t="shared" si="34"/>
        <v/>
      </c>
      <c r="K72" s="316"/>
      <c r="L72" s="271"/>
      <c r="M72" s="276"/>
      <c r="N72" s="290"/>
      <c r="O72" s="276"/>
      <c r="P72" s="290"/>
      <c r="Q72" s="276"/>
      <c r="R72" s="290"/>
      <c r="S72" s="276"/>
      <c r="T72" s="290"/>
      <c r="U72" s="276">
        <v>0</v>
      </c>
      <c r="V72" s="290">
        <v>0</v>
      </c>
    </row>
    <row r="73" spans="2:30" ht="19.8" customHeight="1" x14ac:dyDescent="0.6">
      <c r="B73" s="268"/>
      <c r="C73" s="272" t="s">
        <v>397</v>
      </c>
      <c r="D73" s="280" t="s">
        <v>401</v>
      </c>
      <c r="E73" s="276" t="s">
        <v>57</v>
      </c>
      <c r="F73" s="282" t="s">
        <v>372</v>
      </c>
      <c r="G73" s="290">
        <f t="shared" si="38"/>
        <v>109668</v>
      </c>
      <c r="H73" s="255">
        <v>1.1409</v>
      </c>
      <c r="I73" s="290">
        <f t="shared" si="39"/>
        <v>802.05270000000007</v>
      </c>
      <c r="J73" s="298">
        <f t="shared" si="34"/>
        <v>125120</v>
      </c>
      <c r="K73" s="316">
        <v>125119</v>
      </c>
      <c r="L73" s="271"/>
      <c r="M73" s="276"/>
      <c r="N73" s="290">
        <f t="shared" ref="N73:N75" si="42">ROUNDDOWN(M73*$I73,0)</f>
        <v>0</v>
      </c>
      <c r="O73" s="276"/>
      <c r="P73" s="290">
        <f t="shared" ref="P73:P75" si="43">ROUNDDOWN(O73*$I73,0)</f>
        <v>0</v>
      </c>
      <c r="Q73" s="276"/>
      <c r="R73" s="290"/>
      <c r="S73" s="276"/>
      <c r="T73" s="290"/>
      <c r="U73" s="276">
        <v>0</v>
      </c>
      <c r="V73" s="290">
        <v>0</v>
      </c>
    </row>
    <row r="74" spans="2:30" ht="19.8" customHeight="1" x14ac:dyDescent="0.6">
      <c r="B74" s="268"/>
      <c r="C74" s="272" t="s">
        <v>398</v>
      </c>
      <c r="D74" s="280" t="s">
        <v>343</v>
      </c>
      <c r="E74" s="276" t="s">
        <v>58</v>
      </c>
      <c r="F74" s="282" t="s">
        <v>373</v>
      </c>
      <c r="G74" s="290">
        <f t="shared" si="38"/>
        <v>31120</v>
      </c>
      <c r="H74" s="255">
        <v>1.1409</v>
      </c>
      <c r="I74" s="290">
        <f t="shared" si="39"/>
        <v>4438.1009999999997</v>
      </c>
      <c r="J74" s="298">
        <f t="shared" si="34"/>
        <v>35504</v>
      </c>
      <c r="K74" s="316">
        <v>35504</v>
      </c>
      <c r="L74" s="271"/>
      <c r="M74" s="276"/>
      <c r="N74" s="290">
        <f t="shared" si="42"/>
        <v>0</v>
      </c>
      <c r="O74" s="276"/>
      <c r="P74" s="290">
        <f t="shared" si="43"/>
        <v>0</v>
      </c>
      <c r="Q74" s="276"/>
      <c r="R74" s="290"/>
      <c r="S74" s="276"/>
      <c r="T74" s="290"/>
      <c r="U74" s="276">
        <v>0</v>
      </c>
      <c r="V74" s="290">
        <v>0</v>
      </c>
    </row>
    <row r="75" spans="2:30" ht="19.8" customHeight="1" x14ac:dyDescent="0.6">
      <c r="B75" s="268">
        <v>36</v>
      </c>
      <c r="C75" s="271" t="s">
        <v>399</v>
      </c>
      <c r="D75" s="280" t="s">
        <v>402</v>
      </c>
      <c r="E75" s="276" t="s">
        <v>62</v>
      </c>
      <c r="F75" s="282" t="s">
        <v>405</v>
      </c>
      <c r="G75" s="290">
        <f t="shared" si="38"/>
        <v>325776</v>
      </c>
      <c r="H75" s="255">
        <v>1.1409</v>
      </c>
      <c r="I75" s="290">
        <f t="shared" si="39"/>
        <v>1407.8706</v>
      </c>
      <c r="J75" s="298">
        <f t="shared" si="34"/>
        <v>371677</v>
      </c>
      <c r="K75" s="316">
        <v>371677</v>
      </c>
      <c r="L75" s="271"/>
      <c r="M75" s="276"/>
      <c r="N75" s="290">
        <f t="shared" si="42"/>
        <v>0</v>
      </c>
      <c r="O75" s="276"/>
      <c r="P75" s="290">
        <f t="shared" si="43"/>
        <v>0</v>
      </c>
      <c r="Q75" s="276"/>
      <c r="R75" s="290"/>
      <c r="S75" s="276"/>
      <c r="T75" s="290"/>
      <c r="U75" s="276">
        <v>0</v>
      </c>
      <c r="V75" s="290">
        <v>0</v>
      </c>
    </row>
    <row r="76" spans="2:30" ht="19.8" customHeight="1" x14ac:dyDescent="0.6">
      <c r="B76" s="268"/>
      <c r="C76" s="271"/>
      <c r="D76" s="280"/>
      <c r="E76" s="276"/>
      <c r="G76" s="290"/>
      <c r="I76" s="290"/>
      <c r="J76" s="298"/>
      <c r="K76" s="316"/>
      <c r="L76" s="271"/>
      <c r="M76" s="276"/>
      <c r="N76" s="290"/>
      <c r="O76" s="276"/>
      <c r="P76" s="290"/>
      <c r="Q76" s="276"/>
      <c r="R76" s="290"/>
      <c r="S76" s="276"/>
      <c r="T76" s="290"/>
      <c r="U76" s="276">
        <v>0</v>
      </c>
      <c r="V76" s="290">
        <v>0</v>
      </c>
    </row>
    <row r="77" spans="2:30" ht="19.8" customHeight="1" x14ac:dyDescent="0.6">
      <c r="B77" s="817" t="s">
        <v>403</v>
      </c>
      <c r="C77" s="818"/>
      <c r="D77" s="295" t="s">
        <v>326</v>
      </c>
      <c r="E77" s="257" t="s">
        <v>57</v>
      </c>
      <c r="F77" s="296"/>
      <c r="G77" s="293">
        <f>SUM(G60:G76)</f>
        <v>5950726</v>
      </c>
      <c r="H77" s="297"/>
      <c r="I77" s="293"/>
      <c r="J77" s="299">
        <f>SUM(J60:J76)</f>
        <v>6831311</v>
      </c>
      <c r="K77" s="319">
        <f>SUM(K60:K76)</f>
        <v>6829918</v>
      </c>
      <c r="L77" s="302"/>
      <c r="M77" s="257"/>
      <c r="N77" s="293">
        <f>SUM(N60:N75)</f>
        <v>17394</v>
      </c>
      <c r="O77" s="453">
        <f>P77/K77</f>
        <v>0</v>
      </c>
      <c r="P77" s="293">
        <f>SUM(P60:P75)</f>
        <v>0</v>
      </c>
      <c r="Q77" s="453" t="e">
        <v>#DIV/0!</v>
      </c>
      <c r="R77" s="293">
        <v>0</v>
      </c>
      <c r="S77" s="453" t="e">
        <v>#DIV/0!</v>
      </c>
      <c r="T77" s="293">
        <v>0</v>
      </c>
      <c r="U77" s="453">
        <v>0</v>
      </c>
      <c r="V77" s="293">
        <v>17394</v>
      </c>
    </row>
    <row r="78" spans="2:30" ht="19.8" customHeight="1" x14ac:dyDescent="0.6">
      <c r="B78" s="267">
        <v>1.3</v>
      </c>
      <c r="C78" s="271" t="s">
        <v>34</v>
      </c>
      <c r="D78" s="280"/>
      <c r="E78" s="276"/>
      <c r="G78" s="290"/>
      <c r="I78" s="290"/>
      <c r="K78" s="315"/>
      <c r="L78" s="271"/>
      <c r="M78" s="276"/>
      <c r="N78" s="290"/>
      <c r="O78" s="276"/>
      <c r="P78" s="290"/>
      <c r="Q78" s="276"/>
      <c r="R78" s="290"/>
      <c r="S78" s="276"/>
      <c r="T78" s="290"/>
      <c r="U78" s="276">
        <v>0</v>
      </c>
      <c r="V78" s="290">
        <v>0</v>
      </c>
    </row>
    <row r="79" spans="2:30" ht="19.8" customHeight="1" x14ac:dyDescent="0.6">
      <c r="B79" s="267"/>
      <c r="C79" s="271" t="s">
        <v>407</v>
      </c>
      <c r="D79" s="280"/>
      <c r="E79" s="276"/>
      <c r="G79" s="290"/>
      <c r="I79" s="290"/>
      <c r="K79" s="315"/>
      <c r="L79" s="271"/>
      <c r="M79" s="276"/>
      <c r="N79" s="290"/>
      <c r="O79" s="276"/>
      <c r="P79" s="290"/>
      <c r="Q79" s="276"/>
      <c r="R79" s="290"/>
      <c r="S79" s="276"/>
      <c r="T79" s="290"/>
      <c r="U79" s="276">
        <v>0</v>
      </c>
      <c r="V79" s="290">
        <v>0</v>
      </c>
    </row>
    <row r="80" spans="2:30" ht="19.8" customHeight="1" x14ac:dyDescent="0.6">
      <c r="B80" s="267"/>
      <c r="C80" s="271" t="s">
        <v>408</v>
      </c>
      <c r="D80" s="280"/>
      <c r="E80" s="276"/>
      <c r="G80" s="290"/>
      <c r="I80" s="290"/>
      <c r="K80" s="315"/>
      <c r="L80" s="271"/>
      <c r="M80" s="276"/>
      <c r="N80" s="290"/>
      <c r="O80" s="276"/>
      <c r="P80" s="290"/>
      <c r="Q80" s="276"/>
      <c r="R80" s="290"/>
      <c r="S80" s="276"/>
      <c r="T80" s="290"/>
      <c r="U80" s="276">
        <v>0</v>
      </c>
      <c r="V80" s="290">
        <v>0</v>
      </c>
    </row>
    <row r="81" spans="2:22" ht="19.8" customHeight="1" x14ac:dyDescent="0.6">
      <c r="B81" s="268">
        <v>1</v>
      </c>
      <c r="C81" s="271" t="s">
        <v>194</v>
      </c>
      <c r="D81" s="280">
        <v>1</v>
      </c>
      <c r="E81" s="276" t="s">
        <v>78</v>
      </c>
      <c r="G81" s="290"/>
      <c r="I81" s="290">
        <v>17394</v>
      </c>
      <c r="J81" s="298">
        <f t="shared" ref="J81:J98" si="44">IF(G81="-","-",IF(D81&gt;0,ROUNDDOWN(I81*D81,0),""))</f>
        <v>17394</v>
      </c>
      <c r="K81" s="316">
        <v>17394</v>
      </c>
      <c r="L81" s="271"/>
      <c r="M81" s="276">
        <v>1</v>
      </c>
      <c r="N81" s="290">
        <f t="shared" ref="N81:N98" si="45">ROUNDDOWN(M81*$I81,0)</f>
        <v>17394</v>
      </c>
      <c r="O81" s="276"/>
      <c r="P81" s="290">
        <f t="shared" ref="P81:P98" si="46">ROUNDDOWN(O81*$I81,0)</f>
        <v>0</v>
      </c>
      <c r="Q81" s="276"/>
      <c r="R81" s="290"/>
      <c r="S81" s="276"/>
      <c r="T81" s="290"/>
      <c r="U81" s="276">
        <v>1</v>
      </c>
      <c r="V81" s="290">
        <v>17394</v>
      </c>
    </row>
    <row r="82" spans="2:22" ht="19.8" customHeight="1" x14ac:dyDescent="0.6">
      <c r="B82" s="268">
        <v>2</v>
      </c>
      <c r="C82" s="271" t="s">
        <v>195</v>
      </c>
      <c r="D82" s="280" t="s">
        <v>409</v>
      </c>
      <c r="E82" s="276" t="s">
        <v>55</v>
      </c>
      <c r="G82" s="290"/>
      <c r="I82" s="290">
        <v>38.44</v>
      </c>
      <c r="J82" s="298">
        <f t="shared" si="44"/>
        <v>85183</v>
      </c>
      <c r="K82" s="316">
        <v>85183</v>
      </c>
      <c r="L82" s="271"/>
      <c r="M82" s="276"/>
      <c r="N82" s="290">
        <f t="shared" si="45"/>
        <v>0</v>
      </c>
      <c r="O82" s="276"/>
      <c r="P82" s="290">
        <f t="shared" si="46"/>
        <v>0</v>
      </c>
      <c r="Q82" s="276"/>
      <c r="R82" s="290"/>
      <c r="S82" s="276"/>
      <c r="T82" s="290"/>
      <c r="U82" s="276">
        <v>0</v>
      </c>
      <c r="V82" s="290">
        <v>0</v>
      </c>
    </row>
    <row r="83" spans="2:22" ht="19.8" customHeight="1" x14ac:dyDescent="0.6">
      <c r="B83" s="268">
        <v>5</v>
      </c>
      <c r="C83" s="271" t="s">
        <v>196</v>
      </c>
      <c r="D83" s="280" t="s">
        <v>410</v>
      </c>
      <c r="E83" s="276" t="s">
        <v>61</v>
      </c>
      <c r="G83" s="290"/>
      <c r="I83" s="290">
        <v>811.72</v>
      </c>
      <c r="J83" s="298">
        <f t="shared" si="44"/>
        <v>1623</v>
      </c>
      <c r="K83" s="316">
        <v>1623</v>
      </c>
      <c r="L83" s="271"/>
      <c r="M83" s="276"/>
      <c r="N83" s="290">
        <f t="shared" si="45"/>
        <v>0</v>
      </c>
      <c r="O83" s="276"/>
      <c r="P83" s="290">
        <f t="shared" si="46"/>
        <v>0</v>
      </c>
      <c r="Q83" s="276"/>
      <c r="R83" s="290"/>
      <c r="S83" s="276"/>
      <c r="T83" s="290"/>
      <c r="U83" s="276">
        <v>0</v>
      </c>
      <c r="V83" s="290">
        <v>0</v>
      </c>
    </row>
    <row r="84" spans="2:22" ht="19.8" customHeight="1" x14ac:dyDescent="0.6">
      <c r="B84" s="268">
        <v>6</v>
      </c>
      <c r="C84" s="271" t="s">
        <v>197</v>
      </c>
      <c r="D84" s="280" t="s">
        <v>411</v>
      </c>
      <c r="E84" s="276" t="s">
        <v>54</v>
      </c>
      <c r="G84" s="290"/>
      <c r="I84" s="290">
        <v>104.6</v>
      </c>
      <c r="J84" s="298">
        <f t="shared" si="44"/>
        <v>138072</v>
      </c>
      <c r="K84" s="316">
        <v>138072</v>
      </c>
      <c r="L84" s="271"/>
      <c r="M84" s="276"/>
      <c r="N84" s="290">
        <f t="shared" si="45"/>
        <v>0</v>
      </c>
      <c r="O84" s="276"/>
      <c r="P84" s="290">
        <f t="shared" si="46"/>
        <v>0</v>
      </c>
      <c r="Q84" s="276"/>
      <c r="R84" s="290"/>
      <c r="S84" s="276"/>
      <c r="T84" s="290"/>
      <c r="U84" s="276">
        <v>0</v>
      </c>
      <c r="V84" s="290">
        <v>0</v>
      </c>
    </row>
    <row r="85" spans="2:22" ht="19.8" customHeight="1" x14ac:dyDescent="0.6">
      <c r="B85" s="268">
        <v>7</v>
      </c>
      <c r="C85" s="271" t="s">
        <v>310</v>
      </c>
      <c r="D85" s="280" t="s">
        <v>412</v>
      </c>
      <c r="E85" s="276" t="s">
        <v>55</v>
      </c>
      <c r="G85" s="290"/>
      <c r="I85" s="290">
        <v>2252</v>
      </c>
      <c r="J85" s="298">
        <f t="shared" si="44"/>
        <v>659836</v>
      </c>
      <c r="K85" s="316">
        <v>659836</v>
      </c>
      <c r="L85" s="271"/>
      <c r="M85" s="276"/>
      <c r="N85" s="290">
        <f t="shared" si="45"/>
        <v>0</v>
      </c>
      <c r="O85" s="276"/>
      <c r="P85" s="290">
        <f t="shared" si="46"/>
        <v>0</v>
      </c>
      <c r="Q85" s="276"/>
      <c r="R85" s="290"/>
      <c r="S85" s="276"/>
      <c r="T85" s="290"/>
      <c r="U85" s="276">
        <v>0</v>
      </c>
      <c r="V85" s="290">
        <v>0</v>
      </c>
    </row>
    <row r="86" spans="2:22" ht="19.8" customHeight="1" x14ac:dyDescent="0.6">
      <c r="B86" s="268">
        <v>8</v>
      </c>
      <c r="C86" s="271" t="s">
        <v>198</v>
      </c>
      <c r="D86" s="280" t="s">
        <v>413</v>
      </c>
      <c r="E86" s="276" t="s">
        <v>57</v>
      </c>
      <c r="G86" s="290"/>
      <c r="I86" s="290">
        <v>1693.1</v>
      </c>
      <c r="J86" s="298">
        <f t="shared" si="44"/>
        <v>275975</v>
      </c>
      <c r="K86" s="316">
        <v>275975</v>
      </c>
      <c r="L86" s="271"/>
      <c r="M86" s="276"/>
      <c r="N86" s="290">
        <f t="shared" si="45"/>
        <v>0</v>
      </c>
      <c r="O86" s="276"/>
      <c r="P86" s="290">
        <f t="shared" si="46"/>
        <v>0</v>
      </c>
      <c r="Q86" s="276"/>
      <c r="R86" s="290"/>
      <c r="S86" s="276"/>
      <c r="T86" s="290"/>
      <c r="U86" s="276">
        <v>0</v>
      </c>
      <c r="V86" s="290">
        <v>0</v>
      </c>
    </row>
    <row r="87" spans="2:22" ht="19.8" customHeight="1" x14ac:dyDescent="0.6">
      <c r="B87" s="268">
        <v>9</v>
      </c>
      <c r="C87" s="271" t="s">
        <v>199</v>
      </c>
      <c r="D87" s="280" t="s">
        <v>413</v>
      </c>
      <c r="E87" s="276" t="s">
        <v>57</v>
      </c>
      <c r="G87" s="290"/>
      <c r="I87" s="290">
        <v>3334.85</v>
      </c>
      <c r="J87" s="298">
        <f t="shared" si="44"/>
        <v>543580</v>
      </c>
      <c r="K87" s="316">
        <v>543580</v>
      </c>
      <c r="L87" s="271"/>
      <c r="M87" s="276"/>
      <c r="N87" s="290">
        <f t="shared" si="45"/>
        <v>0</v>
      </c>
      <c r="O87" s="276"/>
      <c r="P87" s="290">
        <f t="shared" si="46"/>
        <v>0</v>
      </c>
      <c r="Q87" s="276"/>
      <c r="R87" s="290"/>
      <c r="S87" s="276"/>
      <c r="T87" s="290"/>
      <c r="U87" s="276">
        <v>0</v>
      </c>
      <c r="V87" s="290">
        <v>0</v>
      </c>
    </row>
    <row r="88" spans="2:22" ht="19.8" customHeight="1" x14ac:dyDescent="0.6">
      <c r="B88" s="268">
        <v>10</v>
      </c>
      <c r="C88" s="271" t="s">
        <v>200</v>
      </c>
      <c r="D88" s="280" t="s">
        <v>413</v>
      </c>
      <c r="E88" s="276" t="s">
        <v>57</v>
      </c>
      <c r="G88" s="290"/>
      <c r="I88" s="290">
        <v>5220.76</v>
      </c>
      <c r="J88" s="298">
        <f t="shared" si="44"/>
        <v>850983</v>
      </c>
      <c r="K88" s="316">
        <v>850983</v>
      </c>
      <c r="L88" s="271"/>
      <c r="M88" s="276"/>
      <c r="N88" s="290">
        <f t="shared" si="45"/>
        <v>0</v>
      </c>
      <c r="O88" s="276"/>
      <c r="P88" s="290">
        <f t="shared" si="46"/>
        <v>0</v>
      </c>
      <c r="Q88" s="276"/>
      <c r="R88" s="290"/>
      <c r="S88" s="276"/>
      <c r="T88" s="290"/>
      <c r="U88" s="276">
        <v>0</v>
      </c>
      <c r="V88" s="290">
        <v>0</v>
      </c>
    </row>
    <row r="89" spans="2:22" ht="19.8" customHeight="1" x14ac:dyDescent="0.6">
      <c r="B89" s="268">
        <v>11</v>
      </c>
      <c r="C89" s="271" t="s">
        <v>201</v>
      </c>
      <c r="D89" s="280" t="s">
        <v>418</v>
      </c>
      <c r="E89" s="276" t="s">
        <v>57</v>
      </c>
      <c r="G89" s="290"/>
      <c r="I89" s="290">
        <v>1250.43</v>
      </c>
      <c r="J89" s="298">
        <f t="shared" si="44"/>
        <v>251336</v>
      </c>
      <c r="K89" s="316">
        <v>251336</v>
      </c>
      <c r="L89" s="271"/>
      <c r="M89" s="276"/>
      <c r="N89" s="290">
        <f t="shared" si="45"/>
        <v>0</v>
      </c>
      <c r="O89" s="276"/>
      <c r="P89" s="290">
        <f t="shared" si="46"/>
        <v>0</v>
      </c>
      <c r="Q89" s="276"/>
      <c r="R89" s="290"/>
      <c r="S89" s="276"/>
      <c r="T89" s="290"/>
      <c r="U89" s="276">
        <v>0</v>
      </c>
      <c r="V89" s="290">
        <v>0</v>
      </c>
    </row>
    <row r="90" spans="2:22" ht="19.8" customHeight="1" x14ac:dyDescent="0.6">
      <c r="B90" s="268">
        <v>12</v>
      </c>
      <c r="C90" s="272" t="s">
        <v>202</v>
      </c>
      <c r="D90" s="280" t="s">
        <v>419</v>
      </c>
      <c r="E90" s="276" t="s">
        <v>57</v>
      </c>
      <c r="G90" s="290"/>
      <c r="I90" s="290">
        <v>913.86</v>
      </c>
      <c r="J90" s="298">
        <f t="shared" si="44"/>
        <v>11149</v>
      </c>
      <c r="K90" s="316">
        <v>11149</v>
      </c>
      <c r="L90" s="271"/>
      <c r="M90" s="276"/>
      <c r="N90" s="290">
        <f t="shared" si="45"/>
        <v>0</v>
      </c>
      <c r="O90" s="276"/>
      <c r="P90" s="290">
        <f t="shared" si="46"/>
        <v>0</v>
      </c>
      <c r="Q90" s="276"/>
      <c r="R90" s="290"/>
      <c r="S90" s="276"/>
      <c r="T90" s="290"/>
      <c r="U90" s="276">
        <v>0</v>
      </c>
      <c r="V90" s="290">
        <v>0</v>
      </c>
    </row>
    <row r="91" spans="2:22" ht="19.8" customHeight="1" x14ac:dyDescent="0.6">
      <c r="B91" s="268">
        <v>13</v>
      </c>
      <c r="C91" s="272" t="s">
        <v>203</v>
      </c>
      <c r="D91" s="280" t="s">
        <v>420</v>
      </c>
      <c r="E91" s="276" t="s">
        <v>57</v>
      </c>
      <c r="G91" s="290"/>
      <c r="I91" s="290">
        <v>976.61</v>
      </c>
      <c r="J91" s="298">
        <f t="shared" si="44"/>
        <v>11719</v>
      </c>
      <c r="K91" s="316">
        <v>11719</v>
      </c>
      <c r="L91" s="271"/>
      <c r="M91" s="276"/>
      <c r="N91" s="290">
        <f t="shared" si="45"/>
        <v>0</v>
      </c>
      <c r="O91" s="276"/>
      <c r="P91" s="290">
        <f t="shared" si="46"/>
        <v>0</v>
      </c>
      <c r="Q91" s="276"/>
      <c r="R91" s="290"/>
      <c r="S91" s="276"/>
      <c r="T91" s="290"/>
      <c r="U91" s="276">
        <v>0</v>
      </c>
      <c r="V91" s="290">
        <v>0</v>
      </c>
    </row>
    <row r="92" spans="2:22" ht="19.8" customHeight="1" x14ac:dyDescent="0.6">
      <c r="B92" s="268">
        <v>14</v>
      </c>
      <c r="C92" s="271" t="s">
        <v>204</v>
      </c>
      <c r="D92" s="280" t="s">
        <v>421</v>
      </c>
      <c r="E92" s="276" t="s">
        <v>57</v>
      </c>
      <c r="G92" s="290"/>
      <c r="I92" s="290">
        <v>926.41</v>
      </c>
      <c r="J92" s="298">
        <f t="shared" si="44"/>
        <v>18528</v>
      </c>
      <c r="K92" s="316">
        <v>18528</v>
      </c>
      <c r="L92" s="271"/>
      <c r="M92" s="276"/>
      <c r="N92" s="290">
        <f t="shared" si="45"/>
        <v>0</v>
      </c>
      <c r="O92" s="276"/>
      <c r="P92" s="290">
        <f t="shared" si="46"/>
        <v>0</v>
      </c>
      <c r="Q92" s="276"/>
      <c r="R92" s="290"/>
      <c r="S92" s="276"/>
      <c r="T92" s="290"/>
      <c r="U92" s="276">
        <v>0</v>
      </c>
      <c r="V92" s="290">
        <v>0</v>
      </c>
    </row>
    <row r="93" spans="2:22" ht="19.8" customHeight="1" x14ac:dyDescent="0.6">
      <c r="B93" s="268">
        <v>15</v>
      </c>
      <c r="C93" s="271" t="s">
        <v>205</v>
      </c>
      <c r="D93" s="280" t="s">
        <v>331</v>
      </c>
      <c r="E93" s="276" t="s">
        <v>57</v>
      </c>
      <c r="G93" s="290"/>
      <c r="I93" s="290">
        <v>2589.84</v>
      </c>
      <c r="J93" s="298">
        <f t="shared" si="44"/>
        <v>129492</v>
      </c>
      <c r="K93" s="316">
        <v>129492</v>
      </c>
      <c r="L93" s="271"/>
      <c r="M93" s="276"/>
      <c r="N93" s="290">
        <f t="shared" si="45"/>
        <v>0</v>
      </c>
      <c r="O93" s="276"/>
      <c r="P93" s="290">
        <f t="shared" si="46"/>
        <v>0</v>
      </c>
      <c r="Q93" s="276"/>
      <c r="R93" s="290"/>
      <c r="S93" s="276"/>
      <c r="T93" s="290"/>
      <c r="U93" s="276">
        <v>0</v>
      </c>
      <c r="V93" s="290">
        <v>0</v>
      </c>
    </row>
    <row r="94" spans="2:22" ht="19.8" customHeight="1" x14ac:dyDescent="0.6">
      <c r="B94" s="268">
        <v>16</v>
      </c>
      <c r="C94" s="271" t="s">
        <v>206</v>
      </c>
      <c r="D94" s="280" t="s">
        <v>422</v>
      </c>
      <c r="E94" s="276" t="s">
        <v>57</v>
      </c>
      <c r="G94" s="290"/>
      <c r="I94" s="290">
        <v>2179.12</v>
      </c>
      <c r="J94" s="298">
        <f t="shared" si="44"/>
        <v>13074</v>
      </c>
      <c r="K94" s="316">
        <v>13074</v>
      </c>
      <c r="L94" s="271"/>
      <c r="M94" s="276"/>
      <c r="N94" s="290">
        <f t="shared" si="45"/>
        <v>0</v>
      </c>
      <c r="O94" s="276"/>
      <c r="P94" s="290">
        <f t="shared" si="46"/>
        <v>0</v>
      </c>
      <c r="Q94" s="276"/>
      <c r="R94" s="290"/>
      <c r="S94" s="276"/>
      <c r="T94" s="290"/>
      <c r="U94" s="276">
        <v>0</v>
      </c>
      <c r="V94" s="290">
        <v>0</v>
      </c>
    </row>
    <row r="95" spans="2:22" ht="19.8" customHeight="1" x14ac:dyDescent="0.6">
      <c r="B95" s="268">
        <v>17</v>
      </c>
      <c r="C95" s="271" t="s">
        <v>207</v>
      </c>
      <c r="D95" s="280" t="s">
        <v>333</v>
      </c>
      <c r="E95" s="276" t="s">
        <v>214</v>
      </c>
      <c r="G95" s="290"/>
      <c r="I95" s="290">
        <v>50446.03</v>
      </c>
      <c r="J95" s="298">
        <f t="shared" si="44"/>
        <v>252230</v>
      </c>
      <c r="K95" s="316">
        <v>252230</v>
      </c>
      <c r="L95" s="271"/>
      <c r="M95" s="276"/>
      <c r="N95" s="290">
        <f t="shared" si="45"/>
        <v>0</v>
      </c>
      <c r="O95" s="276"/>
      <c r="P95" s="290">
        <f t="shared" si="46"/>
        <v>0</v>
      </c>
      <c r="Q95" s="276"/>
      <c r="R95" s="290"/>
      <c r="S95" s="276"/>
      <c r="T95" s="290"/>
      <c r="U95" s="276">
        <v>0</v>
      </c>
      <c r="V95" s="290">
        <v>0</v>
      </c>
    </row>
    <row r="96" spans="2:22" ht="19.8" customHeight="1" x14ac:dyDescent="0.6">
      <c r="B96" s="268">
        <v>18</v>
      </c>
      <c r="C96" s="271" t="s">
        <v>414</v>
      </c>
      <c r="D96" s="280" t="s">
        <v>410</v>
      </c>
      <c r="E96" s="276" t="s">
        <v>214</v>
      </c>
      <c r="G96" s="290"/>
      <c r="I96" s="290">
        <v>5580.14</v>
      </c>
      <c r="J96" s="298">
        <f t="shared" si="44"/>
        <v>11160</v>
      </c>
      <c r="K96" s="316">
        <v>11160</v>
      </c>
      <c r="L96" s="271"/>
      <c r="M96" s="276"/>
      <c r="N96" s="290">
        <f t="shared" si="45"/>
        <v>0</v>
      </c>
      <c r="O96" s="276"/>
      <c r="P96" s="290">
        <f t="shared" si="46"/>
        <v>0</v>
      </c>
      <c r="Q96" s="276"/>
      <c r="R96" s="290"/>
      <c r="S96" s="276"/>
      <c r="T96" s="290"/>
      <c r="U96" s="276">
        <v>0</v>
      </c>
      <c r="V96" s="290">
        <v>0</v>
      </c>
    </row>
    <row r="97" spans="2:22" ht="19.8" customHeight="1" x14ac:dyDescent="0.6">
      <c r="B97" s="268">
        <v>19</v>
      </c>
      <c r="C97" s="271" t="s">
        <v>415</v>
      </c>
      <c r="D97" s="280" t="s">
        <v>423</v>
      </c>
      <c r="E97" s="276" t="s">
        <v>54</v>
      </c>
      <c r="G97" s="290"/>
      <c r="I97" s="290">
        <v>427.84</v>
      </c>
      <c r="J97" s="298">
        <f t="shared" si="44"/>
        <v>415004</v>
      </c>
      <c r="K97" s="316">
        <v>415004</v>
      </c>
      <c r="L97" s="271"/>
      <c r="M97" s="276"/>
      <c r="N97" s="290">
        <f t="shared" si="45"/>
        <v>0</v>
      </c>
      <c r="O97" s="276"/>
      <c r="P97" s="290">
        <f t="shared" si="46"/>
        <v>0</v>
      </c>
      <c r="Q97" s="276"/>
      <c r="R97" s="290"/>
      <c r="S97" s="276"/>
      <c r="T97" s="290"/>
      <c r="U97" s="276">
        <v>0</v>
      </c>
      <c r="V97" s="290">
        <v>0</v>
      </c>
    </row>
    <row r="98" spans="2:22" ht="19.8" customHeight="1" x14ac:dyDescent="0.6">
      <c r="B98" s="268">
        <v>20</v>
      </c>
      <c r="C98" s="271" t="s">
        <v>416</v>
      </c>
      <c r="D98" s="280" t="s">
        <v>423</v>
      </c>
      <c r="E98" s="276" t="s">
        <v>54</v>
      </c>
      <c r="G98" s="290"/>
      <c r="I98" s="290">
        <v>181.4</v>
      </c>
      <c r="J98" s="298">
        <f t="shared" si="44"/>
        <v>175958</v>
      </c>
      <c r="K98" s="316">
        <v>175958</v>
      </c>
      <c r="L98" s="271"/>
      <c r="M98" s="276"/>
      <c r="N98" s="290">
        <f t="shared" si="45"/>
        <v>0</v>
      </c>
      <c r="O98" s="276"/>
      <c r="P98" s="290">
        <f t="shared" si="46"/>
        <v>0</v>
      </c>
      <c r="Q98" s="276"/>
      <c r="R98" s="290"/>
      <c r="S98" s="276"/>
      <c r="T98" s="290"/>
      <c r="U98" s="276">
        <v>0</v>
      </c>
      <c r="V98" s="290">
        <v>0</v>
      </c>
    </row>
    <row r="99" spans="2:22" ht="19.8" customHeight="1" x14ac:dyDescent="0.6">
      <c r="B99" s="268"/>
      <c r="C99" s="255" t="s">
        <v>417</v>
      </c>
      <c r="D99" s="303"/>
      <c r="E99" s="276"/>
      <c r="G99" s="290"/>
      <c r="I99" s="290"/>
      <c r="J99" s="298"/>
      <c r="K99" s="316"/>
      <c r="L99" s="271"/>
      <c r="M99" s="276"/>
      <c r="N99" s="290"/>
      <c r="O99" s="276"/>
      <c r="P99" s="290"/>
      <c r="Q99" s="276"/>
      <c r="R99" s="290"/>
      <c r="S99" s="276"/>
      <c r="T99" s="290"/>
      <c r="U99" s="276">
        <v>0</v>
      </c>
      <c r="V99" s="290">
        <v>0</v>
      </c>
    </row>
    <row r="100" spans="2:22" ht="19.8" customHeight="1" x14ac:dyDescent="0.6">
      <c r="B100" s="268">
        <v>21</v>
      </c>
      <c r="C100" s="255" t="s">
        <v>210</v>
      </c>
      <c r="D100" s="303" t="s">
        <v>424</v>
      </c>
      <c r="E100" s="276" t="s">
        <v>54</v>
      </c>
      <c r="G100" s="290"/>
      <c r="I100" s="290">
        <v>1240.1600000000001</v>
      </c>
      <c r="J100" s="298">
        <f t="shared" ref="J100:J103" si="47">IF(G100="-","-",IF(D100&gt;0,ROUNDDOWN(I100*D100,0),""))</f>
        <v>16122</v>
      </c>
      <c r="K100" s="316">
        <v>16122</v>
      </c>
      <c r="L100" s="271"/>
      <c r="M100" s="276"/>
      <c r="N100" s="290">
        <f t="shared" ref="N100:N103" si="48">ROUNDDOWN(M100*$I100,0)</f>
        <v>0</v>
      </c>
      <c r="O100" s="276"/>
      <c r="P100" s="290">
        <f t="shared" ref="P100:P103" si="49">ROUNDDOWN(O100*$I100,0)</f>
        <v>0</v>
      </c>
      <c r="Q100" s="276"/>
      <c r="R100" s="290"/>
      <c r="S100" s="276"/>
      <c r="T100" s="290"/>
      <c r="U100" s="276">
        <v>0</v>
      </c>
      <c r="V100" s="290">
        <v>0</v>
      </c>
    </row>
    <row r="101" spans="2:22" ht="19.8" customHeight="1" x14ac:dyDescent="0.6">
      <c r="B101" s="268">
        <v>22</v>
      </c>
      <c r="C101" s="255" t="s">
        <v>211</v>
      </c>
      <c r="D101" s="303" t="s">
        <v>425</v>
      </c>
      <c r="E101" s="276" t="s">
        <v>57</v>
      </c>
      <c r="G101" s="290"/>
      <c r="I101" s="290">
        <v>3032.35</v>
      </c>
      <c r="J101" s="298">
        <f t="shared" si="47"/>
        <v>476078</v>
      </c>
      <c r="K101" s="316">
        <v>476078</v>
      </c>
      <c r="L101" s="271"/>
      <c r="M101" s="276"/>
      <c r="N101" s="290">
        <f t="shared" si="48"/>
        <v>0</v>
      </c>
      <c r="O101" s="276"/>
      <c r="P101" s="290">
        <f t="shared" si="49"/>
        <v>0</v>
      </c>
      <c r="Q101" s="276"/>
      <c r="R101" s="290"/>
      <c r="S101" s="276"/>
      <c r="T101" s="290"/>
      <c r="U101" s="276">
        <v>0</v>
      </c>
      <c r="V101" s="290">
        <v>0</v>
      </c>
    </row>
    <row r="102" spans="2:22" ht="19.8" customHeight="1" x14ac:dyDescent="0.6">
      <c r="B102" s="268">
        <v>23</v>
      </c>
      <c r="C102" s="255" t="s">
        <v>212</v>
      </c>
      <c r="D102" s="303" t="s">
        <v>425</v>
      </c>
      <c r="E102" s="276" t="s">
        <v>57</v>
      </c>
      <c r="G102" s="290"/>
      <c r="I102" s="290">
        <v>3101.93</v>
      </c>
      <c r="J102" s="298">
        <f t="shared" si="47"/>
        <v>487003</v>
      </c>
      <c r="K102" s="316">
        <v>487003</v>
      </c>
      <c r="L102" s="271"/>
      <c r="M102" s="276"/>
      <c r="N102" s="290">
        <f t="shared" si="48"/>
        <v>0</v>
      </c>
      <c r="O102" s="276"/>
      <c r="P102" s="290">
        <f t="shared" si="49"/>
        <v>0</v>
      </c>
      <c r="Q102" s="276"/>
      <c r="R102" s="290"/>
      <c r="S102" s="276"/>
      <c r="T102" s="290"/>
      <c r="U102" s="276">
        <v>0</v>
      </c>
      <c r="V102" s="290">
        <v>0</v>
      </c>
    </row>
    <row r="103" spans="2:22" ht="19.8" customHeight="1" x14ac:dyDescent="0.6">
      <c r="B103" s="268">
        <v>24</v>
      </c>
      <c r="C103" s="255" t="s">
        <v>213</v>
      </c>
      <c r="D103" s="303" t="s">
        <v>426</v>
      </c>
      <c r="E103" s="276" t="s">
        <v>57</v>
      </c>
      <c r="G103" s="290"/>
      <c r="I103" s="290">
        <v>3101.93</v>
      </c>
      <c r="J103" s="298">
        <f t="shared" si="47"/>
        <v>381537</v>
      </c>
      <c r="K103" s="316">
        <v>381537</v>
      </c>
      <c r="L103" s="271"/>
      <c r="M103" s="276"/>
      <c r="N103" s="290">
        <f t="shared" si="48"/>
        <v>0</v>
      </c>
      <c r="O103" s="276"/>
      <c r="P103" s="290">
        <f t="shared" si="49"/>
        <v>0</v>
      </c>
      <c r="Q103" s="276"/>
      <c r="R103" s="290"/>
      <c r="S103" s="276"/>
      <c r="T103" s="290"/>
      <c r="U103" s="276">
        <v>0</v>
      </c>
      <c r="V103" s="290">
        <v>0</v>
      </c>
    </row>
    <row r="104" spans="2:22" ht="19.8" customHeight="1" x14ac:dyDescent="0.6">
      <c r="B104" s="268">
        <v>25</v>
      </c>
      <c r="C104" s="255" t="s">
        <v>38</v>
      </c>
      <c r="D104" s="303"/>
      <c r="E104" s="276"/>
      <c r="G104" s="290"/>
      <c r="I104" s="290"/>
      <c r="J104" s="298"/>
      <c r="K104" s="316"/>
      <c r="L104" s="271"/>
      <c r="M104" s="276"/>
      <c r="N104" s="290"/>
      <c r="O104" s="276"/>
      <c r="P104" s="290"/>
      <c r="Q104" s="276"/>
      <c r="R104" s="290"/>
      <c r="S104" s="276"/>
      <c r="T104" s="290"/>
      <c r="U104" s="276">
        <v>0</v>
      </c>
      <c r="V104" s="290">
        <v>0</v>
      </c>
    </row>
    <row r="105" spans="2:22" ht="19.8" customHeight="1" x14ac:dyDescent="0.6">
      <c r="B105" s="268"/>
      <c r="C105" s="261" t="s">
        <v>427</v>
      </c>
      <c r="D105" s="304" t="s">
        <v>838</v>
      </c>
      <c r="E105" s="276"/>
      <c r="G105" s="290"/>
      <c r="I105" s="290">
        <v>1391.52</v>
      </c>
      <c r="J105" s="298">
        <f t="shared" ref="J105:J107" si="50">IF(G105="-","-",IF(D105&gt;0,ROUNDDOWN(I105*D105,0),""))</f>
        <v>0</v>
      </c>
      <c r="K105" s="316"/>
      <c r="L105" s="271"/>
      <c r="M105" s="276"/>
      <c r="N105" s="290"/>
      <c r="O105" s="276"/>
      <c r="P105" s="290"/>
      <c r="Q105" s="276"/>
      <c r="R105" s="290"/>
      <c r="S105" s="276"/>
      <c r="T105" s="290"/>
      <c r="U105" s="276">
        <v>0</v>
      </c>
      <c r="V105" s="290">
        <v>0</v>
      </c>
    </row>
    <row r="106" spans="2:22" ht="19.8" customHeight="1" x14ac:dyDescent="0.6">
      <c r="B106" s="268"/>
      <c r="C106" s="261" t="s">
        <v>428</v>
      </c>
      <c r="D106" s="303" t="s">
        <v>432</v>
      </c>
      <c r="E106" s="276" t="s">
        <v>54</v>
      </c>
      <c r="G106" s="290"/>
      <c r="I106" s="290">
        <v>2376.02</v>
      </c>
      <c r="J106" s="298">
        <f t="shared" si="50"/>
        <v>427683</v>
      </c>
      <c r="K106" s="316">
        <v>427683</v>
      </c>
      <c r="L106" s="271"/>
      <c r="M106" s="276"/>
      <c r="N106" s="290">
        <f t="shared" ref="N106:N107" si="51">ROUNDDOWN(M106*$I106,0)</f>
        <v>0</v>
      </c>
      <c r="O106" s="276"/>
      <c r="P106" s="290">
        <f t="shared" ref="P106:P107" si="52">ROUNDDOWN(O106*$I106,0)</f>
        <v>0</v>
      </c>
      <c r="Q106" s="276"/>
      <c r="R106" s="290"/>
      <c r="S106" s="276"/>
      <c r="T106" s="290"/>
      <c r="U106" s="276">
        <v>0</v>
      </c>
      <c r="V106" s="290">
        <v>0</v>
      </c>
    </row>
    <row r="107" spans="2:22" ht="19.8" customHeight="1" x14ac:dyDescent="0.6">
      <c r="B107" s="268"/>
      <c r="C107" s="261" t="s">
        <v>429</v>
      </c>
      <c r="D107" s="303" t="s">
        <v>433</v>
      </c>
      <c r="E107" s="276" t="s">
        <v>54</v>
      </c>
      <c r="G107" s="290"/>
      <c r="I107" s="290">
        <v>935.8</v>
      </c>
      <c r="J107" s="298">
        <f t="shared" si="50"/>
        <v>136626</v>
      </c>
      <c r="K107" s="316">
        <v>136626</v>
      </c>
      <c r="L107" s="271"/>
      <c r="M107" s="276"/>
      <c r="N107" s="290">
        <f t="shared" si="51"/>
        <v>0</v>
      </c>
      <c r="O107" s="276"/>
      <c r="P107" s="290">
        <f t="shared" si="52"/>
        <v>0</v>
      </c>
      <c r="Q107" s="276"/>
      <c r="R107" s="290"/>
      <c r="S107" s="276"/>
      <c r="T107" s="290"/>
      <c r="U107" s="276">
        <v>0</v>
      </c>
      <c r="V107" s="290">
        <v>0</v>
      </c>
    </row>
    <row r="108" spans="2:22" ht="19.8" customHeight="1" x14ac:dyDescent="0.6">
      <c r="B108" s="268">
        <v>26</v>
      </c>
      <c r="C108" s="261" t="s">
        <v>53</v>
      </c>
      <c r="D108" s="303"/>
      <c r="E108" s="276"/>
      <c r="G108" s="290"/>
      <c r="I108" s="290"/>
      <c r="J108" s="298"/>
      <c r="K108" s="316"/>
      <c r="L108" s="271"/>
      <c r="M108" s="276"/>
      <c r="N108" s="290"/>
      <c r="O108" s="276"/>
      <c r="P108" s="290"/>
      <c r="Q108" s="276"/>
      <c r="R108" s="290"/>
      <c r="S108" s="276"/>
      <c r="T108" s="290"/>
      <c r="U108" s="276">
        <v>0</v>
      </c>
      <c r="V108" s="290">
        <v>0</v>
      </c>
    </row>
    <row r="109" spans="2:22" ht="19.8" customHeight="1" x14ac:dyDescent="0.6">
      <c r="B109" s="268"/>
      <c r="C109" s="261" t="s">
        <v>316</v>
      </c>
      <c r="D109" s="303" t="s">
        <v>824</v>
      </c>
      <c r="E109" s="276" t="s">
        <v>54</v>
      </c>
      <c r="G109" s="290"/>
      <c r="I109" s="290">
        <v>981.02</v>
      </c>
      <c r="J109" s="298">
        <f t="shared" ref="J109:J111" si="53">IF(G109="-","-",IF(D109&gt;0,ROUNDDOWN(I109*D109,0),""))</f>
        <v>127532</v>
      </c>
      <c r="K109" s="316">
        <v>127532</v>
      </c>
      <c r="L109" s="271"/>
      <c r="M109" s="276"/>
      <c r="N109" s="290">
        <f t="shared" ref="N109:N111" si="54">ROUNDDOWN(M109*$I109,0)</f>
        <v>0</v>
      </c>
      <c r="O109" s="276"/>
      <c r="P109" s="290">
        <f t="shared" ref="P109:P111" si="55">ROUNDDOWN(O109*$I109,0)</f>
        <v>0</v>
      </c>
      <c r="Q109" s="276"/>
      <c r="R109" s="290"/>
      <c r="S109" s="276"/>
      <c r="T109" s="290"/>
      <c r="U109" s="276">
        <v>0</v>
      </c>
      <c r="V109" s="290">
        <v>0</v>
      </c>
    </row>
    <row r="110" spans="2:22" ht="19.8" customHeight="1" x14ac:dyDescent="0.6">
      <c r="B110" s="268"/>
      <c r="C110" s="261" t="s">
        <v>317</v>
      </c>
      <c r="D110" s="303" t="s">
        <v>331</v>
      </c>
      <c r="E110" s="276" t="s">
        <v>54</v>
      </c>
      <c r="G110" s="290"/>
      <c r="I110" s="290">
        <v>2516.33</v>
      </c>
      <c r="J110" s="298">
        <f t="shared" si="53"/>
        <v>125816</v>
      </c>
      <c r="K110" s="316">
        <v>125816</v>
      </c>
      <c r="L110" s="271"/>
      <c r="M110" s="276"/>
      <c r="N110" s="290">
        <f t="shared" si="54"/>
        <v>0</v>
      </c>
      <c r="O110" s="276"/>
      <c r="P110" s="290">
        <f t="shared" si="55"/>
        <v>0</v>
      </c>
      <c r="Q110" s="276"/>
      <c r="R110" s="290"/>
      <c r="S110" s="276"/>
      <c r="T110" s="290"/>
      <c r="U110" s="276">
        <v>0</v>
      </c>
      <c r="V110" s="290">
        <v>0</v>
      </c>
    </row>
    <row r="111" spans="2:22" ht="19.8" customHeight="1" x14ac:dyDescent="0.6">
      <c r="B111" s="268">
        <v>27</v>
      </c>
      <c r="C111" s="255" t="s">
        <v>215</v>
      </c>
      <c r="D111" s="303" t="s">
        <v>434</v>
      </c>
      <c r="E111" s="276" t="s">
        <v>55</v>
      </c>
      <c r="G111" s="290"/>
      <c r="I111" s="290">
        <v>330.94</v>
      </c>
      <c r="J111" s="298">
        <f t="shared" si="53"/>
        <v>69828</v>
      </c>
      <c r="K111" s="316">
        <v>69828</v>
      </c>
      <c r="L111" s="271"/>
      <c r="M111" s="276"/>
      <c r="N111" s="290">
        <f t="shared" si="54"/>
        <v>0</v>
      </c>
      <c r="O111" s="276"/>
      <c r="P111" s="290">
        <f t="shared" si="55"/>
        <v>0</v>
      </c>
      <c r="Q111" s="276"/>
      <c r="R111" s="290"/>
      <c r="S111" s="276"/>
      <c r="T111" s="290"/>
      <c r="U111" s="276">
        <v>0</v>
      </c>
      <c r="V111" s="290">
        <v>0</v>
      </c>
    </row>
    <row r="112" spans="2:22" ht="19.8" customHeight="1" x14ac:dyDescent="0.6">
      <c r="B112" s="268">
        <v>28</v>
      </c>
      <c r="C112" s="255" t="s">
        <v>56</v>
      </c>
      <c r="D112" s="303"/>
      <c r="E112" s="276"/>
      <c r="G112" s="290"/>
      <c r="I112" s="290"/>
      <c r="J112" s="298"/>
      <c r="K112" s="316"/>
      <c r="L112" s="271"/>
      <c r="M112" s="276"/>
      <c r="N112" s="290"/>
      <c r="O112" s="276"/>
      <c r="P112" s="290"/>
      <c r="Q112" s="276"/>
      <c r="R112" s="290"/>
      <c r="S112" s="276"/>
      <c r="T112" s="290"/>
      <c r="U112" s="276">
        <v>0</v>
      </c>
      <c r="V112" s="290">
        <v>0</v>
      </c>
    </row>
    <row r="113" spans="2:22" ht="19.8" customHeight="1" x14ac:dyDescent="0.6">
      <c r="B113" s="268"/>
      <c r="C113" s="261" t="s">
        <v>397</v>
      </c>
      <c r="D113" s="303" t="s">
        <v>435</v>
      </c>
      <c r="E113" s="276" t="s">
        <v>57</v>
      </c>
      <c r="G113" s="290"/>
      <c r="I113" s="290">
        <v>802.05</v>
      </c>
      <c r="J113" s="298">
        <f t="shared" ref="J113:J114" si="56">IF(G113="-","-",IF(D113&gt;0,ROUNDDOWN(I113*D113,0),""))</f>
        <v>125119</v>
      </c>
      <c r="K113" s="316">
        <v>125119</v>
      </c>
      <c r="L113" s="271"/>
      <c r="M113" s="276"/>
      <c r="N113" s="290">
        <f t="shared" ref="N113:N114" si="57">ROUNDDOWN(M113*$I113,0)</f>
        <v>0</v>
      </c>
      <c r="O113" s="276"/>
      <c r="P113" s="290">
        <f t="shared" ref="P113:P114" si="58">ROUNDDOWN(O113*$I113,0)</f>
        <v>0</v>
      </c>
      <c r="Q113" s="276"/>
      <c r="R113" s="290"/>
      <c r="S113" s="276"/>
      <c r="T113" s="290"/>
      <c r="U113" s="276">
        <v>0</v>
      </c>
      <c r="V113" s="290">
        <v>0</v>
      </c>
    </row>
    <row r="114" spans="2:22" ht="19.8" customHeight="1" x14ac:dyDescent="0.6">
      <c r="B114" s="268"/>
      <c r="C114" s="261" t="s">
        <v>430</v>
      </c>
      <c r="D114" s="303" t="s">
        <v>343</v>
      </c>
      <c r="E114" s="276" t="s">
        <v>58</v>
      </c>
      <c r="G114" s="290"/>
      <c r="I114" s="290">
        <v>4438.1000000000004</v>
      </c>
      <c r="J114" s="298">
        <f t="shared" si="56"/>
        <v>35504</v>
      </c>
      <c r="K114" s="316">
        <v>35504</v>
      </c>
      <c r="L114" s="271"/>
      <c r="M114" s="276"/>
      <c r="N114" s="290">
        <f t="shared" si="57"/>
        <v>0</v>
      </c>
      <c r="O114" s="276"/>
      <c r="P114" s="290">
        <f t="shared" si="58"/>
        <v>0</v>
      </c>
      <c r="Q114" s="276"/>
      <c r="R114" s="290"/>
      <c r="S114" s="276"/>
      <c r="T114" s="290"/>
      <c r="U114" s="276">
        <v>0</v>
      </c>
      <c r="V114" s="290">
        <v>0</v>
      </c>
    </row>
    <row r="115" spans="2:22" ht="19.8" customHeight="1" x14ac:dyDescent="0.6">
      <c r="B115" s="268">
        <v>29</v>
      </c>
      <c r="C115" s="255" t="s">
        <v>431</v>
      </c>
      <c r="D115" s="303"/>
      <c r="E115" s="276"/>
      <c r="G115" s="290"/>
      <c r="I115" s="290"/>
      <c r="J115" s="298"/>
      <c r="K115" s="316"/>
      <c r="L115" s="271"/>
      <c r="M115" s="276"/>
      <c r="N115" s="290"/>
      <c r="O115" s="276"/>
      <c r="P115" s="290"/>
      <c r="Q115" s="276"/>
      <c r="R115" s="290"/>
      <c r="S115" s="276"/>
      <c r="T115" s="290"/>
      <c r="U115" s="276">
        <v>0</v>
      </c>
      <c r="V115" s="290">
        <v>0</v>
      </c>
    </row>
    <row r="116" spans="2:22" ht="19.8" customHeight="1" x14ac:dyDescent="0.6">
      <c r="B116" s="268">
        <v>30</v>
      </c>
      <c r="C116" s="255" t="s">
        <v>320</v>
      </c>
      <c r="D116" s="303" t="s">
        <v>436</v>
      </c>
      <c r="E116" s="276" t="s">
        <v>61</v>
      </c>
      <c r="G116" s="290"/>
      <c r="I116" s="290">
        <v>11900.73</v>
      </c>
      <c r="J116" s="298">
        <f t="shared" ref="J116" si="59">IF(G116="-","-",IF(D116&gt;0,ROUNDDOWN(I116*D116,0),""))</f>
        <v>3189395</v>
      </c>
      <c r="K116" s="316">
        <v>3189395</v>
      </c>
      <c r="L116" s="271"/>
      <c r="M116" s="276"/>
      <c r="N116" s="290">
        <f t="shared" ref="N116" si="60">ROUNDDOWN(M116*$I116,0)</f>
        <v>0</v>
      </c>
      <c r="O116" s="276"/>
      <c r="P116" s="290">
        <f t="shared" ref="P116" si="61">ROUNDDOWN(O116*$I116,0)</f>
        <v>0</v>
      </c>
      <c r="Q116" s="276">
        <v>150</v>
      </c>
      <c r="R116" s="290">
        <v>1240000</v>
      </c>
      <c r="S116" s="276"/>
      <c r="T116" s="290"/>
      <c r="U116" s="276">
        <v>150</v>
      </c>
      <c r="V116" s="290">
        <v>2750000</v>
      </c>
    </row>
    <row r="117" spans="2:22" ht="19.8" customHeight="1" x14ac:dyDescent="0.6">
      <c r="B117" s="268"/>
      <c r="C117" s="255" t="s">
        <v>52</v>
      </c>
      <c r="D117" s="303"/>
      <c r="E117" s="276"/>
      <c r="G117" s="290"/>
      <c r="I117" s="290"/>
      <c r="J117" s="298"/>
      <c r="K117" s="316"/>
      <c r="L117" s="271"/>
      <c r="M117" s="276"/>
      <c r="N117" s="290"/>
      <c r="O117" s="276"/>
      <c r="P117" s="290"/>
      <c r="Q117" s="276"/>
      <c r="R117" s="290"/>
      <c r="S117" s="276"/>
      <c r="T117" s="290"/>
      <c r="U117" s="276">
        <v>0</v>
      </c>
      <c r="V117" s="290">
        <v>0</v>
      </c>
    </row>
    <row r="118" spans="2:22" ht="19.8" customHeight="1" x14ac:dyDescent="0.6">
      <c r="B118" s="268">
        <v>31</v>
      </c>
      <c r="C118" s="255" t="s">
        <v>321</v>
      </c>
      <c r="D118" s="303" t="s">
        <v>345</v>
      </c>
      <c r="E118" s="276" t="s">
        <v>61</v>
      </c>
      <c r="G118" s="290"/>
      <c r="I118" s="290">
        <v>12095.79</v>
      </c>
      <c r="J118" s="298">
        <f t="shared" ref="J118" si="62">IF(G118="-","-",IF(D118&gt;0,ROUNDDOWN(I118*D118,0),""))</f>
        <v>181436</v>
      </c>
      <c r="K118" s="316">
        <v>181436</v>
      </c>
      <c r="L118" s="271"/>
      <c r="M118" s="276"/>
      <c r="N118" s="290">
        <f t="shared" ref="N118" si="63">ROUNDDOWN(M118*$I118,0)</f>
        <v>0</v>
      </c>
      <c r="O118" s="276"/>
      <c r="P118" s="290">
        <f t="shared" ref="P118" si="64">ROUNDDOWN(O118*$I118,0)</f>
        <v>0</v>
      </c>
      <c r="Q118" s="276"/>
      <c r="R118" s="290"/>
      <c r="S118" s="276"/>
      <c r="T118" s="290"/>
      <c r="U118" s="276">
        <v>0</v>
      </c>
      <c r="V118" s="290">
        <v>0</v>
      </c>
    </row>
    <row r="119" spans="2:22" ht="19.8" customHeight="1" x14ac:dyDescent="0.6">
      <c r="B119" s="268"/>
      <c r="C119" s="255" t="s">
        <v>52</v>
      </c>
      <c r="D119" s="303"/>
      <c r="E119" s="276"/>
      <c r="G119" s="290"/>
      <c r="I119" s="290"/>
      <c r="J119" s="298"/>
      <c r="K119" s="316"/>
      <c r="L119" s="271"/>
      <c r="M119" s="276"/>
      <c r="N119" s="290"/>
      <c r="O119" s="276"/>
      <c r="P119" s="290"/>
      <c r="Q119" s="276"/>
      <c r="R119" s="290"/>
      <c r="S119" s="276"/>
      <c r="T119" s="290"/>
      <c r="U119" s="276">
        <v>0</v>
      </c>
      <c r="V119" s="290">
        <v>0</v>
      </c>
    </row>
    <row r="120" spans="2:22" ht="19.8" customHeight="1" x14ac:dyDescent="0.6">
      <c r="B120" s="268"/>
      <c r="D120" s="303"/>
      <c r="E120" s="276"/>
      <c r="G120" s="290"/>
      <c r="I120" s="290"/>
      <c r="J120" s="298"/>
      <c r="K120" s="316"/>
      <c r="L120" s="271"/>
      <c r="M120" s="276"/>
      <c r="N120" s="290"/>
      <c r="O120" s="276"/>
      <c r="P120" s="290"/>
      <c r="Q120" s="276"/>
      <c r="R120" s="290"/>
      <c r="S120" s="276"/>
      <c r="T120" s="290"/>
      <c r="U120" s="276">
        <v>0</v>
      </c>
      <c r="V120" s="290">
        <v>0</v>
      </c>
    </row>
    <row r="121" spans="2:22" ht="19.8" customHeight="1" x14ac:dyDescent="0.6">
      <c r="B121" s="826" t="s">
        <v>437</v>
      </c>
      <c r="C121" s="827"/>
      <c r="D121" s="294" t="s">
        <v>413</v>
      </c>
      <c r="E121" s="257" t="s">
        <v>57</v>
      </c>
      <c r="F121" s="296"/>
      <c r="G121" s="293"/>
      <c r="H121" s="297"/>
      <c r="I121" s="293"/>
      <c r="J121" s="299">
        <f>SUM(J81:J118)</f>
        <v>9641975</v>
      </c>
      <c r="K121" s="319">
        <f>SUM(K78:K120)</f>
        <v>9641975</v>
      </c>
      <c r="L121" s="301"/>
      <c r="M121" s="257"/>
      <c r="N121" s="293">
        <f>SUM(N78:N120)</f>
        <v>17394</v>
      </c>
      <c r="O121" s="257"/>
      <c r="P121" s="293">
        <f>SUM(P78:P120)</f>
        <v>0</v>
      </c>
      <c r="Q121" s="257"/>
      <c r="R121" s="293">
        <v>1240000</v>
      </c>
      <c r="S121" s="257"/>
      <c r="T121" s="293">
        <v>1240000</v>
      </c>
      <c r="U121" s="257">
        <v>0</v>
      </c>
      <c r="V121" s="293">
        <v>2767394</v>
      </c>
    </row>
    <row r="122" spans="2:22" ht="19.8" customHeight="1" x14ac:dyDescent="0.6">
      <c r="B122" s="306">
        <v>1.4</v>
      </c>
      <c r="C122" s="255" t="s">
        <v>60</v>
      </c>
      <c r="D122" s="303"/>
      <c r="E122" s="276"/>
      <c r="G122" s="290"/>
      <c r="I122" s="290"/>
      <c r="J122" s="298"/>
      <c r="K122" s="316"/>
      <c r="L122" s="271"/>
      <c r="M122" s="276"/>
      <c r="N122" s="290"/>
      <c r="O122" s="276"/>
      <c r="P122" s="290"/>
      <c r="Q122" s="276"/>
      <c r="R122" s="290"/>
      <c r="S122" s="276"/>
      <c r="T122" s="290"/>
      <c r="U122" s="276">
        <v>0</v>
      </c>
      <c r="V122" s="290">
        <v>0</v>
      </c>
    </row>
    <row r="123" spans="2:22" ht="19.8" customHeight="1" x14ac:dyDescent="0.6">
      <c r="B123" s="268"/>
      <c r="C123" s="255" t="s">
        <v>438</v>
      </c>
      <c r="D123" s="303"/>
      <c r="E123" s="276"/>
      <c r="G123" s="290"/>
      <c r="I123" s="290"/>
      <c r="J123" s="298"/>
      <c r="K123" s="316"/>
      <c r="L123" s="271"/>
      <c r="M123" s="276"/>
      <c r="N123" s="290"/>
      <c r="O123" s="276"/>
      <c r="P123" s="290"/>
      <c r="Q123" s="276"/>
      <c r="R123" s="290"/>
      <c r="S123" s="276"/>
      <c r="T123" s="290"/>
      <c r="U123" s="276">
        <v>0</v>
      </c>
      <c r="V123" s="290">
        <v>0</v>
      </c>
    </row>
    <row r="124" spans="2:22" ht="19.8" customHeight="1" x14ac:dyDescent="0.6">
      <c r="B124" s="268"/>
      <c r="C124" s="255" t="s">
        <v>439</v>
      </c>
      <c r="D124" s="303"/>
      <c r="E124" s="276"/>
      <c r="G124" s="290"/>
      <c r="I124" s="290"/>
      <c r="J124" s="298"/>
      <c r="K124" s="316"/>
      <c r="L124" s="271"/>
      <c r="M124" s="276"/>
      <c r="N124" s="290"/>
      <c r="O124" s="276"/>
      <c r="P124" s="290"/>
      <c r="Q124" s="276"/>
      <c r="R124" s="290"/>
      <c r="S124" s="276"/>
      <c r="T124" s="290"/>
      <c r="U124" s="276">
        <v>0</v>
      </c>
      <c r="V124" s="290">
        <v>0</v>
      </c>
    </row>
    <row r="125" spans="2:22" ht="19.8" customHeight="1" x14ac:dyDescent="0.6">
      <c r="B125" s="268">
        <v>1</v>
      </c>
      <c r="C125" s="255" t="s">
        <v>194</v>
      </c>
      <c r="D125" s="303" t="s">
        <v>389</v>
      </c>
      <c r="E125" s="276" t="s">
        <v>78</v>
      </c>
      <c r="G125" s="290"/>
      <c r="I125" s="290">
        <v>17394</v>
      </c>
      <c r="J125" s="298">
        <f t="shared" ref="J125:J134" si="65">IF(G125="-","-",IF(D125&gt;0,ROUNDDOWN(I125*D125,0),""))</f>
        <v>17394</v>
      </c>
      <c r="K125" s="316">
        <v>17394</v>
      </c>
      <c r="L125" s="271"/>
      <c r="M125" s="276">
        <v>1</v>
      </c>
      <c r="N125" s="290">
        <f t="shared" ref="N125:N134" si="66">ROUNDDOWN(M125*$I125,0)</f>
        <v>17394</v>
      </c>
      <c r="O125" s="276"/>
      <c r="P125" s="290">
        <f t="shared" ref="P125:P134" si="67">ROUNDDOWN(O125*$I125,0)</f>
        <v>0</v>
      </c>
      <c r="Q125" s="276"/>
      <c r="R125" s="290"/>
      <c r="S125" s="276"/>
      <c r="T125" s="290"/>
      <c r="U125" s="276">
        <v>1</v>
      </c>
      <c r="V125" s="290">
        <v>17394</v>
      </c>
    </row>
    <row r="126" spans="2:22" ht="19.8" customHeight="1" x14ac:dyDescent="0.6">
      <c r="B126" s="268">
        <v>2</v>
      </c>
      <c r="C126" s="255" t="s">
        <v>195</v>
      </c>
      <c r="D126" s="303" t="s">
        <v>443</v>
      </c>
      <c r="E126" s="276" t="s">
        <v>55</v>
      </c>
      <c r="G126" s="290"/>
      <c r="I126" s="290">
        <v>38.44</v>
      </c>
      <c r="J126" s="298">
        <f t="shared" si="65"/>
        <v>48434</v>
      </c>
      <c r="K126" s="316">
        <v>48434</v>
      </c>
      <c r="L126" s="271"/>
      <c r="M126" s="276"/>
      <c r="N126" s="290">
        <f t="shared" si="66"/>
        <v>0</v>
      </c>
      <c r="O126" s="276"/>
      <c r="P126" s="290">
        <f t="shared" si="67"/>
        <v>0</v>
      </c>
      <c r="Q126" s="276"/>
      <c r="R126" s="290"/>
      <c r="S126" s="276"/>
      <c r="T126" s="290"/>
      <c r="U126" s="276">
        <v>0</v>
      </c>
      <c r="V126" s="290">
        <v>0</v>
      </c>
    </row>
    <row r="127" spans="2:22" ht="19.8" customHeight="1" x14ac:dyDescent="0.6">
      <c r="B127" s="268">
        <v>5</v>
      </c>
      <c r="C127" s="255" t="s">
        <v>196</v>
      </c>
      <c r="D127" s="303" t="s">
        <v>389</v>
      </c>
      <c r="E127" s="276" t="s">
        <v>61</v>
      </c>
      <c r="G127" s="290"/>
      <c r="I127" s="290">
        <v>811.72</v>
      </c>
      <c r="J127" s="298">
        <f t="shared" si="65"/>
        <v>811</v>
      </c>
      <c r="K127" s="316">
        <v>811</v>
      </c>
      <c r="L127" s="271"/>
      <c r="M127" s="276"/>
      <c r="N127" s="290">
        <f t="shared" si="66"/>
        <v>0</v>
      </c>
      <c r="O127" s="276"/>
      <c r="P127" s="290">
        <f t="shared" si="67"/>
        <v>0</v>
      </c>
      <c r="Q127" s="276"/>
      <c r="R127" s="290"/>
      <c r="S127" s="276"/>
      <c r="T127" s="290"/>
      <c r="U127" s="276">
        <v>0</v>
      </c>
      <c r="V127" s="290">
        <v>0</v>
      </c>
    </row>
    <row r="128" spans="2:22" ht="19.8" customHeight="1" x14ac:dyDescent="0.6">
      <c r="B128" s="268">
        <v>6</v>
      </c>
      <c r="C128" s="255" t="s">
        <v>440</v>
      </c>
      <c r="D128" s="303" t="s">
        <v>444</v>
      </c>
      <c r="E128" s="276" t="s">
        <v>62</v>
      </c>
      <c r="G128" s="290"/>
      <c r="I128" s="290">
        <v>721.05</v>
      </c>
      <c r="J128" s="298">
        <f t="shared" si="65"/>
        <v>140604</v>
      </c>
      <c r="K128" s="316">
        <v>140604</v>
      </c>
      <c r="L128" s="271"/>
      <c r="M128" s="276"/>
      <c r="N128" s="290">
        <f t="shared" si="66"/>
        <v>0</v>
      </c>
      <c r="O128" s="276"/>
      <c r="P128" s="290">
        <f t="shared" si="67"/>
        <v>0</v>
      </c>
      <c r="Q128" s="276"/>
      <c r="R128" s="290"/>
      <c r="S128" s="276"/>
      <c r="T128" s="290"/>
      <c r="U128" s="276">
        <v>0</v>
      </c>
      <c r="V128" s="290">
        <v>0</v>
      </c>
    </row>
    <row r="129" spans="2:22" ht="19.8" customHeight="1" x14ac:dyDescent="0.6">
      <c r="B129" s="268">
        <v>7</v>
      </c>
      <c r="C129" s="255" t="s">
        <v>387</v>
      </c>
      <c r="D129" s="303" t="s">
        <v>445</v>
      </c>
      <c r="E129" s="276" t="s">
        <v>55</v>
      </c>
      <c r="G129" s="290"/>
      <c r="I129" s="290">
        <v>865.06</v>
      </c>
      <c r="J129" s="298">
        <f t="shared" si="65"/>
        <v>277684</v>
      </c>
      <c r="K129" s="316">
        <v>277684</v>
      </c>
      <c r="L129" s="271"/>
      <c r="M129" s="276"/>
      <c r="N129" s="290">
        <f t="shared" si="66"/>
        <v>0</v>
      </c>
      <c r="O129" s="276"/>
      <c r="P129" s="290">
        <f t="shared" si="67"/>
        <v>0</v>
      </c>
      <c r="Q129" s="276"/>
      <c r="R129" s="290"/>
      <c r="S129" s="276"/>
      <c r="T129" s="290"/>
      <c r="U129" s="276">
        <v>0</v>
      </c>
      <c r="V129" s="290">
        <v>0</v>
      </c>
    </row>
    <row r="130" spans="2:22" ht="19.8" customHeight="1" x14ac:dyDescent="0.6">
      <c r="B130" s="268">
        <v>8</v>
      </c>
      <c r="C130" s="255" t="s">
        <v>197</v>
      </c>
      <c r="D130" s="303" t="s">
        <v>446</v>
      </c>
      <c r="E130" s="276" t="s">
        <v>54</v>
      </c>
      <c r="G130" s="290"/>
      <c r="I130" s="290">
        <v>104.6</v>
      </c>
      <c r="J130" s="298">
        <f t="shared" si="65"/>
        <v>31798</v>
      </c>
      <c r="K130" s="316">
        <v>31798</v>
      </c>
      <c r="L130" s="271"/>
      <c r="M130" s="276"/>
      <c r="N130" s="290">
        <f t="shared" si="66"/>
        <v>0</v>
      </c>
      <c r="O130" s="276"/>
      <c r="P130" s="290">
        <f t="shared" si="67"/>
        <v>0</v>
      </c>
      <c r="Q130" s="276"/>
      <c r="R130" s="290"/>
      <c r="S130" s="276"/>
      <c r="T130" s="290"/>
      <c r="U130" s="276">
        <v>0</v>
      </c>
      <c r="V130" s="290">
        <v>0</v>
      </c>
    </row>
    <row r="131" spans="2:22" ht="19.8" customHeight="1" x14ac:dyDescent="0.6">
      <c r="B131" s="268">
        <v>9</v>
      </c>
      <c r="C131" s="255" t="s">
        <v>215</v>
      </c>
      <c r="D131" s="303" t="s">
        <v>447</v>
      </c>
      <c r="E131" s="276" t="s">
        <v>55</v>
      </c>
      <c r="G131" s="290"/>
      <c r="I131" s="290">
        <v>330.94</v>
      </c>
      <c r="J131" s="298">
        <f t="shared" si="65"/>
        <v>147930</v>
      </c>
      <c r="K131" s="316">
        <v>147930</v>
      </c>
      <c r="L131" s="271"/>
      <c r="M131" s="276"/>
      <c r="N131" s="290">
        <f t="shared" si="66"/>
        <v>0</v>
      </c>
      <c r="O131" s="276"/>
      <c r="P131" s="290">
        <f t="shared" si="67"/>
        <v>0</v>
      </c>
      <c r="Q131" s="276"/>
      <c r="R131" s="290"/>
      <c r="S131" s="276"/>
      <c r="T131" s="290"/>
      <c r="U131" s="276">
        <v>0</v>
      </c>
      <c r="V131" s="290">
        <v>0</v>
      </c>
    </row>
    <row r="132" spans="2:22" ht="19.8" customHeight="1" x14ac:dyDescent="0.6">
      <c r="B132" s="268">
        <v>10</v>
      </c>
      <c r="C132" s="255" t="s">
        <v>448</v>
      </c>
      <c r="D132" s="303" t="s">
        <v>449</v>
      </c>
      <c r="E132" s="276" t="s">
        <v>57</v>
      </c>
      <c r="G132" s="290"/>
      <c r="I132" s="290">
        <v>4950.37</v>
      </c>
      <c r="J132" s="298">
        <f t="shared" si="65"/>
        <v>311873</v>
      </c>
      <c r="K132" s="316">
        <v>311873</v>
      </c>
      <c r="L132" s="271"/>
      <c r="M132" s="276"/>
      <c r="N132" s="290">
        <f t="shared" si="66"/>
        <v>0</v>
      </c>
      <c r="O132" s="276"/>
      <c r="P132" s="290">
        <f t="shared" si="67"/>
        <v>0</v>
      </c>
      <c r="Q132" s="276"/>
      <c r="R132" s="290"/>
      <c r="S132" s="276"/>
      <c r="T132" s="290"/>
      <c r="U132" s="276">
        <v>0</v>
      </c>
      <c r="V132" s="290">
        <v>0</v>
      </c>
    </row>
    <row r="133" spans="2:22" ht="19.8" customHeight="1" x14ac:dyDescent="0.6">
      <c r="B133" s="268">
        <v>11</v>
      </c>
      <c r="C133" s="255" t="s">
        <v>450</v>
      </c>
      <c r="D133" s="303" t="s">
        <v>451</v>
      </c>
      <c r="E133" s="276" t="s">
        <v>57</v>
      </c>
      <c r="G133" s="290"/>
      <c r="I133" s="290">
        <v>3308.61</v>
      </c>
      <c r="J133" s="298">
        <f t="shared" si="65"/>
        <v>5790</v>
      </c>
      <c r="K133" s="316">
        <v>5790</v>
      </c>
      <c r="L133" s="271"/>
      <c r="M133" s="276"/>
      <c r="N133" s="290">
        <f t="shared" si="66"/>
        <v>0</v>
      </c>
      <c r="O133" s="276"/>
      <c r="P133" s="290">
        <f t="shared" si="67"/>
        <v>0</v>
      </c>
      <c r="Q133" s="276"/>
      <c r="R133" s="290"/>
      <c r="S133" s="276"/>
      <c r="T133" s="290"/>
      <c r="U133" s="276">
        <v>0</v>
      </c>
      <c r="V133" s="290">
        <v>0</v>
      </c>
    </row>
    <row r="134" spans="2:22" ht="19.8" customHeight="1" x14ac:dyDescent="0.6">
      <c r="B134" s="268">
        <v>12</v>
      </c>
      <c r="C134" s="255" t="s">
        <v>212</v>
      </c>
      <c r="D134" s="303" t="s">
        <v>452</v>
      </c>
      <c r="E134" s="276" t="s">
        <v>57</v>
      </c>
      <c r="G134" s="290"/>
      <c r="I134" s="290">
        <v>3101.93</v>
      </c>
      <c r="J134" s="298">
        <f t="shared" si="65"/>
        <v>200849</v>
      </c>
      <c r="K134" s="316">
        <v>200849</v>
      </c>
      <c r="L134" s="271"/>
      <c r="M134" s="276"/>
      <c r="N134" s="290">
        <f t="shared" si="66"/>
        <v>0</v>
      </c>
      <c r="O134" s="276"/>
      <c r="P134" s="290">
        <f t="shared" si="67"/>
        <v>0</v>
      </c>
      <c r="Q134" s="276"/>
      <c r="R134" s="290"/>
      <c r="S134" s="276"/>
      <c r="T134" s="290"/>
      <c r="U134" s="276">
        <v>0</v>
      </c>
      <c r="V134" s="290">
        <v>0</v>
      </c>
    </row>
    <row r="135" spans="2:22" ht="19.8" customHeight="1" x14ac:dyDescent="0.6">
      <c r="B135" s="268">
        <v>13</v>
      </c>
      <c r="C135" s="255" t="s">
        <v>56</v>
      </c>
      <c r="D135" s="303"/>
      <c r="E135" s="276"/>
      <c r="G135" s="290"/>
      <c r="I135" s="290"/>
      <c r="J135" s="298"/>
      <c r="K135" s="316"/>
      <c r="L135" s="271"/>
      <c r="M135" s="276"/>
      <c r="N135" s="290"/>
      <c r="O135" s="276"/>
      <c r="P135" s="290"/>
      <c r="Q135" s="276"/>
      <c r="R135" s="290"/>
      <c r="S135" s="276"/>
      <c r="T135" s="290"/>
      <c r="U135" s="276">
        <v>0</v>
      </c>
      <c r="V135" s="290">
        <v>0</v>
      </c>
    </row>
    <row r="136" spans="2:22" ht="19.8" customHeight="1" x14ac:dyDescent="0.6">
      <c r="B136" s="268"/>
      <c r="C136" s="261" t="s">
        <v>397</v>
      </c>
      <c r="D136" s="303" t="s">
        <v>454</v>
      </c>
      <c r="E136" s="276" t="s">
        <v>57</v>
      </c>
      <c r="G136" s="290"/>
      <c r="I136" s="290">
        <v>802.05</v>
      </c>
      <c r="J136" s="298">
        <f t="shared" ref="J136:J137" si="68">IF(G136="-","-",IF(D136&gt;0,ROUNDDOWN(I136*D136,0),""))</f>
        <v>48123</v>
      </c>
      <c r="K136" s="316">
        <v>48123</v>
      </c>
      <c r="L136" s="271"/>
      <c r="M136" s="276"/>
      <c r="N136" s="290">
        <f t="shared" ref="N136:N137" si="69">ROUNDDOWN(M136*$I136,0)</f>
        <v>0</v>
      </c>
      <c r="O136" s="276"/>
      <c r="P136" s="290">
        <f t="shared" ref="P136:P137" si="70">ROUNDDOWN(O136*$I136,0)</f>
        <v>0</v>
      </c>
      <c r="Q136" s="276"/>
      <c r="R136" s="290"/>
      <c r="S136" s="276"/>
      <c r="T136" s="290"/>
      <c r="U136" s="276">
        <v>0</v>
      </c>
      <c r="V136" s="290">
        <v>0</v>
      </c>
    </row>
    <row r="137" spans="2:22" ht="19.8" customHeight="1" x14ac:dyDescent="0.6">
      <c r="B137" s="268"/>
      <c r="C137" s="261" t="s">
        <v>430</v>
      </c>
      <c r="D137" s="303" t="s">
        <v>323</v>
      </c>
      <c r="E137" s="276" t="s">
        <v>58</v>
      </c>
      <c r="G137" s="290"/>
      <c r="I137" s="290">
        <v>4438.1000000000004</v>
      </c>
      <c r="J137" s="298">
        <f t="shared" si="68"/>
        <v>13314</v>
      </c>
      <c r="K137" s="316">
        <v>13314</v>
      </c>
      <c r="L137" s="271"/>
      <c r="M137" s="276"/>
      <c r="N137" s="290">
        <f t="shared" si="69"/>
        <v>0</v>
      </c>
      <c r="O137" s="276"/>
      <c r="P137" s="290">
        <f t="shared" si="70"/>
        <v>0</v>
      </c>
      <c r="Q137" s="276"/>
      <c r="R137" s="290"/>
      <c r="S137" s="276"/>
      <c r="T137" s="290"/>
      <c r="U137" s="276">
        <v>0</v>
      </c>
      <c r="V137" s="290">
        <v>0</v>
      </c>
    </row>
    <row r="138" spans="2:22" ht="19.8" customHeight="1" x14ac:dyDescent="0.6">
      <c r="B138" s="268">
        <v>14</v>
      </c>
      <c r="C138" s="255" t="s">
        <v>431</v>
      </c>
      <c r="D138" s="303"/>
      <c r="E138" s="276"/>
      <c r="G138" s="290"/>
      <c r="I138" s="290"/>
      <c r="J138" s="298"/>
      <c r="K138" s="316"/>
      <c r="L138" s="271"/>
      <c r="M138" s="276"/>
      <c r="N138" s="290"/>
      <c r="O138" s="276"/>
      <c r="P138" s="290"/>
      <c r="Q138" s="276"/>
      <c r="R138" s="290"/>
      <c r="S138" s="276"/>
      <c r="T138" s="290"/>
      <c r="U138" s="276">
        <v>0</v>
      </c>
      <c r="V138" s="290">
        <v>0</v>
      </c>
    </row>
    <row r="139" spans="2:22" ht="19.8" customHeight="1" x14ac:dyDescent="0.6">
      <c r="B139" s="268">
        <v>15</v>
      </c>
      <c r="C139" s="255" t="s">
        <v>455</v>
      </c>
      <c r="D139" s="303" t="s">
        <v>456</v>
      </c>
      <c r="E139" s="276" t="s">
        <v>61</v>
      </c>
      <c r="G139" s="290"/>
      <c r="I139" s="290">
        <v>21869.91</v>
      </c>
      <c r="J139" s="298">
        <f t="shared" ref="J139" si="71">IF(G139="-","-",IF(D139&gt;0,ROUNDDOWN(I139*D139,0),""))</f>
        <v>1465283</v>
      </c>
      <c r="K139" s="316">
        <v>1465283</v>
      </c>
      <c r="L139" s="271"/>
      <c r="M139" s="276"/>
      <c r="N139" s="290">
        <f t="shared" ref="N139" si="72">ROUNDDOWN(M139*$I139,0)</f>
        <v>0</v>
      </c>
      <c r="O139" s="276"/>
      <c r="P139" s="290">
        <f t="shared" ref="P139" si="73">ROUNDDOWN(O139*$I139,0)</f>
        <v>0</v>
      </c>
      <c r="Q139" s="276"/>
      <c r="R139" s="290"/>
      <c r="S139" s="276"/>
      <c r="T139" s="290"/>
      <c r="U139" s="276">
        <v>0</v>
      </c>
      <c r="V139" s="290">
        <v>1020000</v>
      </c>
    </row>
    <row r="140" spans="2:22" ht="19.8" customHeight="1" x14ac:dyDescent="0.6">
      <c r="B140" s="268"/>
      <c r="C140" s="255" t="s">
        <v>52</v>
      </c>
      <c r="D140" s="303"/>
      <c r="E140" s="276"/>
      <c r="G140" s="290"/>
      <c r="I140" s="290"/>
      <c r="J140" s="298"/>
      <c r="K140" s="316"/>
      <c r="L140" s="271"/>
      <c r="M140" s="276"/>
      <c r="N140" s="290"/>
      <c r="O140" s="276"/>
      <c r="P140" s="290"/>
      <c r="Q140" s="276"/>
      <c r="R140" s="290"/>
      <c r="S140" s="276"/>
      <c r="T140" s="290"/>
      <c r="U140" s="276">
        <v>0</v>
      </c>
      <c r="V140" s="290">
        <v>0</v>
      </c>
    </row>
    <row r="141" spans="2:22" ht="19.8" customHeight="1" x14ac:dyDescent="0.6">
      <c r="B141" s="268">
        <v>16</v>
      </c>
      <c r="C141" s="255" t="s">
        <v>457</v>
      </c>
      <c r="D141" s="303" t="s">
        <v>458</v>
      </c>
      <c r="E141" s="276" t="s">
        <v>61</v>
      </c>
      <c r="G141" s="290"/>
      <c r="I141" s="290">
        <v>11069.01</v>
      </c>
      <c r="J141" s="298">
        <f t="shared" ref="J141" si="74">IF(G141="-","-",IF(D141&gt;0,ROUNDDOWN(I141*D141,0),""))</f>
        <v>697347</v>
      </c>
      <c r="K141" s="316">
        <v>697347</v>
      </c>
      <c r="L141" s="271"/>
      <c r="M141" s="276"/>
      <c r="N141" s="290">
        <f t="shared" ref="N141" si="75">ROUNDDOWN(M141*$I141,0)</f>
        <v>0</v>
      </c>
      <c r="O141" s="276"/>
      <c r="P141" s="290">
        <v>480000</v>
      </c>
      <c r="Q141" s="276"/>
      <c r="R141" s="290"/>
      <c r="S141" s="276"/>
      <c r="T141" s="290"/>
      <c r="U141" s="276">
        <v>0</v>
      </c>
      <c r="V141" s="290">
        <v>480000</v>
      </c>
    </row>
    <row r="142" spans="2:22" ht="19.8" customHeight="1" x14ac:dyDescent="0.6">
      <c r="B142" s="268"/>
      <c r="C142" s="255" t="s">
        <v>52</v>
      </c>
      <c r="D142" s="303"/>
      <c r="E142" s="276"/>
      <c r="G142" s="290"/>
      <c r="I142" s="290"/>
      <c r="J142" s="298"/>
      <c r="K142" s="316"/>
      <c r="L142" s="271"/>
      <c r="M142" s="276"/>
      <c r="N142" s="290"/>
      <c r="O142" s="276"/>
      <c r="P142" s="290"/>
      <c r="Q142" s="276"/>
      <c r="R142" s="290"/>
      <c r="S142" s="276"/>
      <c r="T142" s="290"/>
      <c r="U142" s="276">
        <v>0</v>
      </c>
      <c r="V142" s="290">
        <v>0</v>
      </c>
    </row>
    <row r="143" spans="2:22" ht="19.8" customHeight="1" x14ac:dyDescent="0.6">
      <c r="B143" s="268"/>
      <c r="D143" s="303"/>
      <c r="E143" s="276"/>
      <c r="G143" s="290"/>
      <c r="I143" s="290"/>
      <c r="J143" s="298"/>
      <c r="K143" s="316"/>
      <c r="L143" s="271"/>
      <c r="M143" s="276"/>
      <c r="N143" s="290"/>
      <c r="O143" s="276"/>
      <c r="P143" s="290"/>
      <c r="Q143" s="276"/>
      <c r="R143" s="290"/>
      <c r="S143" s="276"/>
      <c r="T143" s="290"/>
      <c r="U143" s="276">
        <v>0</v>
      </c>
      <c r="V143" s="290">
        <v>0</v>
      </c>
    </row>
    <row r="144" spans="2:22" ht="19.8" customHeight="1" x14ac:dyDescent="0.6">
      <c r="B144" s="826" t="s">
        <v>459</v>
      </c>
      <c r="C144" s="827"/>
      <c r="D144" s="294" t="s">
        <v>460</v>
      </c>
      <c r="E144" s="257" t="s">
        <v>57</v>
      </c>
      <c r="F144" s="296"/>
      <c r="G144" s="293"/>
      <c r="H144" s="297"/>
      <c r="I144" s="293"/>
      <c r="J144" s="299">
        <f>SUM(J122:J143)</f>
        <v>3407234</v>
      </c>
      <c r="K144" s="319">
        <v>3407234</v>
      </c>
      <c r="L144" s="262"/>
      <c r="M144" s="257"/>
      <c r="N144" s="293">
        <f>SUM(N122:N143)</f>
        <v>17394</v>
      </c>
      <c r="O144" s="257"/>
      <c r="P144" s="293">
        <f>SUM(P122:P143)</f>
        <v>480000</v>
      </c>
      <c r="Q144" s="257"/>
      <c r="R144" s="293">
        <v>0</v>
      </c>
      <c r="S144" s="257"/>
      <c r="T144" s="293">
        <v>0</v>
      </c>
      <c r="U144" s="257">
        <v>0</v>
      </c>
      <c r="V144" s="293">
        <v>1517394</v>
      </c>
    </row>
    <row r="145" spans="2:22" ht="19.8" customHeight="1" x14ac:dyDescent="0.6">
      <c r="B145" s="306">
        <v>1.5</v>
      </c>
      <c r="C145" s="255" t="s">
        <v>63</v>
      </c>
      <c r="D145" s="303"/>
      <c r="E145" s="276"/>
      <c r="G145" s="290"/>
      <c r="I145" s="290"/>
      <c r="J145" s="298"/>
      <c r="K145" s="316"/>
      <c r="L145" s="271"/>
      <c r="M145" s="276"/>
      <c r="N145" s="290"/>
      <c r="O145" s="276"/>
      <c r="P145" s="290"/>
      <c r="Q145" s="276"/>
      <c r="R145" s="290"/>
      <c r="S145" s="276"/>
      <c r="T145" s="290"/>
      <c r="U145" s="276">
        <v>0</v>
      </c>
      <c r="V145" s="290">
        <v>0</v>
      </c>
    </row>
    <row r="146" spans="2:22" ht="19.8" customHeight="1" x14ac:dyDescent="0.6">
      <c r="B146" s="268"/>
      <c r="C146" s="255" t="s">
        <v>461</v>
      </c>
      <c r="D146" s="303"/>
      <c r="E146" s="276"/>
      <c r="G146" s="290"/>
      <c r="I146" s="290"/>
      <c r="J146" s="298"/>
      <c r="K146" s="316"/>
      <c r="L146" s="271"/>
      <c r="M146" s="276"/>
      <c r="N146" s="290"/>
      <c r="O146" s="276"/>
      <c r="P146" s="290"/>
      <c r="Q146" s="276"/>
      <c r="R146" s="290"/>
      <c r="S146" s="276"/>
      <c r="T146" s="290"/>
      <c r="U146" s="276">
        <v>0</v>
      </c>
      <c r="V146" s="290">
        <v>0</v>
      </c>
    </row>
    <row r="147" spans="2:22" ht="19.8" customHeight="1" x14ac:dyDescent="0.6">
      <c r="B147" s="268"/>
      <c r="C147" s="255" t="s">
        <v>462</v>
      </c>
      <c r="D147" s="303"/>
      <c r="E147" s="276"/>
      <c r="G147" s="290"/>
      <c r="I147" s="290"/>
      <c r="J147" s="298"/>
      <c r="K147" s="316"/>
      <c r="L147" s="271"/>
      <c r="M147" s="276"/>
      <c r="N147" s="290"/>
      <c r="O147" s="276"/>
      <c r="P147" s="290"/>
      <c r="Q147" s="276"/>
      <c r="R147" s="290"/>
      <c r="S147" s="276"/>
      <c r="T147" s="290"/>
      <c r="U147" s="276">
        <v>0</v>
      </c>
      <c r="V147" s="290">
        <v>0</v>
      </c>
    </row>
    <row r="148" spans="2:22" ht="19.8" customHeight="1" x14ac:dyDescent="0.6">
      <c r="B148" s="268">
        <v>1</v>
      </c>
      <c r="C148" s="255" t="s">
        <v>194</v>
      </c>
      <c r="D148" s="303" t="s">
        <v>389</v>
      </c>
      <c r="E148" s="276" t="s">
        <v>78</v>
      </c>
      <c r="G148" s="290"/>
      <c r="I148" s="290">
        <v>17394</v>
      </c>
      <c r="J148" s="298">
        <f t="shared" ref="J148:J151" si="76">IF(G148="-","-",IF(D148&gt;0,ROUNDDOWN(I148*D148,0),""))</f>
        <v>17394</v>
      </c>
      <c r="K148" s="316">
        <v>17394</v>
      </c>
      <c r="L148" s="271"/>
      <c r="M148" s="276">
        <v>1</v>
      </c>
      <c r="N148" s="290">
        <f t="shared" ref="N148:N151" si="77">ROUNDDOWN(M148*$I148,0)</f>
        <v>17394</v>
      </c>
      <c r="O148" s="276"/>
      <c r="P148" s="290">
        <f t="shared" ref="P148:P151" si="78">ROUNDDOWN(O148*$I148,0)</f>
        <v>0</v>
      </c>
      <c r="Q148" s="276"/>
      <c r="R148" s="290"/>
      <c r="S148" s="276"/>
      <c r="T148" s="290"/>
      <c r="U148" s="276">
        <v>1</v>
      </c>
      <c r="V148" s="290">
        <v>17394</v>
      </c>
    </row>
    <row r="149" spans="2:22" ht="19.8" customHeight="1" x14ac:dyDescent="0.6">
      <c r="B149" s="268">
        <v>2</v>
      </c>
      <c r="C149" s="255" t="s">
        <v>195</v>
      </c>
      <c r="D149" s="303" t="s">
        <v>463</v>
      </c>
      <c r="E149" s="276" t="s">
        <v>55</v>
      </c>
      <c r="G149" s="290"/>
      <c r="I149" s="290">
        <v>38.44</v>
      </c>
      <c r="J149" s="298">
        <f t="shared" si="76"/>
        <v>30136</v>
      </c>
      <c r="K149" s="316">
        <v>30136</v>
      </c>
      <c r="L149" s="271"/>
      <c r="M149" s="276"/>
      <c r="N149" s="290">
        <f t="shared" si="77"/>
        <v>0</v>
      </c>
      <c r="O149" s="276"/>
      <c r="P149" s="290">
        <f t="shared" si="78"/>
        <v>0</v>
      </c>
      <c r="Q149" s="276"/>
      <c r="R149" s="290"/>
      <c r="S149" s="276"/>
      <c r="T149" s="290"/>
      <c r="U149" s="276">
        <v>0</v>
      </c>
      <c r="V149" s="290">
        <v>0</v>
      </c>
    </row>
    <row r="150" spans="2:22" ht="19.8" customHeight="1" x14ac:dyDescent="0.6">
      <c r="B150" s="268">
        <v>5</v>
      </c>
      <c r="C150" s="255" t="s">
        <v>196</v>
      </c>
      <c r="D150" s="303" t="s">
        <v>389</v>
      </c>
      <c r="E150" s="276" t="s">
        <v>61</v>
      </c>
      <c r="G150" s="290"/>
      <c r="I150" s="290">
        <v>811.72</v>
      </c>
      <c r="J150" s="298">
        <f t="shared" si="76"/>
        <v>811</v>
      </c>
      <c r="K150" s="316">
        <v>811</v>
      </c>
      <c r="L150" s="271"/>
      <c r="M150" s="276"/>
      <c r="N150" s="290">
        <f t="shared" si="77"/>
        <v>0</v>
      </c>
      <c r="O150" s="276"/>
      <c r="P150" s="290">
        <f t="shared" si="78"/>
        <v>0</v>
      </c>
      <c r="Q150" s="276"/>
      <c r="R150" s="290"/>
      <c r="S150" s="276"/>
      <c r="T150" s="290"/>
      <c r="U150" s="276">
        <v>0</v>
      </c>
      <c r="V150" s="290">
        <v>0</v>
      </c>
    </row>
    <row r="151" spans="2:22" ht="19.8" customHeight="1" x14ac:dyDescent="0.6">
      <c r="B151" s="268">
        <v>5</v>
      </c>
      <c r="C151" s="255" t="s">
        <v>440</v>
      </c>
      <c r="D151" s="303" t="s">
        <v>464</v>
      </c>
      <c r="E151" s="276" t="s">
        <v>62</v>
      </c>
      <c r="G151" s="290"/>
      <c r="I151" s="290">
        <v>721.05</v>
      </c>
      <c r="J151" s="298">
        <f t="shared" si="76"/>
        <v>160073</v>
      </c>
      <c r="K151" s="316">
        <v>160073</v>
      </c>
      <c r="L151" s="271"/>
      <c r="M151" s="276"/>
      <c r="N151" s="290">
        <f t="shared" si="77"/>
        <v>0</v>
      </c>
      <c r="O151" s="276"/>
      <c r="P151" s="290">
        <f t="shared" si="78"/>
        <v>0</v>
      </c>
      <c r="Q151" s="276"/>
      <c r="R151" s="290"/>
      <c r="S151" s="276"/>
      <c r="T151" s="290"/>
      <c r="U151" s="276">
        <v>0</v>
      </c>
      <c r="V151" s="290">
        <v>0</v>
      </c>
    </row>
    <row r="152" spans="2:22" ht="19.8" customHeight="1" x14ac:dyDescent="0.6">
      <c r="B152" s="268"/>
      <c r="C152" s="255" t="s">
        <v>465</v>
      </c>
      <c r="D152" s="303"/>
      <c r="E152" s="276"/>
      <c r="G152" s="290"/>
      <c r="I152" s="290"/>
      <c r="J152" s="298"/>
      <c r="K152" s="316"/>
      <c r="L152" s="271"/>
      <c r="M152" s="276"/>
      <c r="N152" s="290"/>
      <c r="O152" s="276"/>
      <c r="P152" s="290"/>
      <c r="Q152" s="276"/>
      <c r="R152" s="290"/>
      <c r="S152" s="276"/>
      <c r="T152" s="290"/>
      <c r="U152" s="276">
        <v>0</v>
      </c>
      <c r="V152" s="290">
        <v>0</v>
      </c>
    </row>
    <row r="153" spans="2:22" ht="19.8" customHeight="1" x14ac:dyDescent="0.6">
      <c r="B153" s="268">
        <v>6</v>
      </c>
      <c r="C153" s="255" t="s">
        <v>387</v>
      </c>
      <c r="D153" s="303" t="s">
        <v>468</v>
      </c>
      <c r="E153" s="276" t="s">
        <v>55</v>
      </c>
      <c r="G153" s="290"/>
      <c r="I153" s="290">
        <v>865.06</v>
      </c>
      <c r="J153" s="298">
        <f t="shared" ref="J153:J158" si="79">IF(G153="-","-",IF(D153&gt;0,ROUNDDOWN(I153*D153,0),""))</f>
        <v>308826</v>
      </c>
      <c r="K153" s="316">
        <v>308826</v>
      </c>
      <c r="L153" s="271"/>
      <c r="M153" s="276"/>
      <c r="N153" s="290">
        <f t="shared" ref="N153:N158" si="80">ROUNDDOWN(M153*$I153,0)</f>
        <v>0</v>
      </c>
      <c r="O153" s="276"/>
      <c r="P153" s="290">
        <f t="shared" ref="P153:P158" si="81">ROUNDDOWN(O153*$I153,0)</f>
        <v>0</v>
      </c>
      <c r="Q153" s="276"/>
      <c r="R153" s="290"/>
      <c r="S153" s="276"/>
      <c r="T153" s="290"/>
      <c r="U153" s="276">
        <v>0</v>
      </c>
      <c r="V153" s="290">
        <v>0</v>
      </c>
    </row>
    <row r="154" spans="2:22" ht="19.8" customHeight="1" x14ac:dyDescent="0.6">
      <c r="B154" s="268">
        <v>7</v>
      </c>
      <c r="C154" s="255" t="s">
        <v>197</v>
      </c>
      <c r="D154" s="303" t="s">
        <v>467</v>
      </c>
      <c r="E154" s="276" t="s">
        <v>54</v>
      </c>
      <c r="G154" s="290"/>
      <c r="I154" s="290">
        <v>104.6</v>
      </c>
      <c r="J154" s="298">
        <f t="shared" si="79"/>
        <v>35354</v>
      </c>
      <c r="K154" s="316">
        <v>35354</v>
      </c>
      <c r="L154" s="271"/>
      <c r="M154" s="276"/>
      <c r="N154" s="290">
        <f t="shared" si="80"/>
        <v>0</v>
      </c>
      <c r="O154" s="276"/>
      <c r="P154" s="290">
        <f t="shared" si="81"/>
        <v>0</v>
      </c>
      <c r="Q154" s="276"/>
      <c r="R154" s="290"/>
      <c r="S154" s="276"/>
      <c r="T154" s="290"/>
      <c r="U154" s="276">
        <v>0</v>
      </c>
      <c r="V154" s="290">
        <v>0</v>
      </c>
    </row>
    <row r="155" spans="2:22" ht="19.8" customHeight="1" x14ac:dyDescent="0.6">
      <c r="B155" s="268">
        <v>8</v>
      </c>
      <c r="C155" s="255" t="s">
        <v>215</v>
      </c>
      <c r="D155" s="303" t="s">
        <v>466</v>
      </c>
      <c r="E155" s="276" t="s">
        <v>55</v>
      </c>
      <c r="G155" s="290"/>
      <c r="I155" s="290">
        <v>330.94</v>
      </c>
      <c r="J155" s="298">
        <f t="shared" si="79"/>
        <v>164477</v>
      </c>
      <c r="K155" s="316">
        <v>164477</v>
      </c>
      <c r="L155" s="271"/>
      <c r="M155" s="276"/>
      <c r="N155" s="290">
        <f t="shared" si="80"/>
        <v>0</v>
      </c>
      <c r="O155" s="276"/>
      <c r="P155" s="290">
        <f t="shared" si="81"/>
        <v>0</v>
      </c>
      <c r="Q155" s="276"/>
      <c r="R155" s="290"/>
      <c r="S155" s="276"/>
      <c r="T155" s="290"/>
      <c r="U155" s="276">
        <v>0</v>
      </c>
      <c r="V155" s="290">
        <v>0</v>
      </c>
    </row>
    <row r="156" spans="2:22" ht="19.8" customHeight="1" x14ac:dyDescent="0.6">
      <c r="B156" s="268">
        <v>9</v>
      </c>
      <c r="C156" s="255" t="s">
        <v>448</v>
      </c>
      <c r="D156" s="303" t="s">
        <v>474</v>
      </c>
      <c r="E156" s="276" t="s">
        <v>57</v>
      </c>
      <c r="G156" s="290"/>
      <c r="I156" s="290">
        <v>4950.37</v>
      </c>
      <c r="J156" s="298">
        <f t="shared" si="79"/>
        <v>346525</v>
      </c>
      <c r="K156" s="316">
        <v>346525</v>
      </c>
      <c r="L156" s="271"/>
      <c r="M156" s="276"/>
      <c r="N156" s="290">
        <f t="shared" si="80"/>
        <v>0</v>
      </c>
      <c r="O156" s="276"/>
      <c r="P156" s="290">
        <f t="shared" si="81"/>
        <v>0</v>
      </c>
      <c r="Q156" s="276"/>
      <c r="R156" s="290"/>
      <c r="S156" s="276"/>
      <c r="T156" s="290"/>
      <c r="U156" s="276">
        <v>0</v>
      </c>
      <c r="V156" s="290">
        <v>0</v>
      </c>
    </row>
    <row r="157" spans="2:22" ht="19.8" customHeight="1" x14ac:dyDescent="0.6">
      <c r="B157" s="268">
        <v>10</v>
      </c>
      <c r="C157" s="255" t="s">
        <v>450</v>
      </c>
      <c r="D157" s="303" t="s">
        <v>473</v>
      </c>
      <c r="E157" s="276" t="s">
        <v>57</v>
      </c>
      <c r="G157" s="290"/>
      <c r="I157" s="290">
        <v>3308.61</v>
      </c>
      <c r="J157" s="298">
        <f t="shared" si="79"/>
        <v>11580</v>
      </c>
      <c r="K157" s="316">
        <v>11580</v>
      </c>
      <c r="L157" s="271"/>
      <c r="M157" s="276"/>
      <c r="N157" s="290">
        <f t="shared" si="80"/>
        <v>0</v>
      </c>
      <c r="O157" s="276"/>
      <c r="P157" s="290">
        <f t="shared" si="81"/>
        <v>0</v>
      </c>
      <c r="Q157" s="276"/>
      <c r="R157" s="290"/>
      <c r="S157" s="276"/>
      <c r="T157" s="290"/>
      <c r="U157" s="276">
        <v>0</v>
      </c>
      <c r="V157" s="290">
        <v>0</v>
      </c>
    </row>
    <row r="158" spans="2:22" ht="19.8" customHeight="1" x14ac:dyDescent="0.6">
      <c r="B158" s="268">
        <v>11</v>
      </c>
      <c r="C158" s="255" t="s">
        <v>212</v>
      </c>
      <c r="D158" s="303" t="s">
        <v>472</v>
      </c>
      <c r="E158" s="276" t="s">
        <v>57</v>
      </c>
      <c r="G158" s="290"/>
      <c r="I158" s="290">
        <v>3101.93</v>
      </c>
      <c r="J158" s="298">
        <f t="shared" si="79"/>
        <v>227991</v>
      </c>
      <c r="K158" s="316">
        <v>227991</v>
      </c>
      <c r="L158" s="271"/>
      <c r="M158" s="276"/>
      <c r="N158" s="290">
        <f t="shared" si="80"/>
        <v>0</v>
      </c>
      <c r="O158" s="276"/>
      <c r="P158" s="290">
        <f t="shared" si="81"/>
        <v>0</v>
      </c>
      <c r="Q158" s="276"/>
      <c r="R158" s="290"/>
      <c r="S158" s="276"/>
      <c r="T158" s="290"/>
      <c r="U158" s="276">
        <v>0</v>
      </c>
      <c r="V158" s="290">
        <v>0</v>
      </c>
    </row>
    <row r="159" spans="2:22" ht="19.8" customHeight="1" x14ac:dyDescent="0.6">
      <c r="B159" s="268">
        <v>12</v>
      </c>
      <c r="C159" s="255" t="s">
        <v>56</v>
      </c>
      <c r="D159" s="303"/>
      <c r="E159" s="276"/>
      <c r="G159" s="290"/>
      <c r="I159" s="290"/>
      <c r="J159" s="298"/>
      <c r="K159" s="316"/>
      <c r="L159" s="271"/>
      <c r="M159" s="276"/>
      <c r="N159" s="290"/>
      <c r="O159" s="276"/>
      <c r="P159" s="290"/>
      <c r="Q159" s="276"/>
      <c r="R159" s="290"/>
      <c r="S159" s="276"/>
      <c r="T159" s="290"/>
      <c r="U159" s="276">
        <v>0</v>
      </c>
      <c r="V159" s="290">
        <v>0</v>
      </c>
    </row>
    <row r="160" spans="2:22" ht="19.8" customHeight="1" x14ac:dyDescent="0.6">
      <c r="B160" s="268"/>
      <c r="C160" s="261" t="s">
        <v>397</v>
      </c>
      <c r="D160" s="303" t="s">
        <v>456</v>
      </c>
      <c r="E160" s="276" t="s">
        <v>57</v>
      </c>
      <c r="G160" s="290"/>
      <c r="I160" s="290">
        <v>802.05</v>
      </c>
      <c r="J160" s="298">
        <f t="shared" ref="J160:J161" si="82">IF(G160="-","-",IF(D160&gt;0,ROUNDDOWN(I160*D160,0),""))</f>
        <v>53737</v>
      </c>
      <c r="K160" s="316">
        <v>53737</v>
      </c>
      <c r="L160" s="271"/>
      <c r="M160" s="276"/>
      <c r="N160" s="290">
        <f t="shared" ref="N160:N161" si="83">ROUNDDOWN(M160*$I160,0)</f>
        <v>0</v>
      </c>
      <c r="O160" s="276"/>
      <c r="P160" s="290">
        <f t="shared" ref="P160:P161" si="84">ROUNDDOWN(O160*$I160,0)</f>
        <v>0</v>
      </c>
      <c r="Q160" s="276"/>
      <c r="R160" s="290"/>
      <c r="S160" s="276"/>
      <c r="T160" s="290"/>
      <c r="U160" s="276">
        <v>0</v>
      </c>
      <c r="V160" s="290">
        <v>0</v>
      </c>
    </row>
    <row r="161" spans="2:22" ht="19.8" customHeight="1" x14ac:dyDescent="0.6">
      <c r="B161" s="268"/>
      <c r="C161" s="261" t="s">
        <v>430</v>
      </c>
      <c r="D161" s="303" t="s">
        <v>323</v>
      </c>
      <c r="E161" s="276" t="s">
        <v>58</v>
      </c>
      <c r="G161" s="290"/>
      <c r="I161" s="290">
        <v>4438.1000000000004</v>
      </c>
      <c r="J161" s="298">
        <f t="shared" si="82"/>
        <v>13314</v>
      </c>
      <c r="K161" s="316">
        <v>13314</v>
      </c>
      <c r="L161" s="271"/>
      <c r="M161" s="276"/>
      <c r="N161" s="290">
        <f t="shared" si="83"/>
        <v>0</v>
      </c>
      <c r="O161" s="276"/>
      <c r="P161" s="290">
        <f t="shared" si="84"/>
        <v>0</v>
      </c>
      <c r="Q161" s="276"/>
      <c r="R161" s="290"/>
      <c r="S161" s="276"/>
      <c r="T161" s="290"/>
      <c r="U161" s="276">
        <v>0</v>
      </c>
      <c r="V161" s="290">
        <v>0</v>
      </c>
    </row>
    <row r="162" spans="2:22" ht="19.8" customHeight="1" x14ac:dyDescent="0.6">
      <c r="B162" s="268">
        <v>13</v>
      </c>
      <c r="C162" s="255" t="s">
        <v>431</v>
      </c>
      <c r="D162" s="303"/>
      <c r="E162" s="276"/>
      <c r="G162" s="290"/>
      <c r="I162" s="290"/>
      <c r="J162" s="298"/>
      <c r="K162" s="316"/>
      <c r="L162" s="271"/>
      <c r="M162" s="276"/>
      <c r="N162" s="290"/>
      <c r="O162" s="276"/>
      <c r="P162" s="290"/>
      <c r="Q162" s="276"/>
      <c r="R162" s="290"/>
      <c r="S162" s="276"/>
      <c r="T162" s="290"/>
      <c r="U162" s="276">
        <v>0</v>
      </c>
      <c r="V162" s="290">
        <v>0</v>
      </c>
    </row>
    <row r="163" spans="2:22" ht="19.8" customHeight="1" x14ac:dyDescent="0.6">
      <c r="B163" s="268">
        <v>14</v>
      </c>
      <c r="C163" s="255" t="s">
        <v>455</v>
      </c>
      <c r="D163" s="303" t="s">
        <v>471</v>
      </c>
      <c r="E163" s="276" t="s">
        <v>61</v>
      </c>
      <c r="G163" s="290"/>
      <c r="I163" s="290">
        <v>21869.91</v>
      </c>
      <c r="J163" s="298">
        <f t="shared" ref="J163" si="85">IF(G163="-","-",IF(D163&gt;0,ROUNDDOWN(I163*D163,0),""))</f>
        <v>1683983</v>
      </c>
      <c r="K163" s="316">
        <v>1683983</v>
      </c>
      <c r="L163" s="271"/>
      <c r="M163" s="276"/>
      <c r="N163" s="290">
        <f t="shared" ref="N163" si="86">ROUNDDOWN(M163*$I163,0)</f>
        <v>0</v>
      </c>
      <c r="O163" s="276"/>
      <c r="P163" s="290">
        <f t="shared" ref="P163" si="87">ROUNDDOWN(O163*$I163,0)</f>
        <v>0</v>
      </c>
      <c r="Q163" s="276">
        <v>77</v>
      </c>
      <c r="R163" s="290">
        <v>1170000</v>
      </c>
      <c r="S163" s="276"/>
      <c r="T163" s="290"/>
      <c r="U163" s="276">
        <v>77</v>
      </c>
      <c r="V163" s="290">
        <v>1170000</v>
      </c>
    </row>
    <row r="164" spans="2:22" ht="19.8" customHeight="1" x14ac:dyDescent="0.6">
      <c r="B164" s="268"/>
      <c r="C164" s="255" t="s">
        <v>52</v>
      </c>
      <c r="D164" s="303"/>
      <c r="E164" s="276"/>
      <c r="G164" s="290"/>
      <c r="I164" s="290"/>
      <c r="J164" s="298"/>
      <c r="K164" s="316"/>
      <c r="L164" s="271"/>
      <c r="M164" s="276"/>
      <c r="N164" s="290"/>
      <c r="O164" s="276"/>
      <c r="P164" s="290"/>
      <c r="Q164" s="276"/>
      <c r="R164" s="290"/>
      <c r="S164" s="276"/>
      <c r="T164" s="290"/>
      <c r="U164" s="276">
        <v>0</v>
      </c>
      <c r="V164" s="290">
        <v>0</v>
      </c>
    </row>
    <row r="165" spans="2:22" ht="19.8" customHeight="1" x14ac:dyDescent="0.6">
      <c r="B165" s="268">
        <v>15</v>
      </c>
      <c r="C165" s="255" t="s">
        <v>469</v>
      </c>
      <c r="D165" s="303" t="s">
        <v>470</v>
      </c>
      <c r="E165" s="276" t="s">
        <v>61</v>
      </c>
      <c r="G165" s="290"/>
      <c r="I165" s="290">
        <v>11069.01</v>
      </c>
      <c r="J165" s="298">
        <f t="shared" ref="J165" si="88">IF(G165="-","-",IF(D165&gt;0,ROUNDDOWN(I165*D165,0),""))</f>
        <v>774830</v>
      </c>
      <c r="K165" s="316">
        <v>774830</v>
      </c>
      <c r="L165" s="271"/>
      <c r="M165" s="276"/>
      <c r="N165" s="290">
        <f t="shared" ref="N165" si="89">ROUNDDOWN(M165*$I165,0)</f>
        <v>0</v>
      </c>
      <c r="O165" s="276"/>
      <c r="P165" s="290">
        <v>540000</v>
      </c>
      <c r="Q165" s="276"/>
      <c r="R165" s="290"/>
      <c r="S165" s="276"/>
      <c r="T165" s="290"/>
      <c r="U165" s="276">
        <v>70</v>
      </c>
      <c r="V165" s="290">
        <v>540000</v>
      </c>
    </row>
    <row r="166" spans="2:22" ht="19.8" customHeight="1" x14ac:dyDescent="0.6">
      <c r="B166" s="268"/>
      <c r="C166" s="255" t="s">
        <v>52</v>
      </c>
      <c r="D166" s="303"/>
      <c r="E166" s="276"/>
      <c r="G166" s="290"/>
      <c r="I166" s="290"/>
      <c r="J166" s="298"/>
      <c r="K166" s="316"/>
      <c r="L166" s="271"/>
      <c r="M166" s="276"/>
      <c r="N166" s="290"/>
      <c r="O166" s="276"/>
      <c r="P166" s="290"/>
      <c r="Q166" s="276"/>
      <c r="R166" s="290"/>
      <c r="S166" s="276"/>
      <c r="T166" s="290"/>
      <c r="U166" s="276">
        <v>0</v>
      </c>
      <c r="V166" s="290">
        <v>0</v>
      </c>
    </row>
    <row r="167" spans="2:22" ht="19.8" customHeight="1" x14ac:dyDescent="0.6">
      <c r="B167" s="268"/>
      <c r="D167" s="303"/>
      <c r="E167" s="276"/>
      <c r="G167" s="290"/>
      <c r="I167" s="290"/>
      <c r="J167" s="298"/>
      <c r="K167" s="316"/>
      <c r="L167" s="271"/>
      <c r="M167" s="276"/>
      <c r="N167" s="290"/>
      <c r="O167" s="276"/>
      <c r="P167" s="290"/>
      <c r="Q167" s="276"/>
      <c r="R167" s="290"/>
      <c r="S167" s="276"/>
      <c r="T167" s="290"/>
      <c r="U167" s="276">
        <v>0</v>
      </c>
      <c r="V167" s="290">
        <v>0</v>
      </c>
    </row>
    <row r="168" spans="2:22" ht="19.8" customHeight="1" x14ac:dyDescent="0.6">
      <c r="B168" s="817" t="s">
        <v>475</v>
      </c>
      <c r="C168" s="818"/>
      <c r="D168" s="294" t="s">
        <v>474</v>
      </c>
      <c r="E168" s="257" t="s">
        <v>57</v>
      </c>
      <c r="F168" s="296"/>
      <c r="G168" s="293"/>
      <c r="H168" s="297"/>
      <c r="I168" s="299"/>
      <c r="J168" s="299">
        <f>SUM(J145:J167)</f>
        <v>3829031</v>
      </c>
      <c r="K168" s="319">
        <v>3829031</v>
      </c>
      <c r="L168" s="301"/>
      <c r="M168" s="257"/>
      <c r="N168" s="293">
        <f>SUM(N145:N167)</f>
        <v>17394</v>
      </c>
      <c r="O168" s="257"/>
      <c r="P168" s="293">
        <f>SUM(P145:P167)</f>
        <v>540000</v>
      </c>
      <c r="Q168" s="257"/>
      <c r="R168" s="293">
        <v>1170000</v>
      </c>
      <c r="S168" s="257"/>
      <c r="T168" s="293">
        <v>1170000</v>
      </c>
      <c r="U168" s="257">
        <v>0</v>
      </c>
      <c r="V168" s="293">
        <v>1727394</v>
      </c>
    </row>
    <row r="169" spans="2:22" ht="19.8" customHeight="1" x14ac:dyDescent="0.6">
      <c r="B169" s="306" t="s">
        <v>476</v>
      </c>
      <c r="C169" s="255" t="s">
        <v>64</v>
      </c>
      <c r="D169" s="303"/>
      <c r="E169" s="276"/>
      <c r="G169" s="290"/>
      <c r="I169" s="290"/>
      <c r="J169" s="298"/>
      <c r="K169" s="316"/>
      <c r="L169" s="271"/>
      <c r="M169" s="276"/>
      <c r="N169" s="290"/>
      <c r="O169" s="276"/>
      <c r="P169" s="290"/>
      <c r="Q169" s="276"/>
      <c r="R169" s="290"/>
      <c r="S169" s="276"/>
      <c r="T169" s="290"/>
      <c r="U169" s="276">
        <v>0</v>
      </c>
      <c r="V169" s="290">
        <v>0</v>
      </c>
    </row>
    <row r="170" spans="2:22" ht="19.8" customHeight="1" x14ac:dyDescent="0.6">
      <c r="B170" s="268"/>
      <c r="C170" s="255" t="s">
        <v>477</v>
      </c>
      <c r="D170" s="303"/>
      <c r="E170" s="276"/>
      <c r="G170" s="290"/>
      <c r="I170" s="290"/>
      <c r="J170" s="298"/>
      <c r="K170" s="316"/>
      <c r="L170" s="271"/>
      <c r="M170" s="276"/>
      <c r="N170" s="290"/>
      <c r="O170" s="276"/>
      <c r="P170" s="290"/>
      <c r="Q170" s="276"/>
      <c r="R170" s="290"/>
      <c r="S170" s="276"/>
      <c r="T170" s="290"/>
      <c r="U170" s="276">
        <v>0</v>
      </c>
      <c r="V170" s="290">
        <v>0</v>
      </c>
    </row>
    <row r="171" spans="2:22" ht="19.8" customHeight="1" x14ac:dyDescent="0.6">
      <c r="B171" s="268"/>
      <c r="C171" s="255" t="s">
        <v>478</v>
      </c>
      <c r="D171" s="303"/>
      <c r="E171" s="276"/>
      <c r="G171" s="290"/>
      <c r="I171" s="290"/>
      <c r="J171" s="298"/>
      <c r="K171" s="316"/>
      <c r="L171" s="271"/>
      <c r="M171" s="276"/>
      <c r="N171" s="290"/>
      <c r="O171" s="276"/>
      <c r="P171" s="290"/>
      <c r="Q171" s="276"/>
      <c r="R171" s="290"/>
      <c r="S171" s="276"/>
      <c r="T171" s="290"/>
      <c r="U171" s="276">
        <v>0</v>
      </c>
      <c r="V171" s="290">
        <v>0</v>
      </c>
    </row>
    <row r="172" spans="2:22" ht="19.8" customHeight="1" x14ac:dyDescent="0.6">
      <c r="B172" s="268">
        <v>1</v>
      </c>
      <c r="C172" s="255" t="s">
        <v>194</v>
      </c>
      <c r="D172" s="303" t="s">
        <v>389</v>
      </c>
      <c r="E172" s="276" t="s">
        <v>78</v>
      </c>
      <c r="G172" s="290"/>
      <c r="I172" s="290">
        <v>17394</v>
      </c>
      <c r="J172" s="298">
        <f t="shared" ref="J172:J181" si="90">IF(G172="-","-",IF(D172&gt;0,ROUNDDOWN(I172*D172,0),""))</f>
        <v>17394</v>
      </c>
      <c r="K172" s="316">
        <v>17394</v>
      </c>
      <c r="L172" s="271"/>
      <c r="M172" s="276">
        <v>1</v>
      </c>
      <c r="N172" s="290">
        <f t="shared" ref="N172:N181" si="91">ROUNDDOWN(M172*$I172,0)</f>
        <v>17394</v>
      </c>
      <c r="O172" s="276"/>
      <c r="P172" s="290">
        <f t="shared" ref="P172:P181" si="92">ROUNDDOWN(O172*$I172,0)</f>
        <v>0</v>
      </c>
      <c r="Q172" s="276"/>
      <c r="R172" s="290"/>
      <c r="S172" s="276"/>
      <c r="T172" s="290"/>
      <c r="U172" s="276">
        <v>1</v>
      </c>
      <c r="V172" s="290">
        <v>17394</v>
      </c>
    </row>
    <row r="173" spans="2:22" ht="19.8" customHeight="1" x14ac:dyDescent="0.6">
      <c r="B173" s="268">
        <v>2</v>
      </c>
      <c r="C173" s="255" t="s">
        <v>195</v>
      </c>
      <c r="D173" s="303" t="s">
        <v>479</v>
      </c>
      <c r="E173" s="276" t="s">
        <v>55</v>
      </c>
      <c r="G173" s="290"/>
      <c r="I173" s="290">
        <v>38.44</v>
      </c>
      <c r="J173" s="298">
        <f t="shared" si="90"/>
        <v>13992</v>
      </c>
      <c r="K173" s="316">
        <v>13992</v>
      </c>
      <c r="L173" s="271"/>
      <c r="M173" s="276"/>
      <c r="N173" s="290">
        <f t="shared" si="91"/>
        <v>0</v>
      </c>
      <c r="O173" s="276"/>
      <c r="P173" s="290">
        <f t="shared" si="92"/>
        <v>0</v>
      </c>
      <c r="Q173" s="276"/>
      <c r="R173" s="290"/>
      <c r="S173" s="276"/>
      <c r="T173" s="290"/>
      <c r="U173" s="276">
        <v>0</v>
      </c>
      <c r="V173" s="290">
        <v>0</v>
      </c>
    </row>
    <row r="174" spans="2:22" ht="19.8" customHeight="1" x14ac:dyDescent="0.6">
      <c r="B174" s="268">
        <v>5</v>
      </c>
      <c r="C174" s="255" t="s">
        <v>196</v>
      </c>
      <c r="D174" s="303" t="s">
        <v>389</v>
      </c>
      <c r="E174" s="276" t="s">
        <v>61</v>
      </c>
      <c r="G174" s="290"/>
      <c r="I174" s="290">
        <v>811.72</v>
      </c>
      <c r="J174" s="298">
        <f t="shared" si="90"/>
        <v>811</v>
      </c>
      <c r="K174" s="316">
        <v>811</v>
      </c>
      <c r="L174" s="271"/>
      <c r="M174" s="276"/>
      <c r="N174" s="290">
        <f t="shared" si="91"/>
        <v>0</v>
      </c>
      <c r="O174" s="276"/>
      <c r="P174" s="290">
        <f t="shared" si="92"/>
        <v>0</v>
      </c>
      <c r="Q174" s="276"/>
      <c r="R174" s="290"/>
      <c r="S174" s="276"/>
      <c r="T174" s="290"/>
      <c r="U174" s="276">
        <v>0</v>
      </c>
      <c r="V174" s="290">
        <v>0</v>
      </c>
    </row>
    <row r="175" spans="2:22" ht="19.8" customHeight="1" x14ac:dyDescent="0.6">
      <c r="B175" s="268">
        <v>6</v>
      </c>
      <c r="C175" s="255" t="s">
        <v>440</v>
      </c>
      <c r="D175" s="303" t="s">
        <v>464</v>
      </c>
      <c r="E175" s="276" t="s">
        <v>62</v>
      </c>
      <c r="G175" s="290"/>
      <c r="I175" s="290">
        <v>721.05</v>
      </c>
      <c r="J175" s="298">
        <f t="shared" si="90"/>
        <v>160073</v>
      </c>
      <c r="K175" s="316">
        <v>160073</v>
      </c>
      <c r="L175" s="271"/>
      <c r="M175" s="276"/>
      <c r="N175" s="290">
        <f t="shared" si="91"/>
        <v>0</v>
      </c>
      <c r="O175" s="276"/>
      <c r="P175" s="290">
        <f t="shared" si="92"/>
        <v>0</v>
      </c>
      <c r="Q175" s="276"/>
      <c r="R175" s="290"/>
      <c r="S175" s="276"/>
      <c r="T175" s="290"/>
      <c r="U175" s="276">
        <v>0</v>
      </c>
      <c r="V175" s="290">
        <v>0</v>
      </c>
    </row>
    <row r="176" spans="2:22" ht="19.8" customHeight="1" x14ac:dyDescent="0.6">
      <c r="B176" s="268">
        <v>7</v>
      </c>
      <c r="C176" s="255" t="s">
        <v>387</v>
      </c>
      <c r="D176" s="303" t="s">
        <v>480</v>
      </c>
      <c r="E176" s="276" t="s">
        <v>55</v>
      </c>
      <c r="G176" s="290"/>
      <c r="I176" s="290">
        <v>865.06</v>
      </c>
      <c r="J176" s="298">
        <f t="shared" si="90"/>
        <v>181662</v>
      </c>
      <c r="K176" s="316">
        <v>181662</v>
      </c>
      <c r="L176" s="271"/>
      <c r="M176" s="276"/>
      <c r="N176" s="290">
        <f t="shared" si="91"/>
        <v>0</v>
      </c>
      <c r="O176" s="276"/>
      <c r="P176" s="290">
        <f t="shared" si="92"/>
        <v>0</v>
      </c>
      <c r="Q176" s="276"/>
      <c r="R176" s="290"/>
      <c r="S176" s="276"/>
      <c r="T176" s="290"/>
      <c r="U176" s="276">
        <v>0</v>
      </c>
      <c r="V176" s="290">
        <v>0</v>
      </c>
    </row>
    <row r="177" spans="2:22" ht="19.8" customHeight="1" x14ac:dyDescent="0.6">
      <c r="B177" s="268">
        <v>8</v>
      </c>
      <c r="C177" s="255" t="s">
        <v>197</v>
      </c>
      <c r="D177" s="303" t="s">
        <v>467</v>
      </c>
      <c r="E177" s="276" t="s">
        <v>54</v>
      </c>
      <c r="G177" s="290"/>
      <c r="I177" s="290">
        <v>104.6</v>
      </c>
      <c r="J177" s="298">
        <f t="shared" si="90"/>
        <v>35354</v>
      </c>
      <c r="K177" s="316">
        <v>35354</v>
      </c>
      <c r="L177" s="271"/>
      <c r="M177" s="276"/>
      <c r="N177" s="290">
        <f t="shared" si="91"/>
        <v>0</v>
      </c>
      <c r="O177" s="276"/>
      <c r="P177" s="290">
        <f t="shared" si="92"/>
        <v>0</v>
      </c>
      <c r="Q177" s="276"/>
      <c r="R177" s="290"/>
      <c r="S177" s="276"/>
      <c r="T177" s="290"/>
      <c r="U177" s="276">
        <v>0</v>
      </c>
      <c r="V177" s="290">
        <v>0</v>
      </c>
    </row>
    <row r="178" spans="2:22" ht="19.8" customHeight="1" x14ac:dyDescent="0.6">
      <c r="B178" s="268">
        <v>9</v>
      </c>
      <c r="C178" s="255" t="s">
        <v>215</v>
      </c>
      <c r="D178" s="303" t="s">
        <v>466</v>
      </c>
      <c r="E178" s="276" t="s">
        <v>55</v>
      </c>
      <c r="G178" s="290"/>
      <c r="I178" s="290">
        <v>330.94</v>
      </c>
      <c r="J178" s="298">
        <f t="shared" si="90"/>
        <v>164477</v>
      </c>
      <c r="K178" s="316">
        <v>164477</v>
      </c>
      <c r="L178" s="271"/>
      <c r="M178" s="276"/>
      <c r="N178" s="290">
        <f t="shared" si="91"/>
        <v>0</v>
      </c>
      <c r="O178" s="276"/>
      <c r="P178" s="290">
        <f t="shared" si="92"/>
        <v>0</v>
      </c>
      <c r="Q178" s="276"/>
      <c r="R178" s="290"/>
      <c r="S178" s="276"/>
      <c r="T178" s="290"/>
      <c r="U178" s="276">
        <v>0</v>
      </c>
      <c r="V178" s="290">
        <v>0</v>
      </c>
    </row>
    <row r="179" spans="2:22" ht="19.8" customHeight="1" x14ac:dyDescent="0.6">
      <c r="B179" s="268">
        <v>10</v>
      </c>
      <c r="C179" s="255" t="s">
        <v>481</v>
      </c>
      <c r="D179" s="303" t="s">
        <v>474</v>
      </c>
      <c r="E179" s="276" t="s">
        <v>57</v>
      </c>
      <c r="G179" s="290"/>
      <c r="I179" s="290">
        <v>4950.37</v>
      </c>
      <c r="J179" s="298">
        <f t="shared" si="90"/>
        <v>346525</v>
      </c>
      <c r="K179" s="316">
        <v>346525</v>
      </c>
      <c r="L179" s="271"/>
      <c r="M179" s="276"/>
      <c r="N179" s="290">
        <f t="shared" si="91"/>
        <v>0</v>
      </c>
      <c r="O179" s="276"/>
      <c r="P179" s="290">
        <f t="shared" si="92"/>
        <v>0</v>
      </c>
      <c r="Q179" s="276"/>
      <c r="R179" s="290"/>
      <c r="S179" s="276"/>
      <c r="T179" s="290"/>
      <c r="U179" s="276">
        <v>0</v>
      </c>
      <c r="V179" s="290">
        <v>0</v>
      </c>
    </row>
    <row r="180" spans="2:22" ht="19.8" customHeight="1" x14ac:dyDescent="0.6">
      <c r="B180" s="268">
        <v>11</v>
      </c>
      <c r="C180" s="255" t="s">
        <v>482</v>
      </c>
      <c r="D180" s="303" t="s">
        <v>473</v>
      </c>
      <c r="E180" s="276" t="s">
        <v>57</v>
      </c>
      <c r="G180" s="290"/>
      <c r="I180" s="290">
        <v>3308.61</v>
      </c>
      <c r="J180" s="298">
        <f t="shared" si="90"/>
        <v>11580</v>
      </c>
      <c r="K180" s="316">
        <v>11580</v>
      </c>
      <c r="L180" s="271"/>
      <c r="M180" s="276"/>
      <c r="N180" s="290">
        <f t="shared" si="91"/>
        <v>0</v>
      </c>
      <c r="O180" s="276"/>
      <c r="P180" s="290">
        <f t="shared" si="92"/>
        <v>0</v>
      </c>
      <c r="Q180" s="276"/>
      <c r="R180" s="290"/>
      <c r="S180" s="276"/>
      <c r="T180" s="290"/>
      <c r="U180" s="276">
        <v>0</v>
      </c>
      <c r="V180" s="290">
        <v>0</v>
      </c>
    </row>
    <row r="181" spans="2:22" ht="19.8" customHeight="1" x14ac:dyDescent="0.6">
      <c r="B181" s="268">
        <v>12</v>
      </c>
      <c r="C181" s="255" t="s">
        <v>212</v>
      </c>
      <c r="D181" s="303" t="s">
        <v>472</v>
      </c>
      <c r="E181" s="276" t="s">
        <v>57</v>
      </c>
      <c r="G181" s="290"/>
      <c r="I181" s="290">
        <v>3101.93</v>
      </c>
      <c r="J181" s="298">
        <f t="shared" si="90"/>
        <v>227991</v>
      </c>
      <c r="K181" s="316">
        <v>227991</v>
      </c>
      <c r="L181" s="271"/>
      <c r="M181" s="276"/>
      <c r="N181" s="290">
        <f t="shared" si="91"/>
        <v>0</v>
      </c>
      <c r="O181" s="276"/>
      <c r="P181" s="290">
        <f t="shared" si="92"/>
        <v>0</v>
      </c>
      <c r="Q181" s="276"/>
      <c r="R181" s="290"/>
      <c r="S181" s="276"/>
      <c r="T181" s="290"/>
      <c r="U181" s="276">
        <v>0</v>
      </c>
      <c r="V181" s="290">
        <v>0</v>
      </c>
    </row>
    <row r="182" spans="2:22" ht="19.8" customHeight="1" x14ac:dyDescent="0.6">
      <c r="B182" s="268">
        <v>13</v>
      </c>
      <c r="C182" s="255" t="s">
        <v>483</v>
      </c>
      <c r="D182" s="303"/>
      <c r="E182" s="276"/>
      <c r="G182" s="290"/>
      <c r="I182" s="290"/>
      <c r="J182" s="298"/>
      <c r="K182" s="316"/>
      <c r="L182" s="271"/>
      <c r="M182" s="276"/>
      <c r="N182" s="290"/>
      <c r="O182" s="276"/>
      <c r="P182" s="290"/>
      <c r="Q182" s="276"/>
      <c r="R182" s="290"/>
      <c r="S182" s="276"/>
      <c r="T182" s="290"/>
      <c r="U182" s="276">
        <v>0</v>
      </c>
      <c r="V182" s="290">
        <v>0</v>
      </c>
    </row>
    <row r="183" spans="2:22" ht="19.8" customHeight="1" x14ac:dyDescent="0.6">
      <c r="B183" s="268"/>
      <c r="C183" s="261" t="s">
        <v>397</v>
      </c>
      <c r="D183" s="303" t="s">
        <v>486</v>
      </c>
      <c r="E183" s="276" t="s">
        <v>57</v>
      </c>
      <c r="G183" s="290"/>
      <c r="I183" s="290">
        <v>802.05</v>
      </c>
      <c r="J183" s="298">
        <f t="shared" ref="J183:J184" si="93">IF(G183="-","-",IF(D183&gt;0,ROUNDDOWN(I183*D183,0),""))</f>
        <v>53737</v>
      </c>
      <c r="K183" s="316">
        <v>53737</v>
      </c>
      <c r="L183" s="271"/>
      <c r="M183" s="276"/>
      <c r="N183" s="290">
        <f t="shared" ref="N183:N184" si="94">ROUNDDOWN(M183*$I183,0)</f>
        <v>0</v>
      </c>
      <c r="O183" s="276"/>
      <c r="P183" s="290">
        <f t="shared" ref="P183:P184" si="95">ROUNDDOWN(O183*$I183,0)</f>
        <v>0</v>
      </c>
      <c r="Q183" s="276"/>
      <c r="R183" s="290"/>
      <c r="S183" s="276"/>
      <c r="T183" s="290"/>
      <c r="U183" s="276">
        <v>0</v>
      </c>
      <c r="V183" s="290">
        <v>0</v>
      </c>
    </row>
    <row r="184" spans="2:22" ht="19.8" customHeight="1" x14ac:dyDescent="0.6">
      <c r="B184" s="268"/>
      <c r="C184" s="261" t="s">
        <v>430</v>
      </c>
      <c r="D184" s="303" t="s">
        <v>323</v>
      </c>
      <c r="E184" s="276" t="s">
        <v>58</v>
      </c>
      <c r="G184" s="290"/>
      <c r="I184" s="290">
        <v>4438.1000000000004</v>
      </c>
      <c r="J184" s="298">
        <f t="shared" si="93"/>
        <v>13314</v>
      </c>
      <c r="K184" s="316">
        <v>13314</v>
      </c>
      <c r="L184" s="271"/>
      <c r="M184" s="276"/>
      <c r="N184" s="290">
        <f t="shared" si="94"/>
        <v>0</v>
      </c>
      <c r="O184" s="276"/>
      <c r="P184" s="290">
        <f t="shared" si="95"/>
        <v>0</v>
      </c>
      <c r="Q184" s="276"/>
      <c r="R184" s="290"/>
      <c r="S184" s="276"/>
      <c r="T184" s="290"/>
      <c r="U184" s="276">
        <v>0</v>
      </c>
      <c r="V184" s="290">
        <v>0</v>
      </c>
    </row>
    <row r="185" spans="2:22" ht="19.8" customHeight="1" x14ac:dyDescent="0.6">
      <c r="B185" s="268">
        <v>14</v>
      </c>
      <c r="C185" s="255" t="s">
        <v>431</v>
      </c>
      <c r="D185" s="303"/>
      <c r="E185" s="276"/>
      <c r="G185" s="290"/>
      <c r="I185" s="290"/>
      <c r="J185" s="298"/>
      <c r="K185" s="316"/>
      <c r="L185" s="271"/>
      <c r="M185" s="276"/>
      <c r="N185" s="290"/>
      <c r="O185" s="276"/>
      <c r="P185" s="290"/>
      <c r="Q185" s="276"/>
      <c r="R185" s="290"/>
      <c r="S185" s="276"/>
      <c r="T185" s="290"/>
      <c r="U185" s="276">
        <v>0</v>
      </c>
      <c r="V185" s="290">
        <v>0</v>
      </c>
    </row>
    <row r="186" spans="2:22" ht="19.8" customHeight="1" x14ac:dyDescent="0.6">
      <c r="B186" s="268">
        <v>15</v>
      </c>
      <c r="C186" s="255" t="s">
        <v>484</v>
      </c>
      <c r="D186" s="303" t="s">
        <v>471</v>
      </c>
      <c r="E186" s="276" t="s">
        <v>61</v>
      </c>
      <c r="G186" s="290"/>
      <c r="I186" s="290">
        <v>24386.74</v>
      </c>
      <c r="J186" s="298">
        <f t="shared" ref="J186" si="96">IF(G186="-","-",IF(D186&gt;0,ROUNDDOWN(I186*D186,0),""))</f>
        <v>1877778</v>
      </c>
      <c r="K186" s="316">
        <v>1877778</v>
      </c>
      <c r="L186" s="271"/>
      <c r="M186" s="276"/>
      <c r="N186" s="290">
        <f t="shared" ref="N186" si="97">ROUNDDOWN(M186*$I186,0)</f>
        <v>0</v>
      </c>
      <c r="O186" s="276"/>
      <c r="P186" s="290">
        <v>1360000</v>
      </c>
      <c r="Q186" s="276"/>
      <c r="R186" s="290"/>
      <c r="S186" s="276"/>
      <c r="T186" s="290"/>
      <c r="U186" s="276">
        <v>77</v>
      </c>
      <c r="V186" s="290">
        <v>1360000</v>
      </c>
    </row>
    <row r="187" spans="2:22" ht="19.8" customHeight="1" x14ac:dyDescent="0.6">
      <c r="B187" s="268"/>
      <c r="C187" s="255" t="s">
        <v>52</v>
      </c>
      <c r="D187" s="303"/>
      <c r="E187" s="276"/>
      <c r="G187" s="290"/>
      <c r="I187" s="290"/>
      <c r="J187" s="298"/>
      <c r="K187" s="316"/>
      <c r="L187" s="271"/>
      <c r="M187" s="276"/>
      <c r="N187" s="290"/>
      <c r="O187" s="276"/>
      <c r="P187" s="290"/>
      <c r="Q187" s="276"/>
      <c r="R187" s="290"/>
      <c r="S187" s="276"/>
      <c r="T187" s="290"/>
      <c r="U187" s="276">
        <v>0</v>
      </c>
      <c r="V187" s="290">
        <v>0</v>
      </c>
    </row>
    <row r="188" spans="2:22" ht="19.8" customHeight="1" x14ac:dyDescent="0.6">
      <c r="B188" s="268">
        <v>16</v>
      </c>
      <c r="C188" s="255" t="s">
        <v>485</v>
      </c>
      <c r="D188" s="303" t="s">
        <v>470</v>
      </c>
      <c r="E188" s="276" t="s">
        <v>61</v>
      </c>
      <c r="G188" s="290"/>
      <c r="I188" s="290">
        <v>12450.64</v>
      </c>
      <c r="J188" s="298">
        <f t="shared" ref="J188" si="98">IF(G188="-","-",IF(D188&gt;0,ROUNDDOWN(I188*D188,0),""))</f>
        <v>871544</v>
      </c>
      <c r="K188" s="316">
        <v>871544</v>
      </c>
      <c r="L188" s="271"/>
      <c r="M188" s="276"/>
      <c r="N188" s="290">
        <f t="shared" ref="N188" si="99">ROUNDDOWN(M188*$I188,0)</f>
        <v>0</v>
      </c>
      <c r="O188" s="276"/>
      <c r="P188" s="290">
        <f t="shared" ref="P188" si="100">ROUNDDOWN(O188*$I188,0)</f>
        <v>0</v>
      </c>
      <c r="Q188" s="276">
        <v>70</v>
      </c>
      <c r="R188" s="290">
        <v>1360000</v>
      </c>
      <c r="S188" s="276"/>
      <c r="T188" s="290"/>
      <c r="U188" s="276">
        <v>70</v>
      </c>
      <c r="V188" s="290">
        <v>1360000</v>
      </c>
    </row>
    <row r="189" spans="2:22" ht="19.8" customHeight="1" x14ac:dyDescent="0.6">
      <c r="B189" s="268"/>
      <c r="C189" s="255" t="s">
        <v>52</v>
      </c>
      <c r="D189" s="303"/>
      <c r="E189" s="276"/>
      <c r="G189" s="290"/>
      <c r="I189" s="290"/>
      <c r="J189" s="298"/>
      <c r="K189" s="316"/>
      <c r="L189" s="271"/>
      <c r="M189" s="276"/>
      <c r="N189" s="290"/>
      <c r="O189" s="276"/>
      <c r="P189" s="290"/>
      <c r="Q189" s="276"/>
      <c r="R189" s="290"/>
      <c r="S189" s="276"/>
      <c r="T189" s="290"/>
      <c r="U189" s="276">
        <v>0</v>
      </c>
      <c r="V189" s="290">
        <v>0</v>
      </c>
    </row>
    <row r="190" spans="2:22" ht="19.8" customHeight="1" x14ac:dyDescent="0.6">
      <c r="B190" s="268"/>
      <c r="D190" s="303"/>
      <c r="E190" s="276"/>
      <c r="G190" s="290"/>
      <c r="I190" s="290"/>
      <c r="J190" s="298"/>
      <c r="K190" s="316"/>
      <c r="L190" s="271"/>
      <c r="M190" s="276"/>
      <c r="N190" s="290"/>
      <c r="O190" s="276"/>
      <c r="P190" s="290"/>
      <c r="Q190" s="276"/>
      <c r="R190" s="290"/>
      <c r="S190" s="276"/>
      <c r="T190" s="290"/>
      <c r="U190" s="276">
        <v>0</v>
      </c>
      <c r="V190" s="290">
        <v>0</v>
      </c>
    </row>
    <row r="191" spans="2:22" ht="19.8" customHeight="1" x14ac:dyDescent="0.6">
      <c r="B191" s="826" t="s">
        <v>487</v>
      </c>
      <c r="C191" s="827"/>
      <c r="D191" s="294" t="s">
        <v>474</v>
      </c>
      <c r="E191" s="257" t="s">
        <v>57</v>
      </c>
      <c r="F191" s="296"/>
      <c r="G191" s="293"/>
      <c r="H191" s="297"/>
      <c r="I191" s="293"/>
      <c r="J191" s="299">
        <f>SUM(J169:J190)</f>
        <v>3976232</v>
      </c>
      <c r="K191" s="319">
        <v>3976232</v>
      </c>
      <c r="L191" s="262"/>
      <c r="M191" s="257"/>
      <c r="N191" s="293">
        <f>SUM(N169:N190)</f>
        <v>17394</v>
      </c>
      <c r="O191" s="257"/>
      <c r="P191" s="293">
        <f>SUM(P169:P190)</f>
        <v>1360000</v>
      </c>
      <c r="Q191" s="257"/>
      <c r="R191" s="293">
        <v>1360000</v>
      </c>
      <c r="S191" s="257"/>
      <c r="T191" s="293">
        <v>1360000</v>
      </c>
      <c r="U191" s="257">
        <v>0</v>
      </c>
      <c r="V191" s="293">
        <v>2737394</v>
      </c>
    </row>
    <row r="192" spans="2:22" ht="19.8" customHeight="1" x14ac:dyDescent="0.6">
      <c r="B192" s="306">
        <v>1.7</v>
      </c>
      <c r="C192" s="255" t="s">
        <v>65</v>
      </c>
      <c r="D192" s="303"/>
      <c r="E192" s="276"/>
      <c r="G192" s="290"/>
      <c r="I192" s="290"/>
      <c r="J192" s="298"/>
      <c r="K192" s="316"/>
      <c r="L192" s="271"/>
      <c r="M192" s="276"/>
      <c r="N192" s="290"/>
      <c r="O192" s="276"/>
      <c r="P192" s="290"/>
      <c r="Q192" s="276"/>
      <c r="R192" s="290"/>
      <c r="S192" s="276"/>
      <c r="T192" s="290"/>
      <c r="U192" s="276">
        <v>0</v>
      </c>
      <c r="V192" s="290">
        <v>0</v>
      </c>
    </row>
    <row r="193" spans="2:22" ht="19.8" customHeight="1" x14ac:dyDescent="0.6">
      <c r="B193" s="268"/>
      <c r="C193" s="255" t="s">
        <v>488</v>
      </c>
      <c r="D193" s="303"/>
      <c r="E193" s="276"/>
      <c r="G193" s="290"/>
      <c r="I193" s="290"/>
      <c r="J193" s="298"/>
      <c r="K193" s="316"/>
      <c r="L193" s="271"/>
      <c r="M193" s="276"/>
      <c r="N193" s="290"/>
      <c r="O193" s="276"/>
      <c r="P193" s="290"/>
      <c r="Q193" s="276"/>
      <c r="R193" s="290"/>
      <c r="S193" s="276"/>
      <c r="T193" s="290"/>
      <c r="U193" s="276">
        <v>0</v>
      </c>
      <c r="V193" s="290">
        <v>0</v>
      </c>
    </row>
    <row r="194" spans="2:22" ht="19.8" customHeight="1" x14ac:dyDescent="0.6">
      <c r="B194" s="268"/>
      <c r="C194" s="255" t="s">
        <v>489</v>
      </c>
      <c r="D194" s="303"/>
      <c r="E194" s="276"/>
      <c r="G194" s="290"/>
      <c r="I194" s="290"/>
      <c r="J194" s="298"/>
      <c r="K194" s="316"/>
      <c r="L194" s="271"/>
      <c r="M194" s="276"/>
      <c r="N194" s="290"/>
      <c r="O194" s="276"/>
      <c r="P194" s="290"/>
      <c r="Q194" s="276"/>
      <c r="R194" s="290"/>
      <c r="S194" s="276"/>
      <c r="T194" s="290"/>
      <c r="U194" s="276">
        <v>0</v>
      </c>
      <c r="V194" s="290">
        <v>0</v>
      </c>
    </row>
    <row r="195" spans="2:22" ht="19.8" customHeight="1" x14ac:dyDescent="0.6">
      <c r="B195" s="268">
        <v>1</v>
      </c>
      <c r="C195" s="255" t="s">
        <v>194</v>
      </c>
      <c r="D195" s="303" t="s">
        <v>410</v>
      </c>
      <c r="E195" s="276" t="s">
        <v>78</v>
      </c>
      <c r="G195" s="290"/>
      <c r="I195" s="290">
        <v>17394</v>
      </c>
      <c r="J195" s="298">
        <f t="shared" ref="J195:J205" si="101">IF(G195="-","-",IF(D195&gt;0,ROUNDDOWN(I195*D195,0),""))</f>
        <v>34788</v>
      </c>
      <c r="K195" s="316">
        <v>34788</v>
      </c>
      <c r="L195" s="271"/>
      <c r="M195" s="276">
        <v>2</v>
      </c>
      <c r="N195" s="290">
        <f t="shared" ref="N195:N205" si="102">ROUNDDOWN(M195*$I195,0)</f>
        <v>34788</v>
      </c>
      <c r="O195" s="276"/>
      <c r="P195" s="290">
        <f t="shared" ref="P195:P205" si="103">ROUNDDOWN(O195*$I195,0)</f>
        <v>0</v>
      </c>
      <c r="Q195" s="276"/>
      <c r="R195" s="290"/>
      <c r="S195" s="276"/>
      <c r="T195" s="290"/>
      <c r="U195" s="276">
        <v>2</v>
      </c>
      <c r="V195" s="290">
        <v>34788</v>
      </c>
    </row>
    <row r="196" spans="2:22" ht="19.8" customHeight="1" x14ac:dyDescent="0.6">
      <c r="B196" s="268">
        <v>2</v>
      </c>
      <c r="C196" s="255" t="s">
        <v>195</v>
      </c>
      <c r="D196" s="303" t="s">
        <v>490</v>
      </c>
      <c r="E196" s="276" t="s">
        <v>55</v>
      </c>
      <c r="G196" s="290"/>
      <c r="I196" s="290">
        <v>38.44</v>
      </c>
      <c r="J196" s="298">
        <f t="shared" si="101"/>
        <v>64963</v>
      </c>
      <c r="K196" s="316">
        <v>64963</v>
      </c>
      <c r="L196" s="271"/>
      <c r="M196" s="276"/>
      <c r="N196" s="290">
        <f t="shared" si="102"/>
        <v>0</v>
      </c>
      <c r="O196" s="276"/>
      <c r="P196" s="290">
        <f t="shared" si="103"/>
        <v>0</v>
      </c>
      <c r="Q196" s="276"/>
      <c r="R196" s="290"/>
      <c r="S196" s="276"/>
      <c r="T196" s="290"/>
      <c r="U196" s="276">
        <v>0</v>
      </c>
      <c r="V196" s="290">
        <v>0</v>
      </c>
    </row>
    <row r="197" spans="2:22" ht="19.8" customHeight="1" x14ac:dyDescent="0.6">
      <c r="B197" s="268">
        <v>5</v>
      </c>
      <c r="C197" s="255" t="s">
        <v>196</v>
      </c>
      <c r="D197" s="303" t="s">
        <v>441</v>
      </c>
      <c r="E197" s="276" t="s">
        <v>61</v>
      </c>
      <c r="G197" s="290"/>
      <c r="I197" s="290">
        <v>811.72</v>
      </c>
      <c r="J197" s="298">
        <f t="shared" si="101"/>
        <v>4870</v>
      </c>
      <c r="K197" s="316">
        <v>4870</v>
      </c>
      <c r="L197" s="271"/>
      <c r="M197" s="276"/>
      <c r="N197" s="290">
        <f t="shared" si="102"/>
        <v>0</v>
      </c>
      <c r="O197" s="276"/>
      <c r="P197" s="290">
        <f t="shared" si="103"/>
        <v>0</v>
      </c>
      <c r="Q197" s="276"/>
      <c r="R197" s="290"/>
      <c r="S197" s="276"/>
      <c r="T197" s="290"/>
      <c r="U197" s="276">
        <v>0</v>
      </c>
      <c r="V197" s="290">
        <v>0</v>
      </c>
    </row>
    <row r="198" spans="2:22" ht="19.8" customHeight="1" x14ac:dyDescent="0.6">
      <c r="B198" s="268">
        <v>6</v>
      </c>
      <c r="C198" s="255" t="s">
        <v>440</v>
      </c>
      <c r="D198" s="303" t="s">
        <v>491</v>
      </c>
      <c r="E198" s="276" t="s">
        <v>62</v>
      </c>
      <c r="G198" s="290"/>
      <c r="I198" s="290">
        <v>721.05</v>
      </c>
      <c r="J198" s="298">
        <f t="shared" si="101"/>
        <v>711676</v>
      </c>
      <c r="K198" s="316">
        <v>711676</v>
      </c>
      <c r="L198" s="271"/>
      <c r="M198" s="276"/>
      <c r="N198" s="290">
        <f t="shared" si="102"/>
        <v>0</v>
      </c>
      <c r="O198" s="276"/>
      <c r="P198" s="290">
        <f t="shared" si="103"/>
        <v>0</v>
      </c>
      <c r="Q198" s="276"/>
      <c r="R198" s="290"/>
      <c r="S198" s="276"/>
      <c r="T198" s="290"/>
      <c r="U198" s="276">
        <v>0</v>
      </c>
      <c r="V198" s="290">
        <v>0</v>
      </c>
    </row>
    <row r="199" spans="2:22" ht="19.8" customHeight="1" x14ac:dyDescent="0.6">
      <c r="B199" s="268">
        <v>7</v>
      </c>
      <c r="C199" s="255" t="s">
        <v>387</v>
      </c>
      <c r="D199" s="303" t="s">
        <v>492</v>
      </c>
      <c r="E199" s="276" t="s">
        <v>55</v>
      </c>
      <c r="G199" s="290"/>
      <c r="I199" s="290">
        <v>865.06</v>
      </c>
      <c r="J199" s="298">
        <f t="shared" si="101"/>
        <v>843433</v>
      </c>
      <c r="K199" s="316">
        <v>843433</v>
      </c>
      <c r="L199" s="271"/>
      <c r="M199" s="276"/>
      <c r="N199" s="290">
        <f t="shared" si="102"/>
        <v>0</v>
      </c>
      <c r="O199" s="276"/>
      <c r="P199" s="290">
        <f t="shared" si="103"/>
        <v>0</v>
      </c>
      <c r="Q199" s="276"/>
      <c r="R199" s="290"/>
      <c r="S199" s="276"/>
      <c r="T199" s="290"/>
      <c r="U199" s="276">
        <v>0</v>
      </c>
      <c r="V199" s="290">
        <v>0</v>
      </c>
    </row>
    <row r="200" spans="2:22" ht="19.8" customHeight="1" x14ac:dyDescent="0.6">
      <c r="B200" s="268">
        <v>8</v>
      </c>
      <c r="C200" s="255" t="s">
        <v>197</v>
      </c>
      <c r="D200" s="303" t="s">
        <v>493</v>
      </c>
      <c r="E200" s="276" t="s">
        <v>54</v>
      </c>
      <c r="G200" s="290"/>
      <c r="I200" s="290">
        <v>104.6</v>
      </c>
      <c r="J200" s="298">
        <f t="shared" si="101"/>
        <v>164117</v>
      </c>
      <c r="K200" s="316">
        <v>164117</v>
      </c>
      <c r="L200" s="271"/>
      <c r="M200" s="276"/>
      <c r="N200" s="290">
        <f t="shared" si="102"/>
        <v>0</v>
      </c>
      <c r="O200" s="276"/>
      <c r="P200" s="290">
        <f t="shared" si="103"/>
        <v>0</v>
      </c>
      <c r="Q200" s="276"/>
      <c r="R200" s="290"/>
      <c r="S200" s="276"/>
      <c r="T200" s="290"/>
      <c r="U200" s="276">
        <v>0</v>
      </c>
      <c r="V200" s="290">
        <v>0</v>
      </c>
    </row>
    <row r="201" spans="2:22" ht="19.8" customHeight="1" x14ac:dyDescent="0.6">
      <c r="B201" s="268">
        <v>9</v>
      </c>
      <c r="C201" s="255" t="s">
        <v>215</v>
      </c>
      <c r="D201" s="303" t="s">
        <v>494</v>
      </c>
      <c r="E201" s="276" t="s">
        <v>55</v>
      </c>
      <c r="G201" s="290"/>
      <c r="I201" s="290">
        <v>330.94</v>
      </c>
      <c r="J201" s="298">
        <f t="shared" si="101"/>
        <v>266737</v>
      </c>
      <c r="K201" s="316">
        <v>266737</v>
      </c>
      <c r="L201" s="271"/>
      <c r="M201" s="276"/>
      <c r="N201" s="290">
        <f t="shared" si="102"/>
        <v>0</v>
      </c>
      <c r="O201" s="276"/>
      <c r="P201" s="290">
        <f t="shared" si="103"/>
        <v>0</v>
      </c>
      <c r="Q201" s="276"/>
      <c r="R201" s="290"/>
      <c r="S201" s="276"/>
      <c r="T201" s="290"/>
      <c r="U201" s="276">
        <v>0</v>
      </c>
      <c r="V201" s="290">
        <v>0</v>
      </c>
    </row>
    <row r="202" spans="2:22" ht="19.8" customHeight="1" x14ac:dyDescent="0.6">
      <c r="B202" s="268">
        <v>10</v>
      </c>
      <c r="C202" s="255" t="s">
        <v>216</v>
      </c>
      <c r="D202" s="303" t="s">
        <v>498</v>
      </c>
      <c r="E202" s="276" t="s">
        <v>55</v>
      </c>
      <c r="G202" s="290"/>
      <c r="I202" s="290">
        <v>82.27</v>
      </c>
      <c r="J202" s="298">
        <f t="shared" si="101"/>
        <v>326200</v>
      </c>
      <c r="K202" s="316">
        <v>326200</v>
      </c>
      <c r="L202" s="271"/>
      <c r="M202" s="276"/>
      <c r="N202" s="290">
        <f t="shared" si="102"/>
        <v>0</v>
      </c>
      <c r="O202" s="276"/>
      <c r="P202" s="290">
        <f t="shared" si="103"/>
        <v>0</v>
      </c>
      <c r="Q202" s="276"/>
      <c r="R202" s="290"/>
      <c r="S202" s="276"/>
      <c r="T202" s="290"/>
      <c r="U202" s="276">
        <v>0</v>
      </c>
      <c r="V202" s="290">
        <v>0</v>
      </c>
    </row>
    <row r="203" spans="2:22" ht="19.8" customHeight="1" x14ac:dyDescent="0.6">
      <c r="B203" s="268">
        <v>11</v>
      </c>
      <c r="C203" s="255" t="s">
        <v>448</v>
      </c>
      <c r="D203" s="303" t="s">
        <v>499</v>
      </c>
      <c r="E203" s="276" t="s">
        <v>57</v>
      </c>
      <c r="G203" s="290"/>
      <c r="I203" s="290">
        <v>4950.37</v>
      </c>
      <c r="J203" s="298">
        <f t="shared" si="101"/>
        <v>1608870</v>
      </c>
      <c r="K203" s="316">
        <v>1608870</v>
      </c>
      <c r="L203" s="271"/>
      <c r="M203" s="276"/>
      <c r="N203" s="290">
        <f t="shared" si="102"/>
        <v>0</v>
      </c>
      <c r="O203" s="276"/>
      <c r="P203" s="290">
        <f t="shared" si="103"/>
        <v>0</v>
      </c>
      <c r="Q203" s="276"/>
      <c r="R203" s="290"/>
      <c r="S203" s="276"/>
      <c r="T203" s="290"/>
      <c r="U203" s="276">
        <v>0</v>
      </c>
      <c r="V203" s="290">
        <v>0</v>
      </c>
    </row>
    <row r="204" spans="2:22" ht="19.8" customHeight="1" x14ac:dyDescent="0.6">
      <c r="B204" s="268">
        <v>12</v>
      </c>
      <c r="C204" s="255" t="s">
        <v>450</v>
      </c>
      <c r="D204" s="303" t="s">
        <v>473</v>
      </c>
      <c r="E204" s="276" t="s">
        <v>57</v>
      </c>
      <c r="G204" s="290"/>
      <c r="I204" s="290">
        <v>3308.61</v>
      </c>
      <c r="J204" s="298">
        <f t="shared" si="101"/>
        <v>11580</v>
      </c>
      <c r="K204" s="316">
        <v>11580</v>
      </c>
      <c r="L204" s="271"/>
      <c r="M204" s="276"/>
      <c r="N204" s="290">
        <f t="shared" si="102"/>
        <v>0</v>
      </c>
      <c r="O204" s="276"/>
      <c r="P204" s="290">
        <f t="shared" si="103"/>
        <v>0</v>
      </c>
      <c r="Q204" s="276"/>
      <c r="R204" s="290"/>
      <c r="S204" s="276"/>
      <c r="T204" s="290"/>
      <c r="U204" s="276">
        <v>0</v>
      </c>
      <c r="V204" s="290">
        <v>0</v>
      </c>
    </row>
    <row r="205" spans="2:22" ht="19.8" customHeight="1" x14ac:dyDescent="0.6">
      <c r="B205" s="268">
        <v>13</v>
      </c>
      <c r="C205" s="255" t="s">
        <v>212</v>
      </c>
      <c r="D205" s="303" t="s">
        <v>500</v>
      </c>
      <c r="E205" s="276" t="s">
        <v>57</v>
      </c>
      <c r="G205" s="290"/>
      <c r="I205" s="290">
        <v>3101.93</v>
      </c>
      <c r="J205" s="298">
        <f t="shared" si="101"/>
        <v>1018984</v>
      </c>
      <c r="K205" s="316">
        <v>1018984</v>
      </c>
      <c r="L205" s="271"/>
      <c r="M205" s="276"/>
      <c r="N205" s="290">
        <f t="shared" si="102"/>
        <v>0</v>
      </c>
      <c r="O205" s="276"/>
      <c r="P205" s="290">
        <f t="shared" si="103"/>
        <v>0</v>
      </c>
      <c r="Q205" s="276"/>
      <c r="R205" s="290"/>
      <c r="S205" s="276"/>
      <c r="T205" s="290"/>
      <c r="U205" s="276">
        <v>0</v>
      </c>
      <c r="V205" s="290">
        <v>0</v>
      </c>
    </row>
    <row r="206" spans="2:22" ht="19.8" customHeight="1" x14ac:dyDescent="0.6">
      <c r="B206" s="268">
        <v>14</v>
      </c>
      <c r="C206" s="255" t="s">
        <v>56</v>
      </c>
      <c r="D206" s="303"/>
      <c r="E206" s="276"/>
      <c r="G206" s="290"/>
      <c r="I206" s="290"/>
      <c r="J206" s="298"/>
      <c r="K206" s="316"/>
      <c r="L206" s="271"/>
      <c r="M206" s="276"/>
      <c r="N206" s="290"/>
      <c r="O206" s="276"/>
      <c r="P206" s="290"/>
      <c r="Q206" s="276"/>
      <c r="R206" s="290"/>
      <c r="S206" s="276"/>
      <c r="T206" s="290"/>
      <c r="U206" s="276">
        <v>0</v>
      </c>
      <c r="V206" s="290">
        <v>0</v>
      </c>
    </row>
    <row r="207" spans="2:22" ht="19.8" customHeight="1" x14ac:dyDescent="0.6">
      <c r="B207" s="268"/>
      <c r="C207" s="261" t="s">
        <v>397</v>
      </c>
      <c r="D207" s="303" t="s">
        <v>501</v>
      </c>
      <c r="E207" s="276" t="s">
        <v>57</v>
      </c>
      <c r="G207" s="290"/>
      <c r="I207" s="290">
        <v>802.05</v>
      </c>
      <c r="J207" s="298">
        <f t="shared" ref="J207:J208" si="104">IF(G207="-","-",IF(D207&gt;0,ROUNDDOWN(I207*D207,0),""))</f>
        <v>250239</v>
      </c>
      <c r="K207" s="316">
        <v>250239</v>
      </c>
      <c r="L207" s="271"/>
      <c r="M207" s="276"/>
      <c r="N207" s="290">
        <f t="shared" ref="N207:N208" si="105">ROUNDDOWN(M207*$I207,0)</f>
        <v>0</v>
      </c>
      <c r="O207" s="276"/>
      <c r="P207" s="290">
        <f t="shared" ref="P207:P208" si="106">ROUNDDOWN(O207*$I207,0)</f>
        <v>0</v>
      </c>
      <c r="Q207" s="276"/>
      <c r="R207" s="290"/>
      <c r="S207" s="276"/>
      <c r="T207" s="290"/>
      <c r="U207" s="276">
        <v>0</v>
      </c>
      <c r="V207" s="290">
        <v>0</v>
      </c>
    </row>
    <row r="208" spans="2:22" ht="19.8" customHeight="1" x14ac:dyDescent="0.6">
      <c r="B208" s="268"/>
      <c r="C208" s="261" t="s">
        <v>430</v>
      </c>
      <c r="D208" s="303" t="s">
        <v>502</v>
      </c>
      <c r="E208" s="276" t="s">
        <v>58</v>
      </c>
      <c r="G208" s="290"/>
      <c r="I208" s="290">
        <v>4438.1000000000004</v>
      </c>
      <c r="J208" s="298">
        <f t="shared" si="104"/>
        <v>71009</v>
      </c>
      <c r="K208" s="316">
        <v>71009</v>
      </c>
      <c r="L208" s="271"/>
      <c r="M208" s="276"/>
      <c r="N208" s="290">
        <f t="shared" si="105"/>
        <v>0</v>
      </c>
      <c r="O208" s="276"/>
      <c r="P208" s="290">
        <f t="shared" si="106"/>
        <v>0</v>
      </c>
      <c r="Q208" s="276"/>
      <c r="R208" s="290"/>
      <c r="S208" s="276"/>
      <c r="T208" s="290"/>
      <c r="U208" s="276">
        <v>0</v>
      </c>
      <c r="V208" s="290">
        <v>0</v>
      </c>
    </row>
    <row r="209" spans="2:22" ht="19.8" customHeight="1" x14ac:dyDescent="0.6">
      <c r="B209" s="268">
        <v>15</v>
      </c>
      <c r="C209" s="261" t="s">
        <v>59</v>
      </c>
      <c r="D209" s="303"/>
      <c r="E209" s="276"/>
      <c r="G209" s="290"/>
      <c r="I209" s="290"/>
      <c r="J209" s="298"/>
      <c r="K209" s="316"/>
      <c r="L209" s="271"/>
      <c r="M209" s="276"/>
      <c r="N209" s="290"/>
      <c r="O209" s="276"/>
      <c r="P209" s="290"/>
      <c r="Q209" s="276"/>
      <c r="R209" s="290"/>
      <c r="S209" s="276"/>
      <c r="T209" s="290"/>
      <c r="U209" s="276">
        <v>0</v>
      </c>
      <c r="V209" s="290">
        <v>0</v>
      </c>
    </row>
    <row r="210" spans="2:22" ht="19.8" customHeight="1" x14ac:dyDescent="0.6">
      <c r="B210" s="268">
        <v>16</v>
      </c>
      <c r="C210" s="261" t="s">
        <v>484</v>
      </c>
      <c r="D210" s="303" t="s">
        <v>497</v>
      </c>
      <c r="E210" s="276" t="s">
        <v>61</v>
      </c>
      <c r="G210" s="290"/>
      <c r="I210" s="290">
        <v>24386.74</v>
      </c>
      <c r="J210" s="298">
        <f t="shared" ref="J210" si="107">IF(G210="-","-",IF(D210&gt;0,ROUNDDOWN(I210*D210,0),""))</f>
        <v>8096397</v>
      </c>
      <c r="K210" s="316">
        <v>8096397</v>
      </c>
      <c r="L210" s="271"/>
      <c r="M210" s="276"/>
      <c r="N210" s="290">
        <f t="shared" ref="N210" si="108">ROUNDDOWN(M210*$I210,0)</f>
        <v>0</v>
      </c>
      <c r="O210" s="276"/>
      <c r="P210" s="290">
        <f t="shared" ref="P210" si="109">ROUNDDOWN(O210*$I210,0)</f>
        <v>0</v>
      </c>
      <c r="Q210" s="276">
        <v>100</v>
      </c>
      <c r="R210" s="290">
        <v>1700000</v>
      </c>
      <c r="S210" s="276"/>
      <c r="T210" s="290"/>
      <c r="U210" s="276">
        <v>200</v>
      </c>
      <c r="V210" s="290">
        <v>3400000</v>
      </c>
    </row>
    <row r="211" spans="2:22" ht="19.8" customHeight="1" x14ac:dyDescent="0.6">
      <c r="B211" s="268"/>
      <c r="C211" s="261" t="s">
        <v>52</v>
      </c>
      <c r="D211" s="303"/>
      <c r="E211" s="276"/>
      <c r="G211" s="290"/>
      <c r="I211" s="290"/>
      <c r="J211" s="298"/>
      <c r="K211" s="316"/>
      <c r="L211" s="271"/>
      <c r="M211" s="276"/>
      <c r="N211" s="290"/>
      <c r="O211" s="276"/>
      <c r="P211" s="290"/>
      <c r="Q211" s="276"/>
      <c r="R211" s="290"/>
      <c r="S211" s="276"/>
      <c r="T211" s="290"/>
      <c r="U211" s="276">
        <v>0</v>
      </c>
      <c r="V211" s="290">
        <v>0</v>
      </c>
    </row>
    <row r="212" spans="2:22" ht="19.8" customHeight="1" x14ac:dyDescent="0.6">
      <c r="B212" s="268">
        <v>17</v>
      </c>
      <c r="C212" s="261" t="s">
        <v>495</v>
      </c>
      <c r="D212" s="303" t="s">
        <v>496</v>
      </c>
      <c r="E212" s="276" t="s">
        <v>61</v>
      </c>
      <c r="G212" s="290"/>
      <c r="I212" s="290">
        <v>12450.64</v>
      </c>
      <c r="J212" s="298">
        <f t="shared" ref="J212" si="110">IF(G212="-","-",IF(D212&gt;0,ROUNDDOWN(I212*D212,0),""))</f>
        <v>4046458</v>
      </c>
      <c r="K212" s="316">
        <v>4046458</v>
      </c>
      <c r="L212" s="271"/>
      <c r="M212" s="276"/>
      <c r="N212" s="290">
        <f t="shared" ref="N212" si="111">ROUNDDOWN(M212*$I212,0)</f>
        <v>0</v>
      </c>
      <c r="O212" s="276"/>
      <c r="P212" s="290">
        <v>870000</v>
      </c>
      <c r="Q212" s="276">
        <v>125</v>
      </c>
      <c r="R212" s="290">
        <v>1080000</v>
      </c>
      <c r="S212" s="276"/>
      <c r="T212" s="290"/>
      <c r="U212" s="276">
        <v>325</v>
      </c>
      <c r="V212" s="290">
        <v>2820000</v>
      </c>
    </row>
    <row r="213" spans="2:22" ht="19.8" customHeight="1" x14ac:dyDescent="0.6">
      <c r="B213" s="268"/>
      <c r="C213" s="261" t="s">
        <v>52</v>
      </c>
      <c r="D213" s="303"/>
      <c r="E213" s="276"/>
      <c r="G213" s="290"/>
      <c r="I213" s="290"/>
      <c r="J213" s="298"/>
      <c r="K213" s="316"/>
      <c r="L213" s="271"/>
      <c r="M213" s="276"/>
      <c r="N213" s="290"/>
      <c r="O213" s="276"/>
      <c r="P213" s="290"/>
      <c r="Q213" s="276"/>
      <c r="R213" s="290"/>
      <c r="S213" s="276"/>
      <c r="T213" s="290"/>
      <c r="U213" s="276" t="e">
        <v>#VALUE!</v>
      </c>
      <c r="V213" s="290">
        <v>0</v>
      </c>
    </row>
    <row r="214" spans="2:22" ht="19.8" customHeight="1" x14ac:dyDescent="0.6">
      <c r="B214" s="268"/>
      <c r="C214" s="261"/>
      <c r="D214" s="303"/>
      <c r="E214" s="276"/>
      <c r="G214" s="290"/>
      <c r="I214" s="290"/>
      <c r="J214" s="298"/>
      <c r="K214" s="316"/>
      <c r="L214" s="271"/>
      <c r="M214" s="276"/>
      <c r="N214" s="290"/>
      <c r="O214" s="276"/>
      <c r="P214" s="290"/>
      <c r="Q214" s="276"/>
      <c r="R214" s="290"/>
      <c r="S214" s="276"/>
      <c r="T214" s="290"/>
      <c r="U214" s="276">
        <v>0</v>
      </c>
      <c r="V214" s="290">
        <v>0</v>
      </c>
    </row>
    <row r="215" spans="2:22" ht="19.8" customHeight="1" x14ac:dyDescent="0.6">
      <c r="B215" s="826" t="s">
        <v>503</v>
      </c>
      <c r="C215" s="827"/>
      <c r="D215" s="294" t="s">
        <v>499</v>
      </c>
      <c r="E215" s="257" t="s">
        <v>57</v>
      </c>
      <c r="F215" s="296"/>
      <c r="G215" s="293"/>
      <c r="H215" s="297"/>
      <c r="I215" s="293"/>
      <c r="J215" s="299">
        <f>SUM(J192:J214)</f>
        <v>17520321</v>
      </c>
      <c r="K215" s="319">
        <v>17520321</v>
      </c>
      <c r="L215" s="262"/>
      <c r="M215" s="257"/>
      <c r="N215" s="293">
        <f>SUM(N192:N214)</f>
        <v>34788</v>
      </c>
      <c r="O215" s="257"/>
      <c r="P215" s="293">
        <f>SUM(P192:P214)</f>
        <v>870000</v>
      </c>
      <c r="Q215" s="257"/>
      <c r="R215" s="293">
        <v>2780000</v>
      </c>
      <c r="S215" s="257"/>
      <c r="T215" s="293">
        <v>2780000</v>
      </c>
      <c r="U215" s="257">
        <v>0</v>
      </c>
      <c r="V215" s="293">
        <v>6254788</v>
      </c>
    </row>
    <row r="216" spans="2:22" ht="19.8" customHeight="1" x14ac:dyDescent="0.6">
      <c r="B216" s="306">
        <v>1.8</v>
      </c>
      <c r="C216" s="261" t="s">
        <v>504</v>
      </c>
      <c r="D216" s="303"/>
      <c r="E216" s="276"/>
      <c r="G216" s="290"/>
      <c r="I216" s="290"/>
      <c r="J216" s="298"/>
      <c r="K216" s="316"/>
      <c r="L216" s="271"/>
      <c r="M216" s="276"/>
      <c r="N216" s="290"/>
      <c r="O216" s="276"/>
      <c r="P216" s="290"/>
      <c r="Q216" s="276"/>
      <c r="R216" s="290"/>
      <c r="S216" s="276"/>
      <c r="T216" s="290"/>
      <c r="U216" s="276">
        <v>0</v>
      </c>
      <c r="V216" s="290">
        <v>0</v>
      </c>
    </row>
    <row r="217" spans="2:22" ht="19.8" customHeight="1" x14ac:dyDescent="0.6">
      <c r="B217" s="268"/>
      <c r="C217" s="261" t="s">
        <v>505</v>
      </c>
      <c r="D217" s="303"/>
      <c r="E217" s="276"/>
      <c r="G217" s="290"/>
      <c r="I217" s="290"/>
      <c r="J217" s="298"/>
      <c r="K217" s="316"/>
      <c r="L217" s="271"/>
      <c r="M217" s="276"/>
      <c r="N217" s="290"/>
      <c r="O217" s="276"/>
      <c r="P217" s="290"/>
      <c r="Q217" s="276"/>
      <c r="R217" s="290"/>
      <c r="S217" s="276"/>
      <c r="T217" s="290"/>
      <c r="U217" s="276">
        <v>0</v>
      </c>
      <c r="V217" s="290">
        <v>0</v>
      </c>
    </row>
    <row r="218" spans="2:22" ht="19.8" customHeight="1" x14ac:dyDescent="0.6">
      <c r="B218" s="268"/>
      <c r="C218" s="261" t="s">
        <v>506</v>
      </c>
      <c r="D218" s="303"/>
      <c r="E218" s="276"/>
      <c r="G218" s="290"/>
      <c r="I218" s="290"/>
      <c r="J218" s="298"/>
      <c r="K218" s="316"/>
      <c r="L218" s="271"/>
      <c r="M218" s="276"/>
      <c r="N218" s="290"/>
      <c r="O218" s="276"/>
      <c r="P218" s="290"/>
      <c r="Q218" s="276"/>
      <c r="R218" s="290"/>
      <c r="S218" s="276"/>
      <c r="T218" s="290"/>
      <c r="U218" s="276">
        <v>0</v>
      </c>
      <c r="V218" s="290">
        <v>0</v>
      </c>
    </row>
    <row r="219" spans="2:22" ht="19.8" customHeight="1" x14ac:dyDescent="0.6">
      <c r="B219" s="268">
        <v>1</v>
      </c>
      <c r="C219" s="261" t="s">
        <v>194</v>
      </c>
      <c r="D219" s="303" t="s">
        <v>410</v>
      </c>
      <c r="E219" s="276" t="s">
        <v>78</v>
      </c>
      <c r="G219" s="290"/>
      <c r="I219" s="290">
        <v>17394</v>
      </c>
      <c r="J219" s="298">
        <f t="shared" ref="J219:J229" si="112">IF(G219="-","-",IF(D219&gt;0,ROUNDDOWN(I219*D219,0),""))</f>
        <v>34788</v>
      </c>
      <c r="K219" s="316">
        <v>34788</v>
      </c>
      <c r="L219" s="271"/>
      <c r="M219" s="276">
        <v>2</v>
      </c>
      <c r="N219" s="290">
        <f t="shared" ref="N219:N237" si="113">ROUNDDOWN(M219*$I219,0)</f>
        <v>34788</v>
      </c>
      <c r="O219" s="276"/>
      <c r="P219" s="290">
        <f t="shared" ref="P219:P237" si="114">ROUNDDOWN(O219*$I219,0)</f>
        <v>0</v>
      </c>
      <c r="Q219" s="276"/>
      <c r="R219" s="290"/>
      <c r="S219" s="276"/>
      <c r="T219" s="290"/>
      <c r="U219" s="276">
        <v>2</v>
      </c>
      <c r="V219" s="290">
        <v>34788</v>
      </c>
    </row>
    <row r="220" spans="2:22" ht="19.8" customHeight="1" x14ac:dyDescent="0.6">
      <c r="B220" s="268">
        <v>2</v>
      </c>
      <c r="C220" s="261" t="s">
        <v>195</v>
      </c>
      <c r="D220" s="303" t="s">
        <v>521</v>
      </c>
      <c r="E220" s="276" t="s">
        <v>55</v>
      </c>
      <c r="G220" s="290"/>
      <c r="I220" s="290">
        <v>38.44</v>
      </c>
      <c r="J220" s="298">
        <f t="shared" si="112"/>
        <v>73343</v>
      </c>
      <c r="K220" s="316">
        <v>73343</v>
      </c>
      <c r="L220" s="271"/>
      <c r="M220" s="276"/>
      <c r="N220" s="290">
        <f t="shared" si="113"/>
        <v>0</v>
      </c>
      <c r="O220" s="276"/>
      <c r="P220" s="290">
        <f t="shared" si="114"/>
        <v>0</v>
      </c>
      <c r="Q220" s="276"/>
      <c r="R220" s="290"/>
      <c r="S220" s="276"/>
      <c r="T220" s="290"/>
      <c r="U220" s="276">
        <v>0</v>
      </c>
      <c r="V220" s="290">
        <v>0</v>
      </c>
    </row>
    <row r="221" spans="2:22" ht="19.8" customHeight="1" x14ac:dyDescent="0.6">
      <c r="B221" s="268">
        <v>5</v>
      </c>
      <c r="C221" s="261" t="s">
        <v>196</v>
      </c>
      <c r="D221" s="303" t="s">
        <v>442</v>
      </c>
      <c r="E221" s="276" t="s">
        <v>61</v>
      </c>
      <c r="G221" s="290"/>
      <c r="I221" s="290">
        <v>811.72</v>
      </c>
      <c r="J221" s="298">
        <f t="shared" si="112"/>
        <v>5682</v>
      </c>
      <c r="K221" s="316">
        <v>5682</v>
      </c>
      <c r="L221" s="271"/>
      <c r="M221" s="276"/>
      <c r="N221" s="290">
        <f t="shared" si="113"/>
        <v>0</v>
      </c>
      <c r="O221" s="276"/>
      <c r="P221" s="290">
        <f t="shared" si="114"/>
        <v>0</v>
      </c>
      <c r="Q221" s="276"/>
      <c r="R221" s="290"/>
      <c r="S221" s="276"/>
      <c r="T221" s="290"/>
      <c r="U221" s="276">
        <v>0</v>
      </c>
      <c r="V221" s="290">
        <v>0</v>
      </c>
    </row>
    <row r="222" spans="2:22" ht="19.8" customHeight="1" x14ac:dyDescent="0.6">
      <c r="B222" s="268">
        <v>6</v>
      </c>
      <c r="C222" s="261" t="s">
        <v>440</v>
      </c>
      <c r="D222" s="303" t="s">
        <v>507</v>
      </c>
      <c r="E222" s="276" t="s">
        <v>62</v>
      </c>
      <c r="G222" s="290"/>
      <c r="I222" s="290">
        <v>721.05</v>
      </c>
      <c r="J222" s="298">
        <f t="shared" si="112"/>
        <v>802528</v>
      </c>
      <c r="K222" s="316">
        <v>802528</v>
      </c>
      <c r="L222" s="271"/>
      <c r="M222" s="276"/>
      <c r="N222" s="290">
        <f t="shared" si="113"/>
        <v>0</v>
      </c>
      <c r="O222" s="276"/>
      <c r="P222" s="290">
        <f t="shared" si="114"/>
        <v>0</v>
      </c>
      <c r="Q222" s="276"/>
      <c r="R222" s="290"/>
      <c r="S222" s="276"/>
      <c r="T222" s="290"/>
      <c r="U222" s="276">
        <v>0</v>
      </c>
      <c r="V222" s="290">
        <v>0</v>
      </c>
    </row>
    <row r="223" spans="2:22" ht="19.8" customHeight="1" x14ac:dyDescent="0.6">
      <c r="B223" s="268">
        <v>6</v>
      </c>
      <c r="C223" s="261" t="s">
        <v>387</v>
      </c>
      <c r="D223" s="303" t="s">
        <v>508</v>
      </c>
      <c r="E223" s="276" t="s">
        <v>55</v>
      </c>
      <c r="G223" s="290"/>
      <c r="I223" s="290">
        <v>865.06</v>
      </c>
      <c r="J223" s="298">
        <f t="shared" si="112"/>
        <v>952431</v>
      </c>
      <c r="K223" s="316">
        <v>952431</v>
      </c>
      <c r="L223" s="271"/>
      <c r="M223" s="276"/>
      <c r="N223" s="290">
        <f t="shared" si="113"/>
        <v>0</v>
      </c>
      <c r="O223" s="276"/>
      <c r="P223" s="290">
        <f t="shared" si="114"/>
        <v>0</v>
      </c>
      <c r="Q223" s="276"/>
      <c r="R223" s="290"/>
      <c r="S223" s="276"/>
      <c r="T223" s="290"/>
      <c r="U223" s="276">
        <v>0</v>
      </c>
      <c r="V223" s="290">
        <v>0</v>
      </c>
    </row>
    <row r="224" spans="2:22" ht="19.8" customHeight="1" x14ac:dyDescent="0.6">
      <c r="B224" s="268">
        <v>7</v>
      </c>
      <c r="C224" s="261" t="s">
        <v>197</v>
      </c>
      <c r="D224" s="303" t="s">
        <v>509</v>
      </c>
      <c r="E224" s="276" t="s">
        <v>54</v>
      </c>
      <c r="G224" s="290"/>
      <c r="I224" s="290">
        <v>104.6</v>
      </c>
      <c r="J224" s="298">
        <f t="shared" si="112"/>
        <v>185351</v>
      </c>
      <c r="K224" s="316">
        <v>185351</v>
      </c>
      <c r="L224" s="271"/>
      <c r="M224" s="276"/>
      <c r="N224" s="290">
        <f t="shared" si="113"/>
        <v>0</v>
      </c>
      <c r="O224" s="276"/>
      <c r="P224" s="290">
        <f t="shared" si="114"/>
        <v>0</v>
      </c>
      <c r="Q224" s="276"/>
      <c r="R224" s="290"/>
      <c r="S224" s="276"/>
      <c r="T224" s="290"/>
      <c r="U224" s="276">
        <v>0</v>
      </c>
      <c r="V224" s="290">
        <v>0</v>
      </c>
    </row>
    <row r="225" spans="2:22" ht="19.8" customHeight="1" x14ac:dyDescent="0.6">
      <c r="B225" s="268">
        <v>8</v>
      </c>
      <c r="C225" s="261" t="s">
        <v>215</v>
      </c>
      <c r="D225" s="303" t="s">
        <v>510</v>
      </c>
      <c r="E225" s="276" t="s">
        <v>55</v>
      </c>
      <c r="G225" s="290"/>
      <c r="I225" s="290">
        <v>330.94</v>
      </c>
      <c r="J225" s="298">
        <f t="shared" si="112"/>
        <v>301155</v>
      </c>
      <c r="K225" s="316">
        <v>301155</v>
      </c>
      <c r="L225" s="271"/>
      <c r="M225" s="276"/>
      <c r="N225" s="290">
        <f t="shared" si="113"/>
        <v>0</v>
      </c>
      <c r="O225" s="276"/>
      <c r="P225" s="290">
        <f t="shared" si="114"/>
        <v>0</v>
      </c>
      <c r="Q225" s="276"/>
      <c r="R225" s="290"/>
      <c r="S225" s="276"/>
      <c r="T225" s="290"/>
      <c r="U225" s="276">
        <v>0</v>
      </c>
      <c r="V225" s="290">
        <v>0</v>
      </c>
    </row>
    <row r="226" spans="2:22" ht="19.8" customHeight="1" x14ac:dyDescent="0.6">
      <c r="B226" s="268">
        <v>9</v>
      </c>
      <c r="C226" s="261" t="s">
        <v>216</v>
      </c>
      <c r="D226" s="303" t="s">
        <v>511</v>
      </c>
      <c r="E226" s="276" t="s">
        <v>55</v>
      </c>
      <c r="G226" s="290"/>
      <c r="I226" s="290">
        <v>82.27</v>
      </c>
      <c r="J226" s="298">
        <f t="shared" si="112"/>
        <v>127683</v>
      </c>
      <c r="K226" s="316">
        <v>127683</v>
      </c>
      <c r="L226" s="271"/>
      <c r="M226" s="276"/>
      <c r="N226" s="290">
        <f t="shared" si="113"/>
        <v>0</v>
      </c>
      <c r="O226" s="276"/>
      <c r="P226" s="290">
        <f t="shared" si="114"/>
        <v>0</v>
      </c>
      <c r="Q226" s="276"/>
      <c r="R226" s="290"/>
      <c r="S226" s="276"/>
      <c r="T226" s="290"/>
      <c r="U226" s="276">
        <v>0</v>
      </c>
      <c r="V226" s="290">
        <v>0</v>
      </c>
    </row>
    <row r="227" spans="2:22" ht="19.8" customHeight="1" x14ac:dyDescent="0.6">
      <c r="B227" s="268">
        <v>10</v>
      </c>
      <c r="C227" s="261" t="s">
        <v>448</v>
      </c>
      <c r="D227" s="303" t="s">
        <v>512</v>
      </c>
      <c r="E227" s="276" t="s">
        <v>57</v>
      </c>
      <c r="G227" s="290"/>
      <c r="I227" s="290">
        <v>4950.37</v>
      </c>
      <c r="J227" s="298">
        <f t="shared" si="112"/>
        <v>1816785</v>
      </c>
      <c r="K227" s="316">
        <v>1816785</v>
      </c>
      <c r="L227" s="271"/>
      <c r="M227" s="276"/>
      <c r="N227" s="290">
        <f t="shared" si="113"/>
        <v>0</v>
      </c>
      <c r="O227" s="276"/>
      <c r="P227" s="290">
        <f t="shared" si="114"/>
        <v>0</v>
      </c>
      <c r="Q227" s="276"/>
      <c r="R227" s="290"/>
      <c r="S227" s="276"/>
      <c r="T227" s="290"/>
      <c r="U227" s="276">
        <v>0</v>
      </c>
      <c r="V227" s="290">
        <v>0</v>
      </c>
    </row>
    <row r="228" spans="2:22" ht="19.8" customHeight="1" x14ac:dyDescent="0.6">
      <c r="B228" s="268">
        <v>11</v>
      </c>
      <c r="C228" s="261" t="s">
        <v>450</v>
      </c>
      <c r="D228" s="303" t="s">
        <v>473</v>
      </c>
      <c r="E228" s="276" t="s">
        <v>57</v>
      </c>
      <c r="G228" s="290"/>
      <c r="I228" s="290">
        <v>3308.61</v>
      </c>
      <c r="J228" s="298">
        <f t="shared" si="112"/>
        <v>11580</v>
      </c>
      <c r="K228" s="316">
        <v>11580</v>
      </c>
      <c r="L228" s="271"/>
      <c r="M228" s="276"/>
      <c r="N228" s="290">
        <f t="shared" si="113"/>
        <v>0</v>
      </c>
      <c r="O228" s="276"/>
      <c r="P228" s="290">
        <f t="shared" si="114"/>
        <v>0</v>
      </c>
      <c r="Q228" s="276"/>
      <c r="R228" s="290"/>
      <c r="S228" s="276"/>
      <c r="T228" s="290"/>
      <c r="U228" s="276">
        <v>0</v>
      </c>
      <c r="V228" s="290">
        <v>0</v>
      </c>
    </row>
    <row r="229" spans="2:22" ht="19.8" customHeight="1" x14ac:dyDescent="0.6">
      <c r="B229" s="268">
        <v>12</v>
      </c>
      <c r="C229" s="261" t="s">
        <v>513</v>
      </c>
      <c r="D229" s="303" t="s">
        <v>512</v>
      </c>
      <c r="E229" s="276" t="s">
        <v>57</v>
      </c>
      <c r="G229" s="290"/>
      <c r="I229" s="290">
        <v>3101.93</v>
      </c>
      <c r="J229" s="298">
        <f t="shared" si="112"/>
        <v>1138408</v>
      </c>
      <c r="K229" s="316">
        <v>1138408</v>
      </c>
      <c r="L229" s="271"/>
      <c r="M229" s="276"/>
      <c r="N229" s="290">
        <f t="shared" si="113"/>
        <v>0</v>
      </c>
      <c r="O229" s="276"/>
      <c r="P229" s="290">
        <f t="shared" si="114"/>
        <v>0</v>
      </c>
      <c r="Q229" s="276"/>
      <c r="R229" s="290"/>
      <c r="S229" s="276"/>
      <c r="T229" s="290"/>
      <c r="U229" s="276">
        <v>0</v>
      </c>
      <c r="V229" s="290">
        <v>0</v>
      </c>
    </row>
    <row r="230" spans="2:22" ht="19.8" customHeight="1" x14ac:dyDescent="0.6">
      <c r="B230" s="268">
        <v>13</v>
      </c>
      <c r="C230" s="261" t="s">
        <v>56</v>
      </c>
      <c r="D230" s="303"/>
      <c r="E230" s="276"/>
      <c r="G230" s="290"/>
      <c r="I230" s="290"/>
      <c r="J230" s="298"/>
      <c r="K230" s="316"/>
      <c r="L230" s="271"/>
      <c r="M230" s="276"/>
      <c r="N230" s="290"/>
      <c r="O230" s="276"/>
      <c r="P230" s="290"/>
      <c r="Q230" s="276"/>
      <c r="R230" s="290"/>
      <c r="S230" s="276"/>
      <c r="T230" s="290"/>
      <c r="U230" s="276">
        <v>0</v>
      </c>
      <c r="V230" s="290">
        <v>0</v>
      </c>
    </row>
    <row r="231" spans="2:22" ht="19.8" customHeight="1" x14ac:dyDescent="0.6">
      <c r="B231" s="268"/>
      <c r="C231" s="261" t="s">
        <v>397</v>
      </c>
      <c r="D231" s="303" t="s">
        <v>514</v>
      </c>
      <c r="E231" s="276"/>
      <c r="G231" s="290"/>
      <c r="I231" s="290">
        <v>802.05</v>
      </c>
      <c r="J231" s="298">
        <f t="shared" ref="J231:J233" si="115">IF(G231="-","-",IF(D231&gt;0,ROUNDDOWN(I231*D231,0),""))</f>
        <v>282321</v>
      </c>
      <c r="K231" s="316">
        <v>282321</v>
      </c>
      <c r="L231" s="271"/>
      <c r="M231" s="276"/>
      <c r="N231" s="290">
        <f t="shared" si="113"/>
        <v>0</v>
      </c>
      <c r="O231" s="276"/>
      <c r="P231" s="290">
        <f t="shared" si="114"/>
        <v>0</v>
      </c>
      <c r="Q231" s="276"/>
      <c r="R231" s="290"/>
      <c r="S231" s="276"/>
      <c r="T231" s="290"/>
      <c r="U231" s="276">
        <v>0</v>
      </c>
      <c r="V231" s="290">
        <v>0</v>
      </c>
    </row>
    <row r="232" spans="2:22" ht="19.8" customHeight="1" x14ac:dyDescent="0.6">
      <c r="B232" s="268"/>
      <c r="C232" s="261" t="s">
        <v>430</v>
      </c>
      <c r="D232" s="303" t="s">
        <v>515</v>
      </c>
      <c r="E232" s="276"/>
      <c r="G232" s="290"/>
      <c r="I232" s="290">
        <v>4438.1000000000004</v>
      </c>
      <c r="J232" s="298">
        <f t="shared" si="115"/>
        <v>79885</v>
      </c>
      <c r="K232" s="316">
        <v>79885</v>
      </c>
      <c r="L232" s="271"/>
      <c r="M232" s="276"/>
      <c r="N232" s="290">
        <f t="shared" si="113"/>
        <v>0</v>
      </c>
      <c r="O232" s="276"/>
      <c r="P232" s="290">
        <f t="shared" si="114"/>
        <v>0</v>
      </c>
      <c r="Q232" s="276"/>
      <c r="R232" s="290"/>
      <c r="S232" s="276"/>
      <c r="T232" s="290"/>
      <c r="U232" s="276">
        <v>0</v>
      </c>
      <c r="V232" s="290">
        <v>0</v>
      </c>
    </row>
    <row r="233" spans="2:22" ht="19.8" customHeight="1" x14ac:dyDescent="0.6">
      <c r="B233" s="268">
        <v>14</v>
      </c>
      <c r="C233" s="261" t="s">
        <v>516</v>
      </c>
      <c r="D233" s="303" t="s">
        <v>389</v>
      </c>
      <c r="E233" s="276" t="s">
        <v>73</v>
      </c>
      <c r="G233" s="290"/>
      <c r="I233" s="290">
        <v>637580.56000000006</v>
      </c>
      <c r="J233" s="298">
        <f t="shared" si="115"/>
        <v>637580</v>
      </c>
      <c r="K233" s="316">
        <v>637580</v>
      </c>
      <c r="L233" s="271"/>
      <c r="M233" s="276"/>
      <c r="N233" s="290">
        <f t="shared" si="113"/>
        <v>0</v>
      </c>
      <c r="O233" s="276"/>
      <c r="P233" s="290">
        <f t="shared" si="114"/>
        <v>0</v>
      </c>
      <c r="Q233" s="276"/>
      <c r="R233" s="290"/>
      <c r="S233" s="276"/>
      <c r="T233" s="290"/>
      <c r="U233" s="276">
        <v>0</v>
      </c>
      <c r="V233" s="290">
        <v>0</v>
      </c>
    </row>
    <row r="234" spans="2:22" ht="19.8" customHeight="1" x14ac:dyDescent="0.6">
      <c r="B234" s="268">
        <v>15</v>
      </c>
      <c r="C234" s="261" t="s">
        <v>59</v>
      </c>
      <c r="D234" s="303"/>
      <c r="E234" s="276"/>
      <c r="G234" s="290"/>
      <c r="I234" s="290"/>
      <c r="J234" s="298"/>
      <c r="K234" s="316"/>
      <c r="L234" s="271"/>
      <c r="M234" s="276"/>
      <c r="N234" s="290"/>
      <c r="O234" s="276"/>
      <c r="P234" s="290"/>
      <c r="Q234" s="276"/>
      <c r="R234" s="290"/>
      <c r="S234" s="276"/>
      <c r="T234" s="290"/>
      <c r="U234" s="276">
        <v>0</v>
      </c>
      <c r="V234" s="290">
        <v>0</v>
      </c>
    </row>
    <row r="235" spans="2:22" ht="19.8" customHeight="1" x14ac:dyDescent="0.6">
      <c r="B235" s="268">
        <v>16</v>
      </c>
      <c r="C235" s="261" t="s">
        <v>484</v>
      </c>
      <c r="D235" s="303" t="s">
        <v>518</v>
      </c>
      <c r="E235" s="276" t="s">
        <v>61</v>
      </c>
      <c r="G235" s="290"/>
      <c r="I235" s="290">
        <v>24386.74</v>
      </c>
      <c r="J235" s="298">
        <f t="shared" ref="J235" si="116">IF(G235="-","-",IF(D235&gt;0,ROUNDDOWN(I235*D235,0),""))</f>
        <v>9120640</v>
      </c>
      <c r="K235" s="316">
        <v>9120640</v>
      </c>
      <c r="L235" s="271"/>
      <c r="M235" s="276"/>
      <c r="N235" s="290">
        <f t="shared" si="113"/>
        <v>0</v>
      </c>
      <c r="O235" s="276"/>
      <c r="P235" s="290">
        <f t="shared" si="114"/>
        <v>0</v>
      </c>
      <c r="Q235" s="276"/>
      <c r="R235" s="290"/>
      <c r="S235" s="276"/>
      <c r="T235" s="290"/>
      <c r="U235" s="276">
        <v>0</v>
      </c>
      <c r="V235" s="290">
        <v>0</v>
      </c>
    </row>
    <row r="236" spans="2:22" ht="19.8" customHeight="1" x14ac:dyDescent="0.6">
      <c r="B236" s="268"/>
      <c r="C236" s="261" t="s">
        <v>52</v>
      </c>
      <c r="D236" s="303"/>
      <c r="E236" s="276"/>
      <c r="G236" s="290"/>
      <c r="I236" s="290"/>
      <c r="J236" s="298"/>
      <c r="K236" s="316"/>
      <c r="L236" s="271"/>
      <c r="M236" s="276"/>
      <c r="N236" s="290"/>
      <c r="O236" s="276"/>
      <c r="P236" s="290"/>
      <c r="Q236" s="276"/>
      <c r="R236" s="290"/>
      <c r="S236" s="276"/>
      <c r="T236" s="290"/>
      <c r="U236" s="276">
        <v>0</v>
      </c>
      <c r="V236" s="290">
        <v>0</v>
      </c>
    </row>
    <row r="237" spans="2:22" ht="19.8" customHeight="1" x14ac:dyDescent="0.6">
      <c r="B237" s="268">
        <v>17</v>
      </c>
      <c r="C237" s="261" t="s">
        <v>517</v>
      </c>
      <c r="D237" s="303" t="s">
        <v>519</v>
      </c>
      <c r="E237" s="276" t="s">
        <v>61</v>
      </c>
      <c r="G237" s="290"/>
      <c r="I237" s="290">
        <v>12450.64</v>
      </c>
      <c r="J237" s="298">
        <f t="shared" ref="J237" si="117">IF(G237="-","-",IF(D237&gt;0,ROUNDDOWN(I237*D237,0),""))</f>
        <v>4569384</v>
      </c>
      <c r="K237" s="316">
        <v>4569384</v>
      </c>
      <c r="L237" s="271"/>
      <c r="M237" s="276"/>
      <c r="N237" s="290">
        <f t="shared" si="113"/>
        <v>0</v>
      </c>
      <c r="O237" s="276"/>
      <c r="P237" s="290">
        <f t="shared" si="114"/>
        <v>0</v>
      </c>
      <c r="Q237" s="276">
        <v>267</v>
      </c>
      <c r="R237" s="290">
        <v>2320000</v>
      </c>
      <c r="S237" s="276"/>
      <c r="T237" s="290"/>
      <c r="U237" s="276">
        <v>367</v>
      </c>
      <c r="V237" s="290">
        <v>3190000</v>
      </c>
    </row>
    <row r="238" spans="2:22" ht="19.8" customHeight="1" x14ac:dyDescent="0.6">
      <c r="B238" s="268"/>
      <c r="C238" s="261" t="s">
        <v>52</v>
      </c>
      <c r="D238" s="303"/>
      <c r="E238" s="276"/>
      <c r="G238" s="290"/>
      <c r="I238" s="290"/>
      <c r="J238" s="298"/>
      <c r="K238" s="316"/>
      <c r="L238" s="271"/>
      <c r="M238" s="276"/>
      <c r="N238" s="290"/>
      <c r="O238" s="276"/>
      <c r="P238" s="290"/>
      <c r="Q238" s="276"/>
      <c r="R238" s="290"/>
      <c r="S238" s="276"/>
      <c r="T238" s="290"/>
      <c r="U238" s="276">
        <v>0</v>
      </c>
      <c r="V238" s="290">
        <v>0</v>
      </c>
    </row>
    <row r="239" spans="2:22" ht="19.8" customHeight="1" x14ac:dyDescent="0.6">
      <c r="B239" s="268"/>
      <c r="C239" s="261"/>
      <c r="D239" s="303"/>
      <c r="E239" s="276"/>
      <c r="G239" s="290"/>
      <c r="I239" s="290"/>
      <c r="J239" s="298"/>
      <c r="K239" s="316"/>
      <c r="L239" s="271"/>
      <c r="M239" s="276"/>
      <c r="N239" s="290"/>
      <c r="O239" s="276"/>
      <c r="P239" s="290"/>
      <c r="Q239" s="276"/>
      <c r="R239" s="290"/>
      <c r="S239" s="276"/>
      <c r="T239" s="290"/>
      <c r="U239" s="276">
        <v>0</v>
      </c>
      <c r="V239" s="290">
        <v>0</v>
      </c>
    </row>
    <row r="240" spans="2:22" ht="19.8" customHeight="1" x14ac:dyDescent="0.6">
      <c r="B240" s="826" t="s">
        <v>520</v>
      </c>
      <c r="C240" s="827"/>
      <c r="D240" s="294" t="s">
        <v>512</v>
      </c>
      <c r="E240" s="257" t="s">
        <v>57</v>
      </c>
      <c r="F240" s="296"/>
      <c r="G240" s="293"/>
      <c r="H240" s="297"/>
      <c r="I240" s="293"/>
      <c r="J240" s="299">
        <f>SUM(J216:J239)</f>
        <v>20139544</v>
      </c>
      <c r="K240" s="319">
        <v>20139544</v>
      </c>
      <c r="L240" s="262"/>
      <c r="M240" s="257"/>
      <c r="N240" s="293">
        <f>SUM(N216:N239)</f>
        <v>34788</v>
      </c>
      <c r="O240" s="257"/>
      <c r="P240" s="293">
        <f>SUM(P216:P239)</f>
        <v>0</v>
      </c>
      <c r="Q240" s="257"/>
      <c r="R240" s="293">
        <v>2320000</v>
      </c>
      <c r="S240" s="257"/>
      <c r="T240" s="293"/>
      <c r="U240" s="257">
        <v>0</v>
      </c>
      <c r="V240" s="293">
        <v>3224788</v>
      </c>
    </row>
    <row r="241" spans="2:22" ht="19.8" customHeight="1" x14ac:dyDescent="0.6">
      <c r="B241" s="306">
        <v>1.9</v>
      </c>
      <c r="C241" s="261" t="s">
        <v>66</v>
      </c>
      <c r="D241" s="303"/>
      <c r="E241" s="276"/>
      <c r="G241" s="290"/>
      <c r="I241" s="290"/>
      <c r="J241" s="298"/>
      <c r="K241" s="316"/>
      <c r="L241" s="271"/>
      <c r="M241" s="276"/>
      <c r="N241" s="290"/>
      <c r="O241" s="276"/>
      <c r="P241" s="290"/>
      <c r="Q241" s="276"/>
      <c r="R241" s="290"/>
      <c r="S241" s="276"/>
      <c r="T241" s="290"/>
      <c r="U241" s="276">
        <v>0</v>
      </c>
      <c r="V241" s="290">
        <v>0</v>
      </c>
    </row>
    <row r="242" spans="2:22" ht="19.8" customHeight="1" x14ac:dyDescent="0.6">
      <c r="B242" s="268"/>
      <c r="C242" s="261" t="s">
        <v>522</v>
      </c>
      <c r="D242" s="303"/>
      <c r="E242" s="276"/>
      <c r="G242" s="290"/>
      <c r="I242" s="290"/>
      <c r="J242" s="298"/>
      <c r="K242" s="316"/>
      <c r="L242" s="271"/>
      <c r="M242" s="276"/>
      <c r="N242" s="290"/>
      <c r="O242" s="276"/>
      <c r="P242" s="290"/>
      <c r="Q242" s="276"/>
      <c r="R242" s="290"/>
      <c r="S242" s="276"/>
      <c r="T242" s="290"/>
      <c r="U242" s="276">
        <v>0</v>
      </c>
      <c r="V242" s="290">
        <v>0</v>
      </c>
    </row>
    <row r="243" spans="2:22" ht="19.8" customHeight="1" x14ac:dyDescent="0.6">
      <c r="B243" s="268"/>
      <c r="C243" s="261" t="s">
        <v>523</v>
      </c>
      <c r="D243" s="303"/>
      <c r="E243" s="276"/>
      <c r="G243" s="290"/>
      <c r="I243" s="290"/>
      <c r="J243" s="298"/>
      <c r="K243" s="316"/>
      <c r="L243" s="271"/>
      <c r="M243" s="276"/>
      <c r="N243" s="290"/>
      <c r="O243" s="276"/>
      <c r="P243" s="290"/>
      <c r="Q243" s="276"/>
      <c r="R243" s="290"/>
      <c r="S243" s="276"/>
      <c r="T243" s="290"/>
      <c r="U243" s="276">
        <v>0</v>
      </c>
      <c r="V243" s="290">
        <v>0</v>
      </c>
    </row>
    <row r="244" spans="2:22" ht="19.8" customHeight="1" x14ac:dyDescent="0.6">
      <c r="B244" s="268">
        <v>1</v>
      </c>
      <c r="C244" s="261" t="s">
        <v>195</v>
      </c>
      <c r="D244" s="303" t="s">
        <v>454</v>
      </c>
      <c r="E244" s="276" t="s">
        <v>55</v>
      </c>
      <c r="G244" s="290"/>
      <c r="I244" s="290">
        <v>38.44</v>
      </c>
      <c r="J244" s="298">
        <f t="shared" ref="J244:J251" si="118">IF(G244="-","-",IF(D244&gt;0,ROUNDDOWN(I244*D244,0),""))</f>
        <v>2306</v>
      </c>
      <c r="K244" s="316">
        <v>2306</v>
      </c>
      <c r="L244" s="271"/>
      <c r="M244" s="276"/>
      <c r="N244" s="290">
        <f t="shared" ref="N244:N251" si="119">ROUNDDOWN(M244*$I244,0)</f>
        <v>0</v>
      </c>
      <c r="O244" s="276"/>
      <c r="P244" s="290">
        <f t="shared" ref="P244:P251" si="120">ROUNDDOWN(O244*$I244,0)</f>
        <v>0</v>
      </c>
      <c r="Q244" s="276"/>
      <c r="R244" s="290">
        <v>0</v>
      </c>
      <c r="S244" s="276"/>
      <c r="T244" s="290">
        <v>0</v>
      </c>
      <c r="U244" s="276">
        <v>0</v>
      </c>
      <c r="V244" s="290">
        <v>0</v>
      </c>
    </row>
    <row r="245" spans="2:22" ht="19.8" customHeight="1" x14ac:dyDescent="0.6">
      <c r="B245" s="268">
        <v>4</v>
      </c>
      <c r="C245" s="261" t="s">
        <v>196</v>
      </c>
      <c r="D245" s="303" t="s">
        <v>389</v>
      </c>
      <c r="E245" s="276" t="s">
        <v>61</v>
      </c>
      <c r="G245" s="290"/>
      <c r="I245" s="290">
        <v>811.72</v>
      </c>
      <c r="J245" s="298">
        <f t="shared" si="118"/>
        <v>811</v>
      </c>
      <c r="K245" s="316">
        <v>811</v>
      </c>
      <c r="L245" s="271"/>
      <c r="M245" s="276"/>
      <c r="N245" s="290">
        <f t="shared" si="119"/>
        <v>0</v>
      </c>
      <c r="O245" s="276"/>
      <c r="P245" s="290">
        <f t="shared" si="120"/>
        <v>0</v>
      </c>
      <c r="Q245" s="276"/>
      <c r="R245" s="290">
        <v>0</v>
      </c>
      <c r="S245" s="276"/>
      <c r="T245" s="290">
        <v>0</v>
      </c>
      <c r="U245" s="276">
        <v>0</v>
      </c>
      <c r="V245" s="290">
        <v>0</v>
      </c>
    </row>
    <row r="246" spans="2:22" ht="19.8" customHeight="1" x14ac:dyDescent="0.6">
      <c r="B246" s="268">
        <v>5</v>
      </c>
      <c r="C246" s="261" t="s">
        <v>524</v>
      </c>
      <c r="D246" s="303" t="s">
        <v>502</v>
      </c>
      <c r="E246" s="276" t="s">
        <v>62</v>
      </c>
      <c r="G246" s="290"/>
      <c r="I246" s="290">
        <v>1124.93</v>
      </c>
      <c r="J246" s="298">
        <f t="shared" si="118"/>
        <v>17998</v>
      </c>
      <c r="K246" s="316">
        <v>17998</v>
      </c>
      <c r="L246" s="271"/>
      <c r="M246" s="276"/>
      <c r="N246" s="290">
        <f t="shared" si="119"/>
        <v>0</v>
      </c>
      <c r="O246" s="276"/>
      <c r="P246" s="290">
        <f t="shared" si="120"/>
        <v>0</v>
      </c>
      <c r="Q246" s="276"/>
      <c r="R246" s="290">
        <v>0</v>
      </c>
      <c r="S246" s="276"/>
      <c r="T246" s="290">
        <v>0</v>
      </c>
      <c r="U246" s="276">
        <v>0</v>
      </c>
      <c r="V246" s="290">
        <v>0</v>
      </c>
    </row>
    <row r="247" spans="2:22" ht="19.8" customHeight="1" x14ac:dyDescent="0.6">
      <c r="B247" s="268">
        <v>6</v>
      </c>
      <c r="C247" s="261" t="s">
        <v>525</v>
      </c>
      <c r="D247" s="303" t="s">
        <v>529</v>
      </c>
      <c r="E247" s="276" t="s">
        <v>62</v>
      </c>
      <c r="G247" s="290"/>
      <c r="I247" s="290">
        <v>6336.56</v>
      </c>
      <c r="J247" s="298">
        <f t="shared" si="118"/>
        <v>25346</v>
      </c>
      <c r="K247" s="316">
        <v>25346</v>
      </c>
      <c r="L247" s="271"/>
      <c r="M247" s="276"/>
      <c r="N247" s="290">
        <f t="shared" si="119"/>
        <v>0</v>
      </c>
      <c r="O247" s="276"/>
      <c r="P247" s="290">
        <f t="shared" si="120"/>
        <v>0</v>
      </c>
      <c r="Q247" s="276"/>
      <c r="R247" s="290">
        <v>0</v>
      </c>
      <c r="S247" s="276"/>
      <c r="T247" s="290">
        <v>0</v>
      </c>
      <c r="U247" s="276">
        <v>0</v>
      </c>
      <c r="V247" s="290">
        <v>0</v>
      </c>
    </row>
    <row r="248" spans="2:22" ht="19.8" customHeight="1" x14ac:dyDescent="0.6">
      <c r="B248" s="268">
        <v>7</v>
      </c>
      <c r="C248" s="261" t="s">
        <v>217</v>
      </c>
      <c r="D248" s="303" t="s">
        <v>530</v>
      </c>
      <c r="E248" s="276" t="s">
        <v>55</v>
      </c>
      <c r="G248" s="290"/>
      <c r="I248" s="290">
        <v>1171.2</v>
      </c>
      <c r="J248" s="298">
        <f t="shared" si="118"/>
        <v>51532</v>
      </c>
      <c r="K248" s="316">
        <v>51532</v>
      </c>
      <c r="L248" s="271"/>
      <c r="M248" s="276"/>
      <c r="N248" s="290">
        <f t="shared" si="119"/>
        <v>0</v>
      </c>
      <c r="O248" s="276"/>
      <c r="P248" s="290">
        <f t="shared" si="120"/>
        <v>0</v>
      </c>
      <c r="Q248" s="276"/>
      <c r="R248" s="290">
        <v>0</v>
      </c>
      <c r="S248" s="276"/>
      <c r="T248" s="290">
        <v>0</v>
      </c>
      <c r="U248" s="276">
        <v>0</v>
      </c>
      <c r="V248" s="290">
        <v>0</v>
      </c>
    </row>
    <row r="249" spans="2:22" ht="19.8" customHeight="1" x14ac:dyDescent="0.6">
      <c r="B249" s="268">
        <v>8</v>
      </c>
      <c r="C249" s="261" t="s">
        <v>526</v>
      </c>
      <c r="D249" s="303" t="s">
        <v>531</v>
      </c>
      <c r="E249" s="276" t="s">
        <v>57</v>
      </c>
      <c r="G249" s="290"/>
      <c r="I249" s="290">
        <v>2616.08</v>
      </c>
      <c r="J249" s="298">
        <f t="shared" si="118"/>
        <v>39241</v>
      </c>
      <c r="K249" s="316">
        <v>39241</v>
      </c>
      <c r="L249" s="271"/>
      <c r="M249" s="276"/>
      <c r="N249" s="290">
        <f t="shared" si="119"/>
        <v>0</v>
      </c>
      <c r="O249" s="276"/>
      <c r="P249" s="290">
        <f t="shared" si="120"/>
        <v>0</v>
      </c>
      <c r="Q249" s="276"/>
      <c r="R249" s="290">
        <v>0</v>
      </c>
      <c r="S249" s="276"/>
      <c r="T249" s="290">
        <v>0</v>
      </c>
      <c r="U249" s="276">
        <v>0</v>
      </c>
      <c r="V249" s="290">
        <v>0</v>
      </c>
    </row>
    <row r="250" spans="2:22" ht="19.8" customHeight="1" x14ac:dyDescent="0.6">
      <c r="B250" s="268">
        <v>9</v>
      </c>
      <c r="C250" s="261" t="s">
        <v>218</v>
      </c>
      <c r="D250" s="303" t="s">
        <v>532</v>
      </c>
      <c r="E250" s="276" t="s">
        <v>54</v>
      </c>
      <c r="G250" s="290"/>
      <c r="I250" s="290">
        <v>1683.97</v>
      </c>
      <c r="J250" s="298">
        <f t="shared" si="118"/>
        <v>8419</v>
      </c>
      <c r="K250" s="316">
        <v>8419</v>
      </c>
      <c r="L250" s="271"/>
      <c r="M250" s="276"/>
      <c r="N250" s="290">
        <f t="shared" si="119"/>
        <v>0</v>
      </c>
      <c r="O250" s="276"/>
      <c r="P250" s="290">
        <f t="shared" si="120"/>
        <v>0</v>
      </c>
      <c r="Q250" s="276"/>
      <c r="R250" s="290">
        <v>0</v>
      </c>
      <c r="S250" s="276"/>
      <c r="T250" s="290">
        <v>0</v>
      </c>
      <c r="U250" s="276">
        <v>0</v>
      </c>
      <c r="V250" s="290">
        <v>0</v>
      </c>
    </row>
    <row r="251" spans="2:22" ht="19.8" customHeight="1" x14ac:dyDescent="0.6">
      <c r="B251" s="268">
        <v>10</v>
      </c>
      <c r="C251" s="261" t="s">
        <v>527</v>
      </c>
      <c r="D251" s="303" t="s">
        <v>528</v>
      </c>
      <c r="E251" s="276" t="s">
        <v>57</v>
      </c>
      <c r="G251" s="290"/>
      <c r="I251" s="290">
        <v>3714.77</v>
      </c>
      <c r="J251" s="298">
        <f t="shared" si="118"/>
        <v>20431</v>
      </c>
      <c r="K251" s="316">
        <v>20431</v>
      </c>
      <c r="L251" s="271"/>
      <c r="M251" s="276"/>
      <c r="N251" s="290">
        <f t="shared" si="119"/>
        <v>0</v>
      </c>
      <c r="O251" s="276"/>
      <c r="P251" s="290">
        <f t="shared" si="120"/>
        <v>0</v>
      </c>
      <c r="Q251" s="276"/>
      <c r="R251" s="290">
        <v>0</v>
      </c>
      <c r="S251" s="276"/>
      <c r="T251" s="290">
        <v>0</v>
      </c>
      <c r="U251" s="276">
        <v>0</v>
      </c>
      <c r="V251" s="290">
        <v>0</v>
      </c>
    </row>
    <row r="252" spans="2:22" ht="19.8" customHeight="1" x14ac:dyDescent="0.6">
      <c r="B252" s="268">
        <v>12</v>
      </c>
      <c r="C252" s="261" t="s">
        <v>53</v>
      </c>
      <c r="D252" s="303"/>
      <c r="E252" s="276"/>
      <c r="G252" s="290"/>
      <c r="I252" s="290"/>
      <c r="J252" s="298"/>
      <c r="K252" s="316"/>
      <c r="L252" s="271"/>
      <c r="M252" s="276"/>
      <c r="N252" s="290"/>
      <c r="O252" s="276"/>
      <c r="P252" s="290"/>
      <c r="Q252" s="276"/>
      <c r="R252" s="290"/>
      <c r="S252" s="276"/>
      <c r="T252" s="290"/>
      <c r="U252" s="276">
        <v>0</v>
      </c>
      <c r="V252" s="290">
        <v>0</v>
      </c>
    </row>
    <row r="253" spans="2:22" ht="19.8" customHeight="1" x14ac:dyDescent="0.6">
      <c r="B253" s="268"/>
      <c r="C253" s="261" t="s">
        <v>316</v>
      </c>
      <c r="D253" s="303" t="s">
        <v>422</v>
      </c>
      <c r="E253" s="276" t="s">
        <v>54</v>
      </c>
      <c r="G253" s="290"/>
      <c r="I253" s="290">
        <v>981.02</v>
      </c>
      <c r="J253" s="298">
        <f t="shared" ref="J253:J254" si="121">IF(G253="-","-",IF(D253&gt;0,ROUNDDOWN(I253*D253,0),""))</f>
        <v>5886</v>
      </c>
      <c r="K253" s="316">
        <v>5886</v>
      </c>
      <c r="L253" s="271"/>
      <c r="M253" s="276"/>
      <c r="N253" s="290">
        <f t="shared" ref="N253:N254" si="122">ROUNDDOWN(M253*$I253,0)</f>
        <v>0</v>
      </c>
      <c r="O253" s="276"/>
      <c r="P253" s="290">
        <f t="shared" ref="P253:P254" si="123">ROUNDDOWN(O253*$I253,0)</f>
        <v>0</v>
      </c>
      <c r="Q253" s="276"/>
      <c r="R253" s="290">
        <v>0</v>
      </c>
      <c r="S253" s="276"/>
      <c r="T253" s="290">
        <v>0</v>
      </c>
      <c r="U253" s="276">
        <v>0</v>
      </c>
      <c r="V253" s="290">
        <v>0</v>
      </c>
    </row>
    <row r="254" spans="2:22" ht="19.8" customHeight="1" x14ac:dyDescent="0.6">
      <c r="B254" s="268">
        <v>13</v>
      </c>
      <c r="C254" s="261" t="s">
        <v>215</v>
      </c>
      <c r="D254" s="303" t="s">
        <v>330</v>
      </c>
      <c r="E254" s="276" t="s">
        <v>55</v>
      </c>
      <c r="G254" s="290"/>
      <c r="I254" s="290">
        <v>330.94</v>
      </c>
      <c r="J254" s="298">
        <f t="shared" si="121"/>
        <v>9928</v>
      </c>
      <c r="K254" s="316">
        <v>9928</v>
      </c>
      <c r="L254" s="271"/>
      <c r="M254" s="276"/>
      <c r="N254" s="290">
        <f t="shared" si="122"/>
        <v>0</v>
      </c>
      <c r="O254" s="276"/>
      <c r="P254" s="290">
        <f t="shared" si="123"/>
        <v>0</v>
      </c>
      <c r="Q254" s="276"/>
      <c r="R254" s="290">
        <v>0</v>
      </c>
      <c r="S254" s="276"/>
      <c r="T254" s="290">
        <v>0</v>
      </c>
      <c r="U254" s="276">
        <v>0</v>
      </c>
      <c r="V254" s="290">
        <v>0</v>
      </c>
    </row>
    <row r="255" spans="2:22" ht="19.8" customHeight="1" x14ac:dyDescent="0.6">
      <c r="B255" s="268">
        <v>14</v>
      </c>
      <c r="C255" s="261" t="s">
        <v>56</v>
      </c>
      <c r="D255" s="303"/>
      <c r="E255" s="276"/>
      <c r="G255" s="290"/>
      <c r="I255" s="290"/>
      <c r="J255" s="298"/>
      <c r="K255" s="316"/>
      <c r="L255" s="271"/>
      <c r="M255" s="276"/>
      <c r="N255" s="290"/>
      <c r="O255" s="276"/>
      <c r="P255" s="290"/>
      <c r="Q255" s="276"/>
      <c r="R255" s="290"/>
      <c r="S255" s="276"/>
      <c r="T255" s="290"/>
      <c r="U255" s="276">
        <v>0</v>
      </c>
      <c r="V255" s="290">
        <v>0</v>
      </c>
    </row>
    <row r="256" spans="2:22" ht="19.8" customHeight="1" x14ac:dyDescent="0.6">
      <c r="B256" s="268"/>
      <c r="C256" s="261" t="s">
        <v>397</v>
      </c>
      <c r="D256" s="303" t="s">
        <v>532</v>
      </c>
      <c r="E256" s="276" t="s">
        <v>57</v>
      </c>
      <c r="G256" s="290"/>
      <c r="I256" s="290">
        <v>802.05</v>
      </c>
      <c r="J256" s="298">
        <f t="shared" ref="J256:J257" si="124">IF(G256="-","-",IF(D256&gt;0,ROUNDDOWN(I256*D256,0),""))</f>
        <v>4010</v>
      </c>
      <c r="K256" s="316">
        <v>4010</v>
      </c>
      <c r="L256" s="271"/>
      <c r="M256" s="276"/>
      <c r="N256" s="290">
        <f t="shared" ref="N256:N257" si="125">ROUNDDOWN(M256*$I256,0)</f>
        <v>0</v>
      </c>
      <c r="O256" s="276"/>
      <c r="P256" s="290">
        <f t="shared" ref="P256:P257" si="126">ROUNDDOWN(O256*$I256,0)</f>
        <v>0</v>
      </c>
      <c r="Q256" s="276"/>
      <c r="R256" s="290">
        <v>0</v>
      </c>
      <c r="S256" s="276"/>
      <c r="T256" s="290">
        <v>0</v>
      </c>
      <c r="U256" s="276">
        <v>0</v>
      </c>
      <c r="V256" s="290">
        <v>0</v>
      </c>
    </row>
    <row r="257" spans="2:22" ht="19.8" customHeight="1" x14ac:dyDescent="0.6">
      <c r="B257" s="268"/>
      <c r="C257" s="261" t="s">
        <v>430</v>
      </c>
      <c r="D257" s="303" t="s">
        <v>389</v>
      </c>
      <c r="E257" s="276" t="s">
        <v>58</v>
      </c>
      <c r="G257" s="290"/>
      <c r="I257" s="290">
        <v>4438.1000000000004</v>
      </c>
      <c r="J257" s="298">
        <f t="shared" si="124"/>
        <v>4438</v>
      </c>
      <c r="K257" s="316">
        <v>4438</v>
      </c>
      <c r="L257" s="271"/>
      <c r="M257" s="276"/>
      <c r="N257" s="290">
        <f t="shared" si="125"/>
        <v>0</v>
      </c>
      <c r="O257" s="276"/>
      <c r="P257" s="290">
        <f t="shared" si="126"/>
        <v>0</v>
      </c>
      <c r="Q257" s="276"/>
      <c r="R257" s="290">
        <v>0</v>
      </c>
      <c r="S257" s="276"/>
      <c r="T257" s="290">
        <v>0</v>
      </c>
      <c r="U257" s="276">
        <v>0</v>
      </c>
      <c r="V257" s="290">
        <v>0</v>
      </c>
    </row>
    <row r="258" spans="2:22" ht="19.8" customHeight="1" x14ac:dyDescent="0.6">
      <c r="B258" s="268">
        <v>15</v>
      </c>
      <c r="C258" s="261" t="s">
        <v>431</v>
      </c>
      <c r="D258" s="303"/>
      <c r="E258" s="276"/>
      <c r="G258" s="290"/>
      <c r="I258" s="290"/>
      <c r="J258" s="298"/>
      <c r="K258" s="316"/>
      <c r="L258" s="271"/>
      <c r="M258" s="276"/>
      <c r="N258" s="290"/>
      <c r="O258" s="276"/>
      <c r="P258" s="290"/>
      <c r="Q258" s="276"/>
      <c r="R258" s="290"/>
      <c r="S258" s="276"/>
      <c r="T258" s="290"/>
      <c r="U258" s="276">
        <v>0</v>
      </c>
      <c r="V258" s="290">
        <v>0</v>
      </c>
    </row>
    <row r="259" spans="2:22" ht="19.8" customHeight="1" x14ac:dyDescent="0.6">
      <c r="B259" s="268">
        <v>16</v>
      </c>
      <c r="C259" s="261" t="s">
        <v>379</v>
      </c>
      <c r="D259" s="303" t="s">
        <v>333</v>
      </c>
      <c r="E259" s="276" t="s">
        <v>61</v>
      </c>
      <c r="G259" s="290"/>
      <c r="I259" s="290">
        <v>23917.83</v>
      </c>
      <c r="J259" s="298">
        <f t="shared" ref="J259" si="127">IF(G259="-","-",IF(D259&gt;0,ROUNDDOWN(I259*D259,0),""))</f>
        <v>119589</v>
      </c>
      <c r="K259" s="316">
        <v>119589</v>
      </c>
      <c r="L259" s="271"/>
      <c r="M259" s="276"/>
      <c r="N259" s="290">
        <f t="shared" ref="N259" si="128">ROUNDDOWN(M259*$I259,0)</f>
        <v>0</v>
      </c>
      <c r="O259" s="276"/>
      <c r="P259" s="290">
        <f t="shared" ref="P259" si="129">ROUNDDOWN(O259*$I259,0)</f>
        <v>0</v>
      </c>
      <c r="Q259" s="276"/>
      <c r="R259" s="290">
        <v>0</v>
      </c>
      <c r="S259" s="276"/>
      <c r="T259" s="290">
        <v>0</v>
      </c>
      <c r="U259" s="276">
        <v>0</v>
      </c>
      <c r="V259" s="290">
        <v>0</v>
      </c>
    </row>
    <row r="260" spans="2:22" ht="19.8" customHeight="1" x14ac:dyDescent="0.6">
      <c r="B260" s="268"/>
      <c r="C260" s="261" t="s">
        <v>52</v>
      </c>
      <c r="D260" s="303"/>
      <c r="E260" s="276"/>
      <c r="G260" s="290"/>
      <c r="I260" s="290"/>
      <c r="J260" s="298"/>
      <c r="K260" s="316"/>
      <c r="L260" s="271"/>
      <c r="M260" s="276"/>
      <c r="N260" s="290"/>
      <c r="O260" s="276"/>
      <c r="P260" s="290"/>
      <c r="Q260" s="276"/>
      <c r="R260" s="290"/>
      <c r="S260" s="276"/>
      <c r="T260" s="290"/>
      <c r="U260" s="276">
        <v>0</v>
      </c>
      <c r="V260" s="290">
        <v>0</v>
      </c>
    </row>
    <row r="261" spans="2:22" ht="19.8" customHeight="1" x14ac:dyDescent="0.6">
      <c r="B261" s="268">
        <v>17</v>
      </c>
      <c r="C261" s="261" t="s">
        <v>381</v>
      </c>
      <c r="D261" s="303" t="s">
        <v>410</v>
      </c>
      <c r="E261" s="276" t="s">
        <v>61</v>
      </c>
      <c r="G261" s="290"/>
      <c r="I261" s="290">
        <v>17176.25</v>
      </c>
      <c r="J261" s="298">
        <f t="shared" ref="J261" si="130">IF(G261="-","-",IF(D261&gt;0,ROUNDDOWN(I261*D261,0),""))</f>
        <v>34352</v>
      </c>
      <c r="K261" s="316">
        <v>34352</v>
      </c>
      <c r="L261" s="271"/>
      <c r="M261" s="276"/>
      <c r="N261" s="290">
        <f t="shared" ref="N261" si="131">ROUNDDOWN(M261*$I261,0)</f>
        <v>0</v>
      </c>
      <c r="O261" s="276"/>
      <c r="P261" s="290">
        <f t="shared" ref="P261" si="132">ROUNDDOWN(O261*$I261,0)</f>
        <v>0</v>
      </c>
      <c r="Q261" s="276"/>
      <c r="R261" s="290">
        <v>0</v>
      </c>
      <c r="S261" s="276"/>
      <c r="T261" s="290">
        <v>0</v>
      </c>
      <c r="U261" s="276">
        <v>0</v>
      </c>
      <c r="V261" s="290">
        <v>0</v>
      </c>
    </row>
    <row r="262" spans="2:22" ht="19.8" customHeight="1" x14ac:dyDescent="0.6">
      <c r="B262" s="268"/>
      <c r="C262" s="261" t="s">
        <v>52</v>
      </c>
      <c r="D262" s="303"/>
      <c r="E262" s="276"/>
      <c r="G262" s="290"/>
      <c r="I262" s="290"/>
      <c r="J262" s="298"/>
      <c r="K262" s="316"/>
      <c r="L262" s="271"/>
      <c r="M262" s="276"/>
      <c r="N262" s="290"/>
      <c r="O262" s="276"/>
      <c r="P262" s="290"/>
      <c r="Q262" s="276"/>
      <c r="R262" s="290"/>
      <c r="S262" s="276"/>
      <c r="T262" s="290"/>
      <c r="U262" s="276">
        <v>0</v>
      </c>
      <c r="V262" s="290">
        <v>0</v>
      </c>
    </row>
    <row r="263" spans="2:22" ht="19.8" customHeight="1" x14ac:dyDescent="0.6">
      <c r="B263" s="268"/>
      <c r="C263" s="261"/>
      <c r="D263" s="303"/>
      <c r="E263" s="276"/>
      <c r="G263" s="290"/>
      <c r="I263" s="290"/>
      <c r="J263" s="298"/>
      <c r="K263" s="316"/>
      <c r="L263" s="271"/>
      <c r="M263" s="276"/>
      <c r="N263" s="290"/>
      <c r="O263" s="276"/>
      <c r="P263" s="290"/>
      <c r="Q263" s="276"/>
      <c r="R263" s="290"/>
      <c r="S263" s="276"/>
      <c r="T263" s="290"/>
      <c r="U263" s="276">
        <v>0</v>
      </c>
      <c r="V263" s="290">
        <v>0</v>
      </c>
    </row>
    <row r="264" spans="2:22" ht="19.8" customHeight="1" x14ac:dyDescent="0.6">
      <c r="B264" s="826" t="s">
        <v>533</v>
      </c>
      <c r="C264" s="827"/>
      <c r="D264" s="294" t="s">
        <v>528</v>
      </c>
      <c r="E264" s="257" t="s">
        <v>57</v>
      </c>
      <c r="F264" s="296"/>
      <c r="G264" s="293"/>
      <c r="H264" s="297"/>
      <c r="I264" s="293"/>
      <c r="J264" s="299">
        <f>SUM(J241:J263)</f>
        <v>344287</v>
      </c>
      <c r="K264" s="319">
        <v>344287</v>
      </c>
      <c r="L264" s="262"/>
      <c r="M264" s="257"/>
      <c r="N264" s="293">
        <f>SUM(N241:N263)</f>
        <v>0</v>
      </c>
      <c r="O264" s="257"/>
      <c r="P264" s="293">
        <f>SUM(P241:P263)</f>
        <v>0</v>
      </c>
      <c r="Q264" s="257"/>
      <c r="R264" s="293">
        <v>0</v>
      </c>
      <c r="S264" s="257"/>
      <c r="T264" s="293">
        <v>0</v>
      </c>
      <c r="U264" s="257">
        <v>0</v>
      </c>
      <c r="V264" s="293">
        <v>0</v>
      </c>
    </row>
    <row r="265" spans="2:22" ht="19.8" customHeight="1" x14ac:dyDescent="0.6">
      <c r="B265" s="306" t="s">
        <v>534</v>
      </c>
      <c r="C265" s="261" t="s">
        <v>67</v>
      </c>
      <c r="D265" s="303"/>
      <c r="E265" s="276"/>
      <c r="G265" s="290"/>
      <c r="I265" s="290"/>
      <c r="J265" s="298"/>
      <c r="K265" s="316"/>
      <c r="L265" s="271"/>
      <c r="M265" s="276"/>
      <c r="N265" s="290"/>
      <c r="O265" s="276"/>
      <c r="P265" s="290"/>
      <c r="Q265" s="276"/>
      <c r="R265" s="290"/>
      <c r="S265" s="276"/>
      <c r="T265" s="290"/>
      <c r="U265" s="276">
        <v>0</v>
      </c>
      <c r="V265" s="290">
        <v>0</v>
      </c>
    </row>
    <row r="266" spans="2:22" ht="19.8" customHeight="1" x14ac:dyDescent="0.6">
      <c r="B266" s="268"/>
      <c r="C266" s="261" t="s">
        <v>535</v>
      </c>
      <c r="D266" s="303"/>
      <c r="E266" s="276"/>
      <c r="G266" s="290"/>
      <c r="I266" s="290"/>
      <c r="J266" s="298"/>
      <c r="K266" s="316"/>
      <c r="L266" s="271"/>
      <c r="M266" s="276"/>
      <c r="N266" s="290"/>
      <c r="O266" s="276"/>
      <c r="P266" s="290"/>
      <c r="Q266" s="276"/>
      <c r="R266" s="290"/>
      <c r="S266" s="276"/>
      <c r="T266" s="290"/>
      <c r="U266" s="276">
        <v>0</v>
      </c>
      <c r="V266" s="290">
        <v>0</v>
      </c>
    </row>
    <row r="267" spans="2:22" ht="19.8" customHeight="1" x14ac:dyDescent="0.6">
      <c r="B267" s="268"/>
      <c r="C267" s="261" t="s">
        <v>536</v>
      </c>
      <c r="D267" s="303"/>
      <c r="E267" s="276"/>
      <c r="G267" s="290"/>
      <c r="I267" s="290"/>
      <c r="J267" s="298"/>
      <c r="K267" s="316"/>
      <c r="L267" s="271"/>
      <c r="M267" s="276"/>
      <c r="N267" s="290"/>
      <c r="O267" s="276"/>
      <c r="P267" s="290"/>
      <c r="Q267" s="276"/>
      <c r="R267" s="290"/>
      <c r="S267" s="276"/>
      <c r="T267" s="290"/>
      <c r="U267" s="276">
        <v>0</v>
      </c>
      <c r="V267" s="290">
        <v>0</v>
      </c>
    </row>
    <row r="268" spans="2:22" ht="19.8" customHeight="1" x14ac:dyDescent="0.6">
      <c r="B268" s="268">
        <v>1</v>
      </c>
      <c r="C268" s="261" t="s">
        <v>195</v>
      </c>
      <c r="D268" s="303" t="s">
        <v>537</v>
      </c>
      <c r="E268" s="276" t="s">
        <v>55</v>
      </c>
      <c r="G268" s="290"/>
      <c r="I268" s="290">
        <v>38.44</v>
      </c>
      <c r="J268" s="298">
        <f t="shared" ref="J268:J275" si="133">IF(G268="-","-",IF(D268&gt;0,ROUNDDOWN(I268*D268,0),""))</f>
        <v>11416</v>
      </c>
      <c r="K268" s="316">
        <v>11416</v>
      </c>
      <c r="L268" s="271"/>
      <c r="M268" s="276"/>
      <c r="N268" s="290">
        <f t="shared" ref="N268:N275" si="134">ROUNDDOWN(M268*$I268,0)</f>
        <v>0</v>
      </c>
      <c r="O268" s="276"/>
      <c r="P268" s="290">
        <f t="shared" ref="P268:P275" si="135">ROUNDDOWN(O268*$I268,0)</f>
        <v>0</v>
      </c>
      <c r="Q268" s="276"/>
      <c r="R268" s="290">
        <v>0</v>
      </c>
      <c r="S268" s="276"/>
      <c r="T268" s="290">
        <v>0</v>
      </c>
      <c r="U268" s="276">
        <v>0</v>
      </c>
      <c r="V268" s="290">
        <v>0</v>
      </c>
    </row>
    <row r="269" spans="2:22" ht="19.8" customHeight="1" x14ac:dyDescent="0.6">
      <c r="B269" s="268">
        <v>4</v>
      </c>
      <c r="C269" s="261" t="s">
        <v>196</v>
      </c>
      <c r="D269" s="303" t="s">
        <v>389</v>
      </c>
      <c r="E269" s="276" t="s">
        <v>61</v>
      </c>
      <c r="G269" s="290"/>
      <c r="I269" s="290">
        <v>811.72</v>
      </c>
      <c r="J269" s="298">
        <f t="shared" si="133"/>
        <v>811</v>
      </c>
      <c r="K269" s="316">
        <v>811</v>
      </c>
      <c r="L269" s="271"/>
      <c r="M269" s="276"/>
      <c r="N269" s="290">
        <f t="shared" si="134"/>
        <v>0</v>
      </c>
      <c r="O269" s="276"/>
      <c r="P269" s="290">
        <f t="shared" si="135"/>
        <v>0</v>
      </c>
      <c r="Q269" s="276"/>
      <c r="R269" s="290">
        <v>0</v>
      </c>
      <c r="S269" s="276"/>
      <c r="T269" s="290">
        <v>0</v>
      </c>
      <c r="U269" s="276">
        <v>0</v>
      </c>
      <c r="V269" s="290">
        <v>0</v>
      </c>
    </row>
    <row r="270" spans="2:22" ht="19.8" customHeight="1" x14ac:dyDescent="0.6">
      <c r="B270" s="268">
        <v>5</v>
      </c>
      <c r="C270" s="261" t="s">
        <v>524</v>
      </c>
      <c r="D270" s="303" t="s">
        <v>538</v>
      </c>
      <c r="E270" s="276" t="s">
        <v>62</v>
      </c>
      <c r="G270" s="290"/>
      <c r="I270" s="290">
        <v>1124.93</v>
      </c>
      <c r="J270" s="298">
        <f t="shared" si="133"/>
        <v>94494</v>
      </c>
      <c r="K270" s="316">
        <v>94494</v>
      </c>
      <c r="L270" s="271"/>
      <c r="M270" s="276"/>
      <c r="N270" s="290">
        <f t="shared" si="134"/>
        <v>0</v>
      </c>
      <c r="O270" s="276"/>
      <c r="P270" s="290">
        <f t="shared" si="135"/>
        <v>0</v>
      </c>
      <c r="Q270" s="276"/>
      <c r="R270" s="290">
        <v>0</v>
      </c>
      <c r="S270" s="276"/>
      <c r="T270" s="290">
        <v>0</v>
      </c>
      <c r="U270" s="276">
        <v>0</v>
      </c>
      <c r="V270" s="290">
        <v>0</v>
      </c>
    </row>
    <row r="271" spans="2:22" ht="19.8" customHeight="1" x14ac:dyDescent="0.6">
      <c r="B271" s="268">
        <v>6</v>
      </c>
      <c r="C271" s="261" t="s">
        <v>539</v>
      </c>
      <c r="D271" s="303" t="s">
        <v>540</v>
      </c>
      <c r="E271" s="276" t="s">
        <v>62</v>
      </c>
      <c r="G271" s="290"/>
      <c r="I271" s="290">
        <v>6336.56</v>
      </c>
      <c r="J271" s="298">
        <f t="shared" si="133"/>
        <v>133067</v>
      </c>
      <c r="K271" s="316">
        <v>133067</v>
      </c>
      <c r="L271" s="271"/>
      <c r="M271" s="276"/>
      <c r="N271" s="290">
        <f t="shared" si="134"/>
        <v>0</v>
      </c>
      <c r="O271" s="276"/>
      <c r="P271" s="290">
        <f t="shared" si="135"/>
        <v>0</v>
      </c>
      <c r="Q271" s="276"/>
      <c r="R271" s="290">
        <v>0</v>
      </c>
      <c r="S271" s="276"/>
      <c r="T271" s="290">
        <v>0</v>
      </c>
      <c r="U271" s="276">
        <v>0</v>
      </c>
      <c r="V271" s="290">
        <v>0</v>
      </c>
    </row>
    <row r="272" spans="2:22" ht="19.8" customHeight="1" x14ac:dyDescent="0.6">
      <c r="B272" s="268">
        <v>7</v>
      </c>
      <c r="C272" s="261" t="s">
        <v>217</v>
      </c>
      <c r="D272" s="303" t="s">
        <v>541</v>
      </c>
      <c r="E272" s="276" t="s">
        <v>55</v>
      </c>
      <c r="G272" s="290"/>
      <c r="I272" s="290">
        <v>1171.2</v>
      </c>
      <c r="J272" s="298">
        <f t="shared" si="133"/>
        <v>252979</v>
      </c>
      <c r="K272" s="316">
        <v>252979</v>
      </c>
      <c r="L272" s="271"/>
      <c r="M272" s="276"/>
      <c r="N272" s="290">
        <f t="shared" si="134"/>
        <v>0</v>
      </c>
      <c r="O272" s="276"/>
      <c r="P272" s="290">
        <f t="shared" si="135"/>
        <v>0</v>
      </c>
      <c r="Q272" s="276"/>
      <c r="R272" s="290">
        <v>0</v>
      </c>
      <c r="S272" s="276"/>
      <c r="T272" s="290">
        <v>0</v>
      </c>
      <c r="U272" s="276">
        <v>0</v>
      </c>
      <c r="V272" s="290">
        <v>0</v>
      </c>
    </row>
    <row r="273" spans="2:22" ht="19.8" customHeight="1" x14ac:dyDescent="0.6">
      <c r="B273" s="268">
        <v>8</v>
      </c>
      <c r="C273" s="261" t="s">
        <v>526</v>
      </c>
      <c r="D273" s="303" t="s">
        <v>542</v>
      </c>
      <c r="E273" s="276" t="s">
        <v>57</v>
      </c>
      <c r="G273" s="290"/>
      <c r="I273" s="290">
        <v>2616.08</v>
      </c>
      <c r="J273" s="298">
        <f t="shared" si="133"/>
        <v>172661</v>
      </c>
      <c r="K273" s="316">
        <v>172661</v>
      </c>
      <c r="L273" s="271"/>
      <c r="M273" s="276"/>
      <c r="N273" s="290">
        <f t="shared" si="134"/>
        <v>0</v>
      </c>
      <c r="O273" s="276"/>
      <c r="P273" s="290">
        <f t="shared" si="135"/>
        <v>0</v>
      </c>
      <c r="Q273" s="276"/>
      <c r="R273" s="290">
        <v>0</v>
      </c>
      <c r="S273" s="276"/>
      <c r="T273" s="290">
        <v>0</v>
      </c>
      <c r="U273" s="276">
        <v>0</v>
      </c>
      <c r="V273" s="290">
        <v>0</v>
      </c>
    </row>
    <row r="274" spans="2:22" ht="19.8" customHeight="1" x14ac:dyDescent="0.6">
      <c r="B274" s="268">
        <v>9</v>
      </c>
      <c r="C274" s="261" t="s">
        <v>543</v>
      </c>
      <c r="D274" s="303" t="s">
        <v>544</v>
      </c>
      <c r="E274" s="276" t="s">
        <v>54</v>
      </c>
      <c r="G274" s="290"/>
      <c r="I274" s="290">
        <v>1683.97</v>
      </c>
      <c r="J274" s="298">
        <f t="shared" si="133"/>
        <v>45467</v>
      </c>
      <c r="K274" s="316">
        <v>45467</v>
      </c>
      <c r="L274" s="271"/>
      <c r="M274" s="276"/>
      <c r="N274" s="290">
        <f t="shared" si="134"/>
        <v>0</v>
      </c>
      <c r="O274" s="276"/>
      <c r="P274" s="290">
        <f t="shared" si="135"/>
        <v>0</v>
      </c>
      <c r="Q274" s="276"/>
      <c r="R274" s="290">
        <v>0</v>
      </c>
      <c r="S274" s="276"/>
      <c r="T274" s="290">
        <v>0</v>
      </c>
      <c r="U274" s="276">
        <v>0</v>
      </c>
      <c r="V274" s="290">
        <v>0</v>
      </c>
    </row>
    <row r="275" spans="2:22" ht="19.8" customHeight="1" x14ac:dyDescent="0.6">
      <c r="B275" s="268">
        <v>10</v>
      </c>
      <c r="C275" s="261" t="s">
        <v>545</v>
      </c>
      <c r="D275" s="303" t="s">
        <v>544</v>
      </c>
      <c r="E275" s="276" t="s">
        <v>57</v>
      </c>
      <c r="G275" s="290"/>
      <c r="I275" s="290">
        <v>5448.94</v>
      </c>
      <c r="J275" s="298">
        <f t="shared" si="133"/>
        <v>147121</v>
      </c>
      <c r="K275" s="316">
        <v>147121</v>
      </c>
      <c r="L275" s="271"/>
      <c r="M275" s="276"/>
      <c r="N275" s="290">
        <f t="shared" si="134"/>
        <v>0</v>
      </c>
      <c r="O275" s="276"/>
      <c r="P275" s="290">
        <f t="shared" si="135"/>
        <v>0</v>
      </c>
      <c r="Q275" s="276"/>
      <c r="R275" s="290">
        <v>0</v>
      </c>
      <c r="S275" s="276"/>
      <c r="T275" s="290">
        <v>0</v>
      </c>
      <c r="U275" s="276">
        <v>0</v>
      </c>
      <c r="V275" s="290">
        <v>0</v>
      </c>
    </row>
    <row r="276" spans="2:22" ht="19.8" customHeight="1" x14ac:dyDescent="0.6">
      <c r="B276" s="268">
        <v>11</v>
      </c>
      <c r="C276" s="261" t="s">
        <v>38</v>
      </c>
      <c r="D276" s="303"/>
      <c r="E276" s="276"/>
      <c r="G276" s="290"/>
      <c r="I276" s="290"/>
      <c r="J276" s="298"/>
      <c r="K276" s="316"/>
      <c r="L276" s="271"/>
      <c r="M276" s="276"/>
      <c r="N276" s="290"/>
      <c r="O276" s="276"/>
      <c r="P276" s="290"/>
      <c r="Q276" s="276"/>
      <c r="R276" s="290"/>
      <c r="S276" s="276"/>
      <c r="T276" s="290"/>
      <c r="U276" s="276">
        <v>0</v>
      </c>
      <c r="V276" s="290">
        <v>0</v>
      </c>
    </row>
    <row r="277" spans="2:22" ht="19.8" customHeight="1" x14ac:dyDescent="0.6">
      <c r="B277" s="268"/>
      <c r="C277" s="261" t="s">
        <v>427</v>
      </c>
      <c r="D277" s="303"/>
      <c r="E277" s="276"/>
      <c r="G277" s="290"/>
      <c r="I277" s="290"/>
      <c r="J277" s="298"/>
      <c r="K277" s="316" t="s">
        <v>176</v>
      </c>
      <c r="L277" s="271"/>
      <c r="M277" s="276"/>
      <c r="N277" s="290"/>
      <c r="O277" s="276"/>
      <c r="P277" s="290"/>
      <c r="Q277" s="276"/>
      <c r="R277" s="290"/>
      <c r="S277" s="276"/>
      <c r="T277" s="290"/>
      <c r="U277" s="276">
        <v>0</v>
      </c>
      <c r="V277" s="290">
        <v>0</v>
      </c>
    </row>
    <row r="278" spans="2:22" ht="19.8" customHeight="1" x14ac:dyDescent="0.6">
      <c r="B278" s="268">
        <v>12</v>
      </c>
      <c r="C278" s="261" t="s">
        <v>53</v>
      </c>
      <c r="D278" s="303"/>
      <c r="E278" s="276"/>
      <c r="G278" s="290"/>
      <c r="I278" s="290"/>
      <c r="J278" s="298"/>
      <c r="K278" s="316"/>
      <c r="L278" s="271"/>
      <c r="M278" s="276"/>
      <c r="N278" s="290"/>
      <c r="O278" s="276"/>
      <c r="P278" s="290"/>
      <c r="Q278" s="276"/>
      <c r="R278" s="290"/>
      <c r="S278" s="276"/>
      <c r="T278" s="290"/>
      <c r="U278" s="276">
        <v>0</v>
      </c>
      <c r="V278" s="290">
        <v>0</v>
      </c>
    </row>
    <row r="279" spans="2:22" ht="19.8" customHeight="1" x14ac:dyDescent="0.6">
      <c r="B279" s="268"/>
      <c r="C279" s="261" t="s">
        <v>316</v>
      </c>
      <c r="D279" s="303" t="s">
        <v>546</v>
      </c>
      <c r="E279" s="276" t="s">
        <v>54</v>
      </c>
      <c r="G279" s="290"/>
      <c r="I279" s="290">
        <v>981.02</v>
      </c>
      <c r="J279" s="298">
        <f t="shared" ref="J279:J280" si="136">IF(G279="-","-",IF(D279&gt;0,ROUNDDOWN(I279*D279,0),""))</f>
        <v>40221</v>
      </c>
      <c r="K279" s="316">
        <v>40221</v>
      </c>
      <c r="L279" s="271"/>
      <c r="M279" s="276"/>
      <c r="N279" s="290">
        <f t="shared" ref="N279:N280" si="137">ROUNDDOWN(M279*$I279,0)</f>
        <v>0</v>
      </c>
      <c r="O279" s="276"/>
      <c r="P279" s="290">
        <f t="shared" ref="P279:P280" si="138">ROUNDDOWN(O279*$I279,0)</f>
        <v>0</v>
      </c>
      <c r="Q279" s="276"/>
      <c r="R279" s="290">
        <v>0</v>
      </c>
      <c r="S279" s="276"/>
      <c r="T279" s="290">
        <v>0</v>
      </c>
      <c r="U279" s="276">
        <v>0</v>
      </c>
      <c r="V279" s="290">
        <v>0</v>
      </c>
    </row>
    <row r="280" spans="2:22" ht="19.8" customHeight="1" x14ac:dyDescent="0.6">
      <c r="B280" s="268">
        <v>13</v>
      </c>
      <c r="C280" s="261" t="s">
        <v>215</v>
      </c>
      <c r="D280" s="303" t="s">
        <v>547</v>
      </c>
      <c r="E280" s="276" t="s">
        <v>55</v>
      </c>
      <c r="G280" s="290"/>
      <c r="I280" s="290">
        <v>330.94</v>
      </c>
      <c r="J280" s="298">
        <f t="shared" si="136"/>
        <v>48979</v>
      </c>
      <c r="K280" s="316">
        <v>48979</v>
      </c>
      <c r="L280" s="271"/>
      <c r="M280" s="276"/>
      <c r="N280" s="290">
        <f t="shared" si="137"/>
        <v>0</v>
      </c>
      <c r="O280" s="276"/>
      <c r="P280" s="290">
        <f t="shared" si="138"/>
        <v>0</v>
      </c>
      <c r="Q280" s="276"/>
      <c r="R280" s="290">
        <v>0</v>
      </c>
      <c r="S280" s="276"/>
      <c r="T280" s="290">
        <v>0</v>
      </c>
      <c r="U280" s="276">
        <v>0</v>
      </c>
      <c r="V280" s="290">
        <v>0</v>
      </c>
    </row>
    <row r="281" spans="2:22" ht="19.8" customHeight="1" x14ac:dyDescent="0.6">
      <c r="B281" s="268">
        <v>14</v>
      </c>
      <c r="C281" s="261" t="s">
        <v>56</v>
      </c>
      <c r="D281" s="303"/>
      <c r="E281" s="276"/>
      <c r="G281" s="290"/>
      <c r="I281" s="290"/>
      <c r="J281" s="298"/>
      <c r="K281" s="316"/>
      <c r="L281" s="271"/>
      <c r="M281" s="276"/>
      <c r="N281" s="290"/>
      <c r="O281" s="276"/>
      <c r="P281" s="290"/>
      <c r="Q281" s="276"/>
      <c r="R281" s="290"/>
      <c r="S281" s="276"/>
      <c r="T281" s="290"/>
      <c r="U281" s="276">
        <v>0</v>
      </c>
      <c r="V281" s="290">
        <v>0</v>
      </c>
    </row>
    <row r="282" spans="2:22" ht="19.8" customHeight="1" x14ac:dyDescent="0.6">
      <c r="B282" s="268"/>
      <c r="C282" s="261" t="s">
        <v>397</v>
      </c>
      <c r="D282" s="303" t="s">
        <v>548</v>
      </c>
      <c r="E282" s="276" t="s">
        <v>57</v>
      </c>
      <c r="G282" s="290"/>
      <c r="I282" s="290">
        <v>802.05</v>
      </c>
      <c r="J282" s="298">
        <f t="shared" ref="J282:J283" si="139">IF(G282="-","-",IF(D282&gt;0,ROUNDDOWN(I282*D282,0),""))</f>
        <v>20853</v>
      </c>
      <c r="K282" s="316">
        <v>20853</v>
      </c>
      <c r="L282" s="271"/>
      <c r="M282" s="276"/>
      <c r="N282" s="290">
        <f t="shared" ref="N282:N283" si="140">ROUNDDOWN(M282*$I282,0)</f>
        <v>0</v>
      </c>
      <c r="O282" s="276"/>
      <c r="P282" s="290">
        <f t="shared" ref="P282:P283" si="141">ROUNDDOWN(O282*$I282,0)</f>
        <v>0</v>
      </c>
      <c r="Q282" s="276"/>
      <c r="R282" s="290">
        <v>0</v>
      </c>
      <c r="S282" s="276"/>
      <c r="T282" s="290">
        <v>0</v>
      </c>
      <c r="U282" s="276">
        <v>0</v>
      </c>
      <c r="V282" s="290">
        <v>0</v>
      </c>
    </row>
    <row r="283" spans="2:22" ht="19.8" customHeight="1" x14ac:dyDescent="0.6">
      <c r="B283" s="268"/>
      <c r="C283" s="261" t="s">
        <v>430</v>
      </c>
      <c r="D283" s="303" t="s">
        <v>389</v>
      </c>
      <c r="E283" s="276" t="s">
        <v>58</v>
      </c>
      <c r="G283" s="290"/>
      <c r="I283" s="290">
        <v>4438.1000000000004</v>
      </c>
      <c r="J283" s="298">
        <f t="shared" si="139"/>
        <v>4438</v>
      </c>
      <c r="K283" s="316">
        <v>4438</v>
      </c>
      <c r="L283" s="271"/>
      <c r="M283" s="276"/>
      <c r="N283" s="290">
        <f t="shared" si="140"/>
        <v>0</v>
      </c>
      <c r="O283" s="276"/>
      <c r="P283" s="290">
        <f t="shared" si="141"/>
        <v>0</v>
      </c>
      <c r="Q283" s="276"/>
      <c r="R283" s="290">
        <v>0</v>
      </c>
      <c r="S283" s="276"/>
      <c r="T283" s="290">
        <v>0</v>
      </c>
      <c r="U283" s="276">
        <v>0</v>
      </c>
      <c r="V283" s="290">
        <v>0</v>
      </c>
    </row>
    <row r="284" spans="2:22" ht="19.8" customHeight="1" x14ac:dyDescent="0.6">
      <c r="B284" s="268">
        <v>15</v>
      </c>
      <c r="C284" s="261" t="s">
        <v>59</v>
      </c>
      <c r="D284" s="303"/>
      <c r="E284" s="276"/>
      <c r="G284" s="290"/>
      <c r="I284" s="290"/>
      <c r="J284" s="298"/>
      <c r="K284" s="316"/>
      <c r="L284" s="271"/>
      <c r="M284" s="276"/>
      <c r="N284" s="290"/>
      <c r="O284" s="276"/>
      <c r="P284" s="290"/>
      <c r="Q284" s="276"/>
      <c r="R284" s="290"/>
      <c r="S284" s="276"/>
      <c r="T284" s="290"/>
      <c r="U284" s="276">
        <v>0</v>
      </c>
      <c r="V284" s="290">
        <v>0</v>
      </c>
    </row>
    <row r="285" spans="2:22" ht="19.8" customHeight="1" x14ac:dyDescent="0.6">
      <c r="B285" s="268">
        <v>16</v>
      </c>
      <c r="C285" s="261" t="s">
        <v>379</v>
      </c>
      <c r="D285" s="303" t="s">
        <v>549</v>
      </c>
      <c r="E285" s="276" t="s">
        <v>61</v>
      </c>
      <c r="G285" s="290"/>
      <c r="I285" s="290">
        <v>23917.83</v>
      </c>
      <c r="J285" s="298">
        <f t="shared" ref="J285" si="142">IF(G285="-","-",IF(D285&gt;0,ROUNDDOWN(I285*D285,0),""))</f>
        <v>526192</v>
      </c>
      <c r="K285" s="316">
        <v>526192</v>
      </c>
      <c r="L285" s="271"/>
      <c r="M285" s="276"/>
      <c r="N285" s="290">
        <f t="shared" ref="N285" si="143">ROUNDDOWN(M285*$I285,0)</f>
        <v>0</v>
      </c>
      <c r="O285" s="276"/>
      <c r="P285" s="290">
        <f t="shared" ref="P285" si="144">ROUNDDOWN(O285*$I285,0)</f>
        <v>0</v>
      </c>
      <c r="Q285" s="276"/>
      <c r="R285" s="290">
        <v>0</v>
      </c>
      <c r="S285" s="276"/>
      <c r="T285" s="290">
        <v>0</v>
      </c>
      <c r="U285" s="276">
        <v>0</v>
      </c>
      <c r="V285" s="290">
        <v>0</v>
      </c>
    </row>
    <row r="286" spans="2:22" ht="19.8" customHeight="1" x14ac:dyDescent="0.6">
      <c r="B286" s="268"/>
      <c r="C286" s="261" t="s">
        <v>52</v>
      </c>
      <c r="D286" s="303"/>
      <c r="E286" s="276"/>
      <c r="G286" s="290"/>
      <c r="I286" s="290"/>
      <c r="J286" s="298"/>
      <c r="K286" s="316"/>
      <c r="L286" s="271"/>
      <c r="M286" s="276"/>
      <c r="N286" s="290"/>
      <c r="O286" s="276"/>
      <c r="P286" s="290"/>
      <c r="Q286" s="276"/>
      <c r="R286" s="290"/>
      <c r="S286" s="276"/>
      <c r="T286" s="290"/>
      <c r="U286" s="276">
        <v>0</v>
      </c>
      <c r="V286" s="290">
        <v>0</v>
      </c>
    </row>
    <row r="287" spans="2:22" ht="19.8" customHeight="1" x14ac:dyDescent="0.6">
      <c r="B287" s="268">
        <v>17</v>
      </c>
      <c r="C287" s="261" t="s">
        <v>550</v>
      </c>
      <c r="D287" s="303" t="s">
        <v>441</v>
      </c>
      <c r="E287" s="276" t="s">
        <v>61</v>
      </c>
      <c r="G287" s="290"/>
      <c r="I287" s="290">
        <v>17176.25</v>
      </c>
      <c r="J287" s="298">
        <f t="shared" ref="J287" si="145">IF(G287="-","-",IF(D287&gt;0,ROUNDDOWN(I287*D287,0),""))</f>
        <v>103057</v>
      </c>
      <c r="K287" s="316">
        <v>103057</v>
      </c>
      <c r="L287" s="271"/>
      <c r="M287" s="276"/>
      <c r="N287" s="290">
        <f t="shared" ref="N287" si="146">ROUNDDOWN(M287*$I287,0)</f>
        <v>0</v>
      </c>
      <c r="O287" s="276"/>
      <c r="P287" s="290">
        <f t="shared" ref="P287" si="147">ROUNDDOWN(O287*$I287,0)</f>
        <v>0</v>
      </c>
      <c r="Q287" s="276"/>
      <c r="R287" s="290">
        <v>0</v>
      </c>
      <c r="S287" s="276"/>
      <c r="T287" s="290">
        <v>0</v>
      </c>
      <c r="U287" s="276">
        <v>0</v>
      </c>
      <c r="V287" s="290">
        <v>0</v>
      </c>
    </row>
    <row r="288" spans="2:22" ht="19.8" customHeight="1" x14ac:dyDescent="0.6">
      <c r="B288" s="268"/>
      <c r="C288" s="261" t="s">
        <v>52</v>
      </c>
      <c r="D288" s="303"/>
      <c r="E288" s="276"/>
      <c r="G288" s="290"/>
      <c r="I288" s="290"/>
      <c r="J288" s="298"/>
      <c r="K288" s="316"/>
      <c r="L288" s="271"/>
      <c r="M288" s="276"/>
      <c r="N288" s="290"/>
      <c r="O288" s="276"/>
      <c r="P288" s="290"/>
      <c r="Q288" s="276"/>
      <c r="R288" s="290"/>
      <c r="S288" s="276"/>
      <c r="T288" s="290"/>
      <c r="U288" s="276">
        <v>0</v>
      </c>
      <c r="V288" s="290">
        <v>0</v>
      </c>
    </row>
    <row r="289" spans="2:22" ht="19.8" customHeight="1" x14ac:dyDescent="0.6">
      <c r="B289" s="268"/>
      <c r="C289" s="261"/>
      <c r="D289" s="303"/>
      <c r="E289" s="276"/>
      <c r="G289" s="290"/>
      <c r="I289" s="290"/>
      <c r="J289" s="298"/>
      <c r="K289" s="316"/>
      <c r="L289" s="271"/>
      <c r="M289" s="276"/>
      <c r="N289" s="290"/>
      <c r="O289" s="276"/>
      <c r="P289" s="290"/>
      <c r="Q289" s="276"/>
      <c r="R289" s="290"/>
      <c r="S289" s="276"/>
      <c r="T289" s="290"/>
      <c r="U289" s="276">
        <v>0</v>
      </c>
      <c r="V289" s="290">
        <v>0</v>
      </c>
    </row>
    <row r="290" spans="2:22" ht="19.8" customHeight="1" x14ac:dyDescent="0.6">
      <c r="B290" s="826" t="s">
        <v>68</v>
      </c>
      <c r="C290" s="827"/>
      <c r="D290" s="294" t="s">
        <v>544</v>
      </c>
      <c r="E290" s="257" t="s">
        <v>57</v>
      </c>
      <c r="F290" s="296"/>
      <c r="G290" s="293"/>
      <c r="H290" s="297"/>
      <c r="I290" s="293"/>
      <c r="J290" s="299">
        <f>SUM(J265:J289)</f>
        <v>1601756</v>
      </c>
      <c r="K290" s="319">
        <v>1601756</v>
      </c>
      <c r="L290" s="262"/>
      <c r="M290" s="257"/>
      <c r="N290" s="293">
        <f>SUM(N265:N289)</f>
        <v>0</v>
      </c>
      <c r="O290" s="257"/>
      <c r="P290" s="293">
        <f>SUM(P265:P289)</f>
        <v>0</v>
      </c>
      <c r="Q290" s="257"/>
      <c r="R290" s="293">
        <v>0</v>
      </c>
      <c r="S290" s="257"/>
      <c r="T290" s="293">
        <v>0</v>
      </c>
      <c r="U290" s="257">
        <v>0</v>
      </c>
      <c r="V290" s="293">
        <v>0</v>
      </c>
    </row>
    <row r="291" spans="2:22" ht="19.8" customHeight="1" x14ac:dyDescent="0.6">
      <c r="B291" s="306">
        <v>1.1100000000000001</v>
      </c>
      <c r="C291" s="261" t="s">
        <v>69</v>
      </c>
      <c r="D291" s="303"/>
      <c r="E291" s="276"/>
      <c r="G291" s="290"/>
      <c r="I291" s="290"/>
      <c r="J291" s="298"/>
      <c r="K291" s="316"/>
      <c r="L291" s="271"/>
      <c r="M291" s="276"/>
      <c r="N291" s="290"/>
      <c r="O291" s="276"/>
      <c r="P291" s="290"/>
      <c r="Q291" s="276"/>
      <c r="R291" s="290"/>
      <c r="S291" s="276"/>
      <c r="T291" s="290"/>
      <c r="U291" s="276">
        <v>0</v>
      </c>
      <c r="V291" s="290">
        <v>0</v>
      </c>
    </row>
    <row r="292" spans="2:22" ht="19.8" customHeight="1" x14ac:dyDescent="0.6">
      <c r="B292" s="268"/>
      <c r="C292" s="261" t="s">
        <v>551</v>
      </c>
      <c r="D292" s="303"/>
      <c r="E292" s="276"/>
      <c r="G292" s="290"/>
      <c r="I292" s="290"/>
      <c r="J292" s="298"/>
      <c r="K292" s="316"/>
      <c r="L292" s="271"/>
      <c r="M292" s="276"/>
      <c r="N292" s="290"/>
      <c r="O292" s="276"/>
      <c r="P292" s="290"/>
      <c r="Q292" s="276"/>
      <c r="R292" s="290"/>
      <c r="S292" s="276"/>
      <c r="T292" s="290"/>
      <c r="U292" s="276">
        <v>0</v>
      </c>
      <c r="V292" s="290">
        <v>0</v>
      </c>
    </row>
    <row r="293" spans="2:22" ht="19.8" customHeight="1" x14ac:dyDescent="0.6">
      <c r="B293" s="268"/>
      <c r="C293" s="261" t="s">
        <v>552</v>
      </c>
      <c r="D293" s="303"/>
      <c r="E293" s="276"/>
      <c r="G293" s="290"/>
      <c r="I293" s="290"/>
      <c r="J293" s="298"/>
      <c r="K293" s="316"/>
      <c r="L293" s="271"/>
      <c r="M293" s="276"/>
      <c r="N293" s="290"/>
      <c r="O293" s="276"/>
      <c r="P293" s="290"/>
      <c r="Q293" s="276"/>
      <c r="R293" s="290"/>
      <c r="S293" s="276"/>
      <c r="T293" s="290"/>
      <c r="U293" s="276">
        <v>0</v>
      </c>
      <c r="V293" s="290">
        <v>0</v>
      </c>
    </row>
    <row r="294" spans="2:22" ht="19.8" customHeight="1" x14ac:dyDescent="0.6">
      <c r="B294" s="268">
        <v>1</v>
      </c>
      <c r="C294" s="261" t="s">
        <v>195</v>
      </c>
      <c r="D294" s="303" t="s">
        <v>553</v>
      </c>
      <c r="E294" s="276" t="s">
        <v>55</v>
      </c>
      <c r="G294" s="290"/>
      <c r="I294" s="290">
        <v>38.44</v>
      </c>
      <c r="J294" s="298">
        <f t="shared" ref="J294:J301" si="148">IF(G294="-","-",IF(D294&gt;0,ROUNDDOWN(I294*D294,0),""))</f>
        <v>2114</v>
      </c>
      <c r="K294" s="316">
        <v>2114</v>
      </c>
      <c r="L294" s="271"/>
      <c r="M294" s="276"/>
      <c r="N294" s="290">
        <f t="shared" ref="N294:N301" si="149">ROUNDDOWN(M294*$I294,0)</f>
        <v>0</v>
      </c>
      <c r="O294" s="276"/>
      <c r="P294" s="290">
        <f t="shared" ref="P294:P301" si="150">ROUNDDOWN(O294*$I294,0)</f>
        <v>0</v>
      </c>
      <c r="Q294" s="276"/>
      <c r="R294" s="290">
        <v>0</v>
      </c>
      <c r="S294" s="276"/>
      <c r="T294" s="290">
        <v>0</v>
      </c>
      <c r="U294" s="276">
        <v>0</v>
      </c>
      <c r="V294" s="290">
        <v>0</v>
      </c>
    </row>
    <row r="295" spans="2:22" ht="19.8" customHeight="1" x14ac:dyDescent="0.6">
      <c r="B295" s="268">
        <v>4</v>
      </c>
      <c r="C295" s="261" t="s">
        <v>196</v>
      </c>
      <c r="D295" s="303" t="s">
        <v>389</v>
      </c>
      <c r="E295" s="276" t="s">
        <v>61</v>
      </c>
      <c r="G295" s="290"/>
      <c r="I295" s="290">
        <v>811.72</v>
      </c>
      <c r="J295" s="298">
        <f t="shared" si="148"/>
        <v>811</v>
      </c>
      <c r="K295" s="316">
        <v>811</v>
      </c>
      <c r="L295" s="271"/>
      <c r="M295" s="276"/>
      <c r="N295" s="290">
        <f t="shared" si="149"/>
        <v>0</v>
      </c>
      <c r="O295" s="276"/>
      <c r="P295" s="290">
        <f t="shared" si="150"/>
        <v>0</v>
      </c>
      <c r="Q295" s="276"/>
      <c r="R295" s="290">
        <v>0</v>
      </c>
      <c r="S295" s="276"/>
      <c r="T295" s="290">
        <v>0</v>
      </c>
      <c r="U295" s="276">
        <v>0</v>
      </c>
      <c r="V295" s="290">
        <v>0</v>
      </c>
    </row>
    <row r="296" spans="2:22" ht="19.8" customHeight="1" x14ac:dyDescent="0.6">
      <c r="B296" s="268">
        <v>5</v>
      </c>
      <c r="C296" s="261" t="s">
        <v>524</v>
      </c>
      <c r="D296" s="303" t="s">
        <v>502</v>
      </c>
      <c r="E296" s="276" t="s">
        <v>62</v>
      </c>
      <c r="G296" s="290"/>
      <c r="I296" s="290">
        <v>1124.93</v>
      </c>
      <c r="J296" s="298">
        <f t="shared" si="148"/>
        <v>17998</v>
      </c>
      <c r="K296" s="316">
        <v>17998</v>
      </c>
      <c r="L296" s="271"/>
      <c r="M296" s="276"/>
      <c r="N296" s="290">
        <f t="shared" si="149"/>
        <v>0</v>
      </c>
      <c r="O296" s="276"/>
      <c r="P296" s="290">
        <f t="shared" si="150"/>
        <v>0</v>
      </c>
      <c r="Q296" s="276"/>
      <c r="R296" s="290">
        <v>0</v>
      </c>
      <c r="S296" s="276"/>
      <c r="T296" s="290">
        <v>0</v>
      </c>
      <c r="U296" s="276">
        <v>0</v>
      </c>
      <c r="V296" s="290">
        <v>0</v>
      </c>
    </row>
    <row r="297" spans="2:22" ht="19.8" customHeight="1" x14ac:dyDescent="0.6">
      <c r="B297" s="268">
        <v>6</v>
      </c>
      <c r="C297" s="261" t="s">
        <v>539</v>
      </c>
      <c r="D297" s="303" t="s">
        <v>529</v>
      </c>
      <c r="E297" s="276" t="s">
        <v>62</v>
      </c>
      <c r="G297" s="290"/>
      <c r="I297" s="290">
        <v>6336.56</v>
      </c>
      <c r="J297" s="298">
        <f t="shared" si="148"/>
        <v>25346</v>
      </c>
      <c r="K297" s="316">
        <v>25346</v>
      </c>
      <c r="L297" s="271"/>
      <c r="M297" s="276"/>
      <c r="N297" s="290">
        <f t="shared" si="149"/>
        <v>0</v>
      </c>
      <c r="O297" s="276"/>
      <c r="P297" s="290">
        <f t="shared" si="150"/>
        <v>0</v>
      </c>
      <c r="Q297" s="276"/>
      <c r="R297" s="290">
        <v>0</v>
      </c>
      <c r="S297" s="276"/>
      <c r="T297" s="290">
        <v>0</v>
      </c>
      <c r="U297" s="276">
        <v>0</v>
      </c>
      <c r="V297" s="290">
        <v>0</v>
      </c>
    </row>
    <row r="298" spans="2:22" ht="19.8" customHeight="1" x14ac:dyDescent="0.6">
      <c r="B298" s="268">
        <v>7</v>
      </c>
      <c r="C298" s="261" t="s">
        <v>217</v>
      </c>
      <c r="D298" s="303" t="s">
        <v>554</v>
      </c>
      <c r="E298" s="276" t="s">
        <v>55</v>
      </c>
      <c r="G298" s="290"/>
      <c r="I298" s="290">
        <v>1171.2</v>
      </c>
      <c r="J298" s="298">
        <f t="shared" si="148"/>
        <v>46848</v>
      </c>
      <c r="K298" s="316">
        <v>46848</v>
      </c>
      <c r="L298" s="271"/>
      <c r="M298" s="276"/>
      <c r="N298" s="290">
        <f t="shared" si="149"/>
        <v>0</v>
      </c>
      <c r="O298" s="276"/>
      <c r="P298" s="290">
        <f t="shared" si="150"/>
        <v>0</v>
      </c>
      <c r="Q298" s="276"/>
      <c r="R298" s="290">
        <v>0</v>
      </c>
      <c r="S298" s="276"/>
      <c r="T298" s="290">
        <v>0</v>
      </c>
      <c r="U298" s="276">
        <v>0</v>
      </c>
      <c r="V298" s="290">
        <v>0</v>
      </c>
    </row>
    <row r="299" spans="2:22" ht="19.8" customHeight="1" x14ac:dyDescent="0.6">
      <c r="B299" s="268">
        <v>8</v>
      </c>
      <c r="C299" s="261" t="s">
        <v>526</v>
      </c>
      <c r="D299" s="303" t="s">
        <v>555</v>
      </c>
      <c r="E299" s="276" t="s">
        <v>57</v>
      </c>
      <c r="G299" s="290"/>
      <c r="I299" s="290">
        <v>2616.08</v>
      </c>
      <c r="J299" s="298">
        <f t="shared" si="148"/>
        <v>36625</v>
      </c>
      <c r="K299" s="316">
        <v>36625</v>
      </c>
      <c r="L299" s="271"/>
      <c r="M299" s="276"/>
      <c r="N299" s="290">
        <f t="shared" si="149"/>
        <v>0</v>
      </c>
      <c r="O299" s="276"/>
      <c r="P299" s="290">
        <f t="shared" si="150"/>
        <v>0</v>
      </c>
      <c r="Q299" s="276"/>
      <c r="R299" s="290">
        <v>0</v>
      </c>
      <c r="S299" s="276"/>
      <c r="T299" s="290">
        <v>0</v>
      </c>
      <c r="U299" s="276">
        <v>0</v>
      </c>
      <c r="V299" s="290">
        <v>0</v>
      </c>
    </row>
    <row r="300" spans="2:22" ht="19.8" customHeight="1" x14ac:dyDescent="0.6">
      <c r="B300" s="268">
        <v>9</v>
      </c>
      <c r="C300" s="261" t="s">
        <v>218</v>
      </c>
      <c r="D300" s="303" t="s">
        <v>532</v>
      </c>
      <c r="E300" s="276" t="s">
        <v>54</v>
      </c>
      <c r="G300" s="290"/>
      <c r="I300" s="290">
        <v>1683.97</v>
      </c>
      <c r="J300" s="298">
        <f t="shared" si="148"/>
        <v>8419</v>
      </c>
      <c r="K300" s="316">
        <v>8419</v>
      </c>
      <c r="L300" s="271"/>
      <c r="M300" s="276"/>
      <c r="N300" s="290">
        <f t="shared" si="149"/>
        <v>0</v>
      </c>
      <c r="O300" s="276"/>
      <c r="P300" s="290">
        <f t="shared" si="150"/>
        <v>0</v>
      </c>
      <c r="Q300" s="276"/>
      <c r="R300" s="290">
        <v>0</v>
      </c>
      <c r="S300" s="276"/>
      <c r="T300" s="290">
        <v>0</v>
      </c>
      <c r="U300" s="276">
        <v>0</v>
      </c>
      <c r="V300" s="290">
        <v>0</v>
      </c>
    </row>
    <row r="301" spans="2:22" ht="19.8" customHeight="1" x14ac:dyDescent="0.6">
      <c r="B301" s="268">
        <v>10</v>
      </c>
      <c r="C301" s="261" t="s">
        <v>527</v>
      </c>
      <c r="D301" s="303" t="s">
        <v>532</v>
      </c>
      <c r="E301" s="276" t="s">
        <v>57</v>
      </c>
      <c r="G301" s="290"/>
      <c r="I301" s="290">
        <v>3714.77</v>
      </c>
      <c r="J301" s="298">
        <f t="shared" si="148"/>
        <v>18573</v>
      </c>
      <c r="K301" s="316">
        <v>18573</v>
      </c>
      <c r="L301" s="271"/>
      <c r="M301" s="276"/>
      <c r="N301" s="290">
        <f t="shared" si="149"/>
        <v>0</v>
      </c>
      <c r="O301" s="276"/>
      <c r="P301" s="290">
        <f t="shared" si="150"/>
        <v>0</v>
      </c>
      <c r="Q301" s="276"/>
      <c r="R301" s="290">
        <v>0</v>
      </c>
      <c r="S301" s="276"/>
      <c r="T301" s="290">
        <v>0</v>
      </c>
      <c r="U301" s="276">
        <v>0</v>
      </c>
      <c r="V301" s="290">
        <v>0</v>
      </c>
    </row>
    <row r="302" spans="2:22" ht="19.8" customHeight="1" x14ac:dyDescent="0.6">
      <c r="B302" s="268">
        <v>12</v>
      </c>
      <c r="C302" s="261" t="s">
        <v>53</v>
      </c>
      <c r="D302" s="303"/>
      <c r="E302" s="276"/>
      <c r="G302" s="290"/>
      <c r="I302" s="290"/>
      <c r="J302" s="298"/>
      <c r="K302" s="316"/>
      <c r="L302" s="271"/>
      <c r="M302" s="276"/>
      <c r="N302" s="290"/>
      <c r="O302" s="276"/>
      <c r="P302" s="290"/>
      <c r="Q302" s="276"/>
      <c r="R302" s="290"/>
      <c r="S302" s="276"/>
      <c r="T302" s="290"/>
      <c r="U302" s="276">
        <v>0</v>
      </c>
      <c r="V302" s="290">
        <v>0</v>
      </c>
    </row>
    <row r="303" spans="2:22" ht="19.8" customHeight="1" x14ac:dyDescent="0.6">
      <c r="B303" s="268"/>
      <c r="C303" s="261" t="s">
        <v>316</v>
      </c>
      <c r="D303" s="303" t="s">
        <v>422</v>
      </c>
      <c r="E303" s="276" t="s">
        <v>54</v>
      </c>
      <c r="G303" s="290"/>
      <c r="I303" s="290">
        <v>981.02</v>
      </c>
      <c r="J303" s="298">
        <f t="shared" ref="J303:J304" si="151">IF(G303="-","-",IF(D303&gt;0,ROUNDDOWN(I303*D303,0),""))</f>
        <v>5886</v>
      </c>
      <c r="K303" s="316">
        <v>5886</v>
      </c>
      <c r="L303" s="271"/>
      <c r="M303" s="276"/>
      <c r="N303" s="290">
        <f t="shared" ref="N303:N304" si="152">ROUNDDOWN(M303*$I303,0)</f>
        <v>0</v>
      </c>
      <c r="O303" s="276"/>
      <c r="P303" s="290">
        <f t="shared" ref="P303:P304" si="153">ROUNDDOWN(O303*$I303,0)</f>
        <v>0</v>
      </c>
      <c r="Q303" s="276"/>
      <c r="R303" s="290">
        <v>0</v>
      </c>
      <c r="S303" s="276"/>
      <c r="T303" s="290">
        <v>0</v>
      </c>
      <c r="U303" s="276">
        <v>0</v>
      </c>
      <c r="V303" s="290">
        <v>0</v>
      </c>
    </row>
    <row r="304" spans="2:22" ht="19.8" customHeight="1" x14ac:dyDescent="0.6">
      <c r="B304" s="268">
        <v>13</v>
      </c>
      <c r="C304" s="261" t="s">
        <v>215</v>
      </c>
      <c r="D304" s="303" t="s">
        <v>544</v>
      </c>
      <c r="E304" s="276" t="s">
        <v>55</v>
      </c>
      <c r="G304" s="290"/>
      <c r="I304" s="290">
        <v>330.94</v>
      </c>
      <c r="J304" s="298">
        <f t="shared" si="151"/>
        <v>8935</v>
      </c>
      <c r="K304" s="316">
        <v>8935</v>
      </c>
      <c r="L304" s="271"/>
      <c r="M304" s="276"/>
      <c r="N304" s="290">
        <f t="shared" si="152"/>
        <v>0</v>
      </c>
      <c r="O304" s="276"/>
      <c r="P304" s="290">
        <f t="shared" si="153"/>
        <v>0</v>
      </c>
      <c r="Q304" s="276"/>
      <c r="R304" s="290">
        <v>0</v>
      </c>
      <c r="S304" s="276"/>
      <c r="T304" s="290">
        <v>0</v>
      </c>
      <c r="U304" s="276">
        <v>0</v>
      </c>
      <c r="V304" s="290">
        <v>0</v>
      </c>
    </row>
    <row r="305" spans="2:22" ht="19.8" customHeight="1" x14ac:dyDescent="0.6">
      <c r="B305" s="268">
        <v>14</v>
      </c>
      <c r="C305" s="261" t="s">
        <v>56</v>
      </c>
      <c r="D305" s="303"/>
      <c r="E305" s="276"/>
      <c r="G305" s="290"/>
      <c r="I305" s="290"/>
      <c r="J305" s="298"/>
      <c r="K305" s="316"/>
      <c r="L305" s="271"/>
      <c r="M305" s="276"/>
      <c r="N305" s="290"/>
      <c r="O305" s="276"/>
      <c r="P305" s="290"/>
      <c r="Q305" s="276"/>
      <c r="R305" s="290"/>
      <c r="S305" s="276"/>
      <c r="T305" s="290"/>
      <c r="U305" s="276">
        <v>0</v>
      </c>
      <c r="V305" s="290">
        <v>0</v>
      </c>
    </row>
    <row r="306" spans="2:22" ht="19.8" customHeight="1" x14ac:dyDescent="0.6">
      <c r="B306" s="268"/>
      <c r="C306" s="261" t="s">
        <v>397</v>
      </c>
      <c r="D306" s="303" t="s">
        <v>532</v>
      </c>
      <c r="E306" s="276" t="s">
        <v>57</v>
      </c>
      <c r="G306" s="290"/>
      <c r="I306" s="290">
        <v>802.05</v>
      </c>
      <c r="J306" s="298">
        <f t="shared" ref="J306:J307" si="154">IF(G306="-","-",IF(D306&gt;0,ROUNDDOWN(I306*D306,0),""))</f>
        <v>4010</v>
      </c>
      <c r="K306" s="316">
        <v>4010</v>
      </c>
      <c r="L306" s="271"/>
      <c r="M306" s="276"/>
      <c r="N306" s="290">
        <f t="shared" ref="N306:N307" si="155">ROUNDDOWN(M306*$I306,0)</f>
        <v>0</v>
      </c>
      <c r="O306" s="276"/>
      <c r="P306" s="290">
        <f t="shared" ref="P306:P307" si="156">ROUNDDOWN(O306*$I306,0)</f>
        <v>0</v>
      </c>
      <c r="Q306" s="276"/>
      <c r="R306" s="290">
        <v>0</v>
      </c>
      <c r="S306" s="276"/>
      <c r="T306" s="290">
        <v>0</v>
      </c>
      <c r="U306" s="276">
        <v>0</v>
      </c>
      <c r="V306" s="290">
        <v>0</v>
      </c>
    </row>
    <row r="307" spans="2:22" ht="19.8" customHeight="1" x14ac:dyDescent="0.6">
      <c r="B307" s="268"/>
      <c r="C307" s="261" t="s">
        <v>430</v>
      </c>
      <c r="D307" s="303" t="s">
        <v>389</v>
      </c>
      <c r="E307" s="276" t="s">
        <v>58</v>
      </c>
      <c r="G307" s="290"/>
      <c r="I307" s="290">
        <v>4438.1000000000004</v>
      </c>
      <c r="J307" s="298">
        <f t="shared" si="154"/>
        <v>4438</v>
      </c>
      <c r="K307" s="316">
        <v>4438</v>
      </c>
      <c r="L307" s="271"/>
      <c r="M307" s="276"/>
      <c r="N307" s="290">
        <f t="shared" si="155"/>
        <v>0</v>
      </c>
      <c r="O307" s="276"/>
      <c r="P307" s="290">
        <f t="shared" si="156"/>
        <v>0</v>
      </c>
      <c r="Q307" s="276"/>
      <c r="R307" s="290">
        <v>0</v>
      </c>
      <c r="S307" s="276"/>
      <c r="T307" s="290">
        <v>0</v>
      </c>
      <c r="U307" s="276">
        <v>0</v>
      </c>
      <c r="V307" s="290">
        <v>0</v>
      </c>
    </row>
    <row r="308" spans="2:22" ht="19.8" customHeight="1" x14ac:dyDescent="0.6">
      <c r="B308" s="268">
        <v>15</v>
      </c>
      <c r="C308" s="261" t="s">
        <v>431</v>
      </c>
      <c r="D308" s="303"/>
      <c r="E308" s="276"/>
      <c r="G308" s="290"/>
      <c r="I308" s="290"/>
      <c r="J308" s="298"/>
      <c r="K308" s="316"/>
      <c r="L308" s="271"/>
      <c r="M308" s="276"/>
      <c r="N308" s="290"/>
      <c r="O308" s="276"/>
      <c r="P308" s="290"/>
      <c r="Q308" s="276"/>
      <c r="R308" s="290"/>
      <c r="S308" s="276"/>
      <c r="T308" s="290"/>
      <c r="U308" s="276">
        <v>0</v>
      </c>
      <c r="V308" s="290">
        <v>0</v>
      </c>
    </row>
    <row r="309" spans="2:22" ht="19.8" customHeight="1" x14ac:dyDescent="0.6">
      <c r="B309" s="268">
        <v>16</v>
      </c>
      <c r="C309" s="261" t="s">
        <v>379</v>
      </c>
      <c r="D309" s="303" t="s">
        <v>333</v>
      </c>
      <c r="E309" s="276" t="s">
        <v>61</v>
      </c>
      <c r="G309" s="290"/>
      <c r="I309" s="290">
        <v>23917.83</v>
      </c>
      <c r="J309" s="298">
        <f t="shared" ref="J309" si="157">IF(G309="-","-",IF(D309&gt;0,ROUNDDOWN(I309*D309,0),""))</f>
        <v>119589</v>
      </c>
      <c r="K309" s="316">
        <v>119589</v>
      </c>
      <c r="L309" s="271"/>
      <c r="M309" s="276"/>
      <c r="N309" s="290">
        <f t="shared" ref="N309" si="158">ROUNDDOWN(M309*$I309,0)</f>
        <v>0</v>
      </c>
      <c r="O309" s="276"/>
      <c r="P309" s="290">
        <f t="shared" ref="P309" si="159">ROUNDDOWN(O309*$I309,0)</f>
        <v>0</v>
      </c>
      <c r="Q309" s="276"/>
      <c r="R309" s="290">
        <v>0</v>
      </c>
      <c r="S309" s="276"/>
      <c r="T309" s="290">
        <v>0</v>
      </c>
      <c r="U309" s="276">
        <v>0</v>
      </c>
      <c r="V309" s="290">
        <v>0</v>
      </c>
    </row>
    <row r="310" spans="2:22" ht="19.8" customHeight="1" x14ac:dyDescent="0.6">
      <c r="B310" s="268"/>
      <c r="C310" s="261" t="s">
        <v>52</v>
      </c>
      <c r="D310" s="303"/>
      <c r="E310" s="276"/>
      <c r="G310" s="290"/>
      <c r="I310" s="290"/>
      <c r="J310" s="298"/>
      <c r="K310" s="316"/>
      <c r="L310" s="271"/>
      <c r="M310" s="276"/>
      <c r="N310" s="290"/>
      <c r="O310" s="276"/>
      <c r="P310" s="290"/>
      <c r="Q310" s="276"/>
      <c r="R310" s="290"/>
      <c r="S310" s="276"/>
      <c r="T310" s="290"/>
      <c r="U310" s="276">
        <v>0</v>
      </c>
      <c r="V310" s="290">
        <v>0</v>
      </c>
    </row>
    <row r="311" spans="2:22" ht="19.8" customHeight="1" x14ac:dyDescent="0.6">
      <c r="B311" s="268">
        <v>17</v>
      </c>
      <c r="C311" s="261" t="s">
        <v>550</v>
      </c>
      <c r="D311" s="303" t="s">
        <v>410</v>
      </c>
      <c r="E311" s="276" t="s">
        <v>61</v>
      </c>
      <c r="G311" s="290"/>
      <c r="I311" s="290">
        <v>17176.25</v>
      </c>
      <c r="J311" s="298">
        <f t="shared" ref="J311" si="160">IF(G311="-","-",IF(D311&gt;0,ROUNDDOWN(I311*D311,0),""))</f>
        <v>34352</v>
      </c>
      <c r="K311" s="316">
        <v>34352</v>
      </c>
      <c r="L311" s="271"/>
      <c r="M311" s="276"/>
      <c r="N311" s="290">
        <f t="shared" ref="N311" si="161">ROUNDDOWN(M311*$I311,0)</f>
        <v>0</v>
      </c>
      <c r="O311" s="276"/>
      <c r="P311" s="290">
        <f t="shared" ref="P311" si="162">ROUNDDOWN(O311*$I311,0)</f>
        <v>0</v>
      </c>
      <c r="Q311" s="276"/>
      <c r="R311" s="290">
        <v>0</v>
      </c>
      <c r="S311" s="276"/>
      <c r="T311" s="290">
        <v>0</v>
      </c>
      <c r="U311" s="276">
        <v>0</v>
      </c>
      <c r="V311" s="290">
        <v>0</v>
      </c>
    </row>
    <row r="312" spans="2:22" ht="19.8" customHeight="1" x14ac:dyDescent="0.6">
      <c r="B312" s="268"/>
      <c r="C312" s="261" t="s">
        <v>52</v>
      </c>
      <c r="D312" s="303"/>
      <c r="E312" s="276"/>
      <c r="G312" s="290"/>
      <c r="I312" s="290"/>
      <c r="J312" s="298"/>
      <c r="K312" s="316"/>
      <c r="L312" s="271"/>
      <c r="M312" s="276"/>
      <c r="N312" s="290"/>
      <c r="O312" s="276"/>
      <c r="P312" s="290"/>
      <c r="Q312" s="276"/>
      <c r="R312" s="290"/>
      <c r="S312" s="276"/>
      <c r="T312" s="290"/>
      <c r="U312" s="276">
        <v>0</v>
      </c>
      <c r="V312" s="290">
        <v>0</v>
      </c>
    </row>
    <row r="313" spans="2:22" ht="19.8" customHeight="1" x14ac:dyDescent="0.6">
      <c r="B313" s="268"/>
      <c r="C313" s="261"/>
      <c r="D313" s="303"/>
      <c r="E313" s="276"/>
      <c r="G313" s="290"/>
      <c r="I313" s="290"/>
      <c r="J313" s="298"/>
      <c r="K313" s="316"/>
      <c r="L313" s="271"/>
      <c r="M313" s="276"/>
      <c r="N313" s="290"/>
      <c r="O313" s="276"/>
      <c r="P313" s="290"/>
      <c r="Q313" s="276"/>
      <c r="R313" s="290"/>
      <c r="S313" s="276"/>
      <c r="T313" s="290"/>
      <c r="U313" s="276">
        <v>0</v>
      </c>
      <c r="V313" s="290">
        <v>0</v>
      </c>
    </row>
    <row r="314" spans="2:22" ht="19.8" customHeight="1" x14ac:dyDescent="0.6">
      <c r="B314" s="817" t="s">
        <v>556</v>
      </c>
      <c r="C314" s="818"/>
      <c r="D314" s="294" t="s">
        <v>532</v>
      </c>
      <c r="E314" s="257" t="s">
        <v>57</v>
      </c>
      <c r="F314" s="296"/>
      <c r="G314" s="293"/>
      <c r="H314" s="297"/>
      <c r="I314" s="293"/>
      <c r="J314" s="299">
        <f>SUM(J291:J313)</f>
        <v>333944</v>
      </c>
      <c r="K314" s="319">
        <v>333944</v>
      </c>
      <c r="L314" s="262"/>
      <c r="M314" s="257"/>
      <c r="N314" s="293">
        <f>SUM(N291:N313)</f>
        <v>0</v>
      </c>
      <c r="O314" s="257"/>
      <c r="P314" s="293">
        <f>SUM(P291:P313)</f>
        <v>0</v>
      </c>
      <c r="Q314" s="257"/>
      <c r="R314" s="293">
        <v>0</v>
      </c>
      <c r="S314" s="257"/>
      <c r="T314" s="293">
        <v>0</v>
      </c>
      <c r="U314" s="257">
        <v>0</v>
      </c>
      <c r="V314" s="293">
        <v>0</v>
      </c>
    </row>
    <row r="315" spans="2:22" ht="19.8" customHeight="1" x14ac:dyDescent="0.6">
      <c r="B315" s="306">
        <v>1.1200000000000001</v>
      </c>
      <c r="C315" s="261" t="s">
        <v>70</v>
      </c>
      <c r="D315" s="303"/>
      <c r="E315" s="276"/>
      <c r="G315" s="290"/>
      <c r="I315" s="290"/>
      <c r="J315" s="298"/>
      <c r="K315" s="316"/>
      <c r="L315" s="271"/>
      <c r="M315" s="276"/>
      <c r="N315" s="290"/>
      <c r="O315" s="276"/>
      <c r="P315" s="290"/>
      <c r="Q315" s="276"/>
      <c r="R315" s="290"/>
      <c r="S315" s="276"/>
      <c r="T315" s="290"/>
      <c r="U315" s="276">
        <v>0</v>
      </c>
      <c r="V315" s="290">
        <v>0</v>
      </c>
    </row>
    <row r="316" spans="2:22" ht="19.8" customHeight="1" x14ac:dyDescent="0.6">
      <c r="B316" s="268"/>
      <c r="C316" s="261" t="s">
        <v>557</v>
      </c>
      <c r="D316" s="303"/>
      <c r="E316" s="276"/>
      <c r="G316" s="290"/>
      <c r="I316" s="290"/>
      <c r="J316" s="298"/>
      <c r="K316" s="316"/>
      <c r="L316" s="271"/>
      <c r="M316" s="276"/>
      <c r="N316" s="290"/>
      <c r="O316" s="276"/>
      <c r="P316" s="290"/>
      <c r="Q316" s="276"/>
      <c r="R316" s="290"/>
      <c r="S316" s="276"/>
      <c r="T316" s="290"/>
      <c r="U316" s="276">
        <v>0</v>
      </c>
      <c r="V316" s="290">
        <v>0</v>
      </c>
    </row>
    <row r="317" spans="2:22" ht="19.8" customHeight="1" x14ac:dyDescent="0.6">
      <c r="B317" s="268"/>
      <c r="C317" s="261" t="s">
        <v>558</v>
      </c>
      <c r="D317" s="303"/>
      <c r="E317" s="276"/>
      <c r="G317" s="290"/>
      <c r="I317" s="290"/>
      <c r="J317" s="298"/>
      <c r="K317" s="316"/>
      <c r="L317" s="271"/>
      <c r="M317" s="276"/>
      <c r="N317" s="290"/>
      <c r="O317" s="276"/>
      <c r="P317" s="290"/>
      <c r="Q317" s="276"/>
      <c r="R317" s="290"/>
      <c r="S317" s="276"/>
      <c r="T317" s="290"/>
      <c r="U317" s="276">
        <v>0</v>
      </c>
      <c r="V317" s="290">
        <v>0</v>
      </c>
    </row>
    <row r="318" spans="2:22" ht="19.8" customHeight="1" x14ac:dyDescent="0.6">
      <c r="B318" s="268">
        <v>1</v>
      </c>
      <c r="C318" s="261" t="s">
        <v>195</v>
      </c>
      <c r="D318" s="303" t="s">
        <v>561</v>
      </c>
      <c r="E318" s="276" t="s">
        <v>55</v>
      </c>
      <c r="G318" s="290"/>
      <c r="I318" s="290">
        <v>38.44</v>
      </c>
      <c r="J318" s="298">
        <f t="shared" ref="J318:J324" si="163">IF(G318="-","-",IF(D318&gt;0,ROUNDDOWN(I318*D318,0),""))</f>
        <v>13108</v>
      </c>
      <c r="K318" s="316">
        <v>13108</v>
      </c>
      <c r="L318" s="271"/>
      <c r="M318" s="276"/>
      <c r="N318" s="290">
        <f t="shared" ref="N318:N324" si="164">ROUNDDOWN(M318*$I318,0)</f>
        <v>0</v>
      </c>
      <c r="O318" s="276"/>
      <c r="P318" s="290">
        <f t="shared" ref="P318:P324" si="165">ROUNDDOWN(O318*$I318,0)</f>
        <v>0</v>
      </c>
      <c r="Q318" s="276"/>
      <c r="R318" s="290">
        <v>0</v>
      </c>
      <c r="S318" s="276"/>
      <c r="T318" s="290">
        <v>0</v>
      </c>
      <c r="U318" s="276">
        <v>0</v>
      </c>
      <c r="V318" s="290">
        <v>0</v>
      </c>
    </row>
    <row r="319" spans="2:22" ht="19.8" customHeight="1" x14ac:dyDescent="0.6">
      <c r="B319" s="268">
        <v>4</v>
      </c>
      <c r="C319" s="261" t="s">
        <v>440</v>
      </c>
      <c r="D319" s="303" t="s">
        <v>562</v>
      </c>
      <c r="E319" s="276" t="s">
        <v>62</v>
      </c>
      <c r="G319" s="290"/>
      <c r="I319" s="290">
        <v>721.05</v>
      </c>
      <c r="J319" s="298">
        <f t="shared" si="163"/>
        <v>75710</v>
      </c>
      <c r="K319" s="316">
        <v>75710</v>
      </c>
      <c r="L319" s="271"/>
      <c r="M319" s="276"/>
      <c r="N319" s="290">
        <f t="shared" si="164"/>
        <v>0</v>
      </c>
      <c r="O319" s="276"/>
      <c r="P319" s="290">
        <f t="shared" si="165"/>
        <v>0</v>
      </c>
      <c r="Q319" s="276"/>
      <c r="R319" s="290">
        <v>0</v>
      </c>
      <c r="S319" s="276"/>
      <c r="T319" s="290">
        <v>0</v>
      </c>
      <c r="U319" s="276">
        <v>0</v>
      </c>
      <c r="V319" s="290">
        <v>0</v>
      </c>
    </row>
    <row r="320" spans="2:22" ht="19.8" customHeight="1" x14ac:dyDescent="0.6">
      <c r="B320" s="268">
        <v>5</v>
      </c>
      <c r="C320" s="261" t="s">
        <v>197</v>
      </c>
      <c r="D320" s="303" t="s">
        <v>339</v>
      </c>
      <c r="E320" s="276" t="s">
        <v>54</v>
      </c>
      <c r="G320" s="290"/>
      <c r="I320" s="290">
        <v>104.6</v>
      </c>
      <c r="J320" s="298">
        <f t="shared" si="163"/>
        <v>15585</v>
      </c>
      <c r="K320" s="316">
        <v>15585</v>
      </c>
      <c r="L320" s="271"/>
      <c r="M320" s="276"/>
      <c r="N320" s="290">
        <f t="shared" si="164"/>
        <v>0</v>
      </c>
      <c r="O320" s="276"/>
      <c r="P320" s="290">
        <f t="shared" si="165"/>
        <v>0</v>
      </c>
      <c r="Q320" s="276"/>
      <c r="R320" s="290">
        <v>0</v>
      </c>
      <c r="S320" s="276"/>
      <c r="T320" s="290">
        <v>0</v>
      </c>
      <c r="U320" s="276">
        <v>0</v>
      </c>
      <c r="V320" s="290">
        <v>0</v>
      </c>
    </row>
    <row r="321" spans="2:22" ht="19.8" customHeight="1" x14ac:dyDescent="0.6">
      <c r="B321" s="268">
        <v>6</v>
      </c>
      <c r="C321" s="261" t="s">
        <v>216</v>
      </c>
      <c r="D321" s="303" t="s">
        <v>560</v>
      </c>
      <c r="E321" s="276" t="s">
        <v>55</v>
      </c>
      <c r="G321" s="290"/>
      <c r="I321" s="290">
        <v>82.27</v>
      </c>
      <c r="J321" s="298">
        <f t="shared" si="163"/>
        <v>18099</v>
      </c>
      <c r="K321" s="316">
        <v>18099</v>
      </c>
      <c r="L321" s="271"/>
      <c r="M321" s="276"/>
      <c r="N321" s="290">
        <f t="shared" si="164"/>
        <v>0</v>
      </c>
      <c r="O321" s="276"/>
      <c r="P321" s="290">
        <f t="shared" si="165"/>
        <v>0</v>
      </c>
      <c r="Q321" s="276"/>
      <c r="R321" s="290">
        <v>0</v>
      </c>
      <c r="S321" s="276"/>
      <c r="T321" s="290">
        <v>0</v>
      </c>
      <c r="U321" s="276">
        <v>0</v>
      </c>
      <c r="V321" s="290">
        <v>0</v>
      </c>
    </row>
    <row r="322" spans="2:22" ht="19.8" customHeight="1" x14ac:dyDescent="0.6">
      <c r="B322" s="268">
        <v>7</v>
      </c>
      <c r="C322" s="261" t="s">
        <v>448</v>
      </c>
      <c r="D322" s="303" t="s">
        <v>559</v>
      </c>
      <c r="E322" s="276" t="s">
        <v>57</v>
      </c>
      <c r="G322" s="290"/>
      <c r="I322" s="290">
        <v>4950.37</v>
      </c>
      <c r="J322" s="298">
        <f t="shared" si="163"/>
        <v>153461</v>
      </c>
      <c r="K322" s="316">
        <v>153461</v>
      </c>
      <c r="L322" s="271"/>
      <c r="M322" s="276"/>
      <c r="N322" s="290">
        <f t="shared" si="164"/>
        <v>0</v>
      </c>
      <c r="O322" s="276"/>
      <c r="P322" s="290">
        <f t="shared" si="165"/>
        <v>0</v>
      </c>
      <c r="Q322" s="276"/>
      <c r="R322" s="290">
        <v>0</v>
      </c>
      <c r="S322" s="276"/>
      <c r="T322" s="290">
        <v>0</v>
      </c>
      <c r="U322" s="276">
        <v>0</v>
      </c>
      <c r="V322" s="290">
        <v>0</v>
      </c>
    </row>
    <row r="323" spans="2:22" ht="19.8" customHeight="1" x14ac:dyDescent="0.6">
      <c r="B323" s="268">
        <v>8</v>
      </c>
      <c r="C323" s="261" t="s">
        <v>450</v>
      </c>
      <c r="D323" s="303" t="s">
        <v>473</v>
      </c>
      <c r="E323" s="276" t="s">
        <v>57</v>
      </c>
      <c r="G323" s="290"/>
      <c r="I323" s="290">
        <v>3308.61</v>
      </c>
      <c r="J323" s="298">
        <f t="shared" si="163"/>
        <v>11580</v>
      </c>
      <c r="K323" s="316">
        <v>11580</v>
      </c>
      <c r="L323" s="271"/>
      <c r="M323" s="276"/>
      <c r="N323" s="290">
        <f t="shared" si="164"/>
        <v>0</v>
      </c>
      <c r="O323" s="276"/>
      <c r="P323" s="290">
        <f t="shared" si="165"/>
        <v>0</v>
      </c>
      <c r="Q323" s="276"/>
      <c r="R323" s="290">
        <v>0</v>
      </c>
      <c r="S323" s="276"/>
      <c r="T323" s="290">
        <v>0</v>
      </c>
      <c r="U323" s="276">
        <v>0</v>
      </c>
      <c r="V323" s="290">
        <v>0</v>
      </c>
    </row>
    <row r="324" spans="2:22" ht="19.8" customHeight="1" x14ac:dyDescent="0.6">
      <c r="B324" s="268">
        <v>9</v>
      </c>
      <c r="C324" s="261" t="s">
        <v>212</v>
      </c>
      <c r="D324" s="303" t="s">
        <v>563</v>
      </c>
      <c r="E324" s="276" t="s">
        <v>57</v>
      </c>
      <c r="G324" s="290"/>
      <c r="I324" s="290">
        <v>3101.93</v>
      </c>
      <c r="J324" s="298">
        <f t="shared" si="163"/>
        <v>107016</v>
      </c>
      <c r="K324" s="316">
        <v>107016</v>
      </c>
      <c r="L324" s="271"/>
      <c r="M324" s="276"/>
      <c r="N324" s="290">
        <f t="shared" si="164"/>
        <v>0</v>
      </c>
      <c r="O324" s="276"/>
      <c r="P324" s="290">
        <f t="shared" si="165"/>
        <v>0</v>
      </c>
      <c r="Q324" s="276"/>
      <c r="R324" s="290">
        <v>0</v>
      </c>
      <c r="S324" s="276"/>
      <c r="T324" s="290">
        <v>0</v>
      </c>
      <c r="U324" s="276">
        <v>0</v>
      </c>
      <c r="V324" s="290">
        <v>0</v>
      </c>
    </row>
    <row r="325" spans="2:22" ht="19.8" customHeight="1" x14ac:dyDescent="0.6">
      <c r="B325" s="268">
        <v>10</v>
      </c>
      <c r="C325" s="261" t="s">
        <v>56</v>
      </c>
      <c r="D325" s="303"/>
      <c r="E325" s="276"/>
      <c r="G325" s="290"/>
      <c r="I325" s="290"/>
      <c r="J325" s="298"/>
      <c r="K325" s="316"/>
      <c r="L325" s="271"/>
      <c r="M325" s="276"/>
      <c r="N325" s="290"/>
      <c r="O325" s="276"/>
      <c r="P325" s="290"/>
      <c r="Q325" s="276"/>
      <c r="R325" s="290"/>
      <c r="S325" s="276"/>
      <c r="T325" s="290"/>
      <c r="U325" s="276">
        <v>0</v>
      </c>
      <c r="V325" s="290">
        <v>0</v>
      </c>
    </row>
    <row r="326" spans="2:22" ht="19.8" customHeight="1" x14ac:dyDescent="0.6">
      <c r="B326" s="268"/>
      <c r="C326" s="261" t="s">
        <v>397</v>
      </c>
      <c r="D326" s="303" t="s">
        <v>330</v>
      </c>
      <c r="E326" s="276" t="s">
        <v>57</v>
      </c>
      <c r="G326" s="290"/>
      <c r="I326" s="290">
        <v>802.05</v>
      </c>
      <c r="J326" s="298">
        <f t="shared" ref="J326:J327" si="166">IF(G326="-","-",IF(D326&gt;0,ROUNDDOWN(I326*D326,0),""))</f>
        <v>24061</v>
      </c>
      <c r="K326" s="316">
        <v>24061</v>
      </c>
      <c r="L326" s="271"/>
      <c r="M326" s="276"/>
      <c r="N326" s="290">
        <f t="shared" ref="N326:N327" si="167">ROUNDDOWN(M326*$I326,0)</f>
        <v>0</v>
      </c>
      <c r="O326" s="276"/>
      <c r="P326" s="290">
        <f t="shared" ref="P326:P327" si="168">ROUNDDOWN(O326*$I326,0)</f>
        <v>0</v>
      </c>
      <c r="Q326" s="276"/>
      <c r="R326" s="290">
        <v>0</v>
      </c>
      <c r="S326" s="276"/>
      <c r="T326" s="290">
        <v>0</v>
      </c>
      <c r="U326" s="276">
        <v>0</v>
      </c>
      <c r="V326" s="290">
        <v>0</v>
      </c>
    </row>
    <row r="327" spans="2:22" ht="19.8" customHeight="1" x14ac:dyDescent="0.6">
      <c r="B327" s="268"/>
      <c r="C327" s="261" t="s">
        <v>564</v>
      </c>
      <c r="D327" s="303" t="s">
        <v>389</v>
      </c>
      <c r="E327" s="276" t="s">
        <v>58</v>
      </c>
      <c r="G327" s="290"/>
      <c r="I327" s="290">
        <v>4438.1000000000004</v>
      </c>
      <c r="J327" s="298">
        <f t="shared" si="166"/>
        <v>4438</v>
      </c>
      <c r="K327" s="316">
        <v>4438</v>
      </c>
      <c r="L327" s="271"/>
      <c r="M327" s="276"/>
      <c r="N327" s="290">
        <f t="shared" si="167"/>
        <v>0</v>
      </c>
      <c r="O327" s="276"/>
      <c r="P327" s="290">
        <f t="shared" si="168"/>
        <v>0</v>
      </c>
      <c r="Q327" s="276"/>
      <c r="R327" s="290">
        <v>0</v>
      </c>
      <c r="S327" s="276"/>
      <c r="T327" s="290">
        <v>0</v>
      </c>
      <c r="U327" s="276">
        <v>0</v>
      </c>
      <c r="V327" s="290">
        <v>0</v>
      </c>
    </row>
    <row r="328" spans="2:22" ht="19.8" customHeight="1" x14ac:dyDescent="0.6">
      <c r="B328" s="268">
        <v>11</v>
      </c>
      <c r="C328" s="261" t="s">
        <v>59</v>
      </c>
      <c r="D328" s="303"/>
      <c r="E328" s="276"/>
      <c r="G328" s="290"/>
      <c r="I328" s="290"/>
      <c r="J328" s="298"/>
      <c r="K328" s="316"/>
      <c r="L328" s="271"/>
      <c r="M328" s="276"/>
      <c r="N328" s="290"/>
      <c r="O328" s="276"/>
      <c r="P328" s="290"/>
      <c r="Q328" s="276"/>
      <c r="R328" s="290"/>
      <c r="S328" s="276"/>
      <c r="T328" s="290"/>
      <c r="U328" s="276">
        <v>0</v>
      </c>
      <c r="V328" s="290">
        <v>0</v>
      </c>
    </row>
    <row r="329" spans="2:22" ht="19.8" customHeight="1" x14ac:dyDescent="0.6">
      <c r="B329" s="268">
        <v>12</v>
      </c>
      <c r="C329" s="261" t="s">
        <v>455</v>
      </c>
      <c r="D329" s="303" t="s">
        <v>567</v>
      </c>
      <c r="E329" s="276" t="s">
        <v>61</v>
      </c>
      <c r="G329" s="290"/>
      <c r="I329" s="290">
        <v>21869.91</v>
      </c>
      <c r="J329" s="298">
        <f t="shared" ref="J329" si="169">IF(G329="-","-",IF(D329&gt;0,ROUNDDOWN(I329*D329,0),""))</f>
        <v>831056</v>
      </c>
      <c r="K329" s="316">
        <v>831056</v>
      </c>
      <c r="L329" s="271"/>
      <c r="M329" s="276"/>
      <c r="N329" s="290">
        <f t="shared" ref="N329" si="170">ROUNDDOWN(M329*$I329,0)</f>
        <v>0</v>
      </c>
      <c r="O329" s="276"/>
      <c r="P329" s="290">
        <f t="shared" ref="P329" si="171">ROUNDDOWN(O329*$I329,0)</f>
        <v>0</v>
      </c>
      <c r="Q329" s="276"/>
      <c r="R329" s="290">
        <v>0</v>
      </c>
      <c r="S329" s="276"/>
      <c r="T329" s="290">
        <v>0</v>
      </c>
      <c r="U329" s="276">
        <v>0</v>
      </c>
      <c r="V329" s="290">
        <v>0</v>
      </c>
    </row>
    <row r="330" spans="2:22" ht="19.8" customHeight="1" x14ac:dyDescent="0.6">
      <c r="B330" s="268"/>
      <c r="C330" s="261" t="s">
        <v>52</v>
      </c>
      <c r="D330" s="303"/>
      <c r="E330" s="276"/>
      <c r="G330" s="290"/>
      <c r="I330" s="290"/>
      <c r="J330" s="298"/>
      <c r="K330" s="316"/>
      <c r="L330" s="271"/>
      <c r="M330" s="276"/>
      <c r="N330" s="290"/>
      <c r="O330" s="276"/>
      <c r="P330" s="290"/>
      <c r="Q330" s="276"/>
      <c r="R330" s="290"/>
      <c r="S330" s="276"/>
      <c r="T330" s="290"/>
      <c r="U330" s="276">
        <v>0</v>
      </c>
      <c r="V330" s="290">
        <v>0</v>
      </c>
    </row>
    <row r="331" spans="2:22" ht="19.8" customHeight="1" x14ac:dyDescent="0.6">
      <c r="B331" s="268">
        <v>13</v>
      </c>
      <c r="C331" s="261" t="s">
        <v>565</v>
      </c>
      <c r="D331" s="303" t="s">
        <v>566</v>
      </c>
      <c r="E331" s="276" t="s">
        <v>61</v>
      </c>
      <c r="G331" s="290"/>
      <c r="I331" s="290">
        <v>11069.01</v>
      </c>
      <c r="J331" s="298">
        <f t="shared" ref="J331" si="172">IF(G331="-","-",IF(D331&gt;0,ROUNDDOWN(I331*D331,0),""))</f>
        <v>343139</v>
      </c>
      <c r="K331" s="316">
        <v>343139</v>
      </c>
      <c r="L331" s="271"/>
      <c r="M331" s="276"/>
      <c r="N331" s="290">
        <f t="shared" ref="N331" si="173">ROUNDDOWN(M331*$I331,0)</f>
        <v>0</v>
      </c>
      <c r="O331" s="276"/>
      <c r="P331" s="290">
        <f t="shared" ref="P331" si="174">ROUNDDOWN(O331*$I331,0)</f>
        <v>0</v>
      </c>
      <c r="Q331" s="276"/>
      <c r="R331" s="290">
        <v>0</v>
      </c>
      <c r="S331" s="276"/>
      <c r="T331" s="290">
        <v>0</v>
      </c>
      <c r="U331" s="276">
        <v>0</v>
      </c>
      <c r="V331" s="290">
        <v>0</v>
      </c>
    </row>
    <row r="332" spans="2:22" ht="19.8" customHeight="1" x14ac:dyDescent="0.6">
      <c r="B332" s="268"/>
      <c r="C332" s="261" t="s">
        <v>52</v>
      </c>
      <c r="D332" s="303"/>
      <c r="E332" s="276"/>
      <c r="G332" s="290"/>
      <c r="I332" s="290"/>
      <c r="J332" s="298"/>
      <c r="K332" s="316"/>
      <c r="L332" s="271"/>
      <c r="M332" s="276"/>
      <c r="N332" s="290"/>
      <c r="O332" s="276"/>
      <c r="P332" s="290"/>
      <c r="Q332" s="276"/>
      <c r="R332" s="290"/>
      <c r="S332" s="276"/>
      <c r="T332" s="290"/>
      <c r="U332" s="276">
        <v>0</v>
      </c>
      <c r="V332" s="290">
        <v>0</v>
      </c>
    </row>
    <row r="333" spans="2:22" ht="19.8" customHeight="1" x14ac:dyDescent="0.6">
      <c r="B333" s="268"/>
      <c r="C333" s="261"/>
      <c r="D333" s="303"/>
      <c r="E333" s="276"/>
      <c r="G333" s="290"/>
      <c r="I333" s="290"/>
      <c r="J333" s="298"/>
      <c r="K333" s="316"/>
      <c r="L333" s="271"/>
      <c r="M333" s="276"/>
      <c r="N333" s="290"/>
      <c r="O333" s="276"/>
      <c r="P333" s="290"/>
      <c r="Q333" s="276"/>
      <c r="R333" s="290"/>
      <c r="S333" s="276"/>
      <c r="T333" s="290"/>
      <c r="U333" s="276">
        <v>0</v>
      </c>
      <c r="V333" s="290">
        <v>0</v>
      </c>
    </row>
    <row r="334" spans="2:22" ht="19.8" customHeight="1" x14ac:dyDescent="0.6">
      <c r="B334" s="826" t="s">
        <v>568</v>
      </c>
      <c r="C334" s="827"/>
      <c r="D334" s="294" t="s">
        <v>559</v>
      </c>
      <c r="E334" s="257" t="s">
        <v>57</v>
      </c>
      <c r="F334" s="296"/>
      <c r="G334" s="293"/>
      <c r="H334" s="297"/>
      <c r="I334" s="293"/>
      <c r="J334" s="299">
        <f>SUM(J315:J333)</f>
        <v>1597253</v>
      </c>
      <c r="K334" s="319">
        <v>1597253</v>
      </c>
      <c r="L334" s="262"/>
      <c r="M334" s="257"/>
      <c r="N334" s="293">
        <f>SUM(N315:N333)</f>
        <v>0</v>
      </c>
      <c r="O334" s="257"/>
      <c r="P334" s="293">
        <f>SUM(P315:P333)</f>
        <v>0</v>
      </c>
      <c r="Q334" s="257"/>
      <c r="R334" s="293">
        <v>0</v>
      </c>
      <c r="S334" s="257"/>
      <c r="T334" s="293">
        <v>0</v>
      </c>
      <c r="U334" s="257">
        <v>0</v>
      </c>
      <c r="V334" s="293">
        <v>0</v>
      </c>
    </row>
    <row r="335" spans="2:22" ht="19.8" customHeight="1" x14ac:dyDescent="0.6">
      <c r="B335" s="829" t="s">
        <v>569</v>
      </c>
      <c r="C335" s="830"/>
      <c r="D335" s="420" t="s">
        <v>570</v>
      </c>
      <c r="E335" s="257" t="s">
        <v>57</v>
      </c>
      <c r="F335" s="307"/>
      <c r="G335" s="293"/>
      <c r="H335" s="297"/>
      <c r="I335" s="293"/>
      <c r="J335" s="299"/>
      <c r="K335" s="319">
        <v>79532172</v>
      </c>
      <c r="L335" s="262"/>
      <c r="M335" s="257"/>
      <c r="N335" s="293"/>
      <c r="O335" s="257"/>
      <c r="P335" s="293"/>
      <c r="Q335" s="257"/>
      <c r="R335" s="293"/>
      <c r="S335" s="257"/>
      <c r="T335" s="293"/>
      <c r="U335" s="257">
        <v>0</v>
      </c>
      <c r="V335" s="293">
        <v>0</v>
      </c>
    </row>
    <row r="336" spans="2:22" ht="19.8" customHeight="1" x14ac:dyDescent="0.6">
      <c r="B336" s="306">
        <v>2</v>
      </c>
      <c r="C336" s="261" t="s">
        <v>71</v>
      </c>
      <c r="D336" s="303"/>
      <c r="E336" s="276"/>
      <c r="G336" s="290"/>
      <c r="I336" s="290"/>
      <c r="J336" s="298"/>
      <c r="K336" s="316"/>
      <c r="L336" s="271"/>
      <c r="M336" s="276"/>
      <c r="N336" s="290"/>
      <c r="O336" s="276"/>
      <c r="P336" s="290"/>
      <c r="Q336" s="276"/>
      <c r="R336" s="290"/>
      <c r="S336" s="276"/>
      <c r="T336" s="290"/>
      <c r="U336" s="276">
        <v>0</v>
      </c>
      <c r="V336" s="290">
        <v>0</v>
      </c>
    </row>
    <row r="337" spans="2:22" ht="19.8" customHeight="1" x14ac:dyDescent="0.6">
      <c r="B337" s="306" t="s">
        <v>571</v>
      </c>
      <c r="C337" s="261" t="s">
        <v>72</v>
      </c>
      <c r="D337" s="303"/>
      <c r="E337" s="276"/>
      <c r="G337" s="290"/>
      <c r="I337" s="290"/>
      <c r="J337" s="298"/>
      <c r="K337" s="316"/>
      <c r="L337" s="271"/>
      <c r="M337" s="276"/>
      <c r="N337" s="290"/>
      <c r="O337" s="276"/>
      <c r="P337" s="290"/>
      <c r="Q337" s="276"/>
      <c r="R337" s="290"/>
      <c r="S337" s="276"/>
      <c r="T337" s="290"/>
      <c r="U337" s="276">
        <v>0</v>
      </c>
      <c r="V337" s="290">
        <v>0</v>
      </c>
    </row>
    <row r="338" spans="2:22" ht="19.8" customHeight="1" x14ac:dyDescent="0.6">
      <c r="B338" s="268">
        <v>1</v>
      </c>
      <c r="C338" s="261" t="s">
        <v>219</v>
      </c>
      <c r="D338" s="303"/>
      <c r="E338" s="276"/>
      <c r="G338" s="290"/>
      <c r="I338" s="290"/>
      <c r="J338" s="298"/>
      <c r="K338" s="316"/>
      <c r="L338" s="271"/>
      <c r="M338" s="276"/>
      <c r="N338" s="290"/>
      <c r="O338" s="276"/>
      <c r="P338" s="290"/>
      <c r="Q338" s="276"/>
      <c r="R338" s="290"/>
      <c r="S338" s="276"/>
      <c r="T338" s="290"/>
      <c r="U338" s="276">
        <v>0</v>
      </c>
      <c r="V338" s="290">
        <v>0</v>
      </c>
    </row>
    <row r="339" spans="2:22" ht="19.8" customHeight="1" x14ac:dyDescent="0.6">
      <c r="B339" s="268"/>
      <c r="C339" s="261" t="s">
        <v>220</v>
      </c>
      <c r="D339" s="303" t="s">
        <v>572</v>
      </c>
      <c r="E339" s="276" t="s">
        <v>61</v>
      </c>
      <c r="G339" s="290"/>
      <c r="I339" s="290">
        <v>19949.47</v>
      </c>
      <c r="J339" s="298">
        <f t="shared" ref="J339:J345" si="175">IF(G339="-","-",IF(D339&gt;0,ROUNDDOWN(I339*D339,0),""))</f>
        <v>199494</v>
      </c>
      <c r="K339" s="316">
        <v>199494</v>
      </c>
      <c r="L339" s="271" t="s">
        <v>573</v>
      </c>
      <c r="M339" s="276"/>
      <c r="N339" s="290">
        <f t="shared" ref="N339:N345" si="176">ROUNDDOWN(M339*$I339,0)</f>
        <v>0</v>
      </c>
      <c r="O339" s="276"/>
      <c r="P339" s="290">
        <f t="shared" ref="P339:P345" si="177">ROUNDDOWN(O339*$I339,0)</f>
        <v>0</v>
      </c>
      <c r="Q339" s="276"/>
      <c r="R339" s="290">
        <v>0</v>
      </c>
      <c r="S339" s="276"/>
      <c r="T339" s="290">
        <v>0</v>
      </c>
      <c r="U339" s="276">
        <v>0</v>
      </c>
      <c r="V339" s="290">
        <v>0</v>
      </c>
    </row>
    <row r="340" spans="2:22" ht="19.8" customHeight="1" x14ac:dyDescent="0.6">
      <c r="B340" s="268"/>
      <c r="C340" s="261" t="s">
        <v>221</v>
      </c>
      <c r="D340" s="303" t="s">
        <v>574</v>
      </c>
      <c r="E340" s="276" t="s">
        <v>57</v>
      </c>
      <c r="G340" s="290"/>
      <c r="I340" s="290">
        <v>3306.85</v>
      </c>
      <c r="J340" s="298">
        <f t="shared" si="175"/>
        <v>158728</v>
      </c>
      <c r="K340" s="316">
        <v>158728</v>
      </c>
      <c r="L340" s="271"/>
      <c r="M340" s="276"/>
      <c r="N340" s="290">
        <f t="shared" si="176"/>
        <v>0</v>
      </c>
      <c r="O340" s="276"/>
      <c r="P340" s="290">
        <f t="shared" si="177"/>
        <v>0</v>
      </c>
      <c r="Q340" s="276"/>
      <c r="R340" s="290">
        <v>0</v>
      </c>
      <c r="S340" s="276"/>
      <c r="T340" s="290">
        <v>0</v>
      </c>
      <c r="U340" s="276">
        <v>0</v>
      </c>
      <c r="V340" s="290">
        <v>0</v>
      </c>
    </row>
    <row r="341" spans="2:22" ht="19.8" customHeight="1" x14ac:dyDescent="0.6">
      <c r="B341" s="268"/>
      <c r="C341" s="261" t="s">
        <v>222</v>
      </c>
      <c r="D341" s="303" t="s">
        <v>530</v>
      </c>
      <c r="E341" s="276" t="s">
        <v>54</v>
      </c>
      <c r="G341" s="290"/>
      <c r="I341" s="290">
        <v>1757.62</v>
      </c>
      <c r="J341" s="298">
        <f t="shared" si="175"/>
        <v>77335</v>
      </c>
      <c r="K341" s="316">
        <v>77335</v>
      </c>
      <c r="L341" s="271"/>
      <c r="M341" s="276"/>
      <c r="N341" s="290">
        <f t="shared" si="176"/>
        <v>0</v>
      </c>
      <c r="O341" s="276"/>
      <c r="P341" s="290">
        <f t="shared" si="177"/>
        <v>0</v>
      </c>
      <c r="Q341" s="276"/>
      <c r="R341" s="290">
        <v>0</v>
      </c>
      <c r="S341" s="276"/>
      <c r="T341" s="290">
        <v>0</v>
      </c>
      <c r="U341" s="276">
        <v>0</v>
      </c>
      <c r="V341" s="290">
        <v>0</v>
      </c>
    </row>
    <row r="342" spans="2:22" ht="19.8" customHeight="1" x14ac:dyDescent="0.6">
      <c r="B342" s="268"/>
      <c r="C342" s="261" t="s">
        <v>223</v>
      </c>
      <c r="D342" s="303" t="s">
        <v>530</v>
      </c>
      <c r="E342" s="276" t="s">
        <v>57</v>
      </c>
      <c r="G342" s="290"/>
      <c r="I342" s="290">
        <v>3185.39</v>
      </c>
      <c r="J342" s="298">
        <f t="shared" si="175"/>
        <v>140157</v>
      </c>
      <c r="K342" s="316">
        <v>140157</v>
      </c>
      <c r="L342" s="271"/>
      <c r="M342" s="276"/>
      <c r="N342" s="290">
        <f t="shared" si="176"/>
        <v>0</v>
      </c>
      <c r="O342" s="276"/>
      <c r="P342" s="290">
        <f t="shared" si="177"/>
        <v>0</v>
      </c>
      <c r="Q342" s="276"/>
      <c r="R342" s="290">
        <v>0</v>
      </c>
      <c r="S342" s="276"/>
      <c r="T342" s="290">
        <v>0</v>
      </c>
      <c r="U342" s="276">
        <v>0</v>
      </c>
      <c r="V342" s="290">
        <v>0</v>
      </c>
    </row>
    <row r="343" spans="2:22" ht="19.8" customHeight="1" x14ac:dyDescent="0.6">
      <c r="B343" s="268">
        <v>2</v>
      </c>
      <c r="C343" s="261" t="s">
        <v>224</v>
      </c>
      <c r="D343" s="303" t="s">
        <v>575</v>
      </c>
      <c r="E343" s="276" t="s">
        <v>55</v>
      </c>
      <c r="G343" s="290"/>
      <c r="I343" s="290">
        <v>84.49</v>
      </c>
      <c r="J343" s="298">
        <f t="shared" si="175"/>
        <v>104936</v>
      </c>
      <c r="K343" s="316">
        <v>104936</v>
      </c>
      <c r="L343" s="271"/>
      <c r="M343" s="276"/>
      <c r="N343" s="290">
        <f t="shared" si="176"/>
        <v>0</v>
      </c>
      <c r="O343" s="276"/>
      <c r="P343" s="290">
        <f t="shared" si="177"/>
        <v>0</v>
      </c>
      <c r="Q343" s="276"/>
      <c r="R343" s="290">
        <v>0</v>
      </c>
      <c r="S343" s="276"/>
      <c r="T343" s="290">
        <v>0</v>
      </c>
      <c r="U343" s="276">
        <v>0</v>
      </c>
      <c r="V343" s="290">
        <v>0</v>
      </c>
    </row>
    <row r="344" spans="2:22" ht="19.8" customHeight="1" x14ac:dyDescent="0.6">
      <c r="B344" s="268">
        <v>3</v>
      </c>
      <c r="C344" s="261" t="s">
        <v>243</v>
      </c>
      <c r="D344" s="303" t="s">
        <v>576</v>
      </c>
      <c r="E344" s="276" t="s">
        <v>55</v>
      </c>
      <c r="G344" s="290"/>
      <c r="I344" s="290">
        <v>638.07000000000005</v>
      </c>
      <c r="J344" s="298">
        <f t="shared" si="175"/>
        <v>66997</v>
      </c>
      <c r="K344" s="316">
        <v>66997</v>
      </c>
      <c r="L344" s="271"/>
      <c r="M344" s="276"/>
      <c r="N344" s="290">
        <f t="shared" si="176"/>
        <v>0</v>
      </c>
      <c r="O344" s="276"/>
      <c r="P344" s="290">
        <f t="shared" si="177"/>
        <v>0</v>
      </c>
      <c r="Q344" s="276"/>
      <c r="R344" s="290">
        <v>0</v>
      </c>
      <c r="S344" s="276"/>
      <c r="T344" s="290">
        <v>0</v>
      </c>
      <c r="U344" s="276">
        <v>0</v>
      </c>
      <c r="V344" s="290">
        <v>0</v>
      </c>
    </row>
    <row r="345" spans="2:22" ht="19.8" customHeight="1" x14ac:dyDescent="0.6">
      <c r="B345" s="268">
        <v>4</v>
      </c>
      <c r="C345" s="261" t="s">
        <v>225</v>
      </c>
      <c r="D345" s="303" t="s">
        <v>577</v>
      </c>
      <c r="E345" s="276" t="s">
        <v>54</v>
      </c>
      <c r="G345" s="290"/>
      <c r="I345" s="290">
        <v>461.86</v>
      </c>
      <c r="J345" s="298">
        <f t="shared" si="175"/>
        <v>484953</v>
      </c>
      <c r="K345" s="316">
        <v>484953</v>
      </c>
      <c r="L345" s="271"/>
      <c r="M345" s="276"/>
      <c r="N345" s="290">
        <f t="shared" si="176"/>
        <v>0</v>
      </c>
      <c r="O345" s="276"/>
      <c r="P345" s="290">
        <f t="shared" si="177"/>
        <v>0</v>
      </c>
      <c r="Q345" s="276"/>
      <c r="R345" s="290">
        <v>0</v>
      </c>
      <c r="S345" s="276"/>
      <c r="T345" s="290">
        <v>0</v>
      </c>
      <c r="U345" s="276">
        <v>0</v>
      </c>
      <c r="V345" s="290">
        <v>0</v>
      </c>
    </row>
    <row r="346" spans="2:22" ht="19.8" customHeight="1" x14ac:dyDescent="0.6">
      <c r="B346" s="268"/>
      <c r="C346" s="261" t="s">
        <v>226</v>
      </c>
      <c r="D346" s="303"/>
      <c r="E346" s="276"/>
      <c r="G346" s="290"/>
      <c r="I346" s="290"/>
      <c r="J346" s="298"/>
      <c r="K346" s="316"/>
      <c r="L346" s="271"/>
      <c r="M346" s="276"/>
      <c r="N346" s="290"/>
      <c r="O346" s="276"/>
      <c r="P346" s="290"/>
      <c r="Q346" s="276"/>
      <c r="R346" s="290"/>
      <c r="S346" s="276"/>
      <c r="T346" s="290"/>
      <c r="U346" s="276">
        <v>0</v>
      </c>
      <c r="V346" s="290">
        <v>0</v>
      </c>
    </row>
    <row r="347" spans="2:22" ht="19.8" customHeight="1" x14ac:dyDescent="0.6">
      <c r="B347" s="268">
        <v>5</v>
      </c>
      <c r="C347" s="261" t="s">
        <v>227</v>
      </c>
      <c r="D347" s="309" t="s">
        <v>176</v>
      </c>
      <c r="E347" s="276" t="s">
        <v>54</v>
      </c>
      <c r="G347" s="290"/>
      <c r="I347" s="290"/>
      <c r="J347" s="298"/>
      <c r="K347" s="308" t="s">
        <v>176</v>
      </c>
      <c r="L347" s="271"/>
      <c r="M347" s="276"/>
      <c r="N347" s="290"/>
      <c r="O347" s="276"/>
      <c r="P347" s="290"/>
      <c r="Q347" s="276"/>
      <c r="R347" s="290"/>
      <c r="S347" s="276"/>
      <c r="T347" s="290"/>
      <c r="U347" s="276">
        <v>0</v>
      </c>
      <c r="V347" s="290">
        <v>0</v>
      </c>
    </row>
    <row r="348" spans="2:22" ht="19.8" customHeight="1" x14ac:dyDescent="0.6">
      <c r="B348" s="268">
        <v>6</v>
      </c>
      <c r="C348" s="261" t="s">
        <v>228</v>
      </c>
      <c r="D348" s="303" t="s">
        <v>389</v>
      </c>
      <c r="E348" s="276" t="s">
        <v>73</v>
      </c>
      <c r="G348" s="290"/>
      <c r="I348" s="290">
        <v>193514.53</v>
      </c>
      <c r="J348" s="298">
        <f t="shared" ref="J348:J350" si="178">IF(G348="-","-",IF(D348&gt;0,ROUNDDOWN(I348*D348,0),""))</f>
        <v>193514</v>
      </c>
      <c r="K348" s="316">
        <v>193514</v>
      </c>
      <c r="L348" s="271"/>
      <c r="M348" s="276"/>
      <c r="N348" s="290">
        <f t="shared" ref="N348:N350" si="179">ROUNDDOWN(M348*$I348,0)</f>
        <v>0</v>
      </c>
      <c r="O348" s="276"/>
      <c r="P348" s="290">
        <f t="shared" ref="P348:P350" si="180">ROUNDDOWN(O348*$I348,0)</f>
        <v>0</v>
      </c>
      <c r="Q348" s="276"/>
      <c r="R348" s="290">
        <v>0</v>
      </c>
      <c r="S348" s="276"/>
      <c r="T348" s="290">
        <v>0</v>
      </c>
      <c r="U348" s="276">
        <v>0</v>
      </c>
      <c r="V348" s="290">
        <v>0</v>
      </c>
    </row>
    <row r="349" spans="2:22" ht="19.8" customHeight="1" x14ac:dyDescent="0.6">
      <c r="B349" s="268">
        <v>7</v>
      </c>
      <c r="C349" s="261" t="s">
        <v>229</v>
      </c>
      <c r="D349" s="303" t="s">
        <v>578</v>
      </c>
      <c r="E349" s="276" t="s">
        <v>57</v>
      </c>
      <c r="G349" s="290"/>
      <c r="I349" s="290">
        <v>17291.61</v>
      </c>
      <c r="J349" s="298">
        <f t="shared" si="178"/>
        <v>1106663</v>
      </c>
      <c r="K349" s="316">
        <v>1106663</v>
      </c>
      <c r="L349" s="271"/>
      <c r="M349" s="276"/>
      <c r="N349" s="290">
        <f t="shared" si="179"/>
        <v>0</v>
      </c>
      <c r="O349" s="276"/>
      <c r="P349" s="290">
        <f t="shared" si="180"/>
        <v>0</v>
      </c>
      <c r="Q349" s="276"/>
      <c r="R349" s="290">
        <v>0</v>
      </c>
      <c r="S349" s="276"/>
      <c r="T349" s="290">
        <v>0</v>
      </c>
      <c r="U349" s="276">
        <v>0</v>
      </c>
      <c r="V349" s="290">
        <v>0</v>
      </c>
    </row>
    <row r="350" spans="2:22" ht="19.8" customHeight="1" x14ac:dyDescent="0.6">
      <c r="B350" s="268">
        <v>8</v>
      </c>
      <c r="C350" s="261" t="s">
        <v>230</v>
      </c>
      <c r="D350" s="303" t="s">
        <v>442</v>
      </c>
      <c r="E350" s="276" t="s">
        <v>58</v>
      </c>
      <c r="G350" s="290"/>
      <c r="I350" s="290">
        <v>64946.23</v>
      </c>
      <c r="J350" s="298">
        <f t="shared" si="178"/>
        <v>454623</v>
      </c>
      <c r="K350" s="316">
        <v>454623</v>
      </c>
      <c r="L350" s="271"/>
      <c r="M350" s="276"/>
      <c r="N350" s="290">
        <f t="shared" si="179"/>
        <v>0</v>
      </c>
      <c r="O350" s="276"/>
      <c r="P350" s="290">
        <f t="shared" si="180"/>
        <v>0</v>
      </c>
      <c r="Q350" s="276"/>
      <c r="R350" s="290">
        <v>0</v>
      </c>
      <c r="S350" s="276"/>
      <c r="T350" s="290">
        <v>0</v>
      </c>
      <c r="U350" s="276">
        <v>0</v>
      </c>
      <c r="V350" s="290">
        <v>0</v>
      </c>
    </row>
    <row r="351" spans="2:22" ht="19.8" customHeight="1" x14ac:dyDescent="0.6">
      <c r="B351" s="268"/>
      <c r="C351" s="261" t="s">
        <v>231</v>
      </c>
      <c r="D351" s="303"/>
      <c r="E351" s="276"/>
      <c r="G351" s="290"/>
      <c r="I351" s="290"/>
      <c r="J351" s="298"/>
      <c r="K351" s="316"/>
      <c r="L351" s="271"/>
      <c r="M351" s="276"/>
      <c r="N351" s="290"/>
      <c r="O351" s="276"/>
      <c r="P351" s="290"/>
      <c r="Q351" s="276"/>
      <c r="R351" s="290"/>
      <c r="S351" s="276"/>
      <c r="T351" s="290"/>
      <c r="U351" s="276">
        <v>0</v>
      </c>
      <c r="V351" s="290">
        <v>0</v>
      </c>
    </row>
    <row r="352" spans="2:22" ht="19.8" customHeight="1" x14ac:dyDescent="0.6">
      <c r="B352" s="268">
        <v>9</v>
      </c>
      <c r="C352" s="261" t="s">
        <v>244</v>
      </c>
      <c r="D352" s="303" t="s">
        <v>389</v>
      </c>
      <c r="E352" s="276" t="s">
        <v>73</v>
      </c>
      <c r="G352" s="290"/>
      <c r="I352" s="290">
        <v>310034.31</v>
      </c>
      <c r="J352" s="298">
        <f t="shared" ref="J352" si="181">IF(G352="-","-",IF(D352&gt;0,ROUNDDOWN(I352*D352,0),""))</f>
        <v>310034</v>
      </c>
      <c r="K352" s="316">
        <v>310034</v>
      </c>
      <c r="L352" s="271"/>
      <c r="M352" s="276"/>
      <c r="N352" s="290">
        <f t="shared" ref="N352" si="182">ROUNDDOWN(M352*$I352,0)</f>
        <v>0</v>
      </c>
      <c r="O352" s="276"/>
      <c r="P352" s="290">
        <f t="shared" ref="P352" si="183">ROUNDDOWN(O352*$I352,0)</f>
        <v>0</v>
      </c>
      <c r="Q352" s="276"/>
      <c r="R352" s="290">
        <v>0</v>
      </c>
      <c r="S352" s="276"/>
      <c r="T352" s="290">
        <v>0</v>
      </c>
      <c r="U352" s="276">
        <v>0</v>
      </c>
      <c r="V352" s="290">
        <v>0</v>
      </c>
    </row>
    <row r="353" spans="2:22" ht="19.8" customHeight="1" x14ac:dyDescent="0.6">
      <c r="B353" s="268">
        <v>10</v>
      </c>
      <c r="C353" s="261" t="s">
        <v>59</v>
      </c>
      <c r="D353" s="303"/>
      <c r="E353" s="276"/>
      <c r="G353" s="290"/>
      <c r="I353" s="290"/>
      <c r="J353" s="298"/>
      <c r="K353" s="316"/>
      <c r="L353" s="271"/>
      <c r="M353" s="276"/>
      <c r="N353" s="290"/>
      <c r="O353" s="276"/>
      <c r="P353" s="290"/>
      <c r="Q353" s="276"/>
      <c r="R353" s="290"/>
      <c r="S353" s="276"/>
      <c r="T353" s="290"/>
      <c r="U353" s="276">
        <v>0</v>
      </c>
      <c r="V353" s="290">
        <v>0</v>
      </c>
    </row>
    <row r="354" spans="2:22" ht="19.8" customHeight="1" x14ac:dyDescent="0.6">
      <c r="B354" s="268"/>
      <c r="C354" s="261"/>
      <c r="D354" s="303"/>
      <c r="E354" s="276"/>
      <c r="G354" s="290"/>
      <c r="I354" s="290"/>
      <c r="J354" s="298"/>
      <c r="K354" s="316"/>
      <c r="L354" s="271"/>
      <c r="M354" s="276"/>
      <c r="N354" s="290"/>
      <c r="O354" s="276"/>
      <c r="P354" s="290"/>
      <c r="Q354" s="276"/>
      <c r="R354" s="290"/>
      <c r="S354" s="276"/>
      <c r="T354" s="290"/>
      <c r="U354" s="276">
        <v>0</v>
      </c>
      <c r="V354" s="290">
        <v>0</v>
      </c>
    </row>
    <row r="355" spans="2:22" ht="19.8" customHeight="1" x14ac:dyDescent="0.6">
      <c r="B355" s="826" t="s">
        <v>579</v>
      </c>
      <c r="C355" s="827"/>
      <c r="D355" s="294" t="s">
        <v>389</v>
      </c>
      <c r="E355" s="257" t="s">
        <v>73</v>
      </c>
      <c r="F355" s="296"/>
      <c r="G355" s="293"/>
      <c r="H355" s="297"/>
      <c r="I355" s="293"/>
      <c r="J355" s="299">
        <f>SUM(J336:J354)</f>
        <v>3297434</v>
      </c>
      <c r="K355" s="319">
        <v>3297434</v>
      </c>
      <c r="L355" s="262"/>
      <c r="M355" s="257"/>
      <c r="N355" s="293">
        <f>SUM(N336:N354)</f>
        <v>0</v>
      </c>
      <c r="O355" s="257"/>
      <c r="P355" s="293">
        <f>SUM(P336:P354)</f>
        <v>0</v>
      </c>
      <c r="Q355" s="257"/>
      <c r="R355" s="293">
        <v>0</v>
      </c>
      <c r="S355" s="257"/>
      <c r="T355" s="293">
        <v>0</v>
      </c>
      <c r="U355" s="257">
        <v>0</v>
      </c>
      <c r="V355" s="293">
        <v>0</v>
      </c>
    </row>
    <row r="356" spans="2:22" ht="19.8" customHeight="1" x14ac:dyDescent="0.6">
      <c r="B356" s="306">
        <v>2.2000000000000002</v>
      </c>
      <c r="C356" s="261" t="s">
        <v>74</v>
      </c>
      <c r="D356" s="303"/>
      <c r="E356" s="276"/>
      <c r="G356" s="290"/>
      <c r="I356" s="290"/>
      <c r="J356" s="298"/>
      <c r="K356" s="316"/>
      <c r="L356" s="271"/>
      <c r="M356" s="276"/>
      <c r="N356" s="290"/>
      <c r="O356" s="276"/>
      <c r="P356" s="290"/>
      <c r="Q356" s="276"/>
      <c r="R356" s="290"/>
      <c r="S356" s="276"/>
      <c r="T356" s="290"/>
      <c r="U356" s="276">
        <v>0</v>
      </c>
      <c r="V356" s="290">
        <v>0</v>
      </c>
    </row>
    <row r="357" spans="2:22" ht="19.8" customHeight="1" x14ac:dyDescent="0.6">
      <c r="B357" s="268"/>
      <c r="C357" s="261" t="s">
        <v>75</v>
      </c>
      <c r="D357" s="303"/>
      <c r="E357" s="276"/>
      <c r="G357" s="290"/>
      <c r="I357" s="290"/>
      <c r="J357" s="298"/>
      <c r="K357" s="316"/>
      <c r="L357" s="271"/>
      <c r="M357" s="276"/>
      <c r="N357" s="290"/>
      <c r="O357" s="276"/>
      <c r="P357" s="290"/>
      <c r="Q357" s="276"/>
      <c r="R357" s="290"/>
      <c r="S357" s="276"/>
      <c r="T357" s="290"/>
      <c r="U357" s="276">
        <v>0</v>
      </c>
      <c r="V357" s="290">
        <v>0</v>
      </c>
    </row>
    <row r="358" spans="2:22" ht="19.8" customHeight="1" x14ac:dyDescent="0.6">
      <c r="B358" s="268">
        <v>1</v>
      </c>
      <c r="C358" s="261" t="s">
        <v>76</v>
      </c>
      <c r="D358" s="303" t="s">
        <v>580</v>
      </c>
      <c r="E358" s="276" t="s">
        <v>55</v>
      </c>
      <c r="G358" s="290"/>
      <c r="I358" s="290">
        <v>267.19</v>
      </c>
      <c r="J358" s="298">
        <f t="shared" ref="J358:J367" si="184">IF(G358="-","-",IF(D358&gt;0,ROUNDDOWN(I358*D358,0),""))</f>
        <v>478270</v>
      </c>
      <c r="K358" s="316">
        <v>478270</v>
      </c>
      <c r="L358" s="271"/>
      <c r="M358" s="276"/>
      <c r="N358" s="290">
        <f t="shared" ref="N358:N367" si="185">ROUNDDOWN(M358*$I358,0)</f>
        <v>0</v>
      </c>
      <c r="O358" s="276"/>
      <c r="P358" s="290">
        <f t="shared" ref="P358:P367" si="186">ROUNDDOWN(O358*$I358,0)</f>
        <v>0</v>
      </c>
      <c r="Q358" s="276"/>
      <c r="R358" s="290">
        <v>0</v>
      </c>
      <c r="S358" s="276"/>
      <c r="T358" s="290">
        <v>0</v>
      </c>
      <c r="U358" s="276">
        <v>0</v>
      </c>
      <c r="V358" s="290">
        <v>0</v>
      </c>
    </row>
    <row r="359" spans="2:22" ht="19.8" customHeight="1" x14ac:dyDescent="0.6">
      <c r="B359" s="268">
        <v>2</v>
      </c>
      <c r="C359" s="261" t="s">
        <v>77</v>
      </c>
      <c r="D359" s="303" t="s">
        <v>410</v>
      </c>
      <c r="E359" s="276" t="s">
        <v>78</v>
      </c>
      <c r="G359" s="290"/>
      <c r="I359" s="290">
        <v>17862</v>
      </c>
      <c r="J359" s="298">
        <f t="shared" si="184"/>
        <v>35724</v>
      </c>
      <c r="K359" s="316">
        <v>35724</v>
      </c>
      <c r="L359" s="271"/>
      <c r="M359" s="276">
        <v>2</v>
      </c>
      <c r="N359" s="290">
        <f t="shared" si="185"/>
        <v>35724</v>
      </c>
      <c r="O359" s="276"/>
      <c r="P359" s="290">
        <f t="shared" si="186"/>
        <v>0</v>
      </c>
      <c r="Q359" s="276"/>
      <c r="R359" s="290">
        <v>0</v>
      </c>
      <c r="S359" s="276"/>
      <c r="T359" s="290">
        <v>0</v>
      </c>
      <c r="U359" s="276">
        <v>2</v>
      </c>
      <c r="V359" s="290">
        <v>35724</v>
      </c>
    </row>
    <row r="360" spans="2:22" ht="19.8" customHeight="1" x14ac:dyDescent="0.6">
      <c r="B360" s="268">
        <v>3</v>
      </c>
      <c r="C360" s="261" t="s">
        <v>79</v>
      </c>
      <c r="D360" s="303" t="s">
        <v>581</v>
      </c>
      <c r="E360" s="276" t="s">
        <v>61</v>
      </c>
      <c r="G360" s="290"/>
      <c r="I360" s="290">
        <v>31543.1</v>
      </c>
      <c r="J360" s="298">
        <f t="shared" si="184"/>
        <v>2050301</v>
      </c>
      <c r="K360" s="316">
        <v>2050301</v>
      </c>
      <c r="L360" s="271"/>
      <c r="M360" s="276"/>
      <c r="N360" s="290">
        <f t="shared" si="185"/>
        <v>0</v>
      </c>
      <c r="O360" s="276"/>
      <c r="P360" s="290">
        <f t="shared" si="186"/>
        <v>0</v>
      </c>
      <c r="Q360" s="276"/>
      <c r="R360" s="290">
        <v>0</v>
      </c>
      <c r="S360" s="276"/>
      <c r="T360" s="290">
        <v>0</v>
      </c>
      <c r="U360" s="276">
        <v>0</v>
      </c>
      <c r="V360" s="290">
        <v>0</v>
      </c>
    </row>
    <row r="361" spans="2:22" ht="19.8" customHeight="1" x14ac:dyDescent="0.6">
      <c r="B361" s="268">
        <v>4</v>
      </c>
      <c r="C361" s="261" t="s">
        <v>80</v>
      </c>
      <c r="D361" s="303" t="s">
        <v>582</v>
      </c>
      <c r="E361" s="276" t="s">
        <v>61</v>
      </c>
      <c r="G361" s="290"/>
      <c r="I361" s="290">
        <v>29771.19</v>
      </c>
      <c r="J361" s="298">
        <f t="shared" si="184"/>
        <v>3840483</v>
      </c>
      <c r="K361" s="316">
        <v>3840483</v>
      </c>
      <c r="L361" s="271"/>
      <c r="M361" s="276"/>
      <c r="N361" s="290">
        <f t="shared" si="185"/>
        <v>0</v>
      </c>
      <c r="O361" s="276"/>
      <c r="P361" s="290">
        <f t="shared" si="186"/>
        <v>0</v>
      </c>
      <c r="Q361" s="276"/>
      <c r="R361" s="290">
        <v>0</v>
      </c>
      <c r="S361" s="276"/>
      <c r="T361" s="290">
        <v>0</v>
      </c>
      <c r="U361" s="276">
        <v>0</v>
      </c>
      <c r="V361" s="290">
        <v>0</v>
      </c>
    </row>
    <row r="362" spans="2:22" ht="19.8" customHeight="1" x14ac:dyDescent="0.6">
      <c r="B362" s="268"/>
      <c r="C362" s="261" t="s">
        <v>81</v>
      </c>
      <c r="D362" s="303" t="s">
        <v>583</v>
      </c>
      <c r="E362" s="276" t="s">
        <v>61</v>
      </c>
      <c r="G362" s="290"/>
      <c r="I362" s="290">
        <v>416.78</v>
      </c>
      <c r="J362" s="298">
        <f t="shared" si="184"/>
        <v>80855</v>
      </c>
      <c r="K362" s="316">
        <v>80855</v>
      </c>
      <c r="L362" s="271"/>
      <c r="M362" s="276"/>
      <c r="N362" s="290">
        <f t="shared" si="185"/>
        <v>0</v>
      </c>
      <c r="O362" s="276"/>
      <c r="P362" s="290">
        <f t="shared" si="186"/>
        <v>0</v>
      </c>
      <c r="Q362" s="276"/>
      <c r="R362" s="290">
        <v>0</v>
      </c>
      <c r="S362" s="276"/>
      <c r="T362" s="290">
        <v>0</v>
      </c>
      <c r="U362" s="276">
        <v>0</v>
      </c>
      <c r="V362" s="290">
        <v>0</v>
      </c>
    </row>
    <row r="363" spans="2:22" ht="19.8" customHeight="1" x14ac:dyDescent="0.6">
      <c r="B363" s="268">
        <v>5</v>
      </c>
      <c r="C363" s="261" t="s">
        <v>82</v>
      </c>
      <c r="D363" s="303" t="s">
        <v>583</v>
      </c>
      <c r="E363" s="276" t="s">
        <v>61</v>
      </c>
      <c r="G363" s="290"/>
      <c r="I363" s="290">
        <v>833.56</v>
      </c>
      <c r="J363" s="298">
        <f t="shared" si="184"/>
        <v>161710</v>
      </c>
      <c r="K363" s="316">
        <v>161710</v>
      </c>
      <c r="L363" s="271"/>
      <c r="M363" s="276"/>
      <c r="N363" s="290">
        <f t="shared" si="185"/>
        <v>0</v>
      </c>
      <c r="O363" s="276"/>
      <c r="P363" s="290">
        <f t="shared" si="186"/>
        <v>0</v>
      </c>
      <c r="Q363" s="276"/>
      <c r="R363" s="290">
        <v>0</v>
      </c>
      <c r="S363" s="276"/>
      <c r="T363" s="290">
        <v>0</v>
      </c>
      <c r="U363" s="276">
        <v>0</v>
      </c>
      <c r="V363" s="290">
        <v>0</v>
      </c>
    </row>
    <row r="364" spans="2:22" ht="19.8" customHeight="1" x14ac:dyDescent="0.6">
      <c r="B364" s="268">
        <v>6</v>
      </c>
      <c r="C364" s="261" t="s">
        <v>83</v>
      </c>
      <c r="D364" s="303" t="s">
        <v>584</v>
      </c>
      <c r="E364" s="276" t="s">
        <v>55</v>
      </c>
      <c r="G364" s="290"/>
      <c r="I364" s="290">
        <v>133.37</v>
      </c>
      <c r="J364" s="298">
        <f t="shared" si="184"/>
        <v>21605</v>
      </c>
      <c r="K364" s="316">
        <v>21605</v>
      </c>
      <c r="L364" s="271"/>
      <c r="M364" s="276"/>
      <c r="N364" s="290">
        <f t="shared" si="185"/>
        <v>0</v>
      </c>
      <c r="O364" s="276"/>
      <c r="P364" s="290">
        <f t="shared" si="186"/>
        <v>0</v>
      </c>
      <c r="Q364" s="276"/>
      <c r="R364" s="290">
        <v>0</v>
      </c>
      <c r="S364" s="276"/>
      <c r="T364" s="290">
        <v>0</v>
      </c>
      <c r="U364" s="276">
        <v>0</v>
      </c>
      <c r="V364" s="290">
        <v>0</v>
      </c>
    </row>
    <row r="365" spans="2:22" ht="19.8" customHeight="1" x14ac:dyDescent="0.6">
      <c r="B365" s="268">
        <v>7</v>
      </c>
      <c r="C365" s="261" t="s">
        <v>84</v>
      </c>
      <c r="D365" s="303" t="s">
        <v>531</v>
      </c>
      <c r="E365" s="276" t="s">
        <v>55</v>
      </c>
      <c r="G365" s="290"/>
      <c r="I365" s="290">
        <v>564.83000000000004</v>
      </c>
      <c r="J365" s="298">
        <f t="shared" si="184"/>
        <v>8472</v>
      </c>
      <c r="K365" s="316">
        <v>8472</v>
      </c>
      <c r="L365" s="271"/>
      <c r="M365" s="276"/>
      <c r="N365" s="290">
        <f t="shared" si="185"/>
        <v>0</v>
      </c>
      <c r="O365" s="276"/>
      <c r="P365" s="290">
        <f t="shared" si="186"/>
        <v>0</v>
      </c>
      <c r="Q365" s="276"/>
      <c r="R365" s="290">
        <v>0</v>
      </c>
      <c r="S365" s="276"/>
      <c r="T365" s="290">
        <v>0</v>
      </c>
      <c r="U365" s="276">
        <v>0</v>
      </c>
      <c r="V365" s="290">
        <v>0</v>
      </c>
    </row>
    <row r="366" spans="2:22" ht="19.8" customHeight="1" x14ac:dyDescent="0.6">
      <c r="B366" s="268">
        <v>8</v>
      </c>
      <c r="C366" s="261" t="s">
        <v>85</v>
      </c>
      <c r="D366" s="303" t="s">
        <v>422</v>
      </c>
      <c r="E366" s="276" t="s">
        <v>55</v>
      </c>
      <c r="G366" s="290"/>
      <c r="I366" s="290">
        <v>2205.64</v>
      </c>
      <c r="J366" s="298">
        <f t="shared" si="184"/>
        <v>13233</v>
      </c>
      <c r="K366" s="316">
        <v>13233</v>
      </c>
      <c r="L366" s="271"/>
      <c r="M366" s="276"/>
      <c r="N366" s="290">
        <f t="shared" si="185"/>
        <v>0</v>
      </c>
      <c r="O366" s="276"/>
      <c r="P366" s="290">
        <f t="shared" si="186"/>
        <v>0</v>
      </c>
      <c r="Q366" s="276"/>
      <c r="R366" s="290">
        <v>0</v>
      </c>
      <c r="S366" s="276"/>
      <c r="T366" s="290">
        <v>0</v>
      </c>
      <c r="U366" s="276">
        <v>0</v>
      </c>
      <c r="V366" s="290">
        <v>0</v>
      </c>
    </row>
    <row r="367" spans="2:22" ht="19.8" customHeight="1" x14ac:dyDescent="0.6">
      <c r="B367" s="268">
        <v>9</v>
      </c>
      <c r="C367" s="261" t="s">
        <v>86</v>
      </c>
      <c r="D367" s="303" t="s">
        <v>585</v>
      </c>
      <c r="E367" s="276" t="s">
        <v>55</v>
      </c>
      <c r="G367" s="290"/>
      <c r="I367" s="290">
        <v>2503.2800000000002</v>
      </c>
      <c r="J367" s="298">
        <f t="shared" si="184"/>
        <v>3071524</v>
      </c>
      <c r="K367" s="316">
        <v>3071524</v>
      </c>
      <c r="L367" s="271"/>
      <c r="M367" s="276"/>
      <c r="N367" s="290">
        <f t="shared" si="185"/>
        <v>0</v>
      </c>
      <c r="O367" s="276"/>
      <c r="P367" s="290">
        <f t="shared" si="186"/>
        <v>0</v>
      </c>
      <c r="Q367" s="276"/>
      <c r="R367" s="290">
        <v>0</v>
      </c>
      <c r="S367" s="276"/>
      <c r="T367" s="290">
        <v>0</v>
      </c>
      <c r="U367" s="276">
        <v>0</v>
      </c>
      <c r="V367" s="290">
        <v>0</v>
      </c>
    </row>
    <row r="368" spans="2:22" ht="19.8" customHeight="1" x14ac:dyDescent="0.6">
      <c r="B368" s="268">
        <v>10</v>
      </c>
      <c r="C368" s="261" t="s">
        <v>87</v>
      </c>
      <c r="D368" s="303"/>
      <c r="E368" s="276"/>
      <c r="G368" s="290"/>
      <c r="I368" s="290"/>
      <c r="J368" s="298"/>
      <c r="K368" s="316"/>
      <c r="L368" s="271"/>
      <c r="M368" s="276"/>
      <c r="N368" s="290"/>
      <c r="O368" s="276"/>
      <c r="P368" s="290"/>
      <c r="Q368" s="276"/>
      <c r="R368" s="290"/>
      <c r="S368" s="276"/>
      <c r="T368" s="290"/>
      <c r="U368" s="276">
        <v>0</v>
      </c>
      <c r="V368" s="290">
        <v>0</v>
      </c>
    </row>
    <row r="369" spans="2:22" ht="19.8" customHeight="1" x14ac:dyDescent="0.6">
      <c r="B369" s="268"/>
      <c r="C369" s="261" t="s">
        <v>88</v>
      </c>
      <c r="D369" s="303" t="s">
        <v>586</v>
      </c>
      <c r="E369" s="276" t="s">
        <v>54</v>
      </c>
      <c r="G369" s="290"/>
      <c r="I369" s="290">
        <v>192.91</v>
      </c>
      <c r="J369" s="298">
        <f t="shared" ref="J369:J373" si="187">IF(G369="-","-",IF(D369&gt;0,ROUNDDOWN(I369*D369,0),""))</f>
        <v>1103059</v>
      </c>
      <c r="K369" s="316">
        <v>1103059</v>
      </c>
      <c r="L369" s="271"/>
      <c r="M369" s="276"/>
      <c r="N369" s="290">
        <f t="shared" ref="N369:N373" si="188">ROUNDDOWN(M369*$I369,0)</f>
        <v>0</v>
      </c>
      <c r="O369" s="276"/>
      <c r="P369" s="290">
        <f t="shared" ref="P369:P373" si="189">ROUNDDOWN(O369*$I369,0)</f>
        <v>0</v>
      </c>
      <c r="Q369" s="276"/>
      <c r="R369" s="290">
        <v>0</v>
      </c>
      <c r="S369" s="276"/>
      <c r="T369" s="290">
        <v>0</v>
      </c>
      <c r="U369" s="276">
        <v>0</v>
      </c>
      <c r="V369" s="290">
        <v>0</v>
      </c>
    </row>
    <row r="370" spans="2:22" ht="19.8" customHeight="1" x14ac:dyDescent="0.6">
      <c r="B370" s="268"/>
      <c r="C370" s="261" t="s">
        <v>89</v>
      </c>
      <c r="D370" s="303" t="s">
        <v>587</v>
      </c>
      <c r="E370" s="276" t="s">
        <v>90</v>
      </c>
      <c r="G370" s="290"/>
      <c r="I370" s="290">
        <v>667.74</v>
      </c>
      <c r="J370" s="298">
        <f t="shared" si="187"/>
        <v>2672963</v>
      </c>
      <c r="K370" s="316">
        <v>2672963</v>
      </c>
      <c r="L370" s="271"/>
      <c r="M370" s="276"/>
      <c r="N370" s="290">
        <f t="shared" si="188"/>
        <v>0</v>
      </c>
      <c r="O370" s="276"/>
      <c r="P370" s="290">
        <f t="shared" si="189"/>
        <v>0</v>
      </c>
      <c r="Q370" s="276"/>
      <c r="R370" s="290">
        <v>0</v>
      </c>
      <c r="S370" s="276"/>
      <c r="T370" s="290">
        <v>0</v>
      </c>
      <c r="U370" s="276">
        <v>0</v>
      </c>
      <c r="V370" s="290">
        <v>0</v>
      </c>
    </row>
    <row r="371" spans="2:22" ht="19.8" customHeight="1" x14ac:dyDescent="0.6">
      <c r="B371" s="268"/>
      <c r="C371" s="261" t="s">
        <v>91</v>
      </c>
      <c r="D371" s="303" t="s">
        <v>366</v>
      </c>
      <c r="E371" s="276" t="s">
        <v>90</v>
      </c>
      <c r="G371" s="290"/>
      <c r="I371" s="290">
        <v>667.74</v>
      </c>
      <c r="J371" s="298">
        <f t="shared" si="187"/>
        <v>801288</v>
      </c>
      <c r="K371" s="316">
        <v>801288</v>
      </c>
      <c r="L371" s="271"/>
      <c r="M371" s="276"/>
      <c r="N371" s="290">
        <f t="shared" si="188"/>
        <v>0</v>
      </c>
      <c r="O371" s="276"/>
      <c r="P371" s="290">
        <f t="shared" si="189"/>
        <v>0</v>
      </c>
      <c r="Q371" s="276"/>
      <c r="R371" s="290">
        <v>0</v>
      </c>
      <c r="S371" s="276"/>
      <c r="T371" s="290">
        <v>0</v>
      </c>
      <c r="U371" s="276">
        <v>0</v>
      </c>
      <c r="V371" s="290">
        <v>0</v>
      </c>
    </row>
    <row r="372" spans="2:22" ht="19.8" customHeight="1" x14ac:dyDescent="0.6">
      <c r="B372" s="268"/>
      <c r="C372" s="261" t="s">
        <v>92</v>
      </c>
      <c r="D372" s="303" t="s">
        <v>588</v>
      </c>
      <c r="E372" s="276" t="s">
        <v>61</v>
      </c>
      <c r="G372" s="290"/>
      <c r="I372" s="290">
        <v>72.64</v>
      </c>
      <c r="J372" s="298">
        <f t="shared" si="187"/>
        <v>152544</v>
      </c>
      <c r="K372" s="316">
        <v>152544</v>
      </c>
      <c r="L372" s="271"/>
      <c r="M372" s="276"/>
      <c r="N372" s="290">
        <f t="shared" si="188"/>
        <v>0</v>
      </c>
      <c r="O372" s="276"/>
      <c r="P372" s="290">
        <f t="shared" si="189"/>
        <v>0</v>
      </c>
      <c r="Q372" s="276"/>
      <c r="R372" s="290">
        <v>0</v>
      </c>
      <c r="S372" s="276"/>
      <c r="T372" s="290">
        <v>0</v>
      </c>
      <c r="U372" s="276">
        <v>0</v>
      </c>
      <c r="V372" s="290">
        <v>0</v>
      </c>
    </row>
    <row r="373" spans="2:22" ht="19.8" customHeight="1" x14ac:dyDescent="0.6">
      <c r="B373" s="268"/>
      <c r="C373" s="261" t="s">
        <v>93</v>
      </c>
      <c r="D373" s="303" t="s">
        <v>589</v>
      </c>
      <c r="E373" s="276" t="s">
        <v>94</v>
      </c>
      <c r="G373" s="290"/>
      <c r="I373" s="290">
        <v>54.54</v>
      </c>
      <c r="J373" s="298">
        <f t="shared" si="187"/>
        <v>77937</v>
      </c>
      <c r="K373" s="316">
        <v>77937</v>
      </c>
      <c r="L373" s="271"/>
      <c r="M373" s="276"/>
      <c r="N373" s="290">
        <f t="shared" si="188"/>
        <v>0</v>
      </c>
      <c r="O373" s="276"/>
      <c r="P373" s="290">
        <f t="shared" si="189"/>
        <v>0</v>
      </c>
      <c r="Q373" s="276"/>
      <c r="R373" s="290">
        <v>0</v>
      </c>
      <c r="S373" s="276"/>
      <c r="T373" s="290">
        <v>0</v>
      </c>
      <c r="U373" s="276">
        <v>0</v>
      </c>
      <c r="V373" s="290">
        <v>0</v>
      </c>
    </row>
    <row r="374" spans="2:22" ht="19.8" customHeight="1" x14ac:dyDescent="0.6">
      <c r="B374" s="268">
        <v>11</v>
      </c>
      <c r="C374" s="261" t="s">
        <v>95</v>
      </c>
      <c r="D374" s="303"/>
      <c r="E374" s="276"/>
      <c r="G374" s="290"/>
      <c r="I374" s="290"/>
      <c r="J374" s="298"/>
      <c r="K374" s="316"/>
      <c r="L374" s="271"/>
      <c r="M374" s="276"/>
      <c r="N374" s="290"/>
      <c r="O374" s="276"/>
      <c r="P374" s="290"/>
      <c r="Q374" s="276"/>
      <c r="R374" s="290"/>
      <c r="S374" s="276"/>
      <c r="T374" s="290"/>
      <c r="U374" s="276">
        <v>0</v>
      </c>
      <c r="V374" s="290">
        <v>0</v>
      </c>
    </row>
    <row r="375" spans="2:22" ht="19.8" customHeight="1" x14ac:dyDescent="0.6">
      <c r="B375" s="268"/>
      <c r="C375" s="261" t="s">
        <v>96</v>
      </c>
      <c r="D375" s="303" t="s">
        <v>590</v>
      </c>
      <c r="E375" s="276" t="s">
        <v>94</v>
      </c>
      <c r="G375" s="290"/>
      <c r="I375" s="290">
        <v>36.19</v>
      </c>
      <c r="J375" s="298">
        <f t="shared" ref="J375:J384" si="190">IF(G375="-","-",IF(D375&gt;0,ROUNDDOWN(I375*D375,0),""))</f>
        <v>42921</v>
      </c>
      <c r="K375" s="316">
        <v>42921</v>
      </c>
      <c r="L375" s="271"/>
      <c r="M375" s="276"/>
      <c r="N375" s="290">
        <f t="shared" ref="N375:N384" si="191">ROUNDDOWN(M375*$I375,0)</f>
        <v>0</v>
      </c>
      <c r="O375" s="276"/>
      <c r="P375" s="290">
        <f t="shared" ref="P375:P384" si="192">ROUNDDOWN(O375*$I375,0)</f>
        <v>0</v>
      </c>
      <c r="Q375" s="276"/>
      <c r="R375" s="290">
        <v>0</v>
      </c>
      <c r="S375" s="276"/>
      <c r="T375" s="290">
        <v>0</v>
      </c>
      <c r="U375" s="276">
        <v>0</v>
      </c>
      <c r="V375" s="290">
        <v>0</v>
      </c>
    </row>
    <row r="376" spans="2:22" ht="19.8" customHeight="1" x14ac:dyDescent="0.6">
      <c r="B376" s="268"/>
      <c r="C376" s="261" t="s">
        <v>97</v>
      </c>
      <c r="D376" s="303" t="s">
        <v>591</v>
      </c>
      <c r="E376" s="276" t="s">
        <v>94</v>
      </c>
      <c r="G376" s="290"/>
      <c r="I376" s="290">
        <v>36.07</v>
      </c>
      <c r="J376" s="298">
        <f t="shared" si="190"/>
        <v>173099</v>
      </c>
      <c r="K376" s="316">
        <v>173099</v>
      </c>
      <c r="L376" s="271"/>
      <c r="M376" s="276"/>
      <c r="N376" s="290">
        <f t="shared" si="191"/>
        <v>0</v>
      </c>
      <c r="O376" s="276"/>
      <c r="P376" s="290">
        <f t="shared" si="192"/>
        <v>0</v>
      </c>
      <c r="Q376" s="276"/>
      <c r="R376" s="290">
        <v>0</v>
      </c>
      <c r="S376" s="276"/>
      <c r="T376" s="290">
        <v>0</v>
      </c>
      <c r="U376" s="276">
        <v>0</v>
      </c>
      <c r="V376" s="290">
        <v>0</v>
      </c>
    </row>
    <row r="377" spans="2:22" ht="19.8" customHeight="1" x14ac:dyDescent="0.6">
      <c r="B377" s="268"/>
      <c r="C377" s="261" t="s">
        <v>98</v>
      </c>
      <c r="D377" s="303" t="s">
        <v>592</v>
      </c>
      <c r="E377" s="276" t="s">
        <v>94</v>
      </c>
      <c r="G377" s="290"/>
      <c r="I377" s="290">
        <v>32.840000000000003</v>
      </c>
      <c r="J377" s="298">
        <f t="shared" si="190"/>
        <v>932163</v>
      </c>
      <c r="K377" s="316">
        <v>932163</v>
      </c>
      <c r="L377" s="271"/>
      <c r="M377" s="276"/>
      <c r="N377" s="290">
        <f t="shared" si="191"/>
        <v>0</v>
      </c>
      <c r="O377" s="276"/>
      <c r="P377" s="290">
        <f t="shared" si="192"/>
        <v>0</v>
      </c>
      <c r="Q377" s="276"/>
      <c r="R377" s="290">
        <v>0</v>
      </c>
      <c r="S377" s="276"/>
      <c r="T377" s="290">
        <v>0</v>
      </c>
      <c r="U377" s="276">
        <v>0</v>
      </c>
      <c r="V377" s="290">
        <v>0</v>
      </c>
    </row>
    <row r="378" spans="2:22" ht="19.8" customHeight="1" x14ac:dyDescent="0.6">
      <c r="B378" s="268"/>
      <c r="C378" s="261" t="s">
        <v>99</v>
      </c>
      <c r="D378" s="303" t="s">
        <v>593</v>
      </c>
      <c r="E378" s="276" t="s">
        <v>94</v>
      </c>
      <c r="G378" s="290"/>
      <c r="I378" s="290">
        <v>32.5</v>
      </c>
      <c r="J378" s="298">
        <f t="shared" si="190"/>
        <v>1897870</v>
      </c>
      <c r="K378" s="316">
        <v>1897870</v>
      </c>
      <c r="L378" s="271"/>
      <c r="M378" s="276"/>
      <c r="N378" s="290">
        <f t="shared" si="191"/>
        <v>0</v>
      </c>
      <c r="O378" s="276"/>
      <c r="P378" s="290">
        <f t="shared" si="192"/>
        <v>0</v>
      </c>
      <c r="Q378" s="276"/>
      <c r="R378" s="290">
        <v>0</v>
      </c>
      <c r="S378" s="276"/>
      <c r="T378" s="290">
        <v>0</v>
      </c>
      <c r="U378" s="276">
        <v>0</v>
      </c>
      <c r="V378" s="290">
        <v>0</v>
      </c>
    </row>
    <row r="379" spans="2:22" ht="19.8" customHeight="1" x14ac:dyDescent="0.6">
      <c r="B379" s="268"/>
      <c r="C379" s="261" t="s">
        <v>100</v>
      </c>
      <c r="D379" s="303" t="s">
        <v>594</v>
      </c>
      <c r="E379" s="276" t="s">
        <v>94</v>
      </c>
      <c r="G379" s="290"/>
      <c r="I379" s="290">
        <v>31.29</v>
      </c>
      <c r="J379" s="298">
        <f t="shared" si="190"/>
        <v>3273059</v>
      </c>
      <c r="K379" s="316">
        <v>3273059</v>
      </c>
      <c r="L379" s="271"/>
      <c r="M379" s="276"/>
      <c r="N379" s="290">
        <f t="shared" si="191"/>
        <v>0</v>
      </c>
      <c r="O379" s="276"/>
      <c r="P379" s="290">
        <f t="shared" si="192"/>
        <v>0</v>
      </c>
      <c r="Q379" s="276"/>
      <c r="R379" s="290">
        <v>0</v>
      </c>
      <c r="S379" s="276"/>
      <c r="T379" s="290">
        <v>0</v>
      </c>
      <c r="U379" s="276">
        <v>0</v>
      </c>
      <c r="V379" s="290">
        <v>0</v>
      </c>
    </row>
    <row r="380" spans="2:22" ht="19.8" customHeight="1" x14ac:dyDescent="0.6">
      <c r="B380" s="268"/>
      <c r="C380" s="261" t="s">
        <v>101</v>
      </c>
      <c r="D380" s="303" t="s">
        <v>595</v>
      </c>
      <c r="E380" s="276" t="s">
        <v>94</v>
      </c>
      <c r="G380" s="290"/>
      <c r="I380" s="290">
        <v>54.78</v>
      </c>
      <c r="J380" s="298">
        <f t="shared" si="190"/>
        <v>324352</v>
      </c>
      <c r="K380" s="316">
        <v>324352</v>
      </c>
      <c r="L380" s="271"/>
      <c r="M380" s="276"/>
      <c r="N380" s="290">
        <f t="shared" si="191"/>
        <v>0</v>
      </c>
      <c r="O380" s="276"/>
      <c r="P380" s="290">
        <f t="shared" si="192"/>
        <v>0</v>
      </c>
      <c r="Q380" s="276"/>
      <c r="R380" s="290">
        <v>0</v>
      </c>
      <c r="S380" s="276"/>
      <c r="T380" s="290">
        <v>0</v>
      </c>
      <c r="U380" s="276">
        <v>0</v>
      </c>
      <c r="V380" s="290">
        <v>0</v>
      </c>
    </row>
    <row r="381" spans="2:22" ht="19.8" customHeight="1" x14ac:dyDescent="0.6">
      <c r="B381" s="268">
        <v>12</v>
      </c>
      <c r="C381" s="261" t="s">
        <v>232</v>
      </c>
      <c r="D381" s="303" t="s">
        <v>596</v>
      </c>
      <c r="E381" s="276" t="s">
        <v>54</v>
      </c>
      <c r="G381" s="290"/>
      <c r="I381" s="290">
        <v>506.09</v>
      </c>
      <c r="J381" s="298">
        <f t="shared" si="190"/>
        <v>792536</v>
      </c>
      <c r="K381" s="316">
        <v>792536</v>
      </c>
      <c r="L381" s="271"/>
      <c r="M381" s="276"/>
      <c r="N381" s="290">
        <f t="shared" si="191"/>
        <v>0</v>
      </c>
      <c r="O381" s="276"/>
      <c r="P381" s="290">
        <f t="shared" si="192"/>
        <v>0</v>
      </c>
      <c r="Q381" s="276"/>
      <c r="R381" s="290">
        <v>0</v>
      </c>
      <c r="S381" s="276"/>
      <c r="T381" s="290">
        <v>0</v>
      </c>
      <c r="U381" s="276">
        <v>0</v>
      </c>
      <c r="V381" s="290">
        <v>0</v>
      </c>
    </row>
    <row r="382" spans="2:22" ht="19.8" customHeight="1" x14ac:dyDescent="0.6">
      <c r="B382" s="268">
        <v>13</v>
      </c>
      <c r="C382" s="261" t="s">
        <v>102</v>
      </c>
      <c r="D382" s="303" t="s">
        <v>597</v>
      </c>
      <c r="E382" s="276" t="s">
        <v>57</v>
      </c>
      <c r="G382" s="290"/>
      <c r="I382" s="290">
        <v>3113.94</v>
      </c>
      <c r="J382" s="298">
        <f t="shared" si="190"/>
        <v>696868</v>
      </c>
      <c r="K382" s="316">
        <v>696868</v>
      </c>
      <c r="L382" s="271"/>
      <c r="M382" s="276"/>
      <c r="N382" s="290">
        <f t="shared" si="191"/>
        <v>0</v>
      </c>
      <c r="O382" s="276"/>
      <c r="P382" s="290">
        <f t="shared" si="192"/>
        <v>0</v>
      </c>
      <c r="Q382" s="276"/>
      <c r="R382" s="290">
        <v>0</v>
      </c>
      <c r="S382" s="276"/>
      <c r="T382" s="290">
        <v>0</v>
      </c>
      <c r="U382" s="276">
        <v>0</v>
      </c>
      <c r="V382" s="290">
        <v>0</v>
      </c>
    </row>
    <row r="383" spans="2:22" ht="19.8" customHeight="1" x14ac:dyDescent="0.6">
      <c r="B383" s="268">
        <v>14</v>
      </c>
      <c r="C383" s="261" t="s">
        <v>103</v>
      </c>
      <c r="D383" s="303" t="s">
        <v>598</v>
      </c>
      <c r="E383" s="276" t="s">
        <v>57</v>
      </c>
      <c r="G383" s="290"/>
      <c r="I383" s="290">
        <v>482.26</v>
      </c>
      <c r="J383" s="298">
        <f t="shared" si="190"/>
        <v>27006</v>
      </c>
      <c r="K383" s="316">
        <v>27006</v>
      </c>
      <c r="L383" s="271"/>
      <c r="M383" s="276"/>
      <c r="N383" s="290">
        <f t="shared" si="191"/>
        <v>0</v>
      </c>
      <c r="O383" s="276"/>
      <c r="P383" s="290">
        <f t="shared" si="192"/>
        <v>0</v>
      </c>
      <c r="Q383" s="276"/>
      <c r="R383" s="290">
        <v>0</v>
      </c>
      <c r="S383" s="276"/>
      <c r="T383" s="290">
        <v>0</v>
      </c>
      <c r="U383" s="276">
        <v>0</v>
      </c>
      <c r="V383" s="290">
        <v>0</v>
      </c>
    </row>
    <row r="384" spans="2:22" ht="19.8" customHeight="1" x14ac:dyDescent="0.6">
      <c r="B384" s="268">
        <v>15</v>
      </c>
      <c r="C384" s="261" t="s">
        <v>104</v>
      </c>
      <c r="D384" s="303" t="s">
        <v>532</v>
      </c>
      <c r="E384" s="276" t="s">
        <v>54</v>
      </c>
      <c r="G384" s="290"/>
      <c r="I384" s="290">
        <v>366.77</v>
      </c>
      <c r="J384" s="298">
        <f t="shared" si="190"/>
        <v>1833</v>
      </c>
      <c r="K384" s="316">
        <v>1833</v>
      </c>
      <c r="L384" s="271"/>
      <c r="M384" s="276"/>
      <c r="N384" s="290">
        <f t="shared" si="191"/>
        <v>0</v>
      </c>
      <c r="O384" s="276"/>
      <c r="P384" s="290">
        <f t="shared" si="192"/>
        <v>0</v>
      </c>
      <c r="Q384" s="276"/>
      <c r="R384" s="290">
        <v>0</v>
      </c>
      <c r="S384" s="276"/>
      <c r="T384" s="290">
        <v>0</v>
      </c>
      <c r="U384" s="276">
        <v>0</v>
      </c>
      <c r="V384" s="290">
        <v>0</v>
      </c>
    </row>
    <row r="385" spans="1:22" ht="19.8" customHeight="1" x14ac:dyDescent="0.6">
      <c r="B385" s="268">
        <v>16</v>
      </c>
      <c r="C385" s="261" t="s">
        <v>59</v>
      </c>
      <c r="D385" s="303"/>
      <c r="E385" s="276"/>
      <c r="G385" s="290"/>
      <c r="I385" s="290"/>
      <c r="J385" s="298"/>
      <c r="K385" s="316"/>
      <c r="L385" s="271"/>
      <c r="M385" s="276"/>
      <c r="N385" s="290"/>
      <c r="O385" s="276"/>
      <c r="P385" s="290"/>
      <c r="Q385" s="276"/>
      <c r="R385" s="290"/>
      <c r="S385" s="276"/>
      <c r="T385" s="290"/>
      <c r="U385" s="276">
        <v>0</v>
      </c>
      <c r="V385" s="290">
        <v>0</v>
      </c>
    </row>
    <row r="386" spans="1:22" ht="19.8" customHeight="1" x14ac:dyDescent="0.6">
      <c r="B386" s="268"/>
      <c r="C386" s="261"/>
      <c r="D386" s="303"/>
      <c r="E386" s="276"/>
      <c r="G386" s="290"/>
      <c r="I386" s="290"/>
      <c r="J386" s="298"/>
      <c r="K386" s="316"/>
      <c r="L386" s="271"/>
      <c r="M386" s="276"/>
      <c r="N386" s="290"/>
      <c r="O386" s="276"/>
      <c r="P386" s="290"/>
      <c r="Q386" s="276"/>
      <c r="R386" s="290"/>
      <c r="S386" s="276"/>
      <c r="T386" s="290"/>
      <c r="U386" s="276">
        <v>0</v>
      </c>
      <c r="V386" s="290">
        <v>0</v>
      </c>
    </row>
    <row r="387" spans="1:22" ht="19.8" customHeight="1" x14ac:dyDescent="0.6">
      <c r="B387" s="826" t="s">
        <v>599</v>
      </c>
      <c r="C387" s="827"/>
      <c r="D387" s="310" t="s">
        <v>389</v>
      </c>
      <c r="E387" s="275" t="s">
        <v>73</v>
      </c>
      <c r="F387" s="284"/>
      <c r="G387" s="289"/>
      <c r="H387" s="263"/>
      <c r="I387" s="289"/>
      <c r="J387" s="299">
        <f>SUM(J356:J386)</f>
        <v>22731675</v>
      </c>
      <c r="K387" s="320">
        <v>22731675</v>
      </c>
      <c r="L387" s="270"/>
      <c r="M387" s="257"/>
      <c r="N387" s="293">
        <f>SUM(N356:N386)</f>
        <v>35724</v>
      </c>
      <c r="O387" s="257"/>
      <c r="P387" s="293">
        <f>SUM(P356:P386)</f>
        <v>0</v>
      </c>
      <c r="Q387" s="257"/>
      <c r="R387" s="293">
        <v>0</v>
      </c>
      <c r="S387" s="257"/>
      <c r="T387" s="293">
        <v>0</v>
      </c>
      <c r="U387" s="257">
        <v>0</v>
      </c>
      <c r="V387" s="293">
        <v>35724</v>
      </c>
    </row>
    <row r="388" spans="1:22" ht="19.8" customHeight="1" x14ac:dyDescent="0.6">
      <c r="A388" s="311"/>
      <c r="B388" s="817" t="s">
        <v>600</v>
      </c>
      <c r="C388" s="818"/>
      <c r="D388" s="294"/>
      <c r="E388" s="257"/>
      <c r="F388" s="296"/>
      <c r="G388" s="293"/>
      <c r="H388" s="297"/>
      <c r="I388" s="293"/>
      <c r="J388" s="299"/>
      <c r="K388" s="319">
        <v>26029109</v>
      </c>
      <c r="L388" s="262"/>
      <c r="M388" s="257"/>
      <c r="N388" s="293"/>
      <c r="O388" s="257"/>
      <c r="P388" s="293"/>
      <c r="Q388" s="257"/>
      <c r="R388" s="293"/>
      <c r="S388" s="257"/>
      <c r="T388" s="293"/>
      <c r="U388" s="257">
        <v>0</v>
      </c>
      <c r="V388" s="293">
        <v>0</v>
      </c>
    </row>
    <row r="389" spans="1:22" ht="19.8" customHeight="1" x14ac:dyDescent="0.6">
      <c r="B389" s="312" t="s">
        <v>323</v>
      </c>
      <c r="C389" s="313" t="s">
        <v>29</v>
      </c>
      <c r="D389" s="303"/>
      <c r="E389" s="276"/>
      <c r="G389" s="290"/>
      <c r="I389" s="290"/>
      <c r="J389" s="298"/>
      <c r="K389" s="316"/>
      <c r="L389" s="271"/>
      <c r="M389" s="276"/>
      <c r="N389" s="290"/>
      <c r="O389" s="276"/>
      <c r="P389" s="290"/>
      <c r="Q389" s="276"/>
      <c r="R389" s="290"/>
      <c r="S389" s="276"/>
      <c r="T389" s="290"/>
      <c r="U389" s="276">
        <v>0</v>
      </c>
      <c r="V389" s="290">
        <v>0</v>
      </c>
    </row>
    <row r="390" spans="1:22" ht="19.8" customHeight="1" x14ac:dyDescent="0.6">
      <c r="B390" s="306" t="s">
        <v>601</v>
      </c>
      <c r="C390" s="261" t="s">
        <v>105</v>
      </c>
      <c r="D390" s="303"/>
      <c r="E390" s="276"/>
      <c r="G390" s="290"/>
      <c r="I390" s="290"/>
      <c r="J390" s="298"/>
      <c r="K390" s="316"/>
      <c r="L390" s="271"/>
      <c r="M390" s="276"/>
      <c r="N390" s="290"/>
      <c r="O390" s="276"/>
      <c r="P390" s="290"/>
      <c r="Q390" s="276"/>
      <c r="R390" s="290"/>
      <c r="S390" s="276"/>
      <c r="T390" s="290"/>
      <c r="U390" s="276">
        <v>0</v>
      </c>
      <c r="V390" s="290">
        <v>0</v>
      </c>
    </row>
    <row r="391" spans="1:22" ht="19.8" customHeight="1" x14ac:dyDescent="0.6">
      <c r="B391" s="268"/>
      <c r="C391" s="261" t="s">
        <v>602</v>
      </c>
      <c r="D391" s="303"/>
      <c r="E391" s="276"/>
      <c r="G391" s="290"/>
      <c r="I391" s="290"/>
      <c r="J391" s="298"/>
      <c r="K391" s="316"/>
      <c r="L391" s="271"/>
      <c r="M391" s="276"/>
      <c r="N391" s="290"/>
      <c r="O391" s="276"/>
      <c r="P391" s="290"/>
      <c r="Q391" s="276"/>
      <c r="R391" s="290"/>
      <c r="S391" s="276"/>
      <c r="T391" s="290"/>
      <c r="U391" s="276">
        <v>0</v>
      </c>
      <c r="V391" s="290">
        <v>0</v>
      </c>
    </row>
    <row r="392" spans="1:22" ht="19.8" customHeight="1" x14ac:dyDescent="0.6">
      <c r="B392" s="268"/>
      <c r="C392" s="261" t="s">
        <v>603</v>
      </c>
      <c r="D392" s="303"/>
      <c r="E392" s="276"/>
      <c r="G392" s="290"/>
      <c r="I392" s="290"/>
      <c r="J392" s="298"/>
      <c r="K392" s="316"/>
      <c r="L392" s="271"/>
      <c r="M392" s="276"/>
      <c r="N392" s="290"/>
      <c r="O392" s="276"/>
      <c r="P392" s="290"/>
      <c r="Q392" s="276"/>
      <c r="R392" s="290"/>
      <c r="S392" s="276"/>
      <c r="T392" s="290"/>
      <c r="U392" s="276">
        <v>0</v>
      </c>
      <c r="V392" s="290">
        <v>0</v>
      </c>
    </row>
    <row r="393" spans="1:22" ht="19.8" customHeight="1" x14ac:dyDescent="0.6">
      <c r="B393" s="268">
        <v>1</v>
      </c>
      <c r="C393" s="261" t="s">
        <v>245</v>
      </c>
      <c r="D393" s="304" t="s">
        <v>176</v>
      </c>
      <c r="E393" s="276" t="s">
        <v>54</v>
      </c>
      <c r="G393" s="290"/>
      <c r="I393" s="290"/>
      <c r="J393" s="298"/>
      <c r="K393" s="316"/>
      <c r="L393" s="271"/>
      <c r="M393" s="276"/>
      <c r="N393" s="290"/>
      <c r="O393" s="276"/>
      <c r="P393" s="290"/>
      <c r="Q393" s="276"/>
      <c r="R393" s="290"/>
      <c r="S393" s="276"/>
      <c r="T393" s="290"/>
      <c r="U393" s="276">
        <v>0</v>
      </c>
      <c r="V393" s="290">
        <v>0</v>
      </c>
    </row>
    <row r="394" spans="1:22" ht="19.8" customHeight="1" x14ac:dyDescent="0.6">
      <c r="B394" s="268">
        <v>2</v>
      </c>
      <c r="C394" s="261" t="s">
        <v>604</v>
      </c>
      <c r="D394" s="303" t="s">
        <v>607</v>
      </c>
      <c r="E394" s="276" t="s">
        <v>57</v>
      </c>
      <c r="G394" s="290"/>
      <c r="I394" s="290">
        <v>126.78</v>
      </c>
      <c r="J394" s="298">
        <f>IF(G394="-","-",IF(D394&gt;0,ROUNDDOWN(I394*D394,0),""))</f>
        <v>28398</v>
      </c>
      <c r="K394" s="316">
        <v>28398</v>
      </c>
      <c r="L394" s="271"/>
      <c r="M394" s="276"/>
      <c r="N394" s="290">
        <f t="shared" ref="N394:N399" si="193">ROUNDDOWN(M394*$I394,0)</f>
        <v>0</v>
      </c>
      <c r="O394" s="276"/>
      <c r="P394" s="290">
        <f t="shared" ref="P394:P399" si="194">ROUNDDOWN(O394*$I394,0)</f>
        <v>0</v>
      </c>
      <c r="Q394" s="276"/>
      <c r="R394" s="290"/>
      <c r="S394" s="276"/>
      <c r="T394" s="290"/>
      <c r="U394" s="276">
        <v>0</v>
      </c>
      <c r="V394" s="290">
        <v>0</v>
      </c>
    </row>
    <row r="395" spans="1:22" ht="19.8" customHeight="1" x14ac:dyDescent="0.6">
      <c r="B395" s="268">
        <v>3</v>
      </c>
      <c r="C395" s="261" t="s">
        <v>195</v>
      </c>
      <c r="D395" s="303" t="s">
        <v>608</v>
      </c>
      <c r="E395" s="276" t="s">
        <v>55</v>
      </c>
      <c r="G395" s="290"/>
      <c r="I395" s="290">
        <v>38.21</v>
      </c>
      <c r="J395" s="298">
        <f t="shared" ref="J395:J399" si="195">IF(G395="-","-",IF(D395&gt;0,ROUNDDOWN(I395*D395,0),""))</f>
        <v>91245</v>
      </c>
      <c r="K395" s="316">
        <v>91245</v>
      </c>
      <c r="L395" s="271"/>
      <c r="M395" s="276"/>
      <c r="N395" s="290">
        <f t="shared" si="193"/>
        <v>0</v>
      </c>
      <c r="O395" s="276"/>
      <c r="P395" s="290">
        <f t="shared" si="194"/>
        <v>0</v>
      </c>
      <c r="Q395" s="276"/>
      <c r="R395" s="290"/>
      <c r="S395" s="276"/>
      <c r="T395" s="290"/>
      <c r="U395" s="276">
        <v>0</v>
      </c>
      <c r="V395" s="290">
        <v>0</v>
      </c>
    </row>
    <row r="396" spans="1:22" ht="19.8" customHeight="1" x14ac:dyDescent="0.6">
      <c r="B396" s="268">
        <v>4</v>
      </c>
      <c r="C396" s="261" t="s">
        <v>215</v>
      </c>
      <c r="D396" s="303" t="s">
        <v>605</v>
      </c>
      <c r="E396" s="276" t="s">
        <v>55</v>
      </c>
      <c r="G396" s="290"/>
      <c r="I396" s="290">
        <v>328.91</v>
      </c>
      <c r="J396" s="298">
        <f t="shared" si="195"/>
        <v>526256</v>
      </c>
      <c r="K396" s="316">
        <v>526256</v>
      </c>
      <c r="L396" s="271"/>
      <c r="M396" s="276"/>
      <c r="N396" s="290">
        <f t="shared" si="193"/>
        <v>0</v>
      </c>
      <c r="O396" s="276"/>
      <c r="P396" s="290">
        <f t="shared" si="194"/>
        <v>0</v>
      </c>
      <c r="Q396" s="276"/>
      <c r="R396" s="290"/>
      <c r="S396" s="276"/>
      <c r="T396" s="290"/>
      <c r="U396" s="276">
        <v>0</v>
      </c>
      <c r="V396" s="290">
        <v>0</v>
      </c>
    </row>
    <row r="397" spans="1:22" ht="19.8" customHeight="1" x14ac:dyDescent="0.6">
      <c r="B397" s="268">
        <v>5</v>
      </c>
      <c r="C397" s="261" t="s">
        <v>229</v>
      </c>
      <c r="D397" s="303" t="s">
        <v>606</v>
      </c>
      <c r="E397" s="276" t="s">
        <v>57</v>
      </c>
      <c r="G397" s="290"/>
      <c r="I397" s="290">
        <v>16735.45</v>
      </c>
      <c r="J397" s="298">
        <f t="shared" si="195"/>
        <v>4819809</v>
      </c>
      <c r="K397" s="316">
        <v>4819809</v>
      </c>
      <c r="L397" s="271"/>
      <c r="M397" s="276"/>
      <c r="N397" s="290">
        <f t="shared" si="193"/>
        <v>0</v>
      </c>
      <c r="O397" s="276"/>
      <c r="P397" s="290">
        <f t="shared" si="194"/>
        <v>0</v>
      </c>
      <c r="Q397" s="276"/>
      <c r="R397" s="290"/>
      <c r="S397" s="276"/>
      <c r="T397" s="290"/>
      <c r="U397" s="276">
        <v>280</v>
      </c>
      <c r="V397" s="290">
        <v>3340000</v>
      </c>
    </row>
    <row r="398" spans="1:22" ht="19.8" customHeight="1" x14ac:dyDescent="0.6">
      <c r="B398" s="268">
        <v>8</v>
      </c>
      <c r="C398" s="261" t="s">
        <v>233</v>
      </c>
      <c r="D398" s="303" t="s">
        <v>609</v>
      </c>
      <c r="E398" s="276" t="s">
        <v>57</v>
      </c>
      <c r="G398" s="290"/>
      <c r="I398" s="290">
        <v>1452.28</v>
      </c>
      <c r="J398" s="298">
        <f t="shared" si="195"/>
        <v>49377</v>
      </c>
      <c r="K398" s="316">
        <v>49377</v>
      </c>
      <c r="L398" s="271"/>
      <c r="M398" s="276"/>
      <c r="N398" s="290">
        <f t="shared" si="193"/>
        <v>0</v>
      </c>
      <c r="O398" s="276"/>
      <c r="P398" s="290">
        <f t="shared" si="194"/>
        <v>0</v>
      </c>
      <c r="Q398" s="276"/>
      <c r="R398" s="290"/>
      <c r="S398" s="276"/>
      <c r="T398" s="290"/>
      <c r="U398" s="276">
        <v>0</v>
      </c>
      <c r="V398" s="290">
        <v>0</v>
      </c>
    </row>
    <row r="399" spans="1:22" ht="19.8" customHeight="1" x14ac:dyDescent="0.6">
      <c r="B399" s="268">
        <v>9</v>
      </c>
      <c r="C399" s="261" t="s">
        <v>610</v>
      </c>
      <c r="D399" s="303" t="s">
        <v>330</v>
      </c>
      <c r="E399" s="276" t="s">
        <v>57</v>
      </c>
      <c r="G399" s="290"/>
      <c r="I399" s="290">
        <v>1240.5899999999999</v>
      </c>
      <c r="J399" s="298">
        <f t="shared" si="195"/>
        <v>37217</v>
      </c>
      <c r="K399" s="316">
        <v>37217</v>
      </c>
      <c r="L399" s="271"/>
      <c r="M399" s="276"/>
      <c r="N399" s="290">
        <f t="shared" si="193"/>
        <v>0</v>
      </c>
      <c r="O399" s="276"/>
      <c r="P399" s="290">
        <f t="shared" si="194"/>
        <v>0</v>
      </c>
      <c r="Q399" s="276"/>
      <c r="R399" s="290"/>
      <c r="S399" s="276"/>
      <c r="T399" s="290"/>
      <c r="U399" s="276">
        <v>0</v>
      </c>
      <c r="V399" s="290">
        <v>0</v>
      </c>
    </row>
    <row r="400" spans="1:22" ht="19.8" customHeight="1" x14ac:dyDescent="0.6">
      <c r="B400" s="268"/>
      <c r="C400" s="255" t="s">
        <v>235</v>
      </c>
      <c r="D400" s="303"/>
      <c r="E400" s="276"/>
      <c r="G400" s="290"/>
      <c r="I400" s="290"/>
      <c r="J400" s="298"/>
      <c r="K400" s="316"/>
      <c r="L400" s="271"/>
      <c r="M400" s="276"/>
      <c r="N400" s="290"/>
      <c r="O400" s="276"/>
      <c r="P400" s="290"/>
      <c r="Q400" s="276"/>
      <c r="R400" s="290"/>
      <c r="S400" s="276"/>
      <c r="T400" s="290"/>
      <c r="U400" s="276">
        <v>0</v>
      </c>
      <c r="V400" s="290">
        <v>0</v>
      </c>
    </row>
    <row r="401" spans="2:22" ht="19.8" customHeight="1" x14ac:dyDescent="0.6">
      <c r="B401" s="268">
        <v>10</v>
      </c>
      <c r="C401" s="255" t="s">
        <v>106</v>
      </c>
      <c r="D401" s="303"/>
      <c r="E401" s="276"/>
      <c r="G401" s="290"/>
      <c r="I401" s="290"/>
      <c r="J401" s="298"/>
      <c r="K401" s="316"/>
      <c r="L401" s="271"/>
      <c r="M401" s="276"/>
      <c r="N401" s="290"/>
      <c r="O401" s="276"/>
      <c r="P401" s="290"/>
      <c r="Q401" s="276"/>
      <c r="R401" s="290"/>
      <c r="S401" s="276"/>
      <c r="T401" s="290"/>
      <c r="U401" s="276">
        <v>0</v>
      </c>
      <c r="V401" s="290">
        <v>0</v>
      </c>
    </row>
    <row r="402" spans="2:22" ht="19.8" customHeight="1" x14ac:dyDescent="0.6">
      <c r="B402" s="268"/>
      <c r="C402" s="261" t="s">
        <v>397</v>
      </c>
      <c r="D402" s="303" t="s">
        <v>612</v>
      </c>
      <c r="E402" s="276" t="s">
        <v>57</v>
      </c>
      <c r="G402" s="290"/>
      <c r="I402" s="290">
        <v>810.21</v>
      </c>
      <c r="J402" s="298">
        <f t="shared" ref="J402:J410" si="196">IF(G402="-","-",IF(D402&gt;0,ROUNDDOWN(I402*D402,0),""))</f>
        <v>891231</v>
      </c>
      <c r="K402" s="316">
        <v>891231</v>
      </c>
      <c r="L402" s="271"/>
      <c r="M402" s="276"/>
      <c r="N402" s="290">
        <f t="shared" ref="N402:N410" si="197">ROUNDDOWN(M402*$I402,0)</f>
        <v>0</v>
      </c>
      <c r="O402" s="276"/>
      <c r="P402" s="290">
        <f t="shared" ref="P402:P410" si="198">ROUNDDOWN(O402*$I402,0)</f>
        <v>0</v>
      </c>
      <c r="Q402" s="276"/>
      <c r="R402" s="290"/>
      <c r="S402" s="276"/>
      <c r="T402" s="290"/>
      <c r="U402" s="276">
        <v>0</v>
      </c>
      <c r="V402" s="290">
        <v>0</v>
      </c>
    </row>
    <row r="403" spans="2:22" ht="19.8" customHeight="1" x14ac:dyDescent="0.6">
      <c r="B403" s="268"/>
      <c r="C403" s="261" t="s">
        <v>611</v>
      </c>
      <c r="D403" s="303" t="s">
        <v>544</v>
      </c>
      <c r="E403" s="276" t="s">
        <v>58</v>
      </c>
      <c r="G403" s="290"/>
      <c r="I403" s="290">
        <v>4483.2299999999996</v>
      </c>
      <c r="J403" s="298">
        <f t="shared" si="196"/>
        <v>121047</v>
      </c>
      <c r="K403" s="316">
        <v>121047</v>
      </c>
      <c r="L403" s="271"/>
      <c r="M403" s="276"/>
      <c r="N403" s="290">
        <f t="shared" si="197"/>
        <v>0</v>
      </c>
      <c r="O403" s="276"/>
      <c r="P403" s="290">
        <f t="shared" si="198"/>
        <v>0</v>
      </c>
      <c r="Q403" s="276"/>
      <c r="R403" s="290"/>
      <c r="S403" s="276"/>
      <c r="T403" s="290"/>
      <c r="U403" s="276">
        <v>0</v>
      </c>
      <c r="V403" s="290">
        <v>0</v>
      </c>
    </row>
    <row r="404" spans="2:22" ht="19.8" customHeight="1" x14ac:dyDescent="0.6">
      <c r="B404" s="268">
        <v>11</v>
      </c>
      <c r="C404" s="255" t="s">
        <v>516</v>
      </c>
      <c r="D404" s="303" t="s">
        <v>410</v>
      </c>
      <c r="E404" s="276" t="s">
        <v>73</v>
      </c>
      <c r="G404" s="290"/>
      <c r="I404" s="290">
        <v>644063.1</v>
      </c>
      <c r="J404" s="298">
        <f t="shared" si="196"/>
        <v>1288126</v>
      </c>
      <c r="K404" s="316">
        <v>1288126</v>
      </c>
      <c r="L404" s="271"/>
      <c r="M404" s="276"/>
      <c r="N404" s="290">
        <f t="shared" si="197"/>
        <v>0</v>
      </c>
      <c r="O404" s="276"/>
      <c r="P404" s="290">
        <f t="shared" si="198"/>
        <v>0</v>
      </c>
      <c r="Q404" s="276"/>
      <c r="R404" s="290"/>
      <c r="S404" s="276"/>
      <c r="T404" s="290"/>
      <c r="U404" s="276">
        <v>0</v>
      </c>
      <c r="V404" s="290">
        <v>0</v>
      </c>
    </row>
    <row r="405" spans="2:22" ht="19.8" customHeight="1" x14ac:dyDescent="0.6">
      <c r="B405" s="268">
        <v>12</v>
      </c>
      <c r="C405" s="255" t="s">
        <v>247</v>
      </c>
      <c r="D405" s="303" t="s">
        <v>613</v>
      </c>
      <c r="E405" s="276" t="s">
        <v>55</v>
      </c>
      <c r="G405" s="290"/>
      <c r="I405" s="290">
        <v>324.95</v>
      </c>
      <c r="J405" s="298">
        <f t="shared" si="196"/>
        <v>640151</v>
      </c>
      <c r="K405" s="316">
        <v>640151</v>
      </c>
      <c r="L405" s="271"/>
      <c r="M405" s="276"/>
      <c r="N405" s="290">
        <f t="shared" si="197"/>
        <v>0</v>
      </c>
      <c r="O405" s="276"/>
      <c r="P405" s="290">
        <f t="shared" si="198"/>
        <v>0</v>
      </c>
      <c r="Q405" s="276"/>
      <c r="R405" s="290"/>
      <c r="S405" s="276"/>
      <c r="T405" s="290"/>
      <c r="U405" s="276">
        <v>0</v>
      </c>
      <c r="V405" s="290">
        <v>0</v>
      </c>
    </row>
    <row r="406" spans="2:22" ht="19.8" customHeight="1" x14ac:dyDescent="0.6">
      <c r="B406" s="268">
        <v>16</v>
      </c>
      <c r="C406" s="255" t="s">
        <v>614</v>
      </c>
      <c r="D406" s="303" t="s">
        <v>839</v>
      </c>
      <c r="E406" s="276" t="s">
        <v>55</v>
      </c>
      <c r="G406" s="290"/>
      <c r="I406" s="290">
        <v>303.06</v>
      </c>
      <c r="J406" s="298">
        <f t="shared" si="196"/>
        <v>197595</v>
      </c>
      <c r="K406" s="316">
        <v>197595</v>
      </c>
      <c r="L406" s="271"/>
      <c r="M406" s="276"/>
      <c r="N406" s="290">
        <f t="shared" si="197"/>
        <v>0</v>
      </c>
      <c r="O406" s="276"/>
      <c r="P406" s="290">
        <f t="shared" si="198"/>
        <v>0</v>
      </c>
      <c r="Q406" s="276"/>
      <c r="R406" s="290"/>
      <c r="S406" s="276"/>
      <c r="T406" s="290"/>
      <c r="U406" s="276">
        <v>0</v>
      </c>
      <c r="V406" s="290">
        <v>0</v>
      </c>
    </row>
    <row r="407" spans="2:22" ht="19.8" customHeight="1" x14ac:dyDescent="0.6">
      <c r="B407" s="268">
        <v>18</v>
      </c>
      <c r="C407" s="255" t="s">
        <v>252</v>
      </c>
      <c r="D407" s="303" t="s">
        <v>615</v>
      </c>
      <c r="E407" s="276" t="s">
        <v>57</v>
      </c>
      <c r="G407" s="290"/>
      <c r="I407" s="290">
        <v>4192.8</v>
      </c>
      <c r="J407" s="298">
        <f t="shared" si="196"/>
        <v>750511</v>
      </c>
      <c r="K407" s="316">
        <v>750511</v>
      </c>
      <c r="L407" s="271"/>
      <c r="M407" s="276"/>
      <c r="N407" s="290">
        <f t="shared" si="197"/>
        <v>0</v>
      </c>
      <c r="O407" s="276"/>
      <c r="P407" s="290">
        <f t="shared" si="198"/>
        <v>0</v>
      </c>
      <c r="Q407" s="276"/>
      <c r="R407" s="290"/>
      <c r="S407" s="276"/>
      <c r="T407" s="290"/>
      <c r="U407" s="276">
        <v>0</v>
      </c>
      <c r="V407" s="290">
        <v>0</v>
      </c>
    </row>
    <row r="408" spans="2:22" ht="19.8" customHeight="1" x14ac:dyDescent="0.6">
      <c r="B408" s="268">
        <v>19</v>
      </c>
      <c r="C408" s="255" t="s">
        <v>616</v>
      </c>
      <c r="D408" s="303" t="s">
        <v>617</v>
      </c>
      <c r="E408" s="276" t="s">
        <v>57</v>
      </c>
      <c r="G408" s="290"/>
      <c r="I408" s="290">
        <v>745.67</v>
      </c>
      <c r="J408" s="298">
        <f t="shared" si="196"/>
        <v>973845</v>
      </c>
      <c r="K408" s="316">
        <v>973845</v>
      </c>
      <c r="L408" s="271"/>
      <c r="M408" s="276"/>
      <c r="N408" s="290">
        <f t="shared" si="197"/>
        <v>0</v>
      </c>
      <c r="O408" s="276"/>
      <c r="P408" s="290">
        <f t="shared" si="198"/>
        <v>0</v>
      </c>
      <c r="Q408" s="276"/>
      <c r="R408" s="290"/>
      <c r="S408" s="276"/>
      <c r="T408" s="290"/>
      <c r="U408" s="276">
        <v>0</v>
      </c>
      <c r="V408" s="290">
        <v>0</v>
      </c>
    </row>
    <row r="409" spans="2:22" ht="19.8" customHeight="1" x14ac:dyDescent="0.6">
      <c r="B409" s="268">
        <v>20</v>
      </c>
      <c r="C409" s="255" t="s">
        <v>254</v>
      </c>
      <c r="D409" s="303" t="s">
        <v>618</v>
      </c>
      <c r="E409" s="276" t="s">
        <v>57</v>
      </c>
      <c r="G409" s="290"/>
      <c r="I409" s="290">
        <v>433.34</v>
      </c>
      <c r="J409" s="298">
        <f t="shared" si="196"/>
        <v>152102</v>
      </c>
      <c r="K409" s="316">
        <v>152102</v>
      </c>
      <c r="L409" s="271"/>
      <c r="M409" s="276"/>
      <c r="N409" s="290">
        <f t="shared" si="197"/>
        <v>0</v>
      </c>
      <c r="O409" s="276"/>
      <c r="P409" s="290">
        <f t="shared" si="198"/>
        <v>0</v>
      </c>
      <c r="Q409" s="276"/>
      <c r="R409" s="290"/>
      <c r="S409" s="276"/>
      <c r="T409" s="290"/>
      <c r="U409" s="276">
        <v>0</v>
      </c>
      <c r="V409" s="290">
        <v>0</v>
      </c>
    </row>
    <row r="410" spans="2:22" ht="19.8" customHeight="1" x14ac:dyDescent="0.6">
      <c r="B410" s="268">
        <v>21</v>
      </c>
      <c r="C410" s="255" t="s">
        <v>620</v>
      </c>
      <c r="D410" s="303" t="s">
        <v>619</v>
      </c>
      <c r="E410" s="276" t="s">
        <v>54</v>
      </c>
      <c r="G410" s="290"/>
      <c r="I410" s="290">
        <v>368.8</v>
      </c>
      <c r="J410" s="298">
        <f t="shared" si="196"/>
        <v>468744</v>
      </c>
      <c r="K410" s="316">
        <v>468744</v>
      </c>
      <c r="L410" s="271"/>
      <c r="M410" s="276"/>
      <c r="N410" s="290">
        <f t="shared" si="197"/>
        <v>0</v>
      </c>
      <c r="O410" s="276"/>
      <c r="P410" s="290">
        <f t="shared" si="198"/>
        <v>0</v>
      </c>
      <c r="Q410" s="276"/>
      <c r="R410" s="290"/>
      <c r="S410" s="276"/>
      <c r="T410" s="290"/>
      <c r="U410" s="276">
        <v>0</v>
      </c>
      <c r="V410" s="290">
        <v>0</v>
      </c>
    </row>
    <row r="411" spans="2:22" ht="19.8" customHeight="1" x14ac:dyDescent="0.6">
      <c r="B411" s="268"/>
      <c r="C411" s="255" t="s">
        <v>226</v>
      </c>
      <c r="D411" s="303"/>
      <c r="E411" s="276"/>
      <c r="G411" s="290"/>
      <c r="I411" s="290"/>
      <c r="J411" s="298"/>
      <c r="K411" s="316"/>
      <c r="L411" s="271"/>
      <c r="M411" s="276"/>
      <c r="N411" s="290"/>
      <c r="O411" s="276"/>
      <c r="P411" s="290"/>
      <c r="Q411" s="276"/>
      <c r="R411" s="290"/>
      <c r="S411" s="276"/>
      <c r="T411" s="290"/>
      <c r="U411" s="276">
        <v>0</v>
      </c>
      <c r="V411" s="290">
        <v>0</v>
      </c>
    </row>
    <row r="412" spans="2:22" ht="19.8" customHeight="1" x14ac:dyDescent="0.6">
      <c r="B412" s="268">
        <v>22</v>
      </c>
      <c r="C412" s="255" t="s">
        <v>256</v>
      </c>
      <c r="D412" s="303" t="s">
        <v>619</v>
      </c>
      <c r="E412" s="276" t="s">
        <v>54</v>
      </c>
      <c r="G412" s="290"/>
      <c r="I412" s="290">
        <v>1286.19</v>
      </c>
      <c r="J412" s="298">
        <f t="shared" ref="J412" si="199">IF(G412="-","-",IF(D412&gt;0,ROUNDDOWN(I412*D412,0),""))</f>
        <v>1634747</v>
      </c>
      <c r="K412" s="316">
        <v>1634747</v>
      </c>
      <c r="L412" s="271"/>
      <c r="M412" s="276"/>
      <c r="N412" s="290">
        <f t="shared" ref="N412" si="200">ROUNDDOWN(M412*$I412,0)</f>
        <v>0</v>
      </c>
      <c r="O412" s="276"/>
      <c r="P412" s="290">
        <f t="shared" ref="P412" si="201">ROUNDDOWN(O412*$I412,0)</f>
        <v>0</v>
      </c>
      <c r="Q412" s="276"/>
      <c r="R412" s="290"/>
      <c r="S412" s="276"/>
      <c r="T412" s="290"/>
      <c r="U412" s="276">
        <v>0</v>
      </c>
      <c r="V412" s="290">
        <v>0</v>
      </c>
    </row>
    <row r="413" spans="2:22" ht="19.8" customHeight="1" x14ac:dyDescent="0.6">
      <c r="B413" s="268">
        <v>23</v>
      </c>
      <c r="C413" s="255" t="s">
        <v>59</v>
      </c>
      <c r="D413" s="303"/>
      <c r="E413" s="276"/>
      <c r="G413" s="290"/>
      <c r="I413" s="290"/>
      <c r="J413" s="298"/>
      <c r="K413" s="316"/>
      <c r="L413" s="271"/>
      <c r="M413" s="276"/>
      <c r="N413" s="290"/>
      <c r="O413" s="276"/>
      <c r="P413" s="290"/>
      <c r="Q413" s="276"/>
      <c r="R413" s="290"/>
      <c r="S413" s="276"/>
      <c r="T413" s="290"/>
      <c r="U413" s="276">
        <v>0</v>
      </c>
      <c r="V413" s="290">
        <v>0</v>
      </c>
    </row>
    <row r="414" spans="2:22" ht="19.8" customHeight="1" x14ac:dyDescent="0.6">
      <c r="B414" s="268"/>
      <c r="C414" s="259" t="s">
        <v>621</v>
      </c>
      <c r="D414" s="303"/>
      <c r="E414" s="276"/>
      <c r="G414" s="290"/>
      <c r="I414" s="290"/>
      <c r="J414" s="298"/>
      <c r="K414" s="316"/>
      <c r="L414" s="271"/>
      <c r="M414" s="276"/>
      <c r="N414" s="290"/>
      <c r="O414" s="276"/>
      <c r="P414" s="290"/>
      <c r="Q414" s="276"/>
      <c r="R414" s="290"/>
      <c r="S414" s="276"/>
      <c r="T414" s="290"/>
      <c r="U414" s="276">
        <v>0</v>
      </c>
      <c r="V414" s="290">
        <v>0</v>
      </c>
    </row>
    <row r="415" spans="2:22" ht="19.8" customHeight="1" x14ac:dyDescent="0.6">
      <c r="B415" s="268">
        <v>24</v>
      </c>
      <c r="C415" s="255" t="s">
        <v>259</v>
      </c>
      <c r="D415" s="303" t="s">
        <v>637</v>
      </c>
      <c r="E415" s="276" t="s">
        <v>54</v>
      </c>
      <c r="G415" s="290"/>
      <c r="I415" s="290">
        <v>108.36</v>
      </c>
      <c r="J415" s="298">
        <f t="shared" ref="J415:J427" si="202">IF(G415="-","-",IF(D415&gt;0,ROUNDDOWN(I415*D415,0),""))</f>
        <v>49303</v>
      </c>
      <c r="K415" s="316">
        <v>49303</v>
      </c>
      <c r="L415" s="271"/>
      <c r="M415" s="276"/>
      <c r="N415" s="290">
        <f t="shared" ref="N415:N427" si="203">ROUNDDOWN(M415*$I415,0)</f>
        <v>0</v>
      </c>
      <c r="O415" s="276"/>
      <c r="P415" s="290">
        <f t="shared" ref="P415:P427" si="204">ROUNDDOWN(O415*$I415,0)</f>
        <v>0</v>
      </c>
      <c r="Q415" s="276"/>
      <c r="R415" s="290"/>
      <c r="S415" s="276"/>
      <c r="T415" s="290"/>
      <c r="U415" s="276">
        <v>0</v>
      </c>
      <c r="V415" s="290">
        <v>0</v>
      </c>
    </row>
    <row r="416" spans="2:22" ht="19.8" customHeight="1" x14ac:dyDescent="0.6">
      <c r="B416" s="268">
        <v>25</v>
      </c>
      <c r="C416" s="255" t="s">
        <v>243</v>
      </c>
      <c r="D416" s="303" t="s">
        <v>638</v>
      </c>
      <c r="E416" s="276" t="s">
        <v>55</v>
      </c>
      <c r="G416" s="290"/>
      <c r="I416" s="290">
        <v>617.54</v>
      </c>
      <c r="J416" s="298">
        <f t="shared" si="202"/>
        <v>24084</v>
      </c>
      <c r="K416" s="316">
        <v>24084</v>
      </c>
      <c r="L416" s="271"/>
      <c r="M416" s="276"/>
      <c r="N416" s="290">
        <f t="shared" si="203"/>
        <v>0</v>
      </c>
      <c r="O416" s="276"/>
      <c r="P416" s="290">
        <f t="shared" si="204"/>
        <v>0</v>
      </c>
      <c r="Q416" s="276"/>
      <c r="R416" s="290"/>
      <c r="S416" s="276"/>
      <c r="T416" s="290"/>
      <c r="U416" s="276">
        <v>0</v>
      </c>
      <c r="V416" s="290">
        <v>0</v>
      </c>
    </row>
    <row r="417" spans="2:22" ht="19.8" customHeight="1" x14ac:dyDescent="0.6">
      <c r="B417" s="268">
        <v>26</v>
      </c>
      <c r="C417" s="255" t="s">
        <v>622</v>
      </c>
      <c r="D417" s="303" t="s">
        <v>639</v>
      </c>
      <c r="E417" s="276" t="s">
        <v>54</v>
      </c>
      <c r="G417" s="290"/>
      <c r="I417" s="290">
        <v>447.01</v>
      </c>
      <c r="J417" s="298">
        <f t="shared" si="202"/>
        <v>173439</v>
      </c>
      <c r="K417" s="316">
        <v>173439</v>
      </c>
      <c r="L417" s="271"/>
      <c r="M417" s="276"/>
      <c r="N417" s="290">
        <f t="shared" si="203"/>
        <v>0</v>
      </c>
      <c r="O417" s="276"/>
      <c r="P417" s="290">
        <f t="shared" si="204"/>
        <v>0</v>
      </c>
      <c r="Q417" s="276"/>
      <c r="R417" s="290"/>
      <c r="S417" s="276"/>
      <c r="T417" s="290"/>
      <c r="U417" s="276">
        <v>0</v>
      </c>
      <c r="V417" s="290">
        <v>0</v>
      </c>
    </row>
    <row r="418" spans="2:22" ht="19.8" customHeight="1" x14ac:dyDescent="0.6">
      <c r="B418" s="268">
        <v>27</v>
      </c>
      <c r="C418" s="255" t="s">
        <v>623</v>
      </c>
      <c r="D418" s="303" t="s">
        <v>640</v>
      </c>
      <c r="E418" s="276" t="s">
        <v>57</v>
      </c>
      <c r="G418" s="290"/>
      <c r="I418" s="290">
        <v>277.14</v>
      </c>
      <c r="J418" s="298">
        <f t="shared" si="202"/>
        <v>1197</v>
      </c>
      <c r="K418" s="316">
        <v>1197</v>
      </c>
      <c r="L418" s="271"/>
      <c r="M418" s="276"/>
      <c r="N418" s="290">
        <f t="shared" si="203"/>
        <v>0</v>
      </c>
      <c r="O418" s="276"/>
      <c r="P418" s="290">
        <f t="shared" si="204"/>
        <v>0</v>
      </c>
      <c r="Q418" s="276"/>
      <c r="R418" s="290"/>
      <c r="S418" s="276"/>
      <c r="T418" s="290"/>
      <c r="U418" s="276">
        <v>0</v>
      </c>
      <c r="V418" s="290">
        <v>0</v>
      </c>
    </row>
    <row r="419" spans="2:22" ht="19.8" customHeight="1" x14ac:dyDescent="0.6">
      <c r="B419" s="268">
        <v>28</v>
      </c>
      <c r="C419" s="255" t="s">
        <v>624</v>
      </c>
      <c r="D419" s="303" t="s">
        <v>641</v>
      </c>
      <c r="E419" s="276" t="s">
        <v>57</v>
      </c>
      <c r="G419" s="290"/>
      <c r="I419" s="290">
        <v>181.83</v>
      </c>
      <c r="J419" s="298">
        <f t="shared" si="202"/>
        <v>6676</v>
      </c>
      <c r="K419" s="316">
        <v>6676</v>
      </c>
      <c r="L419" s="271"/>
      <c r="M419" s="276"/>
      <c r="N419" s="290">
        <f t="shared" si="203"/>
        <v>0</v>
      </c>
      <c r="O419" s="276"/>
      <c r="P419" s="290">
        <f t="shared" si="204"/>
        <v>0</v>
      </c>
      <c r="Q419" s="276"/>
      <c r="R419" s="290"/>
      <c r="S419" s="276"/>
      <c r="T419" s="290"/>
      <c r="U419" s="276">
        <v>0</v>
      </c>
      <c r="V419" s="290">
        <v>0</v>
      </c>
    </row>
    <row r="420" spans="2:22" ht="19.8" customHeight="1" x14ac:dyDescent="0.6">
      <c r="B420" s="268">
        <v>29</v>
      </c>
      <c r="C420" s="255" t="s">
        <v>625</v>
      </c>
      <c r="D420" s="303" t="s">
        <v>642</v>
      </c>
      <c r="E420" s="276" t="s">
        <v>57</v>
      </c>
      <c r="G420" s="290"/>
      <c r="I420" s="290">
        <v>63.47</v>
      </c>
      <c r="J420" s="298">
        <f t="shared" si="202"/>
        <v>12389</v>
      </c>
      <c r="K420" s="316">
        <v>12389</v>
      </c>
      <c r="L420" s="271"/>
      <c r="M420" s="276"/>
      <c r="N420" s="290">
        <f t="shared" si="203"/>
        <v>0</v>
      </c>
      <c r="O420" s="276"/>
      <c r="P420" s="290">
        <f t="shared" si="204"/>
        <v>0</v>
      </c>
      <c r="Q420" s="276"/>
      <c r="R420" s="290"/>
      <c r="S420" s="276"/>
      <c r="T420" s="290"/>
      <c r="U420" s="276">
        <v>0</v>
      </c>
      <c r="V420" s="290">
        <v>0</v>
      </c>
    </row>
    <row r="421" spans="2:22" ht="19.8" customHeight="1" x14ac:dyDescent="0.6">
      <c r="B421" s="268">
        <v>30</v>
      </c>
      <c r="C421" s="255" t="s">
        <v>630</v>
      </c>
      <c r="D421" s="303" t="s">
        <v>636</v>
      </c>
      <c r="E421" s="276" t="s">
        <v>54</v>
      </c>
      <c r="G421" s="290"/>
      <c r="I421" s="290">
        <v>16.96</v>
      </c>
      <c r="J421" s="298">
        <f t="shared" si="202"/>
        <v>167106</v>
      </c>
      <c r="K421" s="316">
        <v>167106</v>
      </c>
      <c r="L421" s="271"/>
      <c r="M421" s="276"/>
      <c r="N421" s="290">
        <f t="shared" si="203"/>
        <v>0</v>
      </c>
      <c r="O421" s="276"/>
      <c r="P421" s="290">
        <f t="shared" si="204"/>
        <v>0</v>
      </c>
      <c r="Q421" s="276"/>
      <c r="R421" s="290"/>
      <c r="S421" s="276"/>
      <c r="T421" s="290"/>
      <c r="U421" s="276">
        <v>0</v>
      </c>
      <c r="V421" s="290">
        <v>0</v>
      </c>
    </row>
    <row r="422" spans="2:22" ht="19.8" customHeight="1" x14ac:dyDescent="0.6">
      <c r="B422" s="268">
        <v>31</v>
      </c>
      <c r="C422" s="255" t="s">
        <v>631</v>
      </c>
      <c r="D422" s="303" t="s">
        <v>636</v>
      </c>
      <c r="E422" s="276" t="s">
        <v>54</v>
      </c>
      <c r="G422" s="290"/>
      <c r="I422" s="290">
        <v>293.86</v>
      </c>
      <c r="J422" s="298">
        <f t="shared" si="202"/>
        <v>2895402</v>
      </c>
      <c r="K422" s="316">
        <v>2895402</v>
      </c>
      <c r="L422" s="271"/>
      <c r="M422" s="276"/>
      <c r="N422" s="290">
        <f t="shared" si="203"/>
        <v>0</v>
      </c>
      <c r="O422" s="276"/>
      <c r="P422" s="290">
        <f t="shared" si="204"/>
        <v>0</v>
      </c>
      <c r="Q422" s="276"/>
      <c r="R422" s="290"/>
      <c r="S422" s="276"/>
      <c r="T422" s="290"/>
      <c r="U422" s="276">
        <v>0</v>
      </c>
      <c r="V422" s="290">
        <v>0</v>
      </c>
    </row>
    <row r="423" spans="2:22" ht="19.8" customHeight="1" x14ac:dyDescent="0.6">
      <c r="B423" s="268">
        <v>32</v>
      </c>
      <c r="C423" s="255" t="s">
        <v>632</v>
      </c>
      <c r="D423" s="303" t="s">
        <v>635</v>
      </c>
      <c r="E423" s="276" t="s">
        <v>54</v>
      </c>
      <c r="G423" s="290"/>
      <c r="I423" s="290">
        <v>575.12</v>
      </c>
      <c r="J423" s="298">
        <f t="shared" si="202"/>
        <v>1155416</v>
      </c>
      <c r="K423" s="316">
        <v>1155416</v>
      </c>
      <c r="L423" s="271"/>
      <c r="M423" s="276"/>
      <c r="N423" s="290">
        <f t="shared" si="203"/>
        <v>0</v>
      </c>
      <c r="O423" s="276"/>
      <c r="P423" s="290">
        <f t="shared" si="204"/>
        <v>0</v>
      </c>
      <c r="Q423" s="276"/>
      <c r="R423" s="290"/>
      <c r="S423" s="276"/>
      <c r="T423" s="290"/>
      <c r="U423" s="276">
        <v>0</v>
      </c>
      <c r="V423" s="290">
        <v>0</v>
      </c>
    </row>
    <row r="424" spans="2:22" ht="19.8" customHeight="1" x14ac:dyDescent="0.6">
      <c r="B424" s="268">
        <v>33</v>
      </c>
      <c r="C424" s="255" t="s">
        <v>626</v>
      </c>
      <c r="D424" s="303" t="s">
        <v>635</v>
      </c>
      <c r="E424" s="276" t="s">
        <v>54</v>
      </c>
      <c r="G424" s="290"/>
      <c r="I424" s="290">
        <v>16.96</v>
      </c>
      <c r="J424" s="298">
        <f t="shared" si="202"/>
        <v>34072</v>
      </c>
      <c r="K424" s="316">
        <v>34072</v>
      </c>
      <c r="L424" s="271"/>
      <c r="M424" s="276"/>
      <c r="N424" s="290">
        <f t="shared" si="203"/>
        <v>0</v>
      </c>
      <c r="O424" s="276"/>
      <c r="P424" s="290">
        <f t="shared" si="204"/>
        <v>0</v>
      </c>
      <c r="Q424" s="276"/>
      <c r="R424" s="290"/>
      <c r="S424" s="276"/>
      <c r="T424" s="290"/>
      <c r="U424" s="276">
        <v>0</v>
      </c>
      <c r="V424" s="290">
        <v>0</v>
      </c>
    </row>
    <row r="425" spans="2:22" ht="19.8" customHeight="1" x14ac:dyDescent="0.6">
      <c r="B425" s="268">
        <v>34</v>
      </c>
      <c r="C425" s="255" t="s">
        <v>627</v>
      </c>
      <c r="D425" s="303" t="s">
        <v>635</v>
      </c>
      <c r="E425" s="276" t="s">
        <v>54</v>
      </c>
      <c r="G425" s="290"/>
      <c r="I425" s="290">
        <v>293.86</v>
      </c>
      <c r="J425" s="298">
        <f t="shared" si="202"/>
        <v>590364</v>
      </c>
      <c r="K425" s="316">
        <v>590364</v>
      </c>
      <c r="L425" s="271"/>
      <c r="M425" s="276"/>
      <c r="N425" s="290">
        <f t="shared" si="203"/>
        <v>0</v>
      </c>
      <c r="O425" s="276"/>
      <c r="P425" s="290">
        <f t="shared" si="204"/>
        <v>0</v>
      </c>
      <c r="Q425" s="276"/>
      <c r="R425" s="290"/>
      <c r="S425" s="276"/>
      <c r="T425" s="290"/>
      <c r="U425" s="276">
        <v>0</v>
      </c>
      <c r="V425" s="290">
        <v>0</v>
      </c>
    </row>
    <row r="426" spans="2:22" ht="19.8" customHeight="1" x14ac:dyDescent="0.6">
      <c r="B426" s="268">
        <v>35</v>
      </c>
      <c r="C426" s="255" t="s">
        <v>628</v>
      </c>
      <c r="D426" s="303" t="s">
        <v>634</v>
      </c>
      <c r="E426" s="276" t="s">
        <v>57</v>
      </c>
      <c r="G426" s="290"/>
      <c r="I426" s="290">
        <v>6327.23</v>
      </c>
      <c r="J426" s="298">
        <f t="shared" si="202"/>
        <v>1233809</v>
      </c>
      <c r="K426" s="316">
        <v>1233809</v>
      </c>
      <c r="L426" s="271"/>
      <c r="M426" s="276"/>
      <c r="N426" s="290">
        <f t="shared" si="203"/>
        <v>0</v>
      </c>
      <c r="O426" s="276"/>
      <c r="P426" s="290">
        <f t="shared" si="204"/>
        <v>0</v>
      </c>
      <c r="Q426" s="276"/>
      <c r="R426" s="290"/>
      <c r="S426" s="276"/>
      <c r="T426" s="290"/>
      <c r="U426" s="276">
        <v>0</v>
      </c>
      <c r="V426" s="290">
        <v>0</v>
      </c>
    </row>
    <row r="427" spans="2:22" ht="19.8" customHeight="1" x14ac:dyDescent="0.6">
      <c r="B427" s="268">
        <v>36</v>
      </c>
      <c r="C427" s="255" t="s">
        <v>629</v>
      </c>
      <c r="D427" s="303" t="s">
        <v>549</v>
      </c>
      <c r="E427" s="276" t="s">
        <v>58</v>
      </c>
      <c r="G427" s="290"/>
      <c r="I427" s="290">
        <v>69211.08</v>
      </c>
      <c r="J427" s="298">
        <f t="shared" si="202"/>
        <v>1522643</v>
      </c>
      <c r="K427" s="316">
        <v>1522643</v>
      </c>
      <c r="L427" s="271"/>
      <c r="M427" s="276"/>
      <c r="N427" s="290">
        <f t="shared" si="203"/>
        <v>0</v>
      </c>
      <c r="O427" s="276"/>
      <c r="P427" s="290">
        <f t="shared" si="204"/>
        <v>0</v>
      </c>
      <c r="Q427" s="276"/>
      <c r="R427" s="290"/>
      <c r="S427" s="276"/>
      <c r="T427" s="290"/>
      <c r="U427" s="276">
        <v>0</v>
      </c>
      <c r="V427" s="290">
        <v>0</v>
      </c>
    </row>
    <row r="428" spans="2:22" ht="19.8" customHeight="1" x14ac:dyDescent="0.6">
      <c r="B428" s="268"/>
      <c r="C428" s="255" t="s">
        <v>231</v>
      </c>
      <c r="D428" s="303"/>
      <c r="E428" s="276"/>
      <c r="G428" s="290"/>
      <c r="I428" s="290"/>
      <c r="J428" s="298"/>
      <c r="K428" s="316"/>
      <c r="L428" s="271"/>
      <c r="M428" s="276"/>
      <c r="N428" s="290"/>
      <c r="O428" s="276"/>
      <c r="P428" s="290"/>
      <c r="Q428" s="276"/>
      <c r="R428" s="290"/>
      <c r="S428" s="276"/>
      <c r="T428" s="290"/>
      <c r="U428" s="276">
        <v>0</v>
      </c>
      <c r="V428" s="290">
        <v>0</v>
      </c>
    </row>
    <row r="429" spans="2:22" ht="19.8" customHeight="1" x14ac:dyDescent="0.6">
      <c r="B429" s="268">
        <v>37</v>
      </c>
      <c r="C429" s="255" t="s">
        <v>633</v>
      </c>
      <c r="D429" s="303" t="s">
        <v>555</v>
      </c>
      <c r="E429" s="276" t="s">
        <v>57</v>
      </c>
      <c r="G429" s="290"/>
      <c r="I429" s="290">
        <v>3085.95</v>
      </c>
      <c r="J429" s="298">
        <f t="shared" ref="J429" si="205">IF(G429="-","-",IF(D429&gt;0,ROUNDDOWN(I429*D429,0),""))</f>
        <v>43203</v>
      </c>
      <c r="K429" s="316">
        <v>43203</v>
      </c>
      <c r="L429" s="271"/>
      <c r="M429" s="276"/>
      <c r="N429" s="290">
        <f t="shared" ref="N429" si="206">ROUNDDOWN(M429*$I429,0)</f>
        <v>0</v>
      </c>
      <c r="O429" s="276"/>
      <c r="P429" s="290">
        <f t="shared" ref="P429" si="207">ROUNDDOWN(O429*$I429,0)</f>
        <v>0</v>
      </c>
      <c r="Q429" s="276"/>
      <c r="R429" s="290"/>
      <c r="S429" s="276"/>
      <c r="T429" s="290"/>
      <c r="U429" s="276">
        <v>0</v>
      </c>
      <c r="V429" s="290">
        <v>0</v>
      </c>
    </row>
    <row r="430" spans="2:22" ht="19.8" customHeight="1" x14ac:dyDescent="0.6">
      <c r="B430" s="268"/>
      <c r="D430" s="303"/>
      <c r="E430" s="276"/>
      <c r="G430" s="290"/>
      <c r="I430" s="290"/>
      <c r="J430" s="298"/>
      <c r="K430" s="316"/>
      <c r="L430" s="271"/>
      <c r="M430" s="276"/>
      <c r="N430" s="290"/>
      <c r="O430" s="276"/>
      <c r="P430" s="290"/>
      <c r="Q430" s="276"/>
      <c r="R430" s="290"/>
      <c r="S430" s="276"/>
      <c r="T430" s="290"/>
      <c r="U430" s="276">
        <v>0</v>
      </c>
      <c r="V430" s="290">
        <v>0</v>
      </c>
    </row>
    <row r="431" spans="2:22" ht="19.8" customHeight="1" x14ac:dyDescent="0.6">
      <c r="B431" s="826" t="s">
        <v>643</v>
      </c>
      <c r="C431" s="827"/>
      <c r="D431" s="294" t="s">
        <v>644</v>
      </c>
      <c r="E431" s="257" t="s">
        <v>57</v>
      </c>
      <c r="F431" s="296"/>
      <c r="G431" s="293"/>
      <c r="H431" s="297"/>
      <c r="I431" s="293"/>
      <c r="J431" s="299">
        <f>SUM(J389:J430)</f>
        <v>20579504</v>
      </c>
      <c r="K431" s="319">
        <v>20579504</v>
      </c>
      <c r="L431" s="262"/>
      <c r="M431" s="257"/>
      <c r="N431" s="293">
        <f>SUM(N389:N430)</f>
        <v>0</v>
      </c>
      <c r="O431" s="257"/>
      <c r="P431" s="293">
        <f>SUM(P389:P430)</f>
        <v>0</v>
      </c>
      <c r="Q431" s="257"/>
      <c r="R431" s="293">
        <v>0</v>
      </c>
      <c r="S431" s="257"/>
      <c r="T431" s="293">
        <v>0</v>
      </c>
      <c r="U431" s="257">
        <v>0</v>
      </c>
      <c r="V431" s="293">
        <v>3340000</v>
      </c>
    </row>
    <row r="432" spans="2:22" ht="19.8" customHeight="1" x14ac:dyDescent="0.6">
      <c r="B432" s="306" t="s">
        <v>653</v>
      </c>
      <c r="C432" s="255" t="s">
        <v>645</v>
      </c>
      <c r="D432" s="303"/>
      <c r="E432" s="276"/>
      <c r="G432" s="290"/>
      <c r="I432" s="290"/>
      <c r="J432" s="298"/>
      <c r="K432" s="316"/>
      <c r="L432" s="271"/>
      <c r="M432" s="276"/>
      <c r="N432" s="290"/>
      <c r="O432" s="276"/>
      <c r="P432" s="290"/>
      <c r="Q432" s="276"/>
      <c r="R432" s="290"/>
      <c r="S432" s="276"/>
      <c r="T432" s="290"/>
      <c r="U432" s="276">
        <v>0</v>
      </c>
      <c r="V432" s="290">
        <v>0</v>
      </c>
    </row>
    <row r="433" spans="2:22" ht="19.8" customHeight="1" x14ac:dyDescent="0.6">
      <c r="B433" s="268"/>
      <c r="C433" s="255" t="s">
        <v>646</v>
      </c>
      <c r="D433" s="303"/>
      <c r="E433" s="276"/>
      <c r="G433" s="290"/>
      <c r="I433" s="290"/>
      <c r="J433" s="298"/>
      <c r="K433" s="316"/>
      <c r="L433" s="271"/>
      <c r="M433" s="276"/>
      <c r="N433" s="290"/>
      <c r="O433" s="276"/>
      <c r="P433" s="290"/>
      <c r="Q433" s="276"/>
      <c r="R433" s="290"/>
      <c r="S433" s="276"/>
      <c r="T433" s="290"/>
      <c r="U433" s="276">
        <v>0</v>
      </c>
      <c r="V433" s="290">
        <v>0</v>
      </c>
    </row>
    <row r="434" spans="2:22" ht="19.8" customHeight="1" x14ac:dyDescent="0.6">
      <c r="B434" s="268"/>
      <c r="C434" s="255" t="s">
        <v>647</v>
      </c>
      <c r="D434" s="303"/>
      <c r="E434" s="276"/>
      <c r="G434" s="290"/>
      <c r="I434" s="290"/>
      <c r="J434" s="298"/>
      <c r="K434" s="316"/>
      <c r="L434" s="271"/>
      <c r="M434" s="276"/>
      <c r="N434" s="290"/>
      <c r="O434" s="276"/>
      <c r="P434" s="290"/>
      <c r="Q434" s="276"/>
      <c r="R434" s="290"/>
      <c r="S434" s="276"/>
      <c r="T434" s="290"/>
      <c r="U434" s="276">
        <v>0</v>
      </c>
      <c r="V434" s="290">
        <v>0</v>
      </c>
    </row>
    <row r="435" spans="2:22" ht="19.8" customHeight="1" x14ac:dyDescent="0.6">
      <c r="B435" s="268">
        <v>2</v>
      </c>
      <c r="C435" s="255" t="s">
        <v>246</v>
      </c>
      <c r="D435" s="303" t="s">
        <v>656</v>
      </c>
      <c r="E435" s="276" t="s">
        <v>57</v>
      </c>
      <c r="G435" s="290"/>
      <c r="I435" s="290">
        <v>126.78</v>
      </c>
      <c r="J435" s="298">
        <f t="shared" ref="J435:J444" si="208">IF(G435="-","-",IF(D435&gt;0,ROUNDDOWN(I435*D435,0),""))</f>
        <v>52740</v>
      </c>
      <c r="K435" s="316">
        <v>52740</v>
      </c>
      <c r="L435" s="271"/>
      <c r="M435" s="276"/>
      <c r="N435" s="290">
        <f t="shared" ref="N435:N444" si="209">ROUNDDOWN(M435*$I435,0)</f>
        <v>0</v>
      </c>
      <c r="O435" s="276"/>
      <c r="P435" s="290">
        <f t="shared" ref="P435:P444" si="210">ROUNDDOWN(O435*$I435,0)</f>
        <v>0</v>
      </c>
      <c r="Q435" s="276"/>
      <c r="R435" s="290"/>
      <c r="S435" s="276"/>
      <c r="T435" s="290"/>
      <c r="U435" s="276">
        <v>0</v>
      </c>
      <c r="V435" s="290">
        <v>0</v>
      </c>
    </row>
    <row r="436" spans="2:22" ht="19.8" customHeight="1" x14ac:dyDescent="0.6">
      <c r="B436" s="268">
        <v>3</v>
      </c>
      <c r="C436" s="255" t="s">
        <v>195</v>
      </c>
      <c r="D436" s="303" t="s">
        <v>657</v>
      </c>
      <c r="E436" s="276" t="s">
        <v>55</v>
      </c>
      <c r="G436" s="290"/>
      <c r="I436" s="290">
        <v>38.21</v>
      </c>
      <c r="J436" s="298">
        <f t="shared" si="208"/>
        <v>100568</v>
      </c>
      <c r="K436" s="316">
        <v>100568</v>
      </c>
      <c r="L436" s="271"/>
      <c r="M436" s="276"/>
      <c r="N436" s="290">
        <f t="shared" si="209"/>
        <v>0</v>
      </c>
      <c r="O436" s="276"/>
      <c r="P436" s="290">
        <f t="shared" si="210"/>
        <v>0</v>
      </c>
      <c r="Q436" s="276"/>
      <c r="R436" s="290"/>
      <c r="S436" s="276"/>
      <c r="T436" s="290"/>
      <c r="U436" s="276">
        <v>0</v>
      </c>
      <c r="V436" s="290">
        <v>0</v>
      </c>
    </row>
    <row r="437" spans="2:22" ht="19.8" customHeight="1" x14ac:dyDescent="0.6">
      <c r="B437" s="268">
        <v>4</v>
      </c>
      <c r="C437" s="255" t="s">
        <v>229</v>
      </c>
      <c r="D437" s="303" t="s">
        <v>658</v>
      </c>
      <c r="E437" s="276" t="s">
        <v>57</v>
      </c>
      <c r="G437" s="290"/>
      <c r="I437" s="290">
        <v>16735.45</v>
      </c>
      <c r="J437" s="298">
        <f t="shared" si="208"/>
        <v>6175381</v>
      </c>
      <c r="K437" s="316">
        <v>6175381</v>
      </c>
      <c r="L437" s="271"/>
      <c r="M437" s="276"/>
      <c r="N437" s="290">
        <f t="shared" si="209"/>
        <v>0</v>
      </c>
      <c r="O437" s="276"/>
      <c r="P437" s="290">
        <f t="shared" si="210"/>
        <v>0</v>
      </c>
      <c r="Q437" s="276">
        <v>360</v>
      </c>
      <c r="R437" s="290">
        <v>4810000</v>
      </c>
      <c r="S437" s="276"/>
      <c r="T437" s="290"/>
      <c r="U437" s="276">
        <v>360</v>
      </c>
      <c r="V437" s="290">
        <v>4810000</v>
      </c>
    </row>
    <row r="438" spans="2:22" ht="19.8" customHeight="1" x14ac:dyDescent="0.6">
      <c r="B438" s="268">
        <v>7</v>
      </c>
      <c r="C438" s="255" t="s">
        <v>215</v>
      </c>
      <c r="D438" s="303" t="s">
        <v>659</v>
      </c>
      <c r="E438" s="276" t="s">
        <v>55</v>
      </c>
      <c r="G438" s="290"/>
      <c r="I438" s="290">
        <v>328.91</v>
      </c>
      <c r="J438" s="298">
        <f t="shared" si="208"/>
        <v>492707</v>
      </c>
      <c r="K438" s="316">
        <v>492707</v>
      </c>
      <c r="L438" s="271"/>
      <c r="M438" s="276"/>
      <c r="N438" s="290">
        <f t="shared" si="209"/>
        <v>0</v>
      </c>
      <c r="O438" s="276"/>
      <c r="P438" s="290">
        <f t="shared" si="210"/>
        <v>0</v>
      </c>
      <c r="Q438" s="276"/>
      <c r="R438" s="290"/>
      <c r="S438" s="276"/>
      <c r="T438" s="290"/>
      <c r="U438" s="276">
        <v>0</v>
      </c>
      <c r="V438" s="290">
        <v>0</v>
      </c>
    </row>
    <row r="439" spans="2:22" ht="19.8" customHeight="1" x14ac:dyDescent="0.6">
      <c r="B439" s="268">
        <v>8</v>
      </c>
      <c r="C439" s="255" t="s">
        <v>247</v>
      </c>
      <c r="D439" s="303" t="s">
        <v>660</v>
      </c>
      <c r="E439" s="276" t="s">
        <v>55</v>
      </c>
      <c r="G439" s="290"/>
      <c r="I439" s="290">
        <v>324.95</v>
      </c>
      <c r="J439" s="298">
        <f t="shared" si="208"/>
        <v>198544</v>
      </c>
      <c r="K439" s="316">
        <v>198544</v>
      </c>
      <c r="L439" s="271"/>
      <c r="M439" s="276"/>
      <c r="N439" s="290">
        <f t="shared" si="209"/>
        <v>0</v>
      </c>
      <c r="O439" s="276"/>
      <c r="P439" s="290">
        <f t="shared" si="210"/>
        <v>0</v>
      </c>
      <c r="Q439" s="276"/>
      <c r="R439" s="290"/>
      <c r="S439" s="276"/>
      <c r="T439" s="290"/>
      <c r="U439" s="276">
        <v>0</v>
      </c>
      <c r="V439" s="290">
        <v>0</v>
      </c>
    </row>
    <row r="440" spans="2:22" ht="19.8" customHeight="1" x14ac:dyDescent="0.6">
      <c r="B440" s="268">
        <v>12</v>
      </c>
      <c r="C440" s="255" t="s">
        <v>654</v>
      </c>
      <c r="D440" s="303" t="s">
        <v>661</v>
      </c>
      <c r="E440" s="276" t="s">
        <v>54</v>
      </c>
      <c r="G440" s="290"/>
      <c r="I440" s="290">
        <v>303.06</v>
      </c>
      <c r="J440" s="298">
        <f t="shared" si="208"/>
        <v>131528</v>
      </c>
      <c r="K440" s="316">
        <v>131528</v>
      </c>
      <c r="L440" s="271"/>
      <c r="M440" s="276"/>
      <c r="N440" s="290">
        <f t="shared" si="209"/>
        <v>0</v>
      </c>
      <c r="O440" s="276"/>
      <c r="P440" s="290">
        <f t="shared" si="210"/>
        <v>0</v>
      </c>
      <c r="Q440" s="276"/>
      <c r="R440" s="290"/>
      <c r="S440" s="276"/>
      <c r="T440" s="290"/>
      <c r="U440" s="276">
        <v>0</v>
      </c>
      <c r="V440" s="290">
        <v>0</v>
      </c>
    </row>
    <row r="441" spans="2:22" ht="19.8" customHeight="1" x14ac:dyDescent="0.6">
      <c r="B441" s="268">
        <v>14</v>
      </c>
      <c r="C441" s="255" t="s">
        <v>257</v>
      </c>
      <c r="D441" s="303" t="s">
        <v>662</v>
      </c>
      <c r="E441" s="276" t="s">
        <v>54</v>
      </c>
      <c r="G441" s="290"/>
      <c r="I441" s="290">
        <v>354.97</v>
      </c>
      <c r="J441" s="298">
        <f t="shared" si="208"/>
        <v>33012</v>
      </c>
      <c r="K441" s="316">
        <v>33012</v>
      </c>
      <c r="L441" s="271"/>
      <c r="M441" s="276"/>
      <c r="N441" s="290">
        <f t="shared" si="209"/>
        <v>0</v>
      </c>
      <c r="O441" s="276"/>
      <c r="P441" s="290">
        <f t="shared" si="210"/>
        <v>0</v>
      </c>
      <c r="Q441" s="276"/>
      <c r="R441" s="290"/>
      <c r="S441" s="276"/>
      <c r="T441" s="290"/>
      <c r="U441" s="276">
        <v>0</v>
      </c>
      <c r="V441" s="290">
        <v>0</v>
      </c>
    </row>
    <row r="442" spans="2:22" ht="19.8" customHeight="1" x14ac:dyDescent="0.6">
      <c r="B442" s="268">
        <v>15</v>
      </c>
      <c r="C442" s="255" t="s">
        <v>253</v>
      </c>
      <c r="D442" s="303" t="s">
        <v>663</v>
      </c>
      <c r="E442" s="276" t="s">
        <v>57</v>
      </c>
      <c r="G442" s="290"/>
      <c r="I442" s="290">
        <v>745.67</v>
      </c>
      <c r="J442" s="298">
        <f t="shared" si="208"/>
        <v>299013</v>
      </c>
      <c r="K442" s="316">
        <v>299013</v>
      </c>
      <c r="L442" s="271"/>
      <c r="M442" s="276"/>
      <c r="N442" s="290">
        <f t="shared" si="209"/>
        <v>0</v>
      </c>
      <c r="O442" s="276"/>
      <c r="P442" s="290">
        <f t="shared" si="210"/>
        <v>0</v>
      </c>
      <c r="Q442" s="276"/>
      <c r="R442" s="290"/>
      <c r="S442" s="276"/>
      <c r="T442" s="290"/>
      <c r="U442" s="276">
        <v>0</v>
      </c>
      <c r="V442" s="290">
        <v>0</v>
      </c>
    </row>
    <row r="443" spans="2:22" ht="19.8" customHeight="1" x14ac:dyDescent="0.6">
      <c r="B443" s="268">
        <v>16</v>
      </c>
      <c r="C443" s="255" t="s">
        <v>254</v>
      </c>
      <c r="D443" s="303" t="s">
        <v>663</v>
      </c>
      <c r="E443" s="276" t="s">
        <v>57</v>
      </c>
      <c r="G443" s="290"/>
      <c r="I443" s="290">
        <v>433.34</v>
      </c>
      <c r="J443" s="298">
        <f t="shared" si="208"/>
        <v>173769</v>
      </c>
      <c r="K443" s="316">
        <v>173769</v>
      </c>
      <c r="L443" s="271"/>
      <c r="M443" s="276"/>
      <c r="N443" s="290">
        <f t="shared" si="209"/>
        <v>0</v>
      </c>
      <c r="O443" s="276"/>
      <c r="P443" s="290">
        <f t="shared" si="210"/>
        <v>0</v>
      </c>
      <c r="Q443" s="276"/>
      <c r="R443" s="290"/>
      <c r="S443" s="276"/>
      <c r="T443" s="290"/>
      <c r="U443" s="276">
        <v>0</v>
      </c>
      <c r="V443" s="290">
        <v>0</v>
      </c>
    </row>
    <row r="444" spans="2:22" ht="19.8" customHeight="1" x14ac:dyDescent="0.6">
      <c r="B444" s="268">
        <v>17</v>
      </c>
      <c r="C444" s="255" t="s">
        <v>255</v>
      </c>
      <c r="D444" s="303" t="s">
        <v>664</v>
      </c>
      <c r="E444" s="276" t="s">
        <v>54</v>
      </c>
      <c r="G444" s="290"/>
      <c r="I444" s="290">
        <v>368.8</v>
      </c>
      <c r="J444" s="298">
        <f t="shared" si="208"/>
        <v>199889</v>
      </c>
      <c r="K444" s="316">
        <v>199889</v>
      </c>
      <c r="L444" s="271"/>
      <c r="M444" s="276"/>
      <c r="N444" s="290">
        <f t="shared" si="209"/>
        <v>0</v>
      </c>
      <c r="O444" s="276"/>
      <c r="P444" s="290">
        <f t="shared" si="210"/>
        <v>0</v>
      </c>
      <c r="Q444" s="276"/>
      <c r="R444" s="290"/>
      <c r="S444" s="276"/>
      <c r="T444" s="290"/>
      <c r="U444" s="276">
        <v>0</v>
      </c>
      <c r="V444" s="290">
        <v>0</v>
      </c>
    </row>
    <row r="445" spans="2:22" ht="19.8" customHeight="1" x14ac:dyDescent="0.6">
      <c r="B445" s="268"/>
      <c r="C445" s="255" t="s">
        <v>226</v>
      </c>
      <c r="D445" s="303"/>
      <c r="E445" s="276"/>
      <c r="G445" s="290"/>
      <c r="I445" s="290"/>
      <c r="J445" s="298"/>
      <c r="K445" s="316"/>
      <c r="L445" s="271"/>
      <c r="M445" s="276"/>
      <c r="N445" s="290"/>
      <c r="O445" s="276"/>
      <c r="P445" s="290"/>
      <c r="Q445" s="276"/>
      <c r="R445" s="290"/>
      <c r="S445" s="276"/>
      <c r="T445" s="290"/>
      <c r="U445" s="276">
        <v>0</v>
      </c>
      <c r="V445" s="290">
        <v>0</v>
      </c>
    </row>
    <row r="446" spans="2:22" ht="19.8" customHeight="1" x14ac:dyDescent="0.6">
      <c r="B446" s="268">
        <v>18</v>
      </c>
      <c r="C446" s="255" t="s">
        <v>258</v>
      </c>
      <c r="D446" s="303" t="s">
        <v>665</v>
      </c>
      <c r="E446" s="276" t="s">
        <v>54</v>
      </c>
      <c r="G446" s="290"/>
      <c r="I446" s="290">
        <v>420.66</v>
      </c>
      <c r="J446" s="298">
        <f t="shared" ref="J446:J447" si="211">IF(G446="-","-",IF(D446&gt;0,ROUNDDOWN(I446*D446,0),""))</f>
        <v>30287</v>
      </c>
      <c r="K446" s="316">
        <v>30287</v>
      </c>
      <c r="L446" s="271"/>
      <c r="M446" s="276"/>
      <c r="N446" s="290">
        <f t="shared" ref="N446:N447" si="212">ROUNDDOWN(M446*$I446,0)</f>
        <v>0</v>
      </c>
      <c r="O446" s="276"/>
      <c r="P446" s="290">
        <f t="shared" ref="P446:P447" si="213">ROUNDDOWN(O446*$I446,0)</f>
        <v>0</v>
      </c>
      <c r="Q446" s="276"/>
      <c r="R446" s="290"/>
      <c r="S446" s="276"/>
      <c r="T446" s="290"/>
      <c r="U446" s="276">
        <v>0</v>
      </c>
      <c r="V446" s="290">
        <v>0</v>
      </c>
    </row>
    <row r="447" spans="2:22" ht="19.8" customHeight="1" x14ac:dyDescent="0.6">
      <c r="B447" s="268">
        <v>19</v>
      </c>
      <c r="C447" s="255" t="s">
        <v>256</v>
      </c>
      <c r="D447" s="303" t="s">
        <v>664</v>
      </c>
      <c r="E447" s="276" t="s">
        <v>54</v>
      </c>
      <c r="G447" s="290"/>
      <c r="I447" s="290">
        <v>1286.19</v>
      </c>
      <c r="J447" s="298">
        <f t="shared" si="211"/>
        <v>697114</v>
      </c>
      <c r="K447" s="316">
        <v>697114</v>
      </c>
      <c r="L447" s="271"/>
      <c r="M447" s="276"/>
      <c r="N447" s="290">
        <f t="shared" si="212"/>
        <v>0</v>
      </c>
      <c r="O447" s="276"/>
      <c r="P447" s="290">
        <f t="shared" si="213"/>
        <v>0</v>
      </c>
      <c r="Q447" s="276"/>
      <c r="R447" s="290"/>
      <c r="S447" s="276"/>
      <c r="T447" s="290"/>
      <c r="U447" s="276">
        <v>0</v>
      </c>
      <c r="V447" s="290">
        <v>0</v>
      </c>
    </row>
    <row r="448" spans="2:22" ht="19.8" customHeight="1" x14ac:dyDescent="0.6">
      <c r="B448" s="268">
        <v>20</v>
      </c>
      <c r="C448" s="255" t="s">
        <v>59</v>
      </c>
      <c r="D448" s="303"/>
      <c r="E448" s="276"/>
      <c r="G448" s="290"/>
      <c r="I448" s="290"/>
      <c r="J448" s="298"/>
      <c r="K448" s="316"/>
      <c r="L448" s="271"/>
      <c r="M448" s="276"/>
      <c r="N448" s="290"/>
      <c r="O448" s="276"/>
      <c r="P448" s="290"/>
      <c r="Q448" s="276"/>
      <c r="R448" s="290"/>
      <c r="S448" s="276"/>
      <c r="T448" s="290"/>
      <c r="U448" s="276">
        <v>0</v>
      </c>
      <c r="V448" s="290">
        <v>0</v>
      </c>
    </row>
    <row r="449" spans="2:22" ht="19.8" customHeight="1" x14ac:dyDescent="0.6">
      <c r="B449" s="268"/>
      <c r="C449" s="255" t="s">
        <v>648</v>
      </c>
      <c r="D449" s="303"/>
      <c r="E449" s="276"/>
      <c r="G449" s="290"/>
      <c r="I449" s="290"/>
      <c r="J449" s="298"/>
      <c r="K449" s="316"/>
      <c r="L449" s="271"/>
      <c r="M449" s="276"/>
      <c r="N449" s="290"/>
      <c r="O449" s="276"/>
      <c r="P449" s="290"/>
      <c r="Q449" s="276"/>
      <c r="R449" s="290"/>
      <c r="S449" s="276"/>
      <c r="T449" s="290"/>
      <c r="U449" s="276">
        <v>0</v>
      </c>
      <c r="V449" s="290">
        <v>0</v>
      </c>
    </row>
    <row r="450" spans="2:22" ht="19.8" customHeight="1" x14ac:dyDescent="0.6">
      <c r="B450" s="268">
        <v>21</v>
      </c>
      <c r="C450" s="255" t="s">
        <v>259</v>
      </c>
      <c r="D450" s="303" t="s">
        <v>666</v>
      </c>
      <c r="E450" s="276" t="s">
        <v>54</v>
      </c>
      <c r="G450" s="290"/>
      <c r="I450" s="290">
        <v>108.36</v>
      </c>
      <c r="J450" s="298">
        <f t="shared" ref="J450:J459" si="214">IF(G450="-","-",IF(D450&gt;0,ROUNDDOWN(I450*D450,0),""))</f>
        <v>270466</v>
      </c>
      <c r="K450" s="316">
        <v>270466</v>
      </c>
      <c r="L450" s="271"/>
      <c r="M450" s="276"/>
      <c r="N450" s="290">
        <f t="shared" ref="N450:N459" si="215">ROUNDDOWN(M450*$I450,0)</f>
        <v>0</v>
      </c>
      <c r="O450" s="276"/>
      <c r="P450" s="290">
        <f t="shared" ref="P450:P459" si="216">ROUNDDOWN(O450*$I450,0)</f>
        <v>0</v>
      </c>
      <c r="Q450" s="276"/>
      <c r="R450" s="290"/>
      <c r="S450" s="276"/>
      <c r="T450" s="290"/>
      <c r="U450" s="276">
        <v>0</v>
      </c>
      <c r="V450" s="290">
        <v>0</v>
      </c>
    </row>
    <row r="451" spans="2:22" ht="19.8" customHeight="1" x14ac:dyDescent="0.6">
      <c r="B451" s="268">
        <v>22</v>
      </c>
      <c r="C451" s="255" t="s">
        <v>243</v>
      </c>
      <c r="D451" s="303" t="s">
        <v>667</v>
      </c>
      <c r="E451" s="276" t="s">
        <v>55</v>
      </c>
      <c r="G451" s="290"/>
      <c r="I451" s="290">
        <v>617.54</v>
      </c>
      <c r="J451" s="298">
        <f t="shared" si="214"/>
        <v>208296</v>
      </c>
      <c r="K451" s="316">
        <v>208296</v>
      </c>
      <c r="L451" s="271"/>
      <c r="M451" s="276"/>
      <c r="N451" s="290">
        <f t="shared" si="215"/>
        <v>0</v>
      </c>
      <c r="O451" s="276"/>
      <c r="P451" s="290">
        <f t="shared" si="216"/>
        <v>0</v>
      </c>
      <c r="Q451" s="276"/>
      <c r="R451" s="290"/>
      <c r="S451" s="276"/>
      <c r="T451" s="290"/>
      <c r="U451" s="276">
        <v>0</v>
      </c>
      <c r="V451" s="290">
        <v>0</v>
      </c>
    </row>
    <row r="452" spans="2:22" ht="19.8" customHeight="1" x14ac:dyDescent="0.6">
      <c r="B452" s="268">
        <v>23</v>
      </c>
      <c r="C452" s="255" t="s">
        <v>622</v>
      </c>
      <c r="D452" s="303" t="s">
        <v>668</v>
      </c>
      <c r="E452" s="276" t="s">
        <v>54</v>
      </c>
      <c r="G452" s="290"/>
      <c r="I452" s="290">
        <v>447.01</v>
      </c>
      <c r="J452" s="298">
        <f t="shared" si="214"/>
        <v>1507764</v>
      </c>
      <c r="K452" s="316">
        <v>1507764</v>
      </c>
      <c r="L452" s="271"/>
      <c r="M452" s="276"/>
      <c r="N452" s="290">
        <f t="shared" si="215"/>
        <v>0</v>
      </c>
      <c r="O452" s="276"/>
      <c r="P452" s="290">
        <f t="shared" si="216"/>
        <v>0</v>
      </c>
      <c r="Q452" s="276"/>
      <c r="R452" s="290"/>
      <c r="S452" s="276"/>
      <c r="T452" s="290"/>
      <c r="U452" s="276">
        <v>0</v>
      </c>
      <c r="V452" s="290">
        <v>0</v>
      </c>
    </row>
    <row r="453" spans="2:22" ht="19.8" customHeight="1" x14ac:dyDescent="0.6">
      <c r="B453" s="268">
        <v>24</v>
      </c>
      <c r="C453" s="255" t="s">
        <v>630</v>
      </c>
      <c r="D453" s="303" t="s">
        <v>668</v>
      </c>
      <c r="E453" s="276" t="s">
        <v>54</v>
      </c>
      <c r="G453" s="290"/>
      <c r="I453" s="290">
        <v>16.96</v>
      </c>
      <c r="J453" s="298">
        <f t="shared" si="214"/>
        <v>57206</v>
      </c>
      <c r="K453" s="316">
        <v>57206</v>
      </c>
      <c r="L453" s="271"/>
      <c r="M453" s="276"/>
      <c r="N453" s="290">
        <f t="shared" si="215"/>
        <v>0</v>
      </c>
      <c r="O453" s="276"/>
      <c r="P453" s="290">
        <f t="shared" si="216"/>
        <v>0</v>
      </c>
      <c r="Q453" s="276"/>
      <c r="R453" s="290"/>
      <c r="S453" s="276"/>
      <c r="T453" s="290"/>
      <c r="U453" s="276">
        <v>0</v>
      </c>
      <c r="V453" s="290">
        <v>0</v>
      </c>
    </row>
    <row r="454" spans="2:22" ht="19.8" customHeight="1" x14ac:dyDescent="0.6">
      <c r="B454" s="268">
        <v>25</v>
      </c>
      <c r="C454" s="255" t="s">
        <v>250</v>
      </c>
      <c r="D454" s="303" t="s">
        <v>668</v>
      </c>
      <c r="E454" s="276" t="s">
        <v>54</v>
      </c>
      <c r="G454" s="290"/>
      <c r="I454" s="290">
        <v>293.86</v>
      </c>
      <c r="J454" s="298">
        <f t="shared" si="214"/>
        <v>991189</v>
      </c>
      <c r="K454" s="316">
        <v>991189</v>
      </c>
      <c r="L454" s="271"/>
      <c r="M454" s="276"/>
      <c r="N454" s="290">
        <f t="shared" si="215"/>
        <v>0</v>
      </c>
      <c r="O454" s="276"/>
      <c r="P454" s="290">
        <f t="shared" si="216"/>
        <v>0</v>
      </c>
      <c r="Q454" s="276"/>
      <c r="R454" s="290"/>
      <c r="S454" s="276"/>
      <c r="T454" s="290"/>
      <c r="U454" s="276">
        <v>0</v>
      </c>
      <c r="V454" s="290">
        <v>0</v>
      </c>
    </row>
    <row r="455" spans="2:22" ht="19.8" customHeight="1" x14ac:dyDescent="0.6">
      <c r="B455" s="268">
        <v>26</v>
      </c>
      <c r="C455" s="255" t="s">
        <v>649</v>
      </c>
      <c r="D455" s="303" t="s">
        <v>656</v>
      </c>
      <c r="E455" s="276" t="s">
        <v>57</v>
      </c>
      <c r="G455" s="290"/>
      <c r="I455" s="290">
        <v>6580.78</v>
      </c>
      <c r="J455" s="298">
        <f t="shared" si="214"/>
        <v>2737604</v>
      </c>
      <c r="K455" s="316">
        <v>2737604</v>
      </c>
      <c r="L455" s="271"/>
      <c r="M455" s="276"/>
      <c r="N455" s="290">
        <f t="shared" si="215"/>
        <v>0</v>
      </c>
      <c r="O455" s="276"/>
      <c r="P455" s="290">
        <f t="shared" si="216"/>
        <v>0</v>
      </c>
      <c r="Q455" s="276"/>
      <c r="R455" s="290"/>
      <c r="S455" s="276"/>
      <c r="T455" s="290"/>
      <c r="U455" s="276">
        <v>0</v>
      </c>
      <c r="V455" s="290">
        <v>0</v>
      </c>
    </row>
    <row r="456" spans="2:22" ht="19.8" customHeight="1" x14ac:dyDescent="0.6">
      <c r="B456" s="268">
        <v>27</v>
      </c>
      <c r="C456" s="255" t="s">
        <v>234</v>
      </c>
      <c r="D456" s="303" t="s">
        <v>669</v>
      </c>
      <c r="E456" s="276" t="s">
        <v>57</v>
      </c>
      <c r="G456" s="290"/>
      <c r="I456" s="290">
        <v>1240.5899999999999</v>
      </c>
      <c r="J456" s="298">
        <f t="shared" si="214"/>
        <v>207178</v>
      </c>
      <c r="K456" s="316">
        <v>207178</v>
      </c>
      <c r="L456" s="271"/>
      <c r="M456" s="276"/>
      <c r="N456" s="290">
        <f t="shared" si="215"/>
        <v>0</v>
      </c>
      <c r="O456" s="276"/>
      <c r="P456" s="290">
        <f t="shared" si="216"/>
        <v>0</v>
      </c>
      <c r="Q456" s="276"/>
      <c r="R456" s="290"/>
      <c r="S456" s="276"/>
      <c r="T456" s="290"/>
      <c r="U456" s="276">
        <v>0</v>
      </c>
      <c r="V456" s="290">
        <v>0</v>
      </c>
    </row>
    <row r="457" spans="2:22" ht="19.8" customHeight="1" x14ac:dyDescent="0.6">
      <c r="B457" s="268">
        <v>28</v>
      </c>
      <c r="C457" s="255" t="s">
        <v>650</v>
      </c>
      <c r="D457" s="303" t="s">
        <v>670</v>
      </c>
      <c r="E457" s="276" t="s">
        <v>58</v>
      </c>
      <c r="G457" s="290"/>
      <c r="I457" s="290">
        <v>19515.28</v>
      </c>
      <c r="J457" s="298">
        <f t="shared" si="214"/>
        <v>565943</v>
      </c>
      <c r="K457" s="316">
        <v>565943</v>
      </c>
      <c r="L457" s="271"/>
      <c r="M457" s="276"/>
      <c r="N457" s="290">
        <f t="shared" si="215"/>
        <v>0</v>
      </c>
      <c r="O457" s="276"/>
      <c r="P457" s="290">
        <f t="shared" si="216"/>
        <v>0</v>
      </c>
      <c r="Q457" s="276"/>
      <c r="R457" s="290"/>
      <c r="S457" s="276"/>
      <c r="T457" s="290"/>
      <c r="U457" s="276">
        <v>0</v>
      </c>
      <c r="V457" s="290">
        <v>0</v>
      </c>
    </row>
    <row r="458" spans="2:22" ht="19.8" customHeight="1" x14ac:dyDescent="0.6">
      <c r="B458" s="268">
        <v>29</v>
      </c>
      <c r="C458" s="255" t="s">
        <v>651</v>
      </c>
      <c r="D458" s="303" t="s">
        <v>671</v>
      </c>
      <c r="E458" s="276" t="s">
        <v>58</v>
      </c>
      <c r="G458" s="290"/>
      <c r="I458" s="290">
        <v>21151.83</v>
      </c>
      <c r="J458" s="298">
        <f t="shared" si="214"/>
        <v>846073</v>
      </c>
      <c r="K458" s="316">
        <v>846073</v>
      </c>
      <c r="L458" s="271"/>
      <c r="M458" s="276"/>
      <c r="N458" s="290">
        <f t="shared" si="215"/>
        <v>0</v>
      </c>
      <c r="O458" s="276"/>
      <c r="P458" s="290">
        <f t="shared" si="216"/>
        <v>0</v>
      </c>
      <c r="Q458" s="276"/>
      <c r="R458" s="290"/>
      <c r="S458" s="276"/>
      <c r="T458" s="290"/>
      <c r="U458" s="276">
        <v>0</v>
      </c>
      <c r="V458" s="290">
        <v>0</v>
      </c>
    </row>
    <row r="459" spans="2:22" ht="19.8" customHeight="1" x14ac:dyDescent="0.6">
      <c r="B459" s="268">
        <v>30</v>
      </c>
      <c r="C459" s="255" t="s">
        <v>652</v>
      </c>
      <c r="D459" s="303" t="s">
        <v>655</v>
      </c>
      <c r="E459" s="276" t="s">
        <v>58</v>
      </c>
      <c r="G459" s="290"/>
      <c r="I459" s="290">
        <v>55999.98</v>
      </c>
      <c r="J459" s="298">
        <f t="shared" si="214"/>
        <v>1847999</v>
      </c>
      <c r="K459" s="316">
        <v>1847999</v>
      </c>
      <c r="L459" s="271"/>
      <c r="M459" s="276"/>
      <c r="N459" s="290">
        <f t="shared" si="215"/>
        <v>0</v>
      </c>
      <c r="O459" s="276"/>
      <c r="P459" s="290">
        <f t="shared" si="216"/>
        <v>0</v>
      </c>
      <c r="Q459" s="276"/>
      <c r="R459" s="290"/>
      <c r="S459" s="276"/>
      <c r="T459" s="290"/>
      <c r="U459" s="276">
        <v>0</v>
      </c>
      <c r="V459" s="290">
        <v>0</v>
      </c>
    </row>
    <row r="460" spans="2:22" ht="19.8" customHeight="1" x14ac:dyDescent="0.6">
      <c r="B460" s="268"/>
      <c r="C460" s="255" t="s">
        <v>231</v>
      </c>
      <c r="D460" s="303"/>
      <c r="E460" s="276"/>
      <c r="G460" s="290"/>
      <c r="I460" s="290"/>
      <c r="J460" s="298"/>
      <c r="K460" s="316"/>
      <c r="L460" s="271"/>
      <c r="M460" s="276"/>
      <c r="N460" s="290"/>
      <c r="O460" s="276"/>
      <c r="P460" s="290"/>
      <c r="Q460" s="276"/>
      <c r="R460" s="290"/>
      <c r="S460" s="276"/>
      <c r="T460" s="290"/>
      <c r="U460" s="276">
        <v>0</v>
      </c>
      <c r="V460" s="290">
        <v>0</v>
      </c>
    </row>
    <row r="461" spans="2:22" ht="19.8" customHeight="1" x14ac:dyDescent="0.6">
      <c r="B461" s="268"/>
      <c r="D461" s="303"/>
      <c r="E461" s="276"/>
      <c r="G461" s="290"/>
      <c r="I461" s="290"/>
      <c r="J461" s="298"/>
      <c r="K461" s="316"/>
      <c r="L461" s="271"/>
      <c r="M461" s="276"/>
      <c r="N461" s="290"/>
      <c r="O461" s="276"/>
      <c r="P461" s="290"/>
      <c r="Q461" s="276"/>
      <c r="R461" s="290"/>
      <c r="S461" s="276"/>
      <c r="T461" s="290"/>
      <c r="U461" s="276">
        <v>0</v>
      </c>
      <c r="V461" s="290">
        <v>0</v>
      </c>
    </row>
    <row r="462" spans="2:22" ht="19.8" customHeight="1" x14ac:dyDescent="0.6">
      <c r="B462" s="826" t="s">
        <v>672</v>
      </c>
      <c r="C462" s="827"/>
      <c r="D462" s="294" t="s">
        <v>656</v>
      </c>
      <c r="E462" s="257" t="s">
        <v>57</v>
      </c>
      <c r="F462" s="296"/>
      <c r="G462" s="293"/>
      <c r="H462" s="297"/>
      <c r="I462" s="293"/>
      <c r="J462" s="299">
        <f>SUM(J432:J461)</f>
        <v>17824270</v>
      </c>
      <c r="K462" s="319">
        <v>17824270</v>
      </c>
      <c r="L462" s="301"/>
      <c r="M462" s="431"/>
      <c r="N462" s="326">
        <f>SUM(N432:N461)</f>
        <v>0</v>
      </c>
      <c r="O462" s="431"/>
      <c r="P462" s="326">
        <f>SUM(P432:P461)</f>
        <v>0</v>
      </c>
      <c r="Q462" s="431"/>
      <c r="R462" s="326">
        <v>4810000</v>
      </c>
      <c r="S462" s="431"/>
      <c r="T462" s="326"/>
      <c r="U462" s="431">
        <v>0</v>
      </c>
      <c r="V462" s="326">
        <v>4810000</v>
      </c>
    </row>
    <row r="463" spans="2:22" ht="19.8" customHeight="1" x14ac:dyDescent="0.6">
      <c r="B463" s="306" t="s">
        <v>676</v>
      </c>
      <c r="C463" s="255" t="s">
        <v>673</v>
      </c>
      <c r="D463" s="303"/>
      <c r="E463" s="276"/>
      <c r="G463" s="290"/>
      <c r="I463" s="290"/>
      <c r="J463" s="298"/>
      <c r="K463" s="316"/>
      <c r="L463" s="271"/>
      <c r="M463" s="276"/>
      <c r="N463" s="290"/>
      <c r="O463" s="276"/>
      <c r="P463" s="290"/>
      <c r="Q463" s="276"/>
      <c r="R463" s="290"/>
      <c r="S463" s="276"/>
      <c r="T463" s="290"/>
      <c r="U463" s="276">
        <v>0</v>
      </c>
      <c r="V463" s="290">
        <v>0</v>
      </c>
    </row>
    <row r="464" spans="2:22" ht="19.8" customHeight="1" x14ac:dyDescent="0.6">
      <c r="B464" s="268"/>
      <c r="C464" s="255" t="s">
        <v>674</v>
      </c>
      <c r="D464" s="303"/>
      <c r="E464" s="276"/>
      <c r="G464" s="290"/>
      <c r="I464" s="290"/>
      <c r="J464" s="298"/>
      <c r="K464" s="316"/>
      <c r="L464" s="271"/>
      <c r="M464" s="276"/>
      <c r="N464" s="290"/>
      <c r="O464" s="276"/>
      <c r="P464" s="290"/>
      <c r="Q464" s="276"/>
      <c r="R464" s="290"/>
      <c r="S464" s="276"/>
      <c r="T464" s="290"/>
      <c r="U464" s="276">
        <v>0</v>
      </c>
      <c r="V464" s="290">
        <v>0</v>
      </c>
    </row>
    <row r="465" spans="2:22" ht="19.8" customHeight="1" x14ac:dyDescent="0.6">
      <c r="B465" s="268"/>
      <c r="C465" s="255" t="s">
        <v>675</v>
      </c>
      <c r="D465" s="303"/>
      <c r="E465" s="276"/>
      <c r="G465" s="290"/>
      <c r="I465" s="290"/>
      <c r="J465" s="298"/>
      <c r="K465" s="316"/>
      <c r="L465" s="271"/>
      <c r="M465" s="276"/>
      <c r="N465" s="290"/>
      <c r="O465" s="276"/>
      <c r="P465" s="290"/>
      <c r="Q465" s="276"/>
      <c r="R465" s="290"/>
      <c r="S465" s="276"/>
      <c r="T465" s="290"/>
      <c r="U465" s="276">
        <v>0</v>
      </c>
      <c r="V465" s="290">
        <v>0</v>
      </c>
    </row>
    <row r="466" spans="2:22" ht="19.8" customHeight="1" x14ac:dyDescent="0.6">
      <c r="B466" s="268">
        <v>3</v>
      </c>
      <c r="C466" s="255" t="s">
        <v>246</v>
      </c>
      <c r="D466" s="303" t="s">
        <v>688</v>
      </c>
      <c r="E466" s="276" t="s">
        <v>57</v>
      </c>
      <c r="G466" s="290"/>
      <c r="I466" s="290">
        <v>126.78</v>
      </c>
      <c r="J466" s="298">
        <f t="shared" ref="J466:J474" si="217">IF(G466="-","-",IF(D466&gt;0,ROUNDDOWN(I466*D466,0),""))</f>
        <v>87604</v>
      </c>
      <c r="K466" s="316">
        <v>87604</v>
      </c>
      <c r="L466" s="271"/>
      <c r="M466" s="276"/>
      <c r="N466" s="290">
        <f t="shared" ref="N466:N474" si="218">ROUNDDOWN(M466*$I466,0)</f>
        <v>0</v>
      </c>
      <c r="O466" s="276"/>
      <c r="P466" s="290">
        <f t="shared" ref="P466:P474" si="219">ROUNDDOWN(O466*$I466,0)</f>
        <v>0</v>
      </c>
      <c r="Q466" s="276"/>
      <c r="R466" s="290"/>
      <c r="S466" s="276"/>
      <c r="T466" s="290"/>
      <c r="U466" s="276">
        <v>0</v>
      </c>
      <c r="V466" s="290">
        <v>0</v>
      </c>
    </row>
    <row r="467" spans="2:22" ht="19.8" customHeight="1" x14ac:dyDescent="0.6">
      <c r="B467" s="268">
        <v>4</v>
      </c>
      <c r="C467" s="255" t="s">
        <v>195</v>
      </c>
      <c r="D467" s="303" t="s">
        <v>689</v>
      </c>
      <c r="E467" s="276" t="s">
        <v>55</v>
      </c>
      <c r="G467" s="290"/>
      <c r="I467" s="290">
        <v>38.21</v>
      </c>
      <c r="J467" s="298">
        <f t="shared" si="217"/>
        <v>122692</v>
      </c>
      <c r="K467" s="316">
        <v>122692</v>
      </c>
      <c r="L467" s="271"/>
      <c r="M467" s="276"/>
      <c r="N467" s="290">
        <f t="shared" si="218"/>
        <v>0</v>
      </c>
      <c r="O467" s="276"/>
      <c r="P467" s="290">
        <f t="shared" si="219"/>
        <v>0</v>
      </c>
      <c r="Q467" s="276"/>
      <c r="R467" s="290"/>
      <c r="S467" s="276"/>
      <c r="T467" s="290"/>
      <c r="U467" s="276">
        <v>0</v>
      </c>
      <c r="V467" s="290">
        <v>0</v>
      </c>
    </row>
    <row r="468" spans="2:22" ht="19.8" customHeight="1" x14ac:dyDescent="0.6">
      <c r="B468" s="268">
        <v>5</v>
      </c>
      <c r="C468" s="255" t="s">
        <v>229</v>
      </c>
      <c r="D468" s="303" t="s">
        <v>690</v>
      </c>
      <c r="E468" s="276" t="s">
        <v>57</v>
      </c>
      <c r="G468" s="290"/>
      <c r="I468" s="290">
        <v>16735.45</v>
      </c>
      <c r="J468" s="298">
        <f t="shared" si="217"/>
        <v>7196243</v>
      </c>
      <c r="K468" s="316">
        <v>7196243</v>
      </c>
      <c r="L468" s="271" t="s">
        <v>843</v>
      </c>
      <c r="M468" s="276"/>
      <c r="N468" s="290">
        <f t="shared" si="218"/>
        <v>0</v>
      </c>
      <c r="O468" s="276">
        <v>400</v>
      </c>
      <c r="P468" s="290">
        <v>5340000</v>
      </c>
      <c r="Q468" s="276"/>
      <c r="R468" s="290"/>
      <c r="S468" s="276"/>
      <c r="T468" s="290"/>
      <c r="U468" s="276">
        <v>400</v>
      </c>
      <c r="V468" s="290">
        <v>5340000</v>
      </c>
    </row>
    <row r="469" spans="2:22" ht="19.8" customHeight="1" x14ac:dyDescent="0.6">
      <c r="B469" s="268">
        <v>8</v>
      </c>
      <c r="C469" s="255" t="s">
        <v>215</v>
      </c>
      <c r="D469" s="303" t="s">
        <v>691</v>
      </c>
      <c r="E469" s="276" t="s">
        <v>55</v>
      </c>
      <c r="G469" s="290"/>
      <c r="I469" s="290">
        <v>328.91</v>
      </c>
      <c r="J469" s="298">
        <f t="shared" si="217"/>
        <v>618679</v>
      </c>
      <c r="K469" s="316">
        <v>618679</v>
      </c>
      <c r="L469" s="271"/>
      <c r="M469" s="276"/>
      <c r="N469" s="290">
        <f t="shared" si="218"/>
        <v>0</v>
      </c>
      <c r="O469" s="276"/>
      <c r="P469" s="290">
        <f t="shared" si="219"/>
        <v>0</v>
      </c>
      <c r="Q469" s="276"/>
      <c r="R469" s="290"/>
      <c r="S469" s="276"/>
      <c r="T469" s="290"/>
      <c r="U469" s="276">
        <v>0</v>
      </c>
      <c r="V469" s="290">
        <v>0</v>
      </c>
    </row>
    <row r="470" spans="2:22" ht="19.8" customHeight="1" x14ac:dyDescent="0.6">
      <c r="B470" s="268">
        <v>9</v>
      </c>
      <c r="C470" s="255" t="s">
        <v>247</v>
      </c>
      <c r="D470" s="303" t="s">
        <v>692</v>
      </c>
      <c r="E470" s="276" t="s">
        <v>55</v>
      </c>
      <c r="G470" s="290"/>
      <c r="I470" s="290">
        <v>324.95</v>
      </c>
      <c r="J470" s="298">
        <f t="shared" si="217"/>
        <v>404595</v>
      </c>
      <c r="K470" s="316">
        <v>404595</v>
      </c>
      <c r="L470" s="271"/>
      <c r="M470" s="276"/>
      <c r="N470" s="290">
        <f t="shared" si="218"/>
        <v>0</v>
      </c>
      <c r="O470" s="276"/>
      <c r="P470" s="290">
        <f t="shared" si="219"/>
        <v>0</v>
      </c>
      <c r="Q470" s="276"/>
      <c r="R470" s="290"/>
      <c r="S470" s="276"/>
      <c r="T470" s="290"/>
      <c r="U470" s="276">
        <v>0</v>
      </c>
      <c r="V470" s="290">
        <v>0</v>
      </c>
    </row>
    <row r="471" spans="2:22" ht="19.8" customHeight="1" x14ac:dyDescent="0.6">
      <c r="B471" s="268">
        <v>13</v>
      </c>
      <c r="C471" s="255" t="s">
        <v>257</v>
      </c>
      <c r="D471" s="303" t="s">
        <v>693</v>
      </c>
      <c r="E471" s="276" t="s">
        <v>54</v>
      </c>
      <c r="G471" s="290"/>
      <c r="I471" s="290">
        <v>354.97</v>
      </c>
      <c r="J471" s="298">
        <f t="shared" si="217"/>
        <v>55020</v>
      </c>
      <c r="K471" s="316">
        <v>55020</v>
      </c>
      <c r="L471" s="271"/>
      <c r="M471" s="276"/>
      <c r="N471" s="290">
        <f t="shared" si="218"/>
        <v>0</v>
      </c>
      <c r="O471" s="276"/>
      <c r="P471" s="290">
        <f t="shared" si="219"/>
        <v>0</v>
      </c>
      <c r="Q471" s="276"/>
      <c r="R471" s="290"/>
      <c r="S471" s="276"/>
      <c r="T471" s="290"/>
      <c r="U471" s="276">
        <v>0</v>
      </c>
      <c r="V471" s="290">
        <v>0</v>
      </c>
    </row>
    <row r="472" spans="2:22" ht="19.8" customHeight="1" x14ac:dyDescent="0.6">
      <c r="B472" s="268">
        <v>14</v>
      </c>
      <c r="C472" s="255" t="s">
        <v>253</v>
      </c>
      <c r="D472" s="303" t="s">
        <v>694</v>
      </c>
      <c r="E472" s="276" t="s">
        <v>57</v>
      </c>
      <c r="G472" s="290"/>
      <c r="I472" s="290">
        <v>745.67</v>
      </c>
      <c r="J472" s="298">
        <f t="shared" si="217"/>
        <v>572674</v>
      </c>
      <c r="K472" s="316">
        <v>572674</v>
      </c>
      <c r="L472" s="271"/>
      <c r="M472" s="276"/>
      <c r="N472" s="290">
        <f t="shared" si="218"/>
        <v>0</v>
      </c>
      <c r="O472" s="276"/>
      <c r="P472" s="290">
        <f t="shared" si="219"/>
        <v>0</v>
      </c>
      <c r="Q472" s="276"/>
      <c r="R472" s="290"/>
      <c r="S472" s="276"/>
      <c r="T472" s="290"/>
      <c r="U472" s="276">
        <v>0</v>
      </c>
      <c r="V472" s="290">
        <v>0</v>
      </c>
    </row>
    <row r="473" spans="2:22" ht="19.8" customHeight="1" x14ac:dyDescent="0.6">
      <c r="B473" s="268">
        <v>15</v>
      </c>
      <c r="C473" s="255" t="s">
        <v>254</v>
      </c>
      <c r="D473" s="303" t="s">
        <v>694</v>
      </c>
      <c r="E473" s="276" t="s">
        <v>57</v>
      </c>
      <c r="G473" s="290"/>
      <c r="I473" s="290">
        <v>433.34</v>
      </c>
      <c r="J473" s="298">
        <f t="shared" si="217"/>
        <v>332805</v>
      </c>
      <c r="K473" s="316">
        <v>332805</v>
      </c>
      <c r="L473" s="271"/>
      <c r="M473" s="276"/>
      <c r="N473" s="290">
        <f t="shared" si="218"/>
        <v>0</v>
      </c>
      <c r="O473" s="276"/>
      <c r="P473" s="290">
        <f t="shared" si="219"/>
        <v>0</v>
      </c>
      <c r="Q473" s="276"/>
      <c r="R473" s="290"/>
      <c r="S473" s="276"/>
      <c r="T473" s="290"/>
      <c r="U473" s="276">
        <v>0</v>
      </c>
      <c r="V473" s="290">
        <v>0</v>
      </c>
    </row>
    <row r="474" spans="2:22" ht="19.8" customHeight="1" x14ac:dyDescent="0.6">
      <c r="B474" s="268">
        <v>16</v>
      </c>
      <c r="C474" s="255" t="s">
        <v>255</v>
      </c>
      <c r="D474" s="303" t="s">
        <v>695</v>
      </c>
      <c r="E474" s="276" t="s">
        <v>54</v>
      </c>
      <c r="G474" s="290"/>
      <c r="I474" s="290">
        <v>368.8</v>
      </c>
      <c r="J474" s="298">
        <f t="shared" si="217"/>
        <v>424857</v>
      </c>
      <c r="K474" s="316">
        <v>424857</v>
      </c>
      <c r="L474" s="271"/>
      <c r="M474" s="276"/>
      <c r="N474" s="290">
        <f t="shared" si="218"/>
        <v>0</v>
      </c>
      <c r="O474" s="276"/>
      <c r="P474" s="290">
        <f t="shared" si="219"/>
        <v>0</v>
      </c>
      <c r="Q474" s="276"/>
      <c r="R474" s="290"/>
      <c r="S474" s="276"/>
      <c r="T474" s="290"/>
      <c r="U474" s="276">
        <v>0</v>
      </c>
      <c r="V474" s="290">
        <v>0</v>
      </c>
    </row>
    <row r="475" spans="2:22" ht="19.8" customHeight="1" x14ac:dyDescent="0.6">
      <c r="B475" s="268"/>
      <c r="C475" s="255" t="s">
        <v>226</v>
      </c>
      <c r="D475" s="303"/>
      <c r="E475" s="276"/>
      <c r="G475" s="290"/>
      <c r="I475" s="290"/>
      <c r="J475" s="298"/>
      <c r="K475" s="316"/>
      <c r="L475" s="271"/>
      <c r="M475" s="276"/>
      <c r="N475" s="290"/>
      <c r="O475" s="276"/>
      <c r="P475" s="290"/>
      <c r="Q475" s="276"/>
      <c r="R475" s="290"/>
      <c r="S475" s="276"/>
      <c r="T475" s="290"/>
      <c r="U475" s="276">
        <v>0</v>
      </c>
      <c r="V475" s="290">
        <v>0</v>
      </c>
    </row>
    <row r="476" spans="2:22" ht="19.8" customHeight="1" x14ac:dyDescent="0.6">
      <c r="B476" s="268">
        <v>17</v>
      </c>
      <c r="C476" s="255" t="s">
        <v>258</v>
      </c>
      <c r="D476" s="303" t="s">
        <v>665</v>
      </c>
      <c r="E476" s="276" t="s">
        <v>54</v>
      </c>
      <c r="G476" s="290"/>
      <c r="I476" s="290">
        <v>420.66</v>
      </c>
      <c r="J476" s="298">
        <f t="shared" ref="J476:J477" si="220">IF(G476="-","-",IF(D476&gt;0,ROUNDDOWN(I476*D476,0),""))</f>
        <v>30287</v>
      </c>
      <c r="K476" s="316">
        <v>30287</v>
      </c>
      <c r="L476" s="271"/>
      <c r="M476" s="276"/>
      <c r="N476" s="290">
        <f t="shared" ref="N476:N477" si="221">ROUNDDOWN(M476*$I476,0)</f>
        <v>0</v>
      </c>
      <c r="O476" s="276"/>
      <c r="P476" s="290">
        <f t="shared" ref="P476:P477" si="222">ROUNDDOWN(O476*$I476,0)</f>
        <v>0</v>
      </c>
      <c r="Q476" s="276"/>
      <c r="R476" s="290"/>
      <c r="S476" s="276"/>
      <c r="T476" s="290"/>
      <c r="U476" s="276">
        <v>0</v>
      </c>
      <c r="V476" s="290">
        <v>0</v>
      </c>
    </row>
    <row r="477" spans="2:22" ht="19.8" customHeight="1" x14ac:dyDescent="0.6">
      <c r="B477" s="268">
        <v>18</v>
      </c>
      <c r="C477" s="255" t="s">
        <v>256</v>
      </c>
      <c r="D477" s="303" t="s">
        <v>695</v>
      </c>
      <c r="E477" s="276" t="s">
        <v>54</v>
      </c>
      <c r="G477" s="290"/>
      <c r="I477" s="290">
        <v>1286.19</v>
      </c>
      <c r="J477" s="298">
        <f t="shared" si="220"/>
        <v>1481690</v>
      </c>
      <c r="K477" s="316">
        <v>1481690</v>
      </c>
      <c r="L477" s="271"/>
      <c r="M477" s="276"/>
      <c r="N477" s="290">
        <f t="shared" si="221"/>
        <v>0</v>
      </c>
      <c r="O477" s="276"/>
      <c r="P477" s="290">
        <f t="shared" si="222"/>
        <v>0</v>
      </c>
      <c r="Q477" s="276"/>
      <c r="R477" s="290"/>
      <c r="S477" s="276"/>
      <c r="T477" s="290"/>
      <c r="U477" s="276">
        <v>0</v>
      </c>
      <c r="V477" s="290">
        <v>0</v>
      </c>
    </row>
    <row r="478" spans="2:22" ht="19.8" customHeight="1" x14ac:dyDescent="0.6">
      <c r="B478" s="268">
        <v>19</v>
      </c>
      <c r="C478" s="255" t="s">
        <v>59</v>
      </c>
      <c r="D478" s="303"/>
      <c r="E478" s="276"/>
      <c r="G478" s="290"/>
      <c r="I478" s="290"/>
      <c r="J478" s="298"/>
      <c r="K478" s="316"/>
      <c r="L478" s="271"/>
      <c r="M478" s="276"/>
      <c r="N478" s="290"/>
      <c r="O478" s="276"/>
      <c r="P478" s="290"/>
      <c r="Q478" s="276"/>
      <c r="R478" s="290"/>
      <c r="S478" s="276"/>
      <c r="T478" s="290"/>
      <c r="U478" s="276">
        <v>0</v>
      </c>
      <c r="V478" s="290">
        <v>0</v>
      </c>
    </row>
    <row r="479" spans="2:22" ht="19.8" customHeight="1" x14ac:dyDescent="0.6">
      <c r="B479" s="268"/>
      <c r="C479" s="255" t="s">
        <v>648</v>
      </c>
      <c r="D479" s="303"/>
      <c r="E479" s="276"/>
      <c r="G479" s="290"/>
      <c r="I479" s="290"/>
      <c r="J479" s="298"/>
      <c r="K479" s="316"/>
      <c r="L479" s="271"/>
      <c r="M479" s="276"/>
      <c r="N479" s="290"/>
      <c r="O479" s="276"/>
      <c r="P479" s="290"/>
      <c r="Q479" s="276"/>
      <c r="R479" s="290"/>
      <c r="S479" s="276"/>
      <c r="T479" s="290"/>
      <c r="U479" s="276">
        <v>0</v>
      </c>
      <c r="V479" s="290">
        <v>0</v>
      </c>
    </row>
    <row r="480" spans="2:22" ht="19.8" customHeight="1" x14ac:dyDescent="0.6">
      <c r="B480" s="268">
        <v>20</v>
      </c>
      <c r="C480" s="255" t="s">
        <v>259</v>
      </c>
      <c r="D480" s="303" t="s">
        <v>696</v>
      </c>
      <c r="E480" s="276" t="s">
        <v>54</v>
      </c>
      <c r="G480" s="290"/>
      <c r="I480" s="290">
        <v>108.36</v>
      </c>
      <c r="J480" s="298">
        <f t="shared" ref="J480:J490" si="223">IF(G480="-","-",IF(D480&gt;0,ROUNDDOWN(I480*D480,0),""))</f>
        <v>449260</v>
      </c>
      <c r="K480" s="316">
        <v>449260</v>
      </c>
      <c r="L480" s="271"/>
      <c r="M480" s="276"/>
      <c r="N480" s="290">
        <f t="shared" ref="N480:N490" si="224">ROUNDDOWN(M480*$I480,0)</f>
        <v>0</v>
      </c>
      <c r="O480" s="276"/>
      <c r="P480" s="290">
        <f t="shared" ref="P480:P490" si="225">ROUNDDOWN(O480*$I480,0)</f>
        <v>0</v>
      </c>
      <c r="Q480" s="276"/>
      <c r="R480" s="290"/>
      <c r="S480" s="276"/>
      <c r="T480" s="290"/>
      <c r="U480" s="276">
        <v>0</v>
      </c>
      <c r="V480" s="290">
        <v>0</v>
      </c>
    </row>
    <row r="481" spans="2:22" ht="19.8" customHeight="1" x14ac:dyDescent="0.6">
      <c r="B481" s="268">
        <v>21</v>
      </c>
      <c r="C481" s="255" t="s">
        <v>243</v>
      </c>
      <c r="D481" s="303" t="s">
        <v>697</v>
      </c>
      <c r="E481" s="276" t="s">
        <v>55</v>
      </c>
      <c r="G481" s="290"/>
      <c r="I481" s="290">
        <v>617.54</v>
      </c>
      <c r="J481" s="298">
        <f t="shared" si="223"/>
        <v>384449</v>
      </c>
      <c r="K481" s="316">
        <v>384449</v>
      </c>
      <c r="L481" s="271"/>
      <c r="M481" s="276"/>
      <c r="N481" s="290">
        <f t="shared" si="224"/>
        <v>0</v>
      </c>
      <c r="O481" s="276"/>
      <c r="P481" s="290">
        <f t="shared" si="225"/>
        <v>0</v>
      </c>
      <c r="Q481" s="276"/>
      <c r="R481" s="290"/>
      <c r="S481" s="276"/>
      <c r="T481" s="290"/>
      <c r="U481" s="276">
        <v>0</v>
      </c>
      <c r="V481" s="290">
        <v>0</v>
      </c>
    </row>
    <row r="482" spans="2:22" ht="19.8" customHeight="1" x14ac:dyDescent="0.6">
      <c r="B482" s="268">
        <v>22</v>
      </c>
      <c r="C482" s="255" t="s">
        <v>622</v>
      </c>
      <c r="D482" s="303" t="s">
        <v>687</v>
      </c>
      <c r="E482" s="276" t="s">
        <v>54</v>
      </c>
      <c r="G482" s="290"/>
      <c r="I482" s="290">
        <v>447.01</v>
      </c>
      <c r="J482" s="298">
        <f t="shared" si="223"/>
        <v>2782860</v>
      </c>
      <c r="K482" s="316">
        <v>2782860</v>
      </c>
      <c r="L482" s="271"/>
      <c r="M482" s="276"/>
      <c r="N482" s="290">
        <f t="shared" si="224"/>
        <v>0</v>
      </c>
      <c r="O482" s="276"/>
      <c r="P482" s="290">
        <f t="shared" si="225"/>
        <v>0</v>
      </c>
      <c r="Q482" s="276"/>
      <c r="R482" s="290"/>
      <c r="S482" s="276"/>
      <c r="T482" s="290"/>
      <c r="U482" s="276">
        <v>0</v>
      </c>
      <c r="V482" s="290">
        <v>0</v>
      </c>
    </row>
    <row r="483" spans="2:22" ht="19.8" customHeight="1" x14ac:dyDescent="0.6">
      <c r="B483" s="268">
        <v>23</v>
      </c>
      <c r="C483" s="255" t="s">
        <v>630</v>
      </c>
      <c r="D483" s="303" t="s">
        <v>687</v>
      </c>
      <c r="E483" s="276" t="s">
        <v>54</v>
      </c>
      <c r="G483" s="290"/>
      <c r="I483" s="290">
        <v>16.96</v>
      </c>
      <c r="J483" s="298">
        <f t="shared" si="223"/>
        <v>105584</v>
      </c>
      <c r="K483" s="316">
        <v>105584</v>
      </c>
      <c r="L483" s="271"/>
      <c r="M483" s="276"/>
      <c r="N483" s="290">
        <f t="shared" si="224"/>
        <v>0</v>
      </c>
      <c r="O483" s="276"/>
      <c r="P483" s="290">
        <f t="shared" si="225"/>
        <v>0</v>
      </c>
      <c r="Q483" s="276"/>
      <c r="R483" s="290"/>
      <c r="S483" s="276"/>
      <c r="T483" s="290"/>
      <c r="U483" s="276">
        <v>0</v>
      </c>
      <c r="V483" s="290">
        <v>0</v>
      </c>
    </row>
    <row r="484" spans="2:22" ht="19.8" customHeight="1" x14ac:dyDescent="0.6">
      <c r="B484" s="268">
        <v>24</v>
      </c>
      <c r="C484" s="255" t="s">
        <v>677</v>
      </c>
      <c r="D484" s="303" t="s">
        <v>687</v>
      </c>
      <c r="E484" s="276" t="s">
        <v>54</v>
      </c>
      <c r="G484" s="290"/>
      <c r="I484" s="290">
        <v>293.86</v>
      </c>
      <c r="J484" s="298">
        <f t="shared" si="223"/>
        <v>1829425</v>
      </c>
      <c r="K484" s="316">
        <v>1829425</v>
      </c>
      <c r="L484" s="271"/>
      <c r="M484" s="276"/>
      <c r="N484" s="290">
        <f t="shared" si="224"/>
        <v>0</v>
      </c>
      <c r="O484" s="276"/>
      <c r="P484" s="290">
        <f t="shared" si="225"/>
        <v>0</v>
      </c>
      <c r="Q484" s="276"/>
      <c r="R484" s="290"/>
      <c r="S484" s="276"/>
      <c r="T484" s="290"/>
      <c r="U484" s="276">
        <v>0</v>
      </c>
      <c r="V484" s="290">
        <v>0</v>
      </c>
    </row>
    <row r="485" spans="2:22" ht="19.8" customHeight="1" x14ac:dyDescent="0.6">
      <c r="B485" s="268">
        <v>25</v>
      </c>
      <c r="C485" s="255" t="s">
        <v>678</v>
      </c>
      <c r="D485" s="303" t="s">
        <v>686</v>
      </c>
      <c r="E485" s="276" t="s">
        <v>54</v>
      </c>
      <c r="G485" s="290"/>
      <c r="I485" s="290">
        <v>303.06</v>
      </c>
      <c r="J485" s="298">
        <f t="shared" si="223"/>
        <v>110010</v>
      </c>
      <c r="K485" s="316">
        <v>110010</v>
      </c>
      <c r="L485" s="271"/>
      <c r="M485" s="276"/>
      <c r="N485" s="290">
        <f t="shared" si="224"/>
        <v>0</v>
      </c>
      <c r="O485" s="276"/>
      <c r="P485" s="290">
        <f t="shared" si="225"/>
        <v>0</v>
      </c>
      <c r="Q485" s="276"/>
      <c r="R485" s="290"/>
      <c r="S485" s="276"/>
      <c r="T485" s="290"/>
      <c r="U485" s="276">
        <v>0</v>
      </c>
      <c r="V485" s="290">
        <v>0</v>
      </c>
    </row>
    <row r="486" spans="2:22" ht="19.8" customHeight="1" x14ac:dyDescent="0.6">
      <c r="B486" s="268">
        <v>26</v>
      </c>
      <c r="C486" s="255" t="s">
        <v>649</v>
      </c>
      <c r="D486" s="303" t="s">
        <v>685</v>
      </c>
      <c r="E486" s="276" t="s">
        <v>57</v>
      </c>
      <c r="G486" s="290"/>
      <c r="I486" s="290">
        <v>6580.78</v>
      </c>
      <c r="J486" s="298">
        <f t="shared" si="223"/>
        <v>3185097</v>
      </c>
      <c r="K486" s="316">
        <v>3185097</v>
      </c>
      <c r="L486" s="271"/>
      <c r="M486" s="276"/>
      <c r="N486" s="290">
        <f t="shared" si="224"/>
        <v>0</v>
      </c>
      <c r="O486" s="276"/>
      <c r="P486" s="290">
        <f t="shared" si="225"/>
        <v>0</v>
      </c>
      <c r="Q486" s="276"/>
      <c r="R486" s="290"/>
      <c r="S486" s="276"/>
      <c r="T486" s="290"/>
      <c r="U486" s="276">
        <v>0</v>
      </c>
      <c r="V486" s="290">
        <v>0</v>
      </c>
    </row>
    <row r="487" spans="2:22" ht="19.8" customHeight="1" x14ac:dyDescent="0.6">
      <c r="B487" s="268">
        <v>27</v>
      </c>
      <c r="C487" s="255" t="s">
        <v>679</v>
      </c>
      <c r="D487" s="303" t="s">
        <v>684</v>
      </c>
      <c r="E487" s="276" t="s">
        <v>57</v>
      </c>
      <c r="G487" s="290"/>
      <c r="I487" s="290">
        <v>1240.5899999999999</v>
      </c>
      <c r="J487" s="298">
        <f t="shared" si="223"/>
        <v>393887</v>
      </c>
      <c r="K487" s="316">
        <v>393887</v>
      </c>
      <c r="L487" s="271"/>
      <c r="M487" s="276"/>
      <c r="N487" s="290">
        <f t="shared" si="224"/>
        <v>0</v>
      </c>
      <c r="O487" s="276"/>
      <c r="P487" s="290">
        <f t="shared" si="225"/>
        <v>0</v>
      </c>
      <c r="Q487" s="276"/>
      <c r="R487" s="290"/>
      <c r="S487" s="276"/>
      <c r="T487" s="290"/>
      <c r="U487" s="276">
        <v>0</v>
      </c>
      <c r="V487" s="290">
        <v>0</v>
      </c>
    </row>
    <row r="488" spans="2:22" ht="19.8" customHeight="1" x14ac:dyDescent="0.6">
      <c r="B488" s="268">
        <v>28</v>
      </c>
      <c r="C488" s="255" t="s">
        <v>680</v>
      </c>
      <c r="D488" s="303" t="s">
        <v>683</v>
      </c>
      <c r="E488" s="276" t="s">
        <v>58</v>
      </c>
      <c r="G488" s="290"/>
      <c r="I488" s="290">
        <v>19515.28</v>
      </c>
      <c r="J488" s="298">
        <f t="shared" si="223"/>
        <v>702550</v>
      </c>
      <c r="K488" s="316">
        <v>702550</v>
      </c>
      <c r="L488" s="271"/>
      <c r="M488" s="276"/>
      <c r="N488" s="290">
        <f t="shared" si="224"/>
        <v>0</v>
      </c>
      <c r="O488" s="276"/>
      <c r="P488" s="290">
        <f t="shared" si="225"/>
        <v>0</v>
      </c>
      <c r="Q488" s="276"/>
      <c r="R488" s="290"/>
      <c r="S488" s="276"/>
      <c r="T488" s="290"/>
      <c r="U488" s="276">
        <v>0</v>
      </c>
      <c r="V488" s="290">
        <v>0</v>
      </c>
    </row>
    <row r="489" spans="2:22" ht="19.8" customHeight="1" x14ac:dyDescent="0.6">
      <c r="B489" s="268">
        <v>29</v>
      </c>
      <c r="C489" s="255" t="s">
        <v>651</v>
      </c>
      <c r="D489" s="303" t="s">
        <v>682</v>
      </c>
      <c r="E489" s="276" t="s">
        <v>58</v>
      </c>
      <c r="G489" s="290"/>
      <c r="I489" s="290">
        <v>21151.83</v>
      </c>
      <c r="J489" s="298">
        <f t="shared" si="223"/>
        <v>1311413</v>
      </c>
      <c r="K489" s="316">
        <v>1311413</v>
      </c>
      <c r="L489" s="271"/>
      <c r="M489" s="276"/>
      <c r="N489" s="290">
        <f t="shared" si="224"/>
        <v>0</v>
      </c>
      <c r="O489" s="276"/>
      <c r="P489" s="290">
        <f t="shared" si="225"/>
        <v>0</v>
      </c>
      <c r="Q489" s="276"/>
      <c r="R489" s="290"/>
      <c r="S489" s="276"/>
      <c r="T489" s="290"/>
      <c r="U489" s="276">
        <v>0</v>
      </c>
      <c r="V489" s="290">
        <v>0</v>
      </c>
    </row>
    <row r="490" spans="2:22" ht="19.8" customHeight="1" x14ac:dyDescent="0.6">
      <c r="B490" s="268">
        <v>30</v>
      </c>
      <c r="C490" s="255" t="s">
        <v>681</v>
      </c>
      <c r="D490" s="303" t="s">
        <v>567</v>
      </c>
      <c r="E490" s="276" t="s">
        <v>58</v>
      </c>
      <c r="G490" s="290"/>
      <c r="I490" s="290">
        <v>57555.85</v>
      </c>
      <c r="J490" s="298">
        <f t="shared" si="223"/>
        <v>2187122</v>
      </c>
      <c r="K490" s="316">
        <v>2187122</v>
      </c>
      <c r="L490" s="271"/>
      <c r="M490" s="276"/>
      <c r="N490" s="290">
        <f t="shared" si="224"/>
        <v>0</v>
      </c>
      <c r="O490" s="276"/>
      <c r="P490" s="290">
        <f t="shared" si="225"/>
        <v>0</v>
      </c>
      <c r="Q490" s="276"/>
      <c r="R490" s="290"/>
      <c r="S490" s="276"/>
      <c r="T490" s="290"/>
      <c r="U490" s="276">
        <v>0</v>
      </c>
      <c r="V490" s="290">
        <v>0</v>
      </c>
    </row>
    <row r="491" spans="2:22" ht="19.8" customHeight="1" x14ac:dyDescent="0.6">
      <c r="B491" s="268"/>
      <c r="C491" s="255" t="s">
        <v>231</v>
      </c>
      <c r="D491" s="303"/>
      <c r="E491" s="276"/>
      <c r="G491" s="290"/>
      <c r="I491" s="290"/>
      <c r="J491" s="298"/>
      <c r="K491" s="316"/>
      <c r="L491" s="271"/>
      <c r="M491" s="276"/>
      <c r="N491" s="290"/>
      <c r="O491" s="276"/>
      <c r="P491" s="290"/>
      <c r="Q491" s="276"/>
      <c r="R491" s="290"/>
      <c r="S491" s="276"/>
      <c r="T491" s="290"/>
      <c r="U491" s="276">
        <v>0</v>
      </c>
      <c r="V491" s="290">
        <v>0</v>
      </c>
    </row>
    <row r="492" spans="2:22" ht="19.8" customHeight="1" x14ac:dyDescent="0.6">
      <c r="B492" s="268"/>
      <c r="D492" s="303"/>
      <c r="E492" s="276"/>
      <c r="G492" s="290"/>
      <c r="I492" s="290"/>
      <c r="J492" s="298"/>
      <c r="K492" s="316"/>
      <c r="L492" s="271"/>
      <c r="M492" s="276"/>
      <c r="N492" s="290"/>
      <c r="O492" s="276"/>
      <c r="P492" s="290"/>
      <c r="Q492" s="276"/>
      <c r="R492" s="290"/>
      <c r="S492" s="276"/>
      <c r="T492" s="290"/>
      <c r="U492" s="276">
        <v>0</v>
      </c>
      <c r="V492" s="290">
        <v>0</v>
      </c>
    </row>
    <row r="493" spans="2:22" ht="19.8" customHeight="1" x14ac:dyDescent="0.6">
      <c r="B493" s="826" t="s">
        <v>698</v>
      </c>
      <c r="C493" s="827"/>
      <c r="D493" s="294" t="s">
        <v>688</v>
      </c>
      <c r="E493" s="257" t="s">
        <v>57</v>
      </c>
      <c r="F493" s="296"/>
      <c r="G493" s="293"/>
      <c r="H493" s="297"/>
      <c r="I493" s="293"/>
      <c r="J493" s="299">
        <f>SUM(J463:J492)</f>
        <v>24768803</v>
      </c>
      <c r="K493" s="319">
        <v>24768803</v>
      </c>
      <c r="L493" s="262"/>
      <c r="M493" s="257"/>
      <c r="N493" s="326">
        <f>SUM(N463:N492)</f>
        <v>0</v>
      </c>
      <c r="O493" s="257"/>
      <c r="P493" s="326">
        <f>SUM(P463:P492)</f>
        <v>5340000</v>
      </c>
      <c r="Q493" s="257"/>
      <c r="R493" s="326">
        <v>0</v>
      </c>
      <c r="S493" s="257"/>
      <c r="T493" s="326">
        <v>0</v>
      </c>
      <c r="U493" s="257">
        <v>0</v>
      </c>
      <c r="V493" s="326">
        <v>5340000</v>
      </c>
    </row>
    <row r="494" spans="2:22" ht="19.8" customHeight="1" x14ac:dyDescent="0.6">
      <c r="B494" s="306" t="s">
        <v>699</v>
      </c>
      <c r="C494" s="255" t="s">
        <v>109</v>
      </c>
      <c r="D494" s="303"/>
      <c r="E494" s="276"/>
      <c r="G494" s="290"/>
      <c r="I494" s="290"/>
      <c r="J494" s="298"/>
      <c r="K494" s="316"/>
      <c r="L494" s="271"/>
      <c r="M494" s="276"/>
      <c r="N494" s="290"/>
      <c r="O494" s="276"/>
      <c r="P494" s="290"/>
      <c r="Q494" s="276"/>
      <c r="R494" s="290"/>
      <c r="S494" s="276"/>
      <c r="T494" s="290"/>
      <c r="U494" s="276">
        <v>0</v>
      </c>
      <c r="V494" s="290">
        <v>0</v>
      </c>
    </row>
    <row r="495" spans="2:22" ht="19.8" customHeight="1" x14ac:dyDescent="0.6">
      <c r="B495" s="268"/>
      <c r="C495" s="255" t="s">
        <v>700</v>
      </c>
      <c r="D495" s="303"/>
      <c r="E495" s="276"/>
      <c r="G495" s="290"/>
      <c r="I495" s="290"/>
      <c r="J495" s="298"/>
      <c r="K495" s="316"/>
      <c r="L495" s="271"/>
      <c r="M495" s="276"/>
      <c r="N495" s="290"/>
      <c r="O495" s="276"/>
      <c r="P495" s="290"/>
      <c r="Q495" s="276"/>
      <c r="R495" s="290"/>
      <c r="S495" s="276"/>
      <c r="T495" s="290"/>
      <c r="U495" s="276">
        <v>0</v>
      </c>
      <c r="V495" s="290">
        <v>0</v>
      </c>
    </row>
    <row r="496" spans="2:22" ht="19.8" customHeight="1" x14ac:dyDescent="0.6">
      <c r="B496" s="268"/>
      <c r="C496" s="255" t="s">
        <v>701</v>
      </c>
      <c r="D496" s="303"/>
      <c r="E496" s="276"/>
      <c r="G496" s="290"/>
      <c r="I496" s="290"/>
      <c r="J496" s="298"/>
      <c r="K496" s="316"/>
      <c r="L496" s="271"/>
      <c r="M496" s="276"/>
      <c r="N496" s="290"/>
      <c r="O496" s="276"/>
      <c r="P496" s="290"/>
      <c r="Q496" s="276"/>
      <c r="R496" s="290"/>
      <c r="S496" s="276"/>
      <c r="T496" s="290"/>
      <c r="U496" s="276">
        <v>0</v>
      </c>
      <c r="V496" s="290">
        <v>0</v>
      </c>
    </row>
    <row r="497" spans="2:22" ht="19.8" customHeight="1" x14ac:dyDescent="0.6">
      <c r="B497" s="268">
        <v>1</v>
      </c>
      <c r="C497" s="255" t="s">
        <v>247</v>
      </c>
      <c r="D497" s="303" t="s">
        <v>702</v>
      </c>
      <c r="E497" s="276" t="s">
        <v>55</v>
      </c>
      <c r="G497" s="290"/>
      <c r="I497" s="290">
        <v>324.95</v>
      </c>
      <c r="J497" s="298">
        <f t="shared" ref="J497:J504" si="226">IF(G497="-","-",IF(D497&gt;0,ROUNDDOWN(I497*D497,0),""))</f>
        <v>246637</v>
      </c>
      <c r="K497" s="316">
        <v>246637</v>
      </c>
      <c r="L497" s="271"/>
      <c r="M497" s="276"/>
      <c r="N497" s="290">
        <f t="shared" ref="N497:N504" si="227">ROUNDDOWN(M497*$I497,0)</f>
        <v>0</v>
      </c>
      <c r="O497" s="276"/>
      <c r="P497" s="290">
        <f t="shared" ref="P497:P504" si="228">ROUNDDOWN(O497*$I497,0)</f>
        <v>0</v>
      </c>
      <c r="Q497" s="276"/>
      <c r="R497" s="290"/>
      <c r="S497" s="276"/>
      <c r="T497" s="290"/>
      <c r="U497" s="276">
        <v>0</v>
      </c>
      <c r="V497" s="290">
        <v>0</v>
      </c>
    </row>
    <row r="498" spans="2:22" ht="19.8" customHeight="1" x14ac:dyDescent="0.6">
      <c r="B498" s="268">
        <v>2</v>
      </c>
      <c r="C498" s="255" t="s">
        <v>248</v>
      </c>
      <c r="D498" s="303" t="s">
        <v>703</v>
      </c>
      <c r="E498" s="276" t="s">
        <v>55</v>
      </c>
      <c r="G498" s="290"/>
      <c r="I498" s="290">
        <v>778.24</v>
      </c>
      <c r="J498" s="298">
        <f t="shared" si="226"/>
        <v>554885</v>
      </c>
      <c r="K498" s="316">
        <v>554885</v>
      </c>
      <c r="L498" s="271"/>
      <c r="M498" s="276"/>
      <c r="N498" s="290">
        <f t="shared" si="227"/>
        <v>0</v>
      </c>
      <c r="O498" s="276"/>
      <c r="P498" s="290">
        <f t="shared" si="228"/>
        <v>0</v>
      </c>
      <c r="Q498" s="276"/>
      <c r="R498" s="290"/>
      <c r="S498" s="276"/>
      <c r="T498" s="290"/>
      <c r="U498" s="276">
        <v>0</v>
      </c>
      <c r="V498" s="290">
        <v>0</v>
      </c>
    </row>
    <row r="499" spans="2:22" ht="19.8" customHeight="1" x14ac:dyDescent="0.6">
      <c r="B499" s="268">
        <v>3</v>
      </c>
      <c r="C499" s="255" t="s">
        <v>249</v>
      </c>
      <c r="D499" s="303" t="s">
        <v>704</v>
      </c>
      <c r="E499" s="276" t="s">
        <v>54</v>
      </c>
      <c r="G499" s="290"/>
      <c r="I499" s="290">
        <v>45.02</v>
      </c>
      <c r="J499" s="298">
        <f t="shared" si="226"/>
        <v>166574</v>
      </c>
      <c r="K499" s="316">
        <v>166574</v>
      </c>
      <c r="L499" s="271"/>
      <c r="M499" s="276"/>
      <c r="N499" s="290">
        <f t="shared" si="227"/>
        <v>0</v>
      </c>
      <c r="O499" s="276"/>
      <c r="P499" s="290">
        <f t="shared" si="228"/>
        <v>0</v>
      </c>
      <c r="Q499" s="276"/>
      <c r="R499" s="290"/>
      <c r="S499" s="276"/>
      <c r="T499" s="290"/>
      <c r="U499" s="276">
        <v>0</v>
      </c>
      <c r="V499" s="290">
        <v>0</v>
      </c>
    </row>
    <row r="500" spans="2:22" ht="19.8" customHeight="1" x14ac:dyDescent="0.6">
      <c r="B500" s="268">
        <v>4</v>
      </c>
      <c r="C500" s="255" t="s">
        <v>250</v>
      </c>
      <c r="D500" s="303" t="s">
        <v>705</v>
      </c>
      <c r="E500" s="276" t="s">
        <v>54</v>
      </c>
      <c r="G500" s="290"/>
      <c r="I500" s="290">
        <v>293.86</v>
      </c>
      <c r="J500" s="298">
        <f t="shared" si="226"/>
        <v>1013817</v>
      </c>
      <c r="K500" s="316">
        <v>1013817</v>
      </c>
      <c r="L500" s="271"/>
      <c r="M500" s="276"/>
      <c r="N500" s="290">
        <f t="shared" si="227"/>
        <v>0</v>
      </c>
      <c r="O500" s="276"/>
      <c r="P500" s="290">
        <f t="shared" si="228"/>
        <v>0</v>
      </c>
      <c r="Q500" s="276"/>
      <c r="R500" s="290"/>
      <c r="S500" s="276"/>
      <c r="T500" s="290"/>
      <c r="U500" s="276">
        <v>0</v>
      </c>
      <c r="V500" s="290">
        <v>0</v>
      </c>
    </row>
    <row r="501" spans="2:22" ht="19.8" customHeight="1" x14ac:dyDescent="0.6">
      <c r="B501" s="268">
        <v>5</v>
      </c>
      <c r="C501" s="255" t="s">
        <v>251</v>
      </c>
      <c r="D501" s="303" t="s">
        <v>706</v>
      </c>
      <c r="E501" s="276" t="s">
        <v>54</v>
      </c>
      <c r="G501" s="290"/>
      <c r="I501" s="290">
        <v>303.06</v>
      </c>
      <c r="J501" s="298">
        <f t="shared" si="226"/>
        <v>75765</v>
      </c>
      <c r="K501" s="316">
        <v>75765</v>
      </c>
      <c r="L501" s="271"/>
      <c r="M501" s="276"/>
      <c r="N501" s="290">
        <f t="shared" si="227"/>
        <v>0</v>
      </c>
      <c r="O501" s="276"/>
      <c r="P501" s="290">
        <f t="shared" si="228"/>
        <v>0</v>
      </c>
      <c r="Q501" s="276"/>
      <c r="R501" s="290"/>
      <c r="S501" s="276"/>
      <c r="T501" s="290"/>
      <c r="U501" s="276">
        <v>0</v>
      </c>
      <c r="V501" s="290">
        <v>0</v>
      </c>
    </row>
    <row r="502" spans="2:22" ht="19.8" customHeight="1" x14ac:dyDescent="0.6">
      <c r="B502" s="268">
        <v>6</v>
      </c>
      <c r="C502" s="255" t="s">
        <v>260</v>
      </c>
      <c r="D502" s="303" t="s">
        <v>707</v>
      </c>
      <c r="E502" s="276" t="s">
        <v>55</v>
      </c>
      <c r="G502" s="290"/>
      <c r="I502" s="290">
        <v>778.24</v>
      </c>
      <c r="J502" s="298">
        <f t="shared" si="226"/>
        <v>62259</v>
      </c>
      <c r="K502" s="316">
        <v>62259</v>
      </c>
      <c r="L502" s="271"/>
      <c r="M502" s="276"/>
      <c r="N502" s="290">
        <f t="shared" si="227"/>
        <v>0</v>
      </c>
      <c r="O502" s="276"/>
      <c r="P502" s="290">
        <f t="shared" si="228"/>
        <v>0</v>
      </c>
      <c r="Q502" s="276"/>
      <c r="R502" s="290"/>
      <c r="S502" s="276"/>
      <c r="T502" s="290"/>
      <c r="U502" s="276">
        <v>0</v>
      </c>
      <c r="V502" s="290">
        <v>0</v>
      </c>
    </row>
    <row r="503" spans="2:22" ht="19.8" customHeight="1" x14ac:dyDescent="0.6">
      <c r="B503" s="268">
        <v>8</v>
      </c>
      <c r="C503" s="255" t="s">
        <v>257</v>
      </c>
      <c r="D503" s="303" t="s">
        <v>708</v>
      </c>
      <c r="E503" s="276" t="s">
        <v>54</v>
      </c>
      <c r="G503" s="290"/>
      <c r="I503" s="290">
        <v>354.97</v>
      </c>
      <c r="J503" s="298">
        <f t="shared" si="226"/>
        <v>45791</v>
      </c>
      <c r="K503" s="316">
        <v>45791</v>
      </c>
      <c r="L503" s="271"/>
      <c r="M503" s="276"/>
      <c r="N503" s="290">
        <f t="shared" si="227"/>
        <v>0</v>
      </c>
      <c r="O503" s="276"/>
      <c r="P503" s="290">
        <f t="shared" si="228"/>
        <v>0</v>
      </c>
      <c r="Q503" s="276"/>
      <c r="R503" s="290"/>
      <c r="S503" s="276"/>
      <c r="T503" s="290"/>
      <c r="U503" s="276">
        <v>0</v>
      </c>
      <c r="V503" s="290">
        <v>0</v>
      </c>
    </row>
    <row r="504" spans="2:22" ht="19.8" customHeight="1" x14ac:dyDescent="0.6">
      <c r="B504" s="268">
        <v>9</v>
      </c>
      <c r="C504" s="255" t="s">
        <v>233</v>
      </c>
      <c r="D504" s="303" t="s">
        <v>454</v>
      </c>
      <c r="E504" s="276" t="s">
        <v>57</v>
      </c>
      <c r="G504" s="290"/>
      <c r="I504" s="290">
        <v>1452.28</v>
      </c>
      <c r="J504" s="298">
        <f t="shared" si="226"/>
        <v>87136</v>
      </c>
      <c r="K504" s="316">
        <v>87136</v>
      </c>
      <c r="L504" s="271"/>
      <c r="M504" s="276"/>
      <c r="N504" s="290">
        <f t="shared" si="227"/>
        <v>0</v>
      </c>
      <c r="O504" s="276"/>
      <c r="P504" s="290">
        <f t="shared" si="228"/>
        <v>0</v>
      </c>
      <c r="Q504" s="276"/>
      <c r="R504" s="290"/>
      <c r="S504" s="276"/>
      <c r="T504" s="290"/>
      <c r="U504" s="276">
        <v>0</v>
      </c>
      <c r="V504" s="290">
        <v>0</v>
      </c>
    </row>
    <row r="505" spans="2:22" ht="19.8" customHeight="1" x14ac:dyDescent="0.6">
      <c r="B505" s="268">
        <v>10</v>
      </c>
      <c r="C505" s="255" t="s">
        <v>59</v>
      </c>
      <c r="D505" s="303"/>
      <c r="E505" s="276"/>
      <c r="G505" s="290"/>
      <c r="I505" s="290"/>
      <c r="J505" s="298"/>
      <c r="K505" s="316"/>
      <c r="L505" s="271"/>
      <c r="M505" s="276"/>
      <c r="N505" s="290"/>
      <c r="O505" s="276"/>
      <c r="P505" s="290"/>
      <c r="Q505" s="276"/>
      <c r="R505" s="290"/>
      <c r="S505" s="276"/>
      <c r="T505" s="290"/>
      <c r="U505" s="276">
        <v>0</v>
      </c>
      <c r="V505" s="290">
        <v>0</v>
      </c>
    </row>
    <row r="506" spans="2:22" ht="19.8" customHeight="1" x14ac:dyDescent="0.6">
      <c r="B506" s="268"/>
      <c r="D506" s="303"/>
      <c r="E506" s="276"/>
      <c r="G506" s="290"/>
      <c r="I506" s="290"/>
      <c r="J506" s="298"/>
      <c r="K506" s="316"/>
      <c r="L506" s="271"/>
      <c r="M506" s="276"/>
      <c r="N506" s="290"/>
      <c r="O506" s="276"/>
      <c r="P506" s="290"/>
      <c r="Q506" s="276"/>
      <c r="R506" s="290"/>
      <c r="S506" s="276"/>
      <c r="T506" s="290"/>
      <c r="U506" s="276">
        <v>0</v>
      </c>
      <c r="V506" s="290">
        <v>0</v>
      </c>
    </row>
    <row r="507" spans="2:22" ht="19.8" customHeight="1" x14ac:dyDescent="0.6">
      <c r="B507" s="826" t="s">
        <v>710</v>
      </c>
      <c r="C507" s="827"/>
      <c r="D507" s="294" t="s">
        <v>709</v>
      </c>
      <c r="E507" s="257" t="s">
        <v>57</v>
      </c>
      <c r="F507" s="296"/>
      <c r="G507" s="293"/>
      <c r="H507" s="297"/>
      <c r="I507" s="293"/>
      <c r="J507" s="299">
        <f>SUM(J494:J506)</f>
        <v>2252864</v>
      </c>
      <c r="K507" s="319">
        <v>2252864</v>
      </c>
      <c r="L507" s="262"/>
      <c r="M507" s="257"/>
      <c r="N507" s="326">
        <f>SUM(N494:N506)</f>
        <v>0</v>
      </c>
      <c r="O507" s="257"/>
      <c r="P507" s="326">
        <f>SUM(P494:P506)</f>
        <v>0</v>
      </c>
      <c r="Q507" s="257"/>
      <c r="R507" s="326">
        <v>0</v>
      </c>
      <c r="S507" s="257"/>
      <c r="T507" s="326">
        <v>0</v>
      </c>
      <c r="U507" s="257">
        <v>0</v>
      </c>
      <c r="V507" s="326">
        <v>0</v>
      </c>
    </row>
    <row r="508" spans="2:22" ht="19.8" customHeight="1" x14ac:dyDescent="0.6">
      <c r="B508" s="306" t="s">
        <v>711</v>
      </c>
      <c r="C508" s="255" t="s">
        <v>110</v>
      </c>
      <c r="D508" s="303"/>
      <c r="E508" s="276"/>
      <c r="G508" s="290"/>
      <c r="I508" s="290"/>
      <c r="J508" s="298"/>
      <c r="K508" s="316"/>
      <c r="L508" s="271"/>
      <c r="M508" s="276"/>
      <c r="N508" s="290"/>
      <c r="O508" s="276"/>
      <c r="P508" s="290"/>
      <c r="Q508" s="276"/>
      <c r="R508" s="290"/>
      <c r="S508" s="276"/>
      <c r="T508" s="290"/>
      <c r="U508" s="276">
        <v>0</v>
      </c>
      <c r="V508" s="290">
        <v>0</v>
      </c>
    </row>
    <row r="509" spans="2:22" ht="19.8" customHeight="1" x14ac:dyDescent="0.6">
      <c r="B509" s="268"/>
      <c r="C509" s="255" t="s">
        <v>712</v>
      </c>
      <c r="D509" s="303"/>
      <c r="E509" s="276"/>
      <c r="G509" s="290"/>
      <c r="I509" s="290"/>
      <c r="J509" s="298"/>
      <c r="K509" s="316"/>
      <c r="L509" s="271"/>
      <c r="M509" s="276"/>
      <c r="N509" s="290"/>
      <c r="O509" s="276"/>
      <c r="P509" s="290"/>
      <c r="Q509" s="276"/>
      <c r="R509" s="290"/>
      <c r="S509" s="276"/>
      <c r="T509" s="290"/>
      <c r="U509" s="276">
        <v>0</v>
      </c>
      <c r="V509" s="290">
        <v>0</v>
      </c>
    </row>
    <row r="510" spans="2:22" ht="19.8" customHeight="1" x14ac:dyDescent="0.6">
      <c r="B510" s="268"/>
      <c r="C510" s="255" t="s">
        <v>713</v>
      </c>
      <c r="D510" s="303"/>
      <c r="E510" s="276"/>
      <c r="G510" s="290"/>
      <c r="I510" s="290"/>
      <c r="J510" s="298"/>
      <c r="K510" s="316"/>
      <c r="L510" s="271"/>
      <c r="M510" s="276"/>
      <c r="N510" s="290"/>
      <c r="O510" s="276"/>
      <c r="P510" s="290"/>
      <c r="Q510" s="276"/>
      <c r="R510" s="290"/>
      <c r="S510" s="276"/>
      <c r="T510" s="290"/>
      <c r="U510" s="276">
        <v>0</v>
      </c>
      <c r="V510" s="290">
        <v>0</v>
      </c>
    </row>
    <row r="511" spans="2:22" ht="19.8" customHeight="1" x14ac:dyDescent="0.6">
      <c r="B511" s="268">
        <v>1</v>
      </c>
      <c r="C511" s="255" t="s">
        <v>259</v>
      </c>
      <c r="D511" s="303" t="s">
        <v>714</v>
      </c>
      <c r="E511" s="276"/>
      <c r="G511" s="290"/>
      <c r="I511" s="290">
        <v>108.36</v>
      </c>
      <c r="J511" s="298">
        <f t="shared" ref="J511:J515" si="229">IF(G511="-","-",IF(D511&gt;0,ROUNDDOWN(I511*D511,0),""))</f>
        <v>182044</v>
      </c>
      <c r="K511" s="316">
        <v>182044</v>
      </c>
      <c r="L511" s="271"/>
      <c r="M511" s="276"/>
      <c r="N511" s="290">
        <f t="shared" ref="N511:N515" si="230">ROUNDDOWN(M511*$I511,0)</f>
        <v>0</v>
      </c>
      <c r="O511" s="276"/>
      <c r="P511" s="290">
        <f t="shared" ref="P511:P515" si="231">ROUNDDOWN(O511*$I511,0)</f>
        <v>0</v>
      </c>
      <c r="Q511" s="276"/>
      <c r="R511" s="290"/>
      <c r="S511" s="276"/>
      <c r="T511" s="290"/>
      <c r="U511" s="276">
        <v>0</v>
      </c>
      <c r="V511" s="290">
        <v>0</v>
      </c>
    </row>
    <row r="512" spans="2:22" ht="19.8" customHeight="1" x14ac:dyDescent="0.6">
      <c r="B512" s="268">
        <v>2</v>
      </c>
      <c r="C512" s="255" t="s">
        <v>247</v>
      </c>
      <c r="D512" s="303" t="s">
        <v>715</v>
      </c>
      <c r="E512" s="276"/>
      <c r="G512" s="290"/>
      <c r="I512" s="290">
        <v>324.95</v>
      </c>
      <c r="J512" s="298">
        <f t="shared" si="229"/>
        <v>127055</v>
      </c>
      <c r="K512" s="316">
        <v>127055</v>
      </c>
      <c r="L512" s="271"/>
      <c r="M512" s="276"/>
      <c r="N512" s="290">
        <f t="shared" si="230"/>
        <v>0</v>
      </c>
      <c r="O512" s="276"/>
      <c r="P512" s="290">
        <f t="shared" si="231"/>
        <v>0</v>
      </c>
      <c r="Q512" s="276"/>
      <c r="R512" s="290"/>
      <c r="S512" s="276"/>
      <c r="T512" s="290"/>
      <c r="U512" s="276">
        <v>0</v>
      </c>
      <c r="V512" s="290">
        <v>0</v>
      </c>
    </row>
    <row r="513" spans="2:22" ht="19.8" customHeight="1" x14ac:dyDescent="0.6">
      <c r="B513" s="268">
        <v>5</v>
      </c>
      <c r="C513" s="255" t="s">
        <v>250</v>
      </c>
      <c r="D513" s="303" t="s">
        <v>716</v>
      </c>
      <c r="E513" s="276"/>
      <c r="G513" s="290"/>
      <c r="I513" s="290">
        <v>293.86</v>
      </c>
      <c r="J513" s="298">
        <f t="shared" si="229"/>
        <v>516899</v>
      </c>
      <c r="K513" s="316">
        <v>516899</v>
      </c>
      <c r="L513" s="271"/>
      <c r="M513" s="276"/>
      <c r="N513" s="290">
        <f t="shared" si="230"/>
        <v>0</v>
      </c>
      <c r="O513" s="276"/>
      <c r="P513" s="290">
        <f t="shared" si="231"/>
        <v>0</v>
      </c>
      <c r="Q513" s="276"/>
      <c r="R513" s="290"/>
      <c r="S513" s="276"/>
      <c r="T513" s="290"/>
      <c r="U513" s="276">
        <v>0</v>
      </c>
      <c r="V513" s="290">
        <v>0</v>
      </c>
    </row>
    <row r="514" spans="2:22" ht="19.8" customHeight="1" x14ac:dyDescent="0.6">
      <c r="B514" s="268">
        <v>6</v>
      </c>
      <c r="C514" s="255" t="s">
        <v>260</v>
      </c>
      <c r="D514" s="303" t="s">
        <v>717</v>
      </c>
      <c r="E514" s="276"/>
      <c r="G514" s="290"/>
      <c r="I514" s="290">
        <v>778.24</v>
      </c>
      <c r="J514" s="298">
        <f t="shared" si="229"/>
        <v>36577</v>
      </c>
      <c r="K514" s="316">
        <v>36577</v>
      </c>
      <c r="L514" s="271"/>
      <c r="M514" s="276"/>
      <c r="N514" s="290">
        <f t="shared" si="230"/>
        <v>0</v>
      </c>
      <c r="O514" s="276"/>
      <c r="P514" s="290">
        <f t="shared" si="231"/>
        <v>0</v>
      </c>
      <c r="Q514" s="276"/>
      <c r="R514" s="290"/>
      <c r="S514" s="276"/>
      <c r="T514" s="290"/>
      <c r="U514" s="276">
        <v>0</v>
      </c>
      <c r="V514" s="290">
        <v>0</v>
      </c>
    </row>
    <row r="515" spans="2:22" ht="19.8" customHeight="1" x14ac:dyDescent="0.6">
      <c r="B515" s="268">
        <v>7</v>
      </c>
      <c r="C515" s="255" t="s">
        <v>257</v>
      </c>
      <c r="D515" s="303" t="s">
        <v>718</v>
      </c>
      <c r="E515" s="276"/>
      <c r="G515" s="290"/>
      <c r="I515" s="290">
        <v>354.97</v>
      </c>
      <c r="J515" s="298">
        <f t="shared" si="229"/>
        <v>26622</v>
      </c>
      <c r="K515" s="316">
        <v>26622</v>
      </c>
      <c r="L515" s="271"/>
      <c r="M515" s="276"/>
      <c r="N515" s="290">
        <f t="shared" si="230"/>
        <v>0</v>
      </c>
      <c r="O515" s="276"/>
      <c r="P515" s="290">
        <f t="shared" si="231"/>
        <v>0</v>
      </c>
      <c r="Q515" s="276"/>
      <c r="R515" s="290"/>
      <c r="S515" s="276"/>
      <c r="T515" s="290"/>
      <c r="U515" s="276">
        <v>0</v>
      </c>
      <c r="V515" s="290">
        <v>0</v>
      </c>
    </row>
    <row r="516" spans="2:22" ht="19.8" customHeight="1" x14ac:dyDescent="0.6">
      <c r="B516" s="268">
        <v>8</v>
      </c>
      <c r="C516" s="255" t="s">
        <v>59</v>
      </c>
      <c r="D516" s="303"/>
      <c r="E516" s="276"/>
      <c r="G516" s="290"/>
      <c r="I516" s="290"/>
      <c r="J516" s="298"/>
      <c r="K516" s="316"/>
      <c r="L516" s="271"/>
      <c r="M516" s="276"/>
      <c r="N516" s="290"/>
      <c r="O516" s="276"/>
      <c r="P516" s="290"/>
      <c r="Q516" s="276"/>
      <c r="R516" s="290"/>
      <c r="S516" s="276"/>
      <c r="T516" s="290"/>
      <c r="U516" s="276">
        <v>0</v>
      </c>
      <c r="V516" s="290">
        <v>0</v>
      </c>
    </row>
    <row r="517" spans="2:22" ht="19.8" customHeight="1" x14ac:dyDescent="0.6">
      <c r="B517" s="268">
        <v>9</v>
      </c>
      <c r="C517" s="255" t="s">
        <v>720</v>
      </c>
      <c r="D517" s="303" t="s">
        <v>716</v>
      </c>
      <c r="E517" s="276" t="s">
        <v>54</v>
      </c>
      <c r="G517" s="290"/>
      <c r="I517" s="290">
        <v>16.96</v>
      </c>
      <c r="J517" s="298">
        <f t="shared" ref="J517:J522" si="232">IF(G517="-","-",IF(D517&gt;0,ROUNDDOWN(I517*D517,0),""))</f>
        <v>29832</v>
      </c>
      <c r="K517" s="316">
        <v>29832</v>
      </c>
      <c r="L517" s="271"/>
      <c r="M517" s="276"/>
      <c r="N517" s="290">
        <f t="shared" ref="N517:N522" si="233">ROUNDDOWN(M517*$I517,0)</f>
        <v>0</v>
      </c>
      <c r="O517" s="276"/>
      <c r="P517" s="290">
        <f t="shared" ref="P517:P522" si="234">ROUNDDOWN(O517*$I517,0)</f>
        <v>0</v>
      </c>
      <c r="Q517" s="276"/>
      <c r="R517" s="290"/>
      <c r="S517" s="276"/>
      <c r="T517" s="290"/>
      <c r="U517" s="276">
        <v>0</v>
      </c>
      <c r="V517" s="290">
        <v>0</v>
      </c>
    </row>
    <row r="518" spans="2:22" ht="19.8" customHeight="1" x14ac:dyDescent="0.6">
      <c r="B518" s="268">
        <v>10</v>
      </c>
      <c r="C518" s="255" t="s">
        <v>243</v>
      </c>
      <c r="D518" s="303" t="s">
        <v>719</v>
      </c>
      <c r="E518" s="276" t="s">
        <v>55</v>
      </c>
      <c r="G518" s="290"/>
      <c r="I518" s="290">
        <v>617.54</v>
      </c>
      <c r="J518" s="298">
        <f t="shared" si="232"/>
        <v>108069</v>
      </c>
      <c r="K518" s="316">
        <v>108069</v>
      </c>
      <c r="L518" s="271"/>
      <c r="M518" s="276"/>
      <c r="N518" s="290">
        <f t="shared" si="233"/>
        <v>0</v>
      </c>
      <c r="O518" s="276"/>
      <c r="P518" s="290">
        <f t="shared" si="234"/>
        <v>0</v>
      </c>
      <c r="Q518" s="276"/>
      <c r="R518" s="290"/>
      <c r="S518" s="276"/>
      <c r="T518" s="290"/>
      <c r="U518" s="276">
        <v>0</v>
      </c>
      <c r="V518" s="290">
        <v>0</v>
      </c>
    </row>
    <row r="519" spans="2:22" ht="19.8" customHeight="1" x14ac:dyDescent="0.6">
      <c r="B519" s="268">
        <v>11</v>
      </c>
      <c r="C519" s="255" t="s">
        <v>622</v>
      </c>
      <c r="D519" s="303" t="s">
        <v>716</v>
      </c>
      <c r="E519" s="276" t="s">
        <v>54</v>
      </c>
      <c r="G519" s="290"/>
      <c r="I519" s="290">
        <v>447.01</v>
      </c>
      <c r="J519" s="298">
        <f t="shared" si="232"/>
        <v>786290</v>
      </c>
      <c r="K519" s="316">
        <v>786290</v>
      </c>
      <c r="L519" s="271"/>
      <c r="M519" s="276"/>
      <c r="N519" s="290">
        <f t="shared" si="233"/>
        <v>0</v>
      </c>
      <c r="O519" s="276"/>
      <c r="P519" s="290">
        <f t="shared" si="234"/>
        <v>0</v>
      </c>
      <c r="Q519" s="276"/>
      <c r="R519" s="290"/>
      <c r="S519" s="276"/>
      <c r="T519" s="290"/>
      <c r="U519" s="276">
        <v>0</v>
      </c>
      <c r="V519" s="290">
        <v>0</v>
      </c>
    </row>
    <row r="520" spans="2:22" ht="19.8" customHeight="1" x14ac:dyDescent="0.6">
      <c r="B520" s="268">
        <v>12</v>
      </c>
      <c r="C520" s="255" t="s">
        <v>623</v>
      </c>
      <c r="D520" s="303" t="s">
        <v>531</v>
      </c>
      <c r="E520" s="276" t="s">
        <v>57</v>
      </c>
      <c r="G520" s="290"/>
      <c r="I520" s="290">
        <v>277.14</v>
      </c>
      <c r="J520" s="298">
        <f t="shared" si="232"/>
        <v>4157</v>
      </c>
      <c r="K520" s="316">
        <v>4157</v>
      </c>
      <c r="L520" s="271"/>
      <c r="M520" s="276"/>
      <c r="N520" s="290">
        <f t="shared" si="233"/>
        <v>0</v>
      </c>
      <c r="O520" s="276"/>
      <c r="P520" s="290">
        <f t="shared" si="234"/>
        <v>0</v>
      </c>
      <c r="Q520" s="276"/>
      <c r="R520" s="290"/>
      <c r="S520" s="276"/>
      <c r="T520" s="290"/>
      <c r="U520" s="276">
        <v>0</v>
      </c>
      <c r="V520" s="290">
        <v>0</v>
      </c>
    </row>
    <row r="521" spans="2:22" ht="19.8" customHeight="1" x14ac:dyDescent="0.6">
      <c r="B521" s="268">
        <v>13</v>
      </c>
      <c r="C521" s="255" t="s">
        <v>624</v>
      </c>
      <c r="D521" s="303" t="s">
        <v>721</v>
      </c>
      <c r="E521" s="276" t="s">
        <v>57</v>
      </c>
      <c r="G521" s="290"/>
      <c r="I521" s="290">
        <v>181.83</v>
      </c>
      <c r="J521" s="298">
        <f t="shared" si="232"/>
        <v>27274</v>
      </c>
      <c r="K521" s="316">
        <v>27274</v>
      </c>
      <c r="L521" s="271"/>
      <c r="M521" s="276"/>
      <c r="N521" s="290">
        <f t="shared" si="233"/>
        <v>0</v>
      </c>
      <c r="O521" s="276"/>
      <c r="P521" s="290">
        <f t="shared" si="234"/>
        <v>0</v>
      </c>
      <c r="Q521" s="276"/>
      <c r="R521" s="290"/>
      <c r="S521" s="276"/>
      <c r="T521" s="290"/>
      <c r="U521" s="276">
        <v>0</v>
      </c>
      <c r="V521" s="290">
        <v>0</v>
      </c>
    </row>
    <row r="522" spans="2:22" ht="19.8" customHeight="1" x14ac:dyDescent="0.6">
      <c r="B522" s="268">
        <v>14</v>
      </c>
      <c r="C522" s="255" t="s">
        <v>625</v>
      </c>
      <c r="D522" s="303" t="s">
        <v>722</v>
      </c>
      <c r="E522" s="276" t="s">
        <v>57</v>
      </c>
      <c r="G522" s="290"/>
      <c r="I522" s="290">
        <v>63.47</v>
      </c>
      <c r="J522" s="298">
        <f t="shared" si="232"/>
        <v>21325</v>
      </c>
      <c r="K522" s="316">
        <v>21325</v>
      </c>
      <c r="L522" s="271"/>
      <c r="M522" s="276"/>
      <c r="N522" s="290">
        <f t="shared" si="233"/>
        <v>0</v>
      </c>
      <c r="O522" s="276"/>
      <c r="P522" s="290">
        <f t="shared" si="234"/>
        <v>0</v>
      </c>
      <c r="Q522" s="276"/>
      <c r="R522" s="290"/>
      <c r="S522" s="276"/>
      <c r="T522" s="290"/>
      <c r="U522" s="276">
        <v>0</v>
      </c>
      <c r="V522" s="290">
        <v>0</v>
      </c>
    </row>
    <row r="523" spans="2:22" ht="19.8" customHeight="1" x14ac:dyDescent="0.6">
      <c r="B523" s="268"/>
      <c r="D523" s="303"/>
      <c r="E523" s="276"/>
      <c r="G523" s="290"/>
      <c r="I523" s="290"/>
      <c r="J523" s="298"/>
      <c r="K523" s="316"/>
      <c r="L523" s="271"/>
      <c r="M523" s="276"/>
      <c r="N523" s="290"/>
      <c r="O523" s="276"/>
      <c r="P523" s="290"/>
      <c r="Q523" s="276"/>
      <c r="R523" s="290"/>
      <c r="S523" s="276"/>
      <c r="T523" s="290"/>
      <c r="U523" s="276">
        <v>0</v>
      </c>
      <c r="V523" s="290">
        <v>0</v>
      </c>
    </row>
    <row r="524" spans="2:22" ht="19.8" customHeight="1" x14ac:dyDescent="0.6">
      <c r="B524" s="826" t="s">
        <v>723</v>
      </c>
      <c r="C524" s="827"/>
      <c r="D524" s="294" t="s">
        <v>722</v>
      </c>
      <c r="E524" s="257" t="s">
        <v>57</v>
      </c>
      <c r="F524" s="296"/>
      <c r="G524" s="293"/>
      <c r="H524" s="297"/>
      <c r="I524" s="293"/>
      <c r="J524" s="299">
        <f>SUM(J508:J523)</f>
        <v>1866144</v>
      </c>
      <c r="K524" s="319">
        <v>1866144</v>
      </c>
      <c r="L524" s="262"/>
      <c r="M524" s="257"/>
      <c r="N524" s="326">
        <f>SUM(N508:N523)</f>
        <v>0</v>
      </c>
      <c r="O524" s="257"/>
      <c r="P524" s="326">
        <f>SUM(P508:P523)</f>
        <v>0</v>
      </c>
      <c r="Q524" s="257"/>
      <c r="R524" s="326">
        <v>0</v>
      </c>
      <c r="S524" s="257"/>
      <c r="T524" s="326">
        <v>0</v>
      </c>
      <c r="U524" s="257">
        <v>0</v>
      </c>
      <c r="V524" s="326">
        <v>0</v>
      </c>
    </row>
    <row r="525" spans="2:22" ht="19.8" customHeight="1" x14ac:dyDescent="0.6">
      <c r="B525" s="306" t="s">
        <v>728</v>
      </c>
      <c r="C525" s="255" t="s">
        <v>724</v>
      </c>
      <c r="D525" s="303"/>
      <c r="E525" s="276"/>
      <c r="G525" s="290"/>
      <c r="I525" s="290"/>
      <c r="J525" s="298"/>
      <c r="K525" s="316"/>
      <c r="L525" s="271"/>
      <c r="M525" s="276"/>
      <c r="N525" s="290"/>
      <c r="O525" s="276"/>
      <c r="P525" s="290"/>
      <c r="Q525" s="276"/>
      <c r="R525" s="290"/>
      <c r="S525" s="276"/>
      <c r="T525" s="290"/>
      <c r="U525" s="276">
        <v>0</v>
      </c>
      <c r="V525" s="290">
        <v>0</v>
      </c>
    </row>
    <row r="526" spans="2:22" ht="19.8" customHeight="1" x14ac:dyDescent="0.6">
      <c r="B526" s="268"/>
      <c r="C526" s="255" t="s">
        <v>725</v>
      </c>
      <c r="D526" s="303"/>
      <c r="E526" s="276"/>
      <c r="G526" s="290"/>
      <c r="I526" s="290"/>
      <c r="J526" s="298"/>
      <c r="K526" s="316"/>
      <c r="L526" s="271"/>
      <c r="M526" s="276"/>
      <c r="N526" s="290"/>
      <c r="O526" s="276"/>
      <c r="P526" s="290"/>
      <c r="Q526" s="276"/>
      <c r="R526" s="290"/>
      <c r="S526" s="276"/>
      <c r="T526" s="290"/>
      <c r="U526" s="276">
        <v>0</v>
      </c>
      <c r="V526" s="290">
        <v>0</v>
      </c>
    </row>
    <row r="527" spans="2:22" ht="19.8" customHeight="1" x14ac:dyDescent="0.6">
      <c r="B527" s="268"/>
      <c r="C527" s="255" t="s">
        <v>726</v>
      </c>
      <c r="D527" s="303"/>
      <c r="E527" s="276"/>
      <c r="G527" s="290"/>
      <c r="I527" s="290"/>
      <c r="J527" s="298"/>
      <c r="K527" s="317"/>
      <c r="L527" s="271"/>
      <c r="M527" s="276"/>
      <c r="N527" s="290"/>
      <c r="O527" s="276"/>
      <c r="P527" s="290"/>
      <c r="Q527" s="276"/>
      <c r="R527" s="290"/>
      <c r="S527" s="276"/>
      <c r="T527" s="290"/>
      <c r="U527" s="276">
        <v>0</v>
      </c>
      <c r="V527" s="290">
        <v>0</v>
      </c>
    </row>
    <row r="528" spans="2:22" ht="19.8" customHeight="1" x14ac:dyDescent="0.6">
      <c r="B528" s="268">
        <v>2</v>
      </c>
      <c r="C528" s="255" t="s">
        <v>604</v>
      </c>
      <c r="D528" s="303" t="s">
        <v>729</v>
      </c>
      <c r="E528" s="276" t="s">
        <v>57</v>
      </c>
      <c r="G528" s="290"/>
      <c r="I528" s="290">
        <v>126.78</v>
      </c>
      <c r="J528" s="298">
        <f t="shared" ref="J528:J531" si="235">IF(G528="-","-",IF(D528&gt;0,ROUNDDOWN(I528*D528,0),""))</f>
        <v>45640</v>
      </c>
      <c r="K528" s="316">
        <v>45640</v>
      </c>
      <c r="L528" s="271"/>
      <c r="M528" s="276"/>
      <c r="N528" s="290">
        <f t="shared" ref="N528:N531" si="236">ROUNDDOWN(M528*$I528,0)</f>
        <v>0</v>
      </c>
      <c r="O528" s="276"/>
      <c r="P528" s="290">
        <f t="shared" ref="P528:P531" si="237">ROUNDDOWN(O528*$I528,0)</f>
        <v>0</v>
      </c>
      <c r="Q528" s="276"/>
      <c r="R528" s="290"/>
      <c r="S528" s="276"/>
      <c r="T528" s="290"/>
      <c r="U528" s="276">
        <v>0</v>
      </c>
      <c r="V528" s="290">
        <v>0</v>
      </c>
    </row>
    <row r="529" spans="2:22" ht="19.8" customHeight="1" x14ac:dyDescent="0.6">
      <c r="B529" s="268">
        <v>3</v>
      </c>
      <c r="C529" s="255" t="s">
        <v>195</v>
      </c>
      <c r="D529" s="303" t="s">
        <v>730</v>
      </c>
      <c r="E529" s="276" t="s">
        <v>55</v>
      </c>
      <c r="G529" s="290"/>
      <c r="I529" s="290">
        <v>38.21</v>
      </c>
      <c r="J529" s="298">
        <f t="shared" si="235"/>
        <v>142026</v>
      </c>
      <c r="K529" s="316">
        <v>142026</v>
      </c>
      <c r="L529" s="271"/>
      <c r="M529" s="276"/>
      <c r="N529" s="290">
        <f t="shared" si="236"/>
        <v>0</v>
      </c>
      <c r="O529" s="276"/>
      <c r="P529" s="290">
        <f t="shared" si="237"/>
        <v>0</v>
      </c>
      <c r="Q529" s="276"/>
      <c r="R529" s="290"/>
      <c r="S529" s="276"/>
      <c r="T529" s="290"/>
      <c r="U529" s="276">
        <v>0</v>
      </c>
      <c r="V529" s="290">
        <v>0</v>
      </c>
    </row>
    <row r="530" spans="2:22" ht="19.8" customHeight="1" x14ac:dyDescent="0.6">
      <c r="B530" s="268">
        <v>4</v>
      </c>
      <c r="C530" s="255" t="s">
        <v>236</v>
      </c>
      <c r="D530" s="303" t="s">
        <v>731</v>
      </c>
      <c r="E530" s="276" t="s">
        <v>57</v>
      </c>
      <c r="G530" s="290"/>
      <c r="I530" s="290">
        <v>28359.23</v>
      </c>
      <c r="J530" s="298">
        <f t="shared" si="235"/>
        <v>9074953</v>
      </c>
      <c r="K530" s="316">
        <v>9074953</v>
      </c>
      <c r="L530" s="271" t="s">
        <v>915</v>
      </c>
      <c r="M530" s="276"/>
      <c r="N530" s="290">
        <f t="shared" si="236"/>
        <v>0</v>
      </c>
      <c r="O530" s="276"/>
      <c r="P530" s="290">
        <v>3400000</v>
      </c>
      <c r="Q530" s="276">
        <v>150</v>
      </c>
      <c r="R530" s="290">
        <v>3400000</v>
      </c>
      <c r="S530" s="276"/>
      <c r="T530" s="290"/>
      <c r="U530" s="276">
        <v>300</v>
      </c>
      <c r="V530" s="290">
        <v>11930000</v>
      </c>
    </row>
    <row r="531" spans="2:22" ht="19.8" customHeight="1" x14ac:dyDescent="0.6">
      <c r="B531" s="268">
        <v>6</v>
      </c>
      <c r="C531" s="255" t="s">
        <v>732</v>
      </c>
      <c r="D531" s="303" t="s">
        <v>329</v>
      </c>
      <c r="E531" s="276" t="s">
        <v>57</v>
      </c>
      <c r="G531" s="290"/>
      <c r="I531" s="290">
        <v>1240.5899999999999</v>
      </c>
      <c r="J531" s="298">
        <f t="shared" si="235"/>
        <v>22330</v>
      </c>
      <c r="K531" s="316">
        <v>22330</v>
      </c>
      <c r="L531" s="271"/>
      <c r="M531" s="276"/>
      <c r="N531" s="290">
        <f t="shared" si="236"/>
        <v>0</v>
      </c>
      <c r="O531" s="276"/>
      <c r="P531" s="290">
        <f t="shared" si="237"/>
        <v>0</v>
      </c>
      <c r="Q531" s="276"/>
      <c r="R531" s="290"/>
      <c r="S531" s="276"/>
      <c r="T531" s="290"/>
      <c r="U531" s="276">
        <v>0</v>
      </c>
      <c r="V531" s="290">
        <v>0</v>
      </c>
    </row>
    <row r="532" spans="2:22" ht="19.8" customHeight="1" x14ac:dyDescent="0.6">
      <c r="B532" s="268"/>
      <c r="C532" s="255" t="s">
        <v>235</v>
      </c>
      <c r="D532" s="303"/>
      <c r="E532" s="276"/>
      <c r="G532" s="290"/>
      <c r="I532" s="290"/>
      <c r="J532" s="298"/>
      <c r="K532" s="316"/>
      <c r="L532" s="271"/>
      <c r="M532" s="276"/>
      <c r="N532" s="290"/>
      <c r="O532" s="276"/>
      <c r="P532" s="290"/>
      <c r="Q532" s="276"/>
      <c r="R532" s="290"/>
      <c r="S532" s="276"/>
      <c r="T532" s="290"/>
      <c r="U532" s="276">
        <v>0</v>
      </c>
      <c r="V532" s="290">
        <v>0</v>
      </c>
    </row>
    <row r="533" spans="2:22" ht="19.8" customHeight="1" x14ac:dyDescent="0.6">
      <c r="B533" s="268">
        <v>7</v>
      </c>
      <c r="C533" s="255" t="s">
        <v>215</v>
      </c>
      <c r="D533" s="303" t="s">
        <v>733</v>
      </c>
      <c r="E533" s="276" t="s">
        <v>55</v>
      </c>
      <c r="G533" s="290"/>
      <c r="I533" s="290">
        <v>328.91</v>
      </c>
      <c r="J533" s="298">
        <f t="shared" ref="J533:J535" si="238">IF(G533="-","-",IF(D533&gt;0,ROUNDDOWN(I533*D533,0),""))</f>
        <v>624271</v>
      </c>
      <c r="K533" s="316">
        <v>624271</v>
      </c>
      <c r="L533" s="271"/>
      <c r="M533" s="276"/>
      <c r="N533" s="290">
        <f t="shared" ref="N533:N535" si="239">ROUNDDOWN(M533*$I533,0)</f>
        <v>0</v>
      </c>
      <c r="O533" s="276"/>
      <c r="P533" s="290">
        <f t="shared" ref="P533:P535" si="240">ROUNDDOWN(O533*$I533,0)</f>
        <v>0</v>
      </c>
      <c r="Q533" s="276"/>
      <c r="R533" s="290"/>
      <c r="S533" s="276"/>
      <c r="T533" s="290"/>
      <c r="U533" s="276">
        <v>0</v>
      </c>
      <c r="V533" s="290">
        <v>0</v>
      </c>
    </row>
    <row r="534" spans="2:22" ht="19.8" customHeight="1" x14ac:dyDescent="0.6">
      <c r="B534" s="268">
        <v>8</v>
      </c>
      <c r="C534" s="255" t="s">
        <v>247</v>
      </c>
      <c r="D534" s="303" t="s">
        <v>734</v>
      </c>
      <c r="E534" s="276" t="s">
        <v>55</v>
      </c>
      <c r="G534" s="290"/>
      <c r="I534" s="290">
        <v>324.95</v>
      </c>
      <c r="J534" s="298">
        <f t="shared" si="238"/>
        <v>90011</v>
      </c>
      <c r="K534" s="317">
        <v>90011</v>
      </c>
      <c r="L534" s="271"/>
      <c r="M534" s="276"/>
      <c r="N534" s="290">
        <f t="shared" si="239"/>
        <v>0</v>
      </c>
      <c r="O534" s="276"/>
      <c r="P534" s="290">
        <f t="shared" si="240"/>
        <v>0</v>
      </c>
      <c r="Q534" s="276"/>
      <c r="R534" s="290"/>
      <c r="S534" s="276"/>
      <c r="T534" s="290"/>
      <c r="U534" s="276">
        <v>0</v>
      </c>
      <c r="V534" s="290">
        <v>0</v>
      </c>
    </row>
    <row r="535" spans="2:22" ht="19.8" customHeight="1" x14ac:dyDescent="0.6">
      <c r="B535" s="268">
        <v>11</v>
      </c>
      <c r="C535" s="255" t="s">
        <v>257</v>
      </c>
      <c r="D535" s="303" t="s">
        <v>735</v>
      </c>
      <c r="E535" s="276" t="s">
        <v>54</v>
      </c>
      <c r="G535" s="290"/>
      <c r="I535" s="290">
        <v>354.97</v>
      </c>
      <c r="J535" s="298">
        <f t="shared" si="238"/>
        <v>28752</v>
      </c>
      <c r="K535" s="316">
        <v>28752</v>
      </c>
      <c r="L535" s="271"/>
      <c r="M535" s="276"/>
      <c r="N535" s="290">
        <f t="shared" si="239"/>
        <v>0</v>
      </c>
      <c r="O535" s="276"/>
      <c r="P535" s="290">
        <f t="shared" si="240"/>
        <v>0</v>
      </c>
      <c r="Q535" s="276"/>
      <c r="R535" s="290"/>
      <c r="S535" s="276"/>
      <c r="T535" s="290"/>
      <c r="U535" s="276">
        <v>0</v>
      </c>
      <c r="V535" s="290">
        <v>0</v>
      </c>
    </row>
    <row r="536" spans="2:22" ht="19.8" customHeight="1" x14ac:dyDescent="0.6">
      <c r="B536" s="268">
        <v>12</v>
      </c>
      <c r="C536" s="255" t="s">
        <v>59</v>
      </c>
      <c r="D536" s="303"/>
      <c r="E536" s="276"/>
      <c r="G536" s="290"/>
      <c r="I536" s="290"/>
      <c r="J536" s="298"/>
      <c r="K536" s="316"/>
      <c r="L536" s="271"/>
      <c r="M536" s="276"/>
      <c r="N536" s="290"/>
      <c r="O536" s="276"/>
      <c r="P536" s="290"/>
      <c r="Q536" s="276"/>
      <c r="R536" s="290"/>
      <c r="S536" s="276"/>
      <c r="T536" s="290"/>
      <c r="U536" s="276">
        <v>0</v>
      </c>
      <c r="V536" s="290">
        <v>0</v>
      </c>
    </row>
    <row r="537" spans="2:22" ht="19.8" customHeight="1" x14ac:dyDescent="0.6">
      <c r="B537" s="268"/>
      <c r="C537" s="255" t="s">
        <v>648</v>
      </c>
      <c r="D537" s="303"/>
      <c r="E537" s="276"/>
      <c r="G537" s="290"/>
      <c r="I537" s="290"/>
      <c r="J537" s="298"/>
      <c r="K537" s="316"/>
      <c r="L537" s="271"/>
      <c r="M537" s="276"/>
      <c r="N537" s="290"/>
      <c r="O537" s="276"/>
      <c r="P537" s="290"/>
      <c r="Q537" s="276"/>
      <c r="R537" s="290"/>
      <c r="S537" s="276"/>
      <c r="T537" s="290"/>
      <c r="U537" s="276">
        <v>0</v>
      </c>
      <c r="V537" s="290">
        <v>0</v>
      </c>
    </row>
    <row r="538" spans="2:22" ht="19.8" customHeight="1" x14ac:dyDescent="0.6">
      <c r="B538" s="268">
        <v>13</v>
      </c>
      <c r="C538" s="255" t="s">
        <v>243</v>
      </c>
      <c r="D538" s="303" t="s">
        <v>736</v>
      </c>
      <c r="E538" s="276" t="s">
        <v>55</v>
      </c>
      <c r="G538" s="290"/>
      <c r="I538" s="290">
        <v>617.54</v>
      </c>
      <c r="J538" s="298">
        <f t="shared" ref="J538:J545" si="241">IF(G538="-","-",IF(D538&gt;0,ROUNDDOWN(I538*D538,0),""))</f>
        <v>88925</v>
      </c>
      <c r="K538" s="316">
        <v>88925</v>
      </c>
      <c r="L538" s="271"/>
      <c r="M538" s="276"/>
      <c r="N538" s="290">
        <f t="shared" ref="N538:N545" si="242">ROUNDDOWN(M538*$I538,0)</f>
        <v>0</v>
      </c>
      <c r="O538" s="276"/>
      <c r="P538" s="290">
        <f t="shared" ref="P538:P545" si="243">ROUNDDOWN(O538*$I538,0)</f>
        <v>0</v>
      </c>
      <c r="Q538" s="276"/>
      <c r="R538" s="290"/>
      <c r="S538" s="276"/>
      <c r="T538" s="290"/>
      <c r="U538" s="276">
        <v>0</v>
      </c>
      <c r="V538" s="290">
        <v>0</v>
      </c>
    </row>
    <row r="539" spans="2:22" ht="19.8" customHeight="1" x14ac:dyDescent="0.6">
      <c r="B539" s="268">
        <v>14</v>
      </c>
      <c r="C539" s="255" t="s">
        <v>622</v>
      </c>
      <c r="D539" s="303" t="s">
        <v>737</v>
      </c>
      <c r="E539" s="276" t="s">
        <v>54</v>
      </c>
      <c r="G539" s="290"/>
      <c r="I539" s="290">
        <v>447.01</v>
      </c>
      <c r="J539" s="298">
        <f t="shared" si="241"/>
        <v>615532</v>
      </c>
      <c r="K539" s="316">
        <v>615532</v>
      </c>
      <c r="L539" s="271"/>
      <c r="M539" s="276"/>
      <c r="N539" s="290">
        <f t="shared" si="242"/>
        <v>0</v>
      </c>
      <c r="O539" s="276"/>
      <c r="P539" s="290">
        <f t="shared" si="243"/>
        <v>0</v>
      </c>
      <c r="Q539" s="276"/>
      <c r="R539" s="290"/>
      <c r="S539" s="276"/>
      <c r="T539" s="290"/>
      <c r="U539" s="276">
        <v>0</v>
      </c>
      <c r="V539" s="290">
        <v>0</v>
      </c>
    </row>
    <row r="540" spans="2:22" ht="19.8" customHeight="1" x14ac:dyDescent="0.6">
      <c r="B540" s="268">
        <v>15</v>
      </c>
      <c r="C540" s="255" t="s">
        <v>623</v>
      </c>
      <c r="D540" s="303" t="s">
        <v>738</v>
      </c>
      <c r="E540" s="276" t="s">
        <v>57</v>
      </c>
      <c r="G540" s="290"/>
      <c r="I540" s="290">
        <v>277.14</v>
      </c>
      <c r="J540" s="298">
        <f t="shared" si="241"/>
        <v>4434</v>
      </c>
      <c r="K540" s="316">
        <v>4434</v>
      </c>
      <c r="L540" s="271"/>
      <c r="M540" s="276"/>
      <c r="N540" s="290">
        <f t="shared" si="242"/>
        <v>0</v>
      </c>
      <c r="O540" s="276"/>
      <c r="P540" s="290">
        <f t="shared" si="243"/>
        <v>0</v>
      </c>
      <c r="Q540" s="276"/>
      <c r="R540" s="290"/>
      <c r="S540" s="276"/>
      <c r="T540" s="290"/>
      <c r="U540" s="276">
        <v>0</v>
      </c>
      <c r="V540" s="290">
        <v>0</v>
      </c>
    </row>
    <row r="541" spans="2:22" ht="19.8" customHeight="1" x14ac:dyDescent="0.6">
      <c r="B541" s="268">
        <v>16</v>
      </c>
      <c r="C541" s="255" t="s">
        <v>624</v>
      </c>
      <c r="D541" s="303" t="s">
        <v>739</v>
      </c>
      <c r="E541" s="276" t="s">
        <v>57</v>
      </c>
      <c r="G541" s="290"/>
      <c r="I541" s="290">
        <v>181.83</v>
      </c>
      <c r="J541" s="298">
        <f t="shared" si="241"/>
        <v>23274</v>
      </c>
      <c r="K541" s="316">
        <v>23274</v>
      </c>
      <c r="L541" s="271"/>
      <c r="M541" s="276"/>
      <c r="N541" s="290">
        <f t="shared" si="242"/>
        <v>0</v>
      </c>
      <c r="O541" s="276"/>
      <c r="P541" s="290">
        <f t="shared" si="243"/>
        <v>0</v>
      </c>
      <c r="Q541" s="276"/>
      <c r="R541" s="290"/>
      <c r="S541" s="276"/>
      <c r="T541" s="290"/>
      <c r="U541" s="276">
        <v>0</v>
      </c>
      <c r="V541" s="290">
        <v>0</v>
      </c>
    </row>
    <row r="542" spans="2:22" ht="19.8" customHeight="1" x14ac:dyDescent="0.6">
      <c r="B542" s="268">
        <v>17</v>
      </c>
      <c r="C542" s="255" t="s">
        <v>625</v>
      </c>
      <c r="D542" s="303" t="s">
        <v>729</v>
      </c>
      <c r="E542" s="276" t="s">
        <v>57</v>
      </c>
      <c r="G542" s="290"/>
      <c r="I542" s="290">
        <v>63.47</v>
      </c>
      <c r="J542" s="298">
        <f t="shared" si="241"/>
        <v>22849</v>
      </c>
      <c r="K542" s="316">
        <v>22849</v>
      </c>
      <c r="L542" s="271"/>
      <c r="M542" s="276"/>
      <c r="N542" s="290">
        <f t="shared" si="242"/>
        <v>0</v>
      </c>
      <c r="O542" s="276"/>
      <c r="P542" s="290">
        <f t="shared" si="243"/>
        <v>0</v>
      </c>
      <c r="Q542" s="276"/>
      <c r="R542" s="290"/>
      <c r="S542" s="276"/>
      <c r="T542" s="290"/>
      <c r="U542" s="276">
        <v>0</v>
      </c>
      <c r="V542" s="290">
        <v>0</v>
      </c>
    </row>
    <row r="543" spans="2:22" ht="19.8" customHeight="1" x14ac:dyDescent="0.6">
      <c r="B543" s="268">
        <v>18</v>
      </c>
      <c r="C543" s="255" t="s">
        <v>630</v>
      </c>
      <c r="D543" s="303" t="s">
        <v>737</v>
      </c>
      <c r="E543" s="276" t="s">
        <v>54</v>
      </c>
      <c r="G543" s="290"/>
      <c r="I543" s="290">
        <v>16.96</v>
      </c>
      <c r="J543" s="298">
        <f t="shared" si="241"/>
        <v>23353</v>
      </c>
      <c r="K543" s="316">
        <v>23353</v>
      </c>
      <c r="L543" s="271"/>
      <c r="M543" s="276"/>
      <c r="N543" s="290">
        <f t="shared" si="242"/>
        <v>0</v>
      </c>
      <c r="O543" s="276"/>
      <c r="P543" s="290">
        <f t="shared" si="243"/>
        <v>0</v>
      </c>
      <c r="Q543" s="276"/>
      <c r="R543" s="290"/>
      <c r="S543" s="276"/>
      <c r="T543" s="290"/>
      <c r="U543" s="276">
        <v>0</v>
      </c>
      <c r="V543" s="290">
        <v>0</v>
      </c>
    </row>
    <row r="544" spans="2:22" ht="19.8" customHeight="1" x14ac:dyDescent="0.6">
      <c r="B544" s="268">
        <v>19</v>
      </c>
      <c r="C544" s="255" t="s">
        <v>631</v>
      </c>
      <c r="D544" s="303" t="s">
        <v>737</v>
      </c>
      <c r="E544" s="276" t="s">
        <v>54</v>
      </c>
      <c r="G544" s="290"/>
      <c r="I544" s="290">
        <v>293.86</v>
      </c>
      <c r="J544" s="298">
        <f t="shared" si="241"/>
        <v>404645</v>
      </c>
      <c r="K544" s="316">
        <v>404645</v>
      </c>
      <c r="L544" s="271"/>
      <c r="M544" s="276"/>
      <c r="N544" s="290">
        <f t="shared" si="242"/>
        <v>0</v>
      </c>
      <c r="O544" s="276"/>
      <c r="P544" s="290">
        <f t="shared" si="243"/>
        <v>0</v>
      </c>
      <c r="Q544" s="276"/>
      <c r="R544" s="290"/>
      <c r="S544" s="276"/>
      <c r="T544" s="290"/>
      <c r="U544" s="276">
        <v>0</v>
      </c>
      <c r="V544" s="290">
        <v>0</v>
      </c>
    </row>
    <row r="545" spans="2:22" ht="19.8" customHeight="1" x14ac:dyDescent="0.6">
      <c r="B545" s="268">
        <v>20</v>
      </c>
      <c r="C545" s="255" t="s">
        <v>727</v>
      </c>
      <c r="D545" s="303" t="s">
        <v>740</v>
      </c>
      <c r="E545" s="276" t="s">
        <v>58</v>
      </c>
      <c r="G545" s="290"/>
      <c r="I545" s="290">
        <v>68553.009999999995</v>
      </c>
      <c r="J545" s="298">
        <f t="shared" si="241"/>
        <v>1919484</v>
      </c>
      <c r="K545" s="316">
        <v>1919484</v>
      </c>
      <c r="L545" s="271"/>
      <c r="M545" s="276"/>
      <c r="N545" s="290">
        <f t="shared" si="242"/>
        <v>0</v>
      </c>
      <c r="O545" s="276"/>
      <c r="P545" s="290">
        <f t="shared" si="243"/>
        <v>0</v>
      </c>
      <c r="Q545" s="276"/>
      <c r="R545" s="290"/>
      <c r="S545" s="276"/>
      <c r="T545" s="290"/>
      <c r="U545" s="276">
        <v>0</v>
      </c>
      <c r="V545" s="290">
        <v>0</v>
      </c>
    </row>
    <row r="546" spans="2:22" ht="19.8" customHeight="1" x14ac:dyDescent="0.6">
      <c r="B546" s="268"/>
      <c r="C546" s="255" t="s">
        <v>231</v>
      </c>
      <c r="D546" s="303"/>
      <c r="E546" s="276"/>
      <c r="G546" s="290"/>
      <c r="I546" s="290"/>
      <c r="J546" s="298"/>
      <c r="K546" s="316"/>
      <c r="L546" s="271"/>
      <c r="M546" s="276"/>
      <c r="N546" s="290"/>
      <c r="O546" s="276"/>
      <c r="P546" s="290"/>
      <c r="Q546" s="276"/>
      <c r="R546" s="290"/>
      <c r="S546" s="276"/>
      <c r="T546" s="290"/>
      <c r="U546" s="276">
        <v>0</v>
      </c>
      <c r="V546" s="290">
        <v>0</v>
      </c>
    </row>
    <row r="547" spans="2:22" ht="19.8" customHeight="1" x14ac:dyDescent="0.6">
      <c r="B547" s="268">
        <v>21</v>
      </c>
      <c r="C547" s="255" t="s">
        <v>628</v>
      </c>
      <c r="D547" s="303" t="s">
        <v>729</v>
      </c>
      <c r="E547" s="276" t="s">
        <v>57</v>
      </c>
      <c r="G547" s="290"/>
      <c r="I547" s="290">
        <v>6327.23</v>
      </c>
      <c r="J547" s="298">
        <f t="shared" ref="J547" si="244">IF(G547="-","-",IF(D547&gt;0,ROUNDDOWN(I547*D547,0),""))</f>
        <v>2277802</v>
      </c>
      <c r="K547" s="316">
        <v>2277802</v>
      </c>
      <c r="L547" s="271"/>
      <c r="M547" s="276"/>
      <c r="N547" s="290">
        <f t="shared" ref="N547" si="245">ROUNDDOWN(M547*$I547,0)</f>
        <v>0</v>
      </c>
      <c r="O547" s="276"/>
      <c r="P547" s="290">
        <f t="shared" ref="P547" si="246">ROUNDDOWN(O547*$I547,0)</f>
        <v>0</v>
      </c>
      <c r="Q547" s="276"/>
      <c r="R547" s="290"/>
      <c r="S547" s="276"/>
      <c r="T547" s="290"/>
      <c r="U547" s="276">
        <v>0</v>
      </c>
      <c r="V547" s="290">
        <v>0</v>
      </c>
    </row>
    <row r="548" spans="2:22" ht="19.8" customHeight="1" x14ac:dyDescent="0.6">
      <c r="B548" s="268"/>
      <c r="D548" s="303"/>
      <c r="E548" s="276"/>
      <c r="G548" s="290"/>
      <c r="I548" s="290"/>
      <c r="J548" s="298"/>
      <c r="K548" s="316"/>
      <c r="L548" s="271"/>
      <c r="M548" s="276"/>
      <c r="N548" s="290"/>
      <c r="O548" s="276"/>
      <c r="P548" s="290"/>
      <c r="Q548" s="276"/>
      <c r="R548" s="290"/>
      <c r="S548" s="276"/>
      <c r="T548" s="290"/>
      <c r="U548" s="276">
        <v>0</v>
      </c>
      <c r="V548" s="290">
        <v>0</v>
      </c>
    </row>
    <row r="549" spans="2:22" ht="19.8" customHeight="1" x14ac:dyDescent="0.6">
      <c r="B549" s="817" t="s">
        <v>741</v>
      </c>
      <c r="C549" s="818"/>
      <c r="D549" s="294" t="s">
        <v>729</v>
      </c>
      <c r="E549" s="257" t="s">
        <v>57</v>
      </c>
      <c r="F549" s="296"/>
      <c r="G549" s="293"/>
      <c r="H549" s="297"/>
      <c r="I549" s="293"/>
      <c r="J549" s="299">
        <f>SUM(J525:J548)</f>
        <v>15408281</v>
      </c>
      <c r="K549" s="319">
        <v>15408281</v>
      </c>
      <c r="L549" s="262"/>
      <c r="M549" s="257"/>
      <c r="N549" s="326">
        <f>SUM(N525:N548)</f>
        <v>0</v>
      </c>
      <c r="O549" s="257"/>
      <c r="P549" s="326">
        <f>SUM(P525:P548)</f>
        <v>3400000</v>
      </c>
      <c r="Q549" s="257"/>
      <c r="R549" s="326">
        <v>3400000</v>
      </c>
      <c r="S549" s="257"/>
      <c r="T549" s="326"/>
      <c r="U549" s="257">
        <v>0</v>
      </c>
      <c r="V549" s="326">
        <v>11930000</v>
      </c>
    </row>
    <row r="550" spans="2:22" ht="19.8" customHeight="1" x14ac:dyDescent="0.6">
      <c r="B550" s="306" t="s">
        <v>742</v>
      </c>
      <c r="C550" s="255" t="s">
        <v>112</v>
      </c>
      <c r="D550" s="303"/>
      <c r="E550" s="276"/>
      <c r="G550" s="290"/>
      <c r="I550" s="290"/>
      <c r="J550" s="298"/>
      <c r="K550" s="316"/>
      <c r="L550" s="271"/>
      <c r="M550" s="276"/>
      <c r="N550" s="290"/>
      <c r="O550" s="276"/>
      <c r="P550" s="290"/>
      <c r="Q550" s="276"/>
      <c r="R550" s="290"/>
      <c r="S550" s="276"/>
      <c r="T550" s="290"/>
      <c r="U550" s="276">
        <v>0</v>
      </c>
      <c r="V550" s="290">
        <v>0</v>
      </c>
    </row>
    <row r="551" spans="2:22" ht="19.8" customHeight="1" x14ac:dyDescent="0.6">
      <c r="B551" s="268">
        <v>7</v>
      </c>
      <c r="C551" s="255" t="s">
        <v>743</v>
      </c>
      <c r="D551" s="303"/>
      <c r="E551" s="276"/>
      <c r="G551" s="290"/>
      <c r="I551" s="290"/>
      <c r="J551" s="298"/>
      <c r="K551" s="316"/>
      <c r="L551" s="271"/>
      <c r="M551" s="276"/>
      <c r="N551" s="290"/>
      <c r="O551" s="276"/>
      <c r="P551" s="290"/>
      <c r="Q551" s="276"/>
      <c r="R551" s="290"/>
      <c r="S551" s="276"/>
      <c r="T551" s="290"/>
      <c r="U551" s="276">
        <v>0</v>
      </c>
      <c r="V551" s="290">
        <v>0</v>
      </c>
    </row>
    <row r="552" spans="2:22" ht="19.8" customHeight="1" x14ac:dyDescent="0.6">
      <c r="B552" s="268"/>
      <c r="C552" s="255" t="s">
        <v>744</v>
      </c>
      <c r="D552" s="303"/>
      <c r="E552" s="276"/>
      <c r="G552" s="290"/>
      <c r="I552" s="290"/>
      <c r="J552" s="298"/>
      <c r="K552" s="316"/>
      <c r="L552" s="271"/>
      <c r="M552" s="276"/>
      <c r="N552" s="290"/>
      <c r="O552" s="276"/>
      <c r="P552" s="290"/>
      <c r="Q552" s="276"/>
      <c r="R552" s="290"/>
      <c r="S552" s="276"/>
      <c r="T552" s="290"/>
      <c r="U552" s="276">
        <v>0</v>
      </c>
      <c r="V552" s="290">
        <v>0</v>
      </c>
    </row>
    <row r="553" spans="2:22" ht="19.8" customHeight="1" x14ac:dyDescent="0.6">
      <c r="B553" s="268">
        <v>1</v>
      </c>
      <c r="C553" s="255" t="s">
        <v>259</v>
      </c>
      <c r="D553" s="303" t="s">
        <v>749</v>
      </c>
      <c r="E553" s="276" t="s">
        <v>54</v>
      </c>
      <c r="G553" s="290"/>
      <c r="I553" s="290">
        <v>108.36</v>
      </c>
      <c r="J553" s="298">
        <f t="shared" ref="J553:J557" si="247">IF(G553="-","-",IF(D553&gt;0,ROUNDDOWN(I553*D553,0),""))</f>
        <v>357588</v>
      </c>
      <c r="K553" s="316">
        <v>357588</v>
      </c>
      <c r="L553" s="271"/>
      <c r="M553" s="276"/>
      <c r="N553" s="290">
        <f t="shared" ref="N553:N557" si="248">ROUNDDOWN(M553*$I553,0)</f>
        <v>0</v>
      </c>
      <c r="O553" s="276"/>
      <c r="P553" s="290">
        <f t="shared" ref="P553:P557" si="249">ROUNDDOWN(O553*$I553,0)</f>
        <v>0</v>
      </c>
      <c r="Q553" s="276"/>
      <c r="R553" s="290"/>
      <c r="S553" s="276"/>
      <c r="T553" s="290"/>
      <c r="U553" s="276">
        <v>0</v>
      </c>
      <c r="V553" s="290">
        <v>0</v>
      </c>
    </row>
    <row r="554" spans="2:22" ht="19.8" customHeight="1" x14ac:dyDescent="0.6">
      <c r="B554" s="268">
        <v>2</v>
      </c>
      <c r="C554" s="255" t="s">
        <v>604</v>
      </c>
      <c r="D554" s="303" t="s">
        <v>750</v>
      </c>
      <c r="E554" s="276" t="s">
        <v>57</v>
      </c>
      <c r="G554" s="290"/>
      <c r="I554" s="290">
        <v>126.78</v>
      </c>
      <c r="J554" s="298">
        <f t="shared" si="247"/>
        <v>15847</v>
      </c>
      <c r="K554" s="316">
        <v>15847</v>
      </c>
      <c r="L554" s="271"/>
      <c r="M554" s="276"/>
      <c r="N554" s="290">
        <f t="shared" si="248"/>
        <v>0</v>
      </c>
      <c r="O554" s="276"/>
      <c r="P554" s="290">
        <f t="shared" si="249"/>
        <v>0</v>
      </c>
      <c r="Q554" s="276"/>
      <c r="R554" s="290"/>
      <c r="S554" s="276"/>
      <c r="T554" s="290"/>
      <c r="U554" s="276">
        <v>0</v>
      </c>
      <c r="V554" s="290">
        <v>0</v>
      </c>
    </row>
    <row r="555" spans="2:22" ht="19.8" customHeight="1" x14ac:dyDescent="0.6">
      <c r="B555" s="268">
        <v>3</v>
      </c>
      <c r="C555" s="255" t="s">
        <v>195</v>
      </c>
      <c r="D555" s="303" t="s">
        <v>751</v>
      </c>
      <c r="E555" s="276" t="s">
        <v>55</v>
      </c>
      <c r="G555" s="290"/>
      <c r="I555" s="290">
        <v>38.21</v>
      </c>
      <c r="J555" s="298">
        <f t="shared" si="247"/>
        <v>66600</v>
      </c>
      <c r="K555" s="316">
        <v>66600</v>
      </c>
      <c r="L555" s="271"/>
      <c r="M555" s="276"/>
      <c r="N555" s="290">
        <f t="shared" si="248"/>
        <v>0</v>
      </c>
      <c r="O555" s="276"/>
      <c r="P555" s="290">
        <f t="shared" si="249"/>
        <v>0</v>
      </c>
      <c r="Q555" s="276"/>
      <c r="R555" s="290"/>
      <c r="S555" s="276"/>
      <c r="T555" s="290"/>
      <c r="U555" s="276">
        <v>0</v>
      </c>
      <c r="V555" s="290">
        <v>0</v>
      </c>
    </row>
    <row r="556" spans="2:22" ht="19.8" customHeight="1" x14ac:dyDescent="0.6">
      <c r="B556" s="268">
        <v>4</v>
      </c>
      <c r="C556" s="255" t="s">
        <v>236</v>
      </c>
      <c r="D556" s="303" t="s">
        <v>752</v>
      </c>
      <c r="E556" s="276" t="s">
        <v>57</v>
      </c>
      <c r="G556" s="290"/>
      <c r="I556" s="290">
        <v>28359.23</v>
      </c>
      <c r="J556" s="298">
        <f t="shared" si="247"/>
        <v>3147874</v>
      </c>
      <c r="K556" s="316">
        <v>3147874</v>
      </c>
      <c r="L556" s="271" t="s">
        <v>843</v>
      </c>
      <c r="M556" s="276"/>
      <c r="N556" s="290">
        <f t="shared" si="248"/>
        <v>0</v>
      </c>
      <c r="O556" s="276">
        <v>100</v>
      </c>
      <c r="P556" s="290">
        <v>2510000</v>
      </c>
      <c r="Q556" s="276"/>
      <c r="R556" s="290"/>
      <c r="S556" s="276"/>
      <c r="T556" s="290"/>
      <c r="U556" s="276">
        <v>100</v>
      </c>
      <c r="V556" s="290">
        <v>2510000</v>
      </c>
    </row>
    <row r="557" spans="2:22" ht="19.8" customHeight="1" x14ac:dyDescent="0.6">
      <c r="B557" s="268">
        <v>6</v>
      </c>
      <c r="C557" s="255" t="s">
        <v>753</v>
      </c>
      <c r="D557" s="303" t="s">
        <v>422</v>
      </c>
      <c r="E557" s="276" t="s">
        <v>57</v>
      </c>
      <c r="G557" s="290"/>
      <c r="I557" s="290">
        <v>1240.5899999999999</v>
      </c>
      <c r="J557" s="298">
        <f t="shared" si="247"/>
        <v>7443</v>
      </c>
      <c r="K557" s="316">
        <v>7443</v>
      </c>
      <c r="L557" s="271"/>
      <c r="M557" s="276"/>
      <c r="N557" s="290">
        <f t="shared" si="248"/>
        <v>0</v>
      </c>
      <c r="O557" s="276"/>
      <c r="P557" s="290">
        <f t="shared" si="249"/>
        <v>0</v>
      </c>
      <c r="Q557" s="276"/>
      <c r="R557" s="290"/>
      <c r="S557" s="276"/>
      <c r="T557" s="290"/>
      <c r="U557" s="276">
        <v>0</v>
      </c>
      <c r="V557" s="290">
        <v>0</v>
      </c>
    </row>
    <row r="558" spans="2:22" ht="19.8" customHeight="1" x14ac:dyDescent="0.6">
      <c r="B558" s="268"/>
      <c r="C558" s="255" t="s">
        <v>235</v>
      </c>
      <c r="D558" s="303"/>
      <c r="E558" s="276"/>
      <c r="G558" s="290"/>
      <c r="I558" s="290"/>
      <c r="J558" s="298"/>
      <c r="K558" s="316"/>
      <c r="L558" s="271"/>
      <c r="M558" s="276"/>
      <c r="N558" s="290"/>
      <c r="O558" s="276"/>
      <c r="P558" s="290"/>
      <c r="Q558" s="276"/>
      <c r="R558" s="290"/>
      <c r="S558" s="276"/>
      <c r="T558" s="290"/>
      <c r="U558" s="276">
        <v>0</v>
      </c>
      <c r="V558" s="290">
        <v>0</v>
      </c>
    </row>
    <row r="559" spans="2:22" ht="19.8" customHeight="1" x14ac:dyDescent="0.6">
      <c r="B559" s="268">
        <v>7</v>
      </c>
      <c r="C559" s="255" t="s">
        <v>215</v>
      </c>
      <c r="D559" s="303" t="s">
        <v>754</v>
      </c>
      <c r="E559" s="276" t="s">
        <v>55</v>
      </c>
      <c r="G559" s="290"/>
      <c r="I559" s="290">
        <v>328.91</v>
      </c>
      <c r="J559" s="298">
        <f t="shared" ref="J559:J562" si="250">IF(G559="-","-",IF(D559&gt;0,ROUNDDOWN(I559*D559,0),""))</f>
        <v>355222</v>
      </c>
      <c r="K559" s="316">
        <v>355222</v>
      </c>
      <c r="L559" s="271"/>
      <c r="M559" s="276"/>
      <c r="N559" s="290">
        <f t="shared" ref="N559:N562" si="251">ROUNDDOWN(M559*$I559,0)</f>
        <v>0</v>
      </c>
      <c r="O559" s="276"/>
      <c r="P559" s="290">
        <f t="shared" ref="P559:P562" si="252">ROUNDDOWN(O559*$I559,0)</f>
        <v>0</v>
      </c>
      <c r="Q559" s="276"/>
      <c r="R559" s="290"/>
      <c r="S559" s="276"/>
      <c r="T559" s="290"/>
      <c r="U559" s="276">
        <v>0</v>
      </c>
      <c r="V559" s="290">
        <v>0</v>
      </c>
    </row>
    <row r="560" spans="2:22" ht="19.8" customHeight="1" x14ac:dyDescent="0.6">
      <c r="B560" s="268">
        <v>8</v>
      </c>
      <c r="C560" s="255" t="s">
        <v>247</v>
      </c>
      <c r="D560" s="303" t="s">
        <v>755</v>
      </c>
      <c r="E560" s="276" t="s">
        <v>55</v>
      </c>
      <c r="G560" s="290"/>
      <c r="I560" s="290">
        <v>324.95</v>
      </c>
      <c r="J560" s="298">
        <f t="shared" si="250"/>
        <v>338207</v>
      </c>
      <c r="K560" s="316">
        <v>338207</v>
      </c>
      <c r="L560" s="271"/>
      <c r="M560" s="276"/>
      <c r="N560" s="290">
        <f t="shared" si="251"/>
        <v>0</v>
      </c>
      <c r="O560" s="276"/>
      <c r="P560" s="290">
        <f t="shared" si="252"/>
        <v>0</v>
      </c>
      <c r="Q560" s="276"/>
      <c r="R560" s="290"/>
      <c r="S560" s="276"/>
      <c r="T560" s="290"/>
      <c r="U560" s="276">
        <v>0</v>
      </c>
      <c r="V560" s="290">
        <v>0</v>
      </c>
    </row>
    <row r="561" spans="2:22" ht="19.8" customHeight="1" x14ac:dyDescent="0.6">
      <c r="B561" s="268">
        <v>13</v>
      </c>
      <c r="C561" s="255" t="s">
        <v>257</v>
      </c>
      <c r="D561" s="303" t="s">
        <v>756</v>
      </c>
      <c r="E561" s="276" t="s">
        <v>54</v>
      </c>
      <c r="G561" s="290"/>
      <c r="I561" s="290">
        <v>354.97</v>
      </c>
      <c r="J561" s="298">
        <f t="shared" si="250"/>
        <v>65669</v>
      </c>
      <c r="K561" s="316">
        <v>65669</v>
      </c>
      <c r="L561" s="271"/>
      <c r="M561" s="276"/>
      <c r="N561" s="290">
        <f t="shared" si="251"/>
        <v>0</v>
      </c>
      <c r="O561" s="276"/>
      <c r="P561" s="290">
        <f t="shared" si="252"/>
        <v>0</v>
      </c>
      <c r="Q561" s="276"/>
      <c r="R561" s="290"/>
      <c r="S561" s="276"/>
      <c r="T561" s="290"/>
      <c r="U561" s="276">
        <v>0</v>
      </c>
      <c r="V561" s="290">
        <v>0</v>
      </c>
    </row>
    <row r="562" spans="2:22" ht="19.8" customHeight="1" x14ac:dyDescent="0.6">
      <c r="B562" s="268">
        <v>14</v>
      </c>
      <c r="C562" s="255" t="s">
        <v>261</v>
      </c>
      <c r="D562" s="303" t="s">
        <v>757</v>
      </c>
      <c r="E562" s="276" t="s">
        <v>57</v>
      </c>
      <c r="G562" s="290"/>
      <c r="I562" s="290">
        <v>7275.73</v>
      </c>
      <c r="J562" s="298">
        <f t="shared" si="250"/>
        <v>1637039</v>
      </c>
      <c r="K562" s="316">
        <v>1637039</v>
      </c>
      <c r="L562" s="271"/>
      <c r="M562" s="276"/>
      <c r="N562" s="290">
        <f t="shared" si="251"/>
        <v>0</v>
      </c>
      <c r="O562" s="276"/>
      <c r="P562" s="290">
        <f t="shared" si="252"/>
        <v>0</v>
      </c>
      <c r="Q562" s="276"/>
      <c r="R562" s="290"/>
      <c r="S562" s="276"/>
      <c r="T562" s="290"/>
      <c r="U562" s="276">
        <v>0</v>
      </c>
      <c r="V562" s="290">
        <v>0</v>
      </c>
    </row>
    <row r="563" spans="2:22" ht="19.8" customHeight="1" x14ac:dyDescent="0.6">
      <c r="B563" s="268"/>
      <c r="C563" s="255" t="s">
        <v>262</v>
      </c>
      <c r="D563" s="303"/>
      <c r="E563" s="276"/>
      <c r="G563" s="290"/>
      <c r="I563" s="290"/>
      <c r="J563" s="298"/>
      <c r="K563" s="316"/>
      <c r="L563" s="271"/>
      <c r="M563" s="276"/>
      <c r="N563" s="290"/>
      <c r="O563" s="276"/>
      <c r="P563" s="290"/>
      <c r="Q563" s="276"/>
      <c r="R563" s="290"/>
      <c r="S563" s="276"/>
      <c r="T563" s="290"/>
      <c r="U563" s="276">
        <v>0</v>
      </c>
      <c r="V563" s="290">
        <v>0</v>
      </c>
    </row>
    <row r="564" spans="2:22" ht="19.8" customHeight="1" x14ac:dyDescent="0.6">
      <c r="B564" s="268">
        <v>15</v>
      </c>
      <c r="C564" s="255" t="s">
        <v>745</v>
      </c>
      <c r="D564" s="303" t="s">
        <v>758</v>
      </c>
      <c r="E564" s="276" t="s">
        <v>57</v>
      </c>
      <c r="G564" s="290"/>
      <c r="I564" s="290">
        <v>1498.25</v>
      </c>
      <c r="J564" s="298">
        <f t="shared" ref="J564:J566" si="253">IF(G564="-","-",IF(D564&gt;0,ROUNDDOWN(I564*D564,0),""))</f>
        <v>34459</v>
      </c>
      <c r="K564" s="316">
        <v>34459</v>
      </c>
      <c r="L564" s="271"/>
      <c r="M564" s="276"/>
      <c r="N564" s="290">
        <f t="shared" ref="N564:N566" si="254">ROUNDDOWN(M564*$I564,0)</f>
        <v>0</v>
      </c>
      <c r="O564" s="276"/>
      <c r="P564" s="290">
        <f t="shared" ref="P564:P566" si="255">ROUNDDOWN(O564*$I564,0)</f>
        <v>0</v>
      </c>
      <c r="Q564" s="276"/>
      <c r="R564" s="290"/>
      <c r="S564" s="276"/>
      <c r="T564" s="290"/>
      <c r="U564" s="276">
        <v>0</v>
      </c>
      <c r="V564" s="290">
        <v>0</v>
      </c>
    </row>
    <row r="565" spans="2:22" ht="19.8" customHeight="1" x14ac:dyDescent="0.6">
      <c r="B565" s="268">
        <v>16</v>
      </c>
      <c r="C565" s="255" t="s">
        <v>263</v>
      </c>
      <c r="D565" s="303" t="s">
        <v>759</v>
      </c>
      <c r="E565" s="276" t="s">
        <v>57</v>
      </c>
      <c r="G565" s="290"/>
      <c r="I565" s="290">
        <v>798.68</v>
      </c>
      <c r="J565" s="298">
        <f t="shared" si="253"/>
        <v>273148</v>
      </c>
      <c r="K565" s="316">
        <v>273148</v>
      </c>
      <c r="L565" s="271"/>
      <c r="M565" s="276"/>
      <c r="N565" s="290">
        <f t="shared" si="254"/>
        <v>0</v>
      </c>
      <c r="O565" s="276"/>
      <c r="P565" s="290">
        <f t="shared" si="255"/>
        <v>0</v>
      </c>
      <c r="Q565" s="276"/>
      <c r="R565" s="290"/>
      <c r="S565" s="276"/>
      <c r="T565" s="290"/>
      <c r="U565" s="276">
        <v>0</v>
      </c>
      <c r="V565" s="290">
        <v>0</v>
      </c>
    </row>
    <row r="566" spans="2:22" ht="19.8" customHeight="1" x14ac:dyDescent="0.6">
      <c r="B566" s="268">
        <v>17</v>
      </c>
      <c r="C566" s="255" t="s">
        <v>237</v>
      </c>
      <c r="D566" s="303" t="s">
        <v>760</v>
      </c>
      <c r="E566" s="276" t="s">
        <v>54</v>
      </c>
      <c r="G566" s="290"/>
      <c r="I566" s="290">
        <v>685.58</v>
      </c>
      <c r="J566" s="298">
        <f t="shared" si="253"/>
        <v>1061277</v>
      </c>
      <c r="K566" s="316">
        <v>1061277</v>
      </c>
      <c r="L566" s="271"/>
      <c r="M566" s="276"/>
      <c r="N566" s="290">
        <f t="shared" si="254"/>
        <v>0</v>
      </c>
      <c r="O566" s="276"/>
      <c r="P566" s="290">
        <f t="shared" si="255"/>
        <v>0</v>
      </c>
      <c r="Q566" s="276"/>
      <c r="R566" s="290"/>
      <c r="S566" s="276"/>
      <c r="T566" s="290"/>
      <c r="U566" s="276">
        <v>0</v>
      </c>
      <c r="V566" s="290">
        <v>0</v>
      </c>
    </row>
    <row r="567" spans="2:22" ht="19.8" customHeight="1" x14ac:dyDescent="0.6">
      <c r="B567" s="268">
        <v>18</v>
      </c>
      <c r="C567" s="255" t="s">
        <v>746</v>
      </c>
      <c r="D567" s="303"/>
      <c r="E567" s="276"/>
      <c r="G567" s="290"/>
      <c r="I567" s="290"/>
      <c r="J567" s="298"/>
      <c r="K567" s="316"/>
      <c r="L567" s="271"/>
      <c r="M567" s="276"/>
      <c r="N567" s="290"/>
      <c r="O567" s="276"/>
      <c r="P567" s="290"/>
      <c r="Q567" s="276"/>
      <c r="R567" s="290"/>
      <c r="S567" s="276"/>
      <c r="T567" s="290"/>
      <c r="U567" s="276">
        <v>0</v>
      </c>
      <c r="V567" s="290">
        <v>0</v>
      </c>
    </row>
    <row r="568" spans="2:22" ht="19.8" customHeight="1" x14ac:dyDescent="0.6">
      <c r="B568" s="268">
        <v>19</v>
      </c>
      <c r="C568" s="255" t="s">
        <v>243</v>
      </c>
      <c r="D568" s="303" t="s">
        <v>761</v>
      </c>
      <c r="E568" s="276" t="s">
        <v>55</v>
      </c>
      <c r="G568" s="290"/>
      <c r="I568" s="290">
        <v>617.54</v>
      </c>
      <c r="J568" s="298">
        <f t="shared" ref="J568:J575" si="256">IF(G568="-","-",IF(D568&gt;0,ROUNDDOWN(I568*D568,0),""))</f>
        <v>321367</v>
      </c>
      <c r="K568" s="316">
        <v>321367</v>
      </c>
      <c r="L568" s="271"/>
      <c r="M568" s="276"/>
      <c r="N568" s="290">
        <f t="shared" ref="N568:N575" si="257">ROUNDDOWN(M568*$I568,0)</f>
        <v>0</v>
      </c>
      <c r="O568" s="276"/>
      <c r="P568" s="290">
        <f t="shared" ref="P568:P575" si="258">ROUNDDOWN(O568*$I568,0)</f>
        <v>0</v>
      </c>
      <c r="Q568" s="276"/>
      <c r="R568" s="290"/>
      <c r="S568" s="276"/>
      <c r="T568" s="290"/>
      <c r="U568" s="276">
        <v>0</v>
      </c>
      <c r="V568" s="290">
        <v>0</v>
      </c>
    </row>
    <row r="569" spans="2:22" ht="19.8" customHeight="1" x14ac:dyDescent="0.6">
      <c r="B569" s="268">
        <v>20</v>
      </c>
      <c r="C569" s="255" t="s">
        <v>622</v>
      </c>
      <c r="D569" s="303" t="s">
        <v>762</v>
      </c>
      <c r="E569" s="276" t="s">
        <v>54</v>
      </c>
      <c r="G569" s="290"/>
      <c r="I569" s="290">
        <v>447.01</v>
      </c>
      <c r="J569" s="298">
        <f t="shared" si="256"/>
        <v>2326240</v>
      </c>
      <c r="K569" s="316">
        <v>2326240</v>
      </c>
      <c r="L569" s="271"/>
      <c r="M569" s="276"/>
      <c r="N569" s="290">
        <f t="shared" si="257"/>
        <v>0</v>
      </c>
      <c r="O569" s="276"/>
      <c r="P569" s="290">
        <f t="shared" si="258"/>
        <v>0</v>
      </c>
      <c r="Q569" s="276"/>
      <c r="R569" s="290"/>
      <c r="S569" s="276"/>
      <c r="T569" s="290"/>
      <c r="U569" s="276">
        <v>0</v>
      </c>
      <c r="V569" s="290">
        <v>0</v>
      </c>
    </row>
    <row r="570" spans="2:22" ht="19.8" customHeight="1" x14ac:dyDescent="0.6">
      <c r="B570" s="268">
        <v>21</v>
      </c>
      <c r="C570" s="255" t="s">
        <v>623</v>
      </c>
      <c r="D570" s="303" t="s">
        <v>763</v>
      </c>
      <c r="E570" s="276" t="s">
        <v>57</v>
      </c>
      <c r="G570" s="290"/>
      <c r="I570" s="290">
        <v>277.14</v>
      </c>
      <c r="J570" s="298">
        <f t="shared" si="256"/>
        <v>14411</v>
      </c>
      <c r="K570" s="316">
        <v>14411</v>
      </c>
      <c r="L570" s="271"/>
      <c r="M570" s="276"/>
      <c r="N570" s="290">
        <f t="shared" si="257"/>
        <v>0</v>
      </c>
      <c r="O570" s="276"/>
      <c r="P570" s="290">
        <f t="shared" si="258"/>
        <v>0</v>
      </c>
      <c r="Q570" s="276"/>
      <c r="R570" s="290"/>
      <c r="S570" s="276"/>
      <c r="T570" s="290"/>
      <c r="U570" s="276">
        <v>0</v>
      </c>
      <c r="V570" s="290">
        <v>0</v>
      </c>
    </row>
    <row r="571" spans="2:22" ht="19.8" customHeight="1" x14ac:dyDescent="0.6">
      <c r="B571" s="268">
        <v>22</v>
      </c>
      <c r="C571" s="255" t="s">
        <v>747</v>
      </c>
      <c r="D571" s="303" t="s">
        <v>764</v>
      </c>
      <c r="E571" s="276" t="s">
        <v>57</v>
      </c>
      <c r="G571" s="290"/>
      <c r="I571" s="290">
        <v>181.83</v>
      </c>
      <c r="J571" s="298">
        <f t="shared" si="256"/>
        <v>84187</v>
      </c>
      <c r="K571" s="316">
        <v>84187</v>
      </c>
      <c r="L571" s="271"/>
      <c r="M571" s="276"/>
      <c r="N571" s="290">
        <f t="shared" si="257"/>
        <v>0</v>
      </c>
      <c r="O571" s="276"/>
      <c r="P571" s="290">
        <f t="shared" si="258"/>
        <v>0</v>
      </c>
      <c r="Q571" s="276"/>
      <c r="R571" s="290"/>
      <c r="S571" s="276"/>
      <c r="T571" s="290"/>
      <c r="U571" s="276">
        <v>0</v>
      </c>
      <c r="V571" s="290">
        <v>0</v>
      </c>
    </row>
    <row r="572" spans="2:22" ht="19.8" customHeight="1" x14ac:dyDescent="0.6">
      <c r="B572" s="268">
        <v>23</v>
      </c>
      <c r="C572" s="255" t="s">
        <v>625</v>
      </c>
      <c r="D572" s="303" t="s">
        <v>765</v>
      </c>
      <c r="E572" s="276" t="s">
        <v>57</v>
      </c>
      <c r="G572" s="290"/>
      <c r="I572" s="290">
        <v>63.47</v>
      </c>
      <c r="J572" s="298">
        <f t="shared" si="256"/>
        <v>52362</v>
      </c>
      <c r="K572" s="316">
        <v>52362</v>
      </c>
      <c r="L572" s="271"/>
      <c r="M572" s="276"/>
      <c r="N572" s="290">
        <f t="shared" si="257"/>
        <v>0</v>
      </c>
      <c r="O572" s="276"/>
      <c r="P572" s="290">
        <f t="shared" si="258"/>
        <v>0</v>
      </c>
      <c r="Q572" s="276"/>
      <c r="R572" s="290"/>
      <c r="S572" s="276"/>
      <c r="T572" s="290"/>
      <c r="U572" s="276">
        <v>0</v>
      </c>
      <c r="V572" s="290">
        <v>0</v>
      </c>
    </row>
    <row r="573" spans="2:22" ht="19.8" customHeight="1" x14ac:dyDescent="0.6">
      <c r="B573" s="268">
        <v>24</v>
      </c>
      <c r="C573" s="255" t="s">
        <v>630</v>
      </c>
      <c r="D573" s="303" t="s">
        <v>762</v>
      </c>
      <c r="E573" s="276" t="s">
        <v>54</v>
      </c>
      <c r="G573" s="290"/>
      <c r="I573" s="290">
        <v>16.96</v>
      </c>
      <c r="J573" s="298">
        <f t="shared" si="256"/>
        <v>88259</v>
      </c>
      <c r="K573" s="316">
        <v>88259</v>
      </c>
      <c r="L573" s="271"/>
      <c r="M573" s="276"/>
      <c r="N573" s="290">
        <f t="shared" si="257"/>
        <v>0</v>
      </c>
      <c r="O573" s="276"/>
      <c r="P573" s="290">
        <f t="shared" si="258"/>
        <v>0</v>
      </c>
      <c r="Q573" s="276"/>
      <c r="R573" s="290"/>
      <c r="S573" s="276"/>
      <c r="T573" s="290"/>
      <c r="U573" s="276">
        <v>0</v>
      </c>
      <c r="V573" s="290">
        <v>0</v>
      </c>
    </row>
    <row r="574" spans="2:22" ht="19.8" customHeight="1" x14ac:dyDescent="0.6">
      <c r="B574" s="268">
        <v>25</v>
      </c>
      <c r="C574" s="255" t="s">
        <v>631</v>
      </c>
      <c r="D574" s="303" t="s">
        <v>762</v>
      </c>
      <c r="E574" s="276" t="s">
        <v>54</v>
      </c>
      <c r="G574" s="290"/>
      <c r="I574" s="290">
        <v>293.86</v>
      </c>
      <c r="J574" s="298">
        <f t="shared" si="256"/>
        <v>1529247</v>
      </c>
      <c r="K574" s="316">
        <v>1529247</v>
      </c>
      <c r="L574" s="271"/>
      <c r="M574" s="276"/>
      <c r="N574" s="290">
        <f t="shared" si="257"/>
        <v>0</v>
      </c>
      <c r="O574" s="276"/>
      <c r="P574" s="290">
        <f t="shared" si="258"/>
        <v>0</v>
      </c>
      <c r="Q574" s="276"/>
      <c r="R574" s="290"/>
      <c r="S574" s="276"/>
      <c r="T574" s="290"/>
      <c r="U574" s="276">
        <v>0</v>
      </c>
      <c r="V574" s="290">
        <v>0</v>
      </c>
    </row>
    <row r="575" spans="2:22" ht="19.8" customHeight="1" x14ac:dyDescent="0.6">
      <c r="B575" s="268">
        <v>25</v>
      </c>
      <c r="C575" s="255" t="s">
        <v>748</v>
      </c>
      <c r="D575" s="303" t="s">
        <v>572</v>
      </c>
      <c r="E575" s="276" t="s">
        <v>58</v>
      </c>
      <c r="G575" s="290"/>
      <c r="I575" s="290">
        <v>88382.92</v>
      </c>
      <c r="J575" s="298">
        <f t="shared" si="256"/>
        <v>883829</v>
      </c>
      <c r="K575" s="316">
        <v>883829</v>
      </c>
      <c r="L575" s="271"/>
      <c r="M575" s="276"/>
      <c r="N575" s="290">
        <f t="shared" si="257"/>
        <v>0</v>
      </c>
      <c r="O575" s="276"/>
      <c r="P575" s="290">
        <f t="shared" si="258"/>
        <v>0</v>
      </c>
      <c r="Q575" s="276"/>
      <c r="R575" s="290"/>
      <c r="S575" s="276"/>
      <c r="T575" s="290"/>
      <c r="U575" s="276">
        <v>0</v>
      </c>
      <c r="V575" s="290">
        <v>0</v>
      </c>
    </row>
    <row r="576" spans="2:22" ht="19.8" customHeight="1" x14ac:dyDescent="0.6">
      <c r="B576" s="268"/>
      <c r="C576" s="255" t="s">
        <v>231</v>
      </c>
      <c r="D576" s="303"/>
      <c r="E576" s="276"/>
      <c r="G576" s="290"/>
      <c r="I576" s="290"/>
      <c r="J576" s="298"/>
      <c r="K576" s="316"/>
      <c r="L576" s="271"/>
      <c r="M576" s="276"/>
      <c r="N576" s="290"/>
      <c r="O576" s="276"/>
      <c r="P576" s="290"/>
      <c r="Q576" s="276"/>
      <c r="R576" s="290"/>
      <c r="S576" s="276"/>
      <c r="T576" s="290"/>
      <c r="U576" s="276">
        <v>0</v>
      </c>
      <c r="V576" s="290">
        <v>0</v>
      </c>
    </row>
    <row r="577" spans="2:22" ht="19.8" customHeight="1" x14ac:dyDescent="0.6">
      <c r="B577" s="268">
        <v>26</v>
      </c>
      <c r="C577" s="255" t="s">
        <v>766</v>
      </c>
      <c r="D577" s="303" t="s">
        <v>750</v>
      </c>
      <c r="E577" s="276" t="s">
        <v>57</v>
      </c>
      <c r="G577" s="290"/>
      <c r="I577" s="290">
        <v>7376</v>
      </c>
      <c r="J577" s="298">
        <f t="shared" ref="J577:J578" si="259">IF(G577="-","-",IF(D577&gt;0,ROUNDDOWN(I577*D577,0),""))</f>
        <v>922000</v>
      </c>
      <c r="K577" s="316">
        <v>922000</v>
      </c>
      <c r="L577" s="271"/>
      <c r="M577" s="276"/>
      <c r="N577" s="290">
        <f t="shared" ref="N577:N578" si="260">ROUNDDOWN(M577*$I577,0)</f>
        <v>0</v>
      </c>
      <c r="O577" s="276"/>
      <c r="P577" s="290">
        <f t="shared" ref="P577:P578" si="261">ROUNDDOWN(O577*$I577,0)</f>
        <v>0</v>
      </c>
      <c r="Q577" s="276"/>
      <c r="R577" s="290"/>
      <c r="S577" s="276"/>
      <c r="T577" s="290"/>
      <c r="U577" s="276">
        <v>0</v>
      </c>
      <c r="V577" s="290">
        <v>0</v>
      </c>
    </row>
    <row r="578" spans="2:22" ht="19.8" customHeight="1" x14ac:dyDescent="0.6">
      <c r="B578" s="268">
        <v>27</v>
      </c>
      <c r="C578" s="255" t="s">
        <v>767</v>
      </c>
      <c r="D578" s="303" t="s">
        <v>389</v>
      </c>
      <c r="E578" s="276" t="s">
        <v>58</v>
      </c>
      <c r="G578" s="290"/>
      <c r="I578" s="290">
        <v>1424984.1</v>
      </c>
      <c r="J578" s="298">
        <f t="shared" si="259"/>
        <v>1424984</v>
      </c>
      <c r="K578" s="316">
        <v>1424984</v>
      </c>
      <c r="L578" s="271"/>
      <c r="M578" s="276"/>
      <c r="N578" s="290">
        <f t="shared" si="260"/>
        <v>0</v>
      </c>
      <c r="O578" s="276"/>
      <c r="P578" s="290">
        <f t="shared" si="261"/>
        <v>0</v>
      </c>
      <c r="Q578" s="276"/>
      <c r="R578" s="290"/>
      <c r="S578" s="276"/>
      <c r="T578" s="290"/>
      <c r="U578" s="276">
        <v>0</v>
      </c>
      <c r="V578" s="290">
        <v>0</v>
      </c>
    </row>
    <row r="579" spans="2:22" ht="19.8" customHeight="1" x14ac:dyDescent="0.6">
      <c r="B579" s="268"/>
      <c r="D579" s="303"/>
      <c r="E579" s="276"/>
      <c r="G579" s="290"/>
      <c r="I579" s="290"/>
      <c r="J579" s="298"/>
      <c r="K579" s="316"/>
      <c r="L579" s="271"/>
      <c r="M579" s="276"/>
      <c r="N579" s="290"/>
      <c r="O579" s="276"/>
      <c r="P579" s="290"/>
      <c r="Q579" s="276"/>
      <c r="R579" s="290"/>
      <c r="S579" s="276"/>
      <c r="T579" s="290"/>
      <c r="U579" s="276">
        <v>0</v>
      </c>
      <c r="V579" s="290">
        <v>0</v>
      </c>
    </row>
    <row r="580" spans="2:22" ht="19.8" customHeight="1" x14ac:dyDescent="0.6">
      <c r="B580" s="817" t="s">
        <v>768</v>
      </c>
      <c r="C580" s="818"/>
      <c r="D580" s="294" t="s">
        <v>765</v>
      </c>
      <c r="E580" s="257" t="s">
        <v>57</v>
      </c>
      <c r="F580" s="296"/>
      <c r="G580" s="293"/>
      <c r="H580" s="297"/>
      <c r="I580" s="293"/>
      <c r="J580" s="299">
        <f>SUM(J550:J579)</f>
        <v>15007259</v>
      </c>
      <c r="K580" s="319">
        <v>15007259</v>
      </c>
      <c r="L580" s="262"/>
      <c r="M580" s="257"/>
      <c r="N580" s="326">
        <f>SUM(N550:N579)</f>
        <v>0</v>
      </c>
      <c r="O580" s="257"/>
      <c r="P580" s="326">
        <f>SUM(P550:P579)</f>
        <v>2510000</v>
      </c>
      <c r="Q580" s="257"/>
      <c r="R580" s="326">
        <v>0</v>
      </c>
      <c r="S580" s="257"/>
      <c r="T580" s="326">
        <v>0</v>
      </c>
      <c r="U580" s="257">
        <v>0</v>
      </c>
      <c r="V580" s="326">
        <v>2510000</v>
      </c>
    </row>
    <row r="581" spans="2:22" ht="19.8" customHeight="1" x14ac:dyDescent="0.6">
      <c r="B581" s="306">
        <v>3.8</v>
      </c>
      <c r="C581" s="255" t="s">
        <v>769</v>
      </c>
      <c r="D581" s="303"/>
      <c r="E581" s="276"/>
      <c r="G581" s="290"/>
      <c r="I581" s="290"/>
      <c r="J581" s="298"/>
      <c r="K581" s="316"/>
      <c r="L581" s="271"/>
      <c r="M581" s="276"/>
      <c r="N581" s="290"/>
      <c r="O581" s="276"/>
      <c r="P581" s="290"/>
      <c r="Q581" s="276"/>
      <c r="R581" s="290"/>
      <c r="S581" s="276"/>
      <c r="T581" s="290"/>
      <c r="U581" s="276">
        <v>0</v>
      </c>
      <c r="V581" s="290">
        <v>0</v>
      </c>
    </row>
    <row r="582" spans="2:22" ht="19.8" customHeight="1" x14ac:dyDescent="0.6">
      <c r="B582" s="268"/>
      <c r="C582" s="255" t="s">
        <v>776</v>
      </c>
      <c r="D582" s="303"/>
      <c r="E582" s="276"/>
      <c r="G582" s="290"/>
      <c r="I582" s="290"/>
      <c r="J582" s="298"/>
      <c r="K582" s="316"/>
      <c r="L582" s="271"/>
      <c r="M582" s="276"/>
      <c r="N582" s="290"/>
      <c r="O582" s="276"/>
      <c r="P582" s="290"/>
      <c r="Q582" s="276"/>
      <c r="R582" s="290"/>
      <c r="S582" s="276"/>
      <c r="T582" s="290"/>
      <c r="U582" s="276">
        <v>0</v>
      </c>
      <c r="V582" s="290">
        <v>0</v>
      </c>
    </row>
    <row r="583" spans="2:22" ht="19.8" customHeight="1" x14ac:dyDescent="0.6">
      <c r="B583" s="268"/>
      <c r="C583" s="255" t="s">
        <v>777</v>
      </c>
      <c r="D583" s="303"/>
      <c r="E583" s="276"/>
      <c r="G583" s="290"/>
      <c r="I583" s="290"/>
      <c r="J583" s="298"/>
      <c r="K583" s="316"/>
      <c r="L583" s="271"/>
      <c r="M583" s="276"/>
      <c r="N583" s="290"/>
      <c r="O583" s="276"/>
      <c r="P583" s="290"/>
      <c r="Q583" s="276"/>
      <c r="R583" s="290"/>
      <c r="S583" s="276"/>
      <c r="T583" s="290"/>
      <c r="U583" s="276">
        <v>0</v>
      </c>
      <c r="V583" s="290">
        <v>0</v>
      </c>
    </row>
    <row r="584" spans="2:22" ht="19.8" customHeight="1" x14ac:dyDescent="0.6">
      <c r="B584" s="268">
        <v>2</v>
      </c>
      <c r="C584" s="255" t="s">
        <v>604</v>
      </c>
      <c r="D584" s="303" t="s">
        <v>780</v>
      </c>
      <c r="E584" s="276" t="s">
        <v>57</v>
      </c>
      <c r="G584" s="290"/>
      <c r="I584" s="290">
        <v>126.78</v>
      </c>
      <c r="J584" s="298">
        <f t="shared" ref="J584:J587" si="262">IF(G584="-","-",IF(D584&gt;0,ROUNDDOWN(I584*D584,0),""))</f>
        <v>132738</v>
      </c>
      <c r="K584" s="316">
        <v>132738</v>
      </c>
      <c r="L584" s="271"/>
      <c r="M584" s="276"/>
      <c r="N584" s="290">
        <f t="shared" ref="N584:N587" si="263">ROUNDDOWN(M584*$I584,0)</f>
        <v>0</v>
      </c>
      <c r="O584" s="276"/>
      <c r="P584" s="290">
        <f t="shared" ref="P584:P587" si="264">ROUNDDOWN(O584*$I584,0)</f>
        <v>0</v>
      </c>
      <c r="Q584" s="276"/>
      <c r="R584" s="290"/>
      <c r="S584" s="276"/>
      <c r="T584" s="290"/>
      <c r="U584" s="276">
        <v>0</v>
      </c>
      <c r="V584" s="290">
        <v>0</v>
      </c>
    </row>
    <row r="585" spans="2:22" ht="19.8" customHeight="1" x14ac:dyDescent="0.6">
      <c r="B585" s="268">
        <v>3</v>
      </c>
      <c r="C585" s="255" t="s">
        <v>195</v>
      </c>
      <c r="D585" s="303" t="s">
        <v>779</v>
      </c>
      <c r="E585" s="276" t="s">
        <v>55</v>
      </c>
      <c r="G585" s="290"/>
      <c r="I585" s="290">
        <v>38.21</v>
      </c>
      <c r="J585" s="298">
        <f t="shared" si="262"/>
        <v>208244</v>
      </c>
      <c r="K585" s="316">
        <v>208244</v>
      </c>
      <c r="L585" s="271"/>
      <c r="M585" s="276"/>
      <c r="N585" s="290">
        <f t="shared" si="263"/>
        <v>0</v>
      </c>
      <c r="O585" s="276"/>
      <c r="P585" s="290">
        <f t="shared" si="264"/>
        <v>0</v>
      </c>
      <c r="Q585" s="276"/>
      <c r="R585" s="290"/>
      <c r="S585" s="276"/>
      <c r="T585" s="290"/>
      <c r="U585" s="276">
        <v>0</v>
      </c>
      <c r="V585" s="290">
        <v>0</v>
      </c>
    </row>
    <row r="586" spans="2:22" ht="19.8" customHeight="1" x14ac:dyDescent="0.6">
      <c r="B586" s="268">
        <v>4</v>
      </c>
      <c r="C586" s="255" t="s">
        <v>770</v>
      </c>
      <c r="D586" s="303" t="s">
        <v>778</v>
      </c>
      <c r="E586" s="276" t="s">
        <v>57</v>
      </c>
      <c r="G586" s="290"/>
      <c r="I586" s="290">
        <v>8362.5400000000009</v>
      </c>
      <c r="J586" s="298">
        <f t="shared" si="262"/>
        <v>4440508</v>
      </c>
      <c r="K586" s="316">
        <v>4440508</v>
      </c>
      <c r="L586" s="271" t="s">
        <v>843</v>
      </c>
      <c r="M586" s="276"/>
      <c r="N586" s="290">
        <f t="shared" si="263"/>
        <v>0</v>
      </c>
      <c r="O586" s="276"/>
      <c r="P586" s="290">
        <v>3340000</v>
      </c>
      <c r="Q586" s="276"/>
      <c r="R586" s="290"/>
      <c r="S586" s="276"/>
      <c r="T586" s="290"/>
      <c r="U586" s="276">
        <v>500</v>
      </c>
      <c r="V586" s="290">
        <v>3340000</v>
      </c>
    </row>
    <row r="587" spans="2:22" ht="19.8" customHeight="1" x14ac:dyDescent="0.6">
      <c r="B587" s="268">
        <v>6</v>
      </c>
      <c r="C587" s="255" t="s">
        <v>732</v>
      </c>
      <c r="D587" s="303" t="s">
        <v>453</v>
      </c>
      <c r="E587" s="276" t="s">
        <v>57</v>
      </c>
      <c r="G587" s="290"/>
      <c r="I587" s="290">
        <v>1240.5899999999999</v>
      </c>
      <c r="J587" s="298">
        <f t="shared" si="262"/>
        <v>74435</v>
      </c>
      <c r="K587" s="316">
        <v>74435</v>
      </c>
      <c r="L587" s="271"/>
      <c r="M587" s="276"/>
      <c r="N587" s="290">
        <f t="shared" si="263"/>
        <v>0</v>
      </c>
      <c r="O587" s="276"/>
      <c r="P587" s="290">
        <f t="shared" si="264"/>
        <v>0</v>
      </c>
      <c r="Q587" s="276"/>
      <c r="R587" s="290"/>
      <c r="S587" s="276"/>
      <c r="T587" s="290"/>
      <c r="U587" s="276">
        <v>0</v>
      </c>
      <c r="V587" s="290">
        <v>0</v>
      </c>
    </row>
    <row r="588" spans="2:22" ht="19.8" customHeight="1" x14ac:dyDescent="0.6">
      <c r="B588" s="268"/>
      <c r="C588" s="255" t="s">
        <v>235</v>
      </c>
      <c r="D588" s="303"/>
      <c r="E588" s="276"/>
      <c r="G588" s="290"/>
      <c r="I588" s="290"/>
      <c r="J588" s="298"/>
      <c r="K588" s="316"/>
      <c r="L588" s="271"/>
      <c r="M588" s="276"/>
      <c r="N588" s="290"/>
      <c r="O588" s="276"/>
      <c r="P588" s="290"/>
      <c r="Q588" s="276"/>
      <c r="R588" s="290"/>
      <c r="S588" s="276"/>
      <c r="T588" s="290"/>
      <c r="U588" s="276">
        <v>0</v>
      </c>
      <c r="V588" s="290">
        <v>0</v>
      </c>
    </row>
    <row r="589" spans="2:22" ht="19.8" customHeight="1" x14ac:dyDescent="0.6">
      <c r="B589" s="268">
        <v>7</v>
      </c>
      <c r="C589" s="255" t="s">
        <v>215</v>
      </c>
      <c r="D589" s="303" t="s">
        <v>781</v>
      </c>
      <c r="E589" s="276" t="s">
        <v>55</v>
      </c>
      <c r="G589" s="290"/>
      <c r="I589" s="290">
        <v>328.91</v>
      </c>
      <c r="J589" s="298">
        <f t="shared" ref="J589:J591" si="265">IF(G589="-","-",IF(D589&gt;0,ROUNDDOWN(I589*D589,0),""))</f>
        <v>651241</v>
      </c>
      <c r="K589" s="316">
        <v>651241</v>
      </c>
      <c r="L589" s="271"/>
      <c r="M589" s="276"/>
      <c r="N589" s="290">
        <f t="shared" ref="N589:N591" si="266">ROUNDDOWN(M589*$I589,0)</f>
        <v>0</v>
      </c>
      <c r="O589" s="276"/>
      <c r="P589" s="290">
        <f t="shared" ref="P589:P591" si="267">ROUNDDOWN(O589*$I589,0)</f>
        <v>0</v>
      </c>
      <c r="Q589" s="276"/>
      <c r="R589" s="290"/>
      <c r="S589" s="276"/>
      <c r="T589" s="290"/>
      <c r="U589" s="276">
        <v>0</v>
      </c>
      <c r="V589" s="290">
        <v>0</v>
      </c>
    </row>
    <row r="590" spans="2:22" ht="19.8" customHeight="1" x14ac:dyDescent="0.6">
      <c r="B590" s="268">
        <v>8</v>
      </c>
      <c r="C590" s="255" t="s">
        <v>247</v>
      </c>
      <c r="D590" s="303" t="s">
        <v>782</v>
      </c>
      <c r="E590" s="276" t="s">
        <v>55</v>
      </c>
      <c r="G590" s="290"/>
      <c r="I590" s="290">
        <v>324.95</v>
      </c>
      <c r="J590" s="298">
        <f t="shared" si="265"/>
        <v>470852</v>
      </c>
      <c r="K590" s="316">
        <v>470852</v>
      </c>
      <c r="L590" s="271"/>
      <c r="M590" s="276"/>
      <c r="N590" s="290">
        <f t="shared" si="266"/>
        <v>0</v>
      </c>
      <c r="O590" s="276"/>
      <c r="P590" s="290">
        <f t="shared" si="267"/>
        <v>0</v>
      </c>
      <c r="Q590" s="276"/>
      <c r="R590" s="290"/>
      <c r="S590" s="276"/>
      <c r="T590" s="290"/>
      <c r="U590" s="276">
        <v>0</v>
      </c>
      <c r="V590" s="290">
        <v>0</v>
      </c>
    </row>
    <row r="591" spans="2:22" ht="19.8" customHeight="1" x14ac:dyDescent="0.6">
      <c r="B591" s="268">
        <v>12</v>
      </c>
      <c r="C591" s="255" t="s">
        <v>257</v>
      </c>
      <c r="D591" s="303" t="s">
        <v>735</v>
      </c>
      <c r="E591" s="276" t="s">
        <v>54</v>
      </c>
      <c r="G591" s="290"/>
      <c r="I591" s="290">
        <v>354.97</v>
      </c>
      <c r="J591" s="298">
        <f t="shared" si="265"/>
        <v>28752</v>
      </c>
      <c r="K591" s="316">
        <v>28752</v>
      </c>
      <c r="L591" s="271"/>
      <c r="M591" s="276"/>
      <c r="N591" s="290">
        <f t="shared" si="266"/>
        <v>0</v>
      </c>
      <c r="O591" s="276"/>
      <c r="P591" s="290">
        <f t="shared" si="267"/>
        <v>0</v>
      </c>
      <c r="Q591" s="276"/>
      <c r="R591" s="290"/>
      <c r="S591" s="276"/>
      <c r="T591" s="290"/>
      <c r="U591" s="276">
        <v>0</v>
      </c>
      <c r="V591" s="290">
        <v>0</v>
      </c>
    </row>
    <row r="592" spans="2:22" ht="19.8" customHeight="1" x14ac:dyDescent="0.6">
      <c r="B592" s="268">
        <v>13</v>
      </c>
      <c r="C592" s="255" t="s">
        <v>59</v>
      </c>
      <c r="D592" s="303"/>
      <c r="E592" s="276"/>
      <c r="G592" s="290"/>
      <c r="I592" s="290"/>
      <c r="J592" s="298"/>
      <c r="K592" s="316"/>
      <c r="L592" s="271"/>
      <c r="M592" s="276"/>
      <c r="N592" s="290"/>
      <c r="O592" s="276"/>
      <c r="P592" s="290"/>
      <c r="Q592" s="276"/>
      <c r="R592" s="290"/>
      <c r="S592" s="276"/>
      <c r="T592" s="290"/>
      <c r="U592" s="276">
        <v>0</v>
      </c>
      <c r="V592" s="290">
        <v>0</v>
      </c>
    </row>
    <row r="593" spans="2:22" ht="19.8" customHeight="1" x14ac:dyDescent="0.6">
      <c r="B593" s="268">
        <v>14</v>
      </c>
      <c r="C593" s="255" t="s">
        <v>259</v>
      </c>
      <c r="D593" s="303" t="s">
        <v>783</v>
      </c>
      <c r="E593" s="276" t="s">
        <v>54</v>
      </c>
      <c r="G593" s="290"/>
      <c r="I593" s="290">
        <v>108.36</v>
      </c>
      <c r="J593" s="298">
        <f t="shared" ref="J593:J595" si="268">IF(G593="-","-",IF(D593&gt;0,ROUNDDOWN(I593*D593,0),""))</f>
        <v>785068</v>
      </c>
      <c r="K593" s="316">
        <v>785068</v>
      </c>
      <c r="L593" s="271"/>
      <c r="M593" s="276"/>
      <c r="N593" s="290">
        <f t="shared" ref="N593:N595" si="269">ROUNDDOWN(M593*$I593,0)</f>
        <v>0</v>
      </c>
      <c r="O593" s="276"/>
      <c r="P593" s="290">
        <f t="shared" ref="P593:P595" si="270">ROUNDDOWN(O593*$I593,0)</f>
        <v>0</v>
      </c>
      <c r="Q593" s="276"/>
      <c r="R593" s="290"/>
      <c r="S593" s="276"/>
      <c r="T593" s="290"/>
      <c r="U593" s="276">
        <v>0</v>
      </c>
      <c r="V593" s="290">
        <v>0</v>
      </c>
    </row>
    <row r="594" spans="2:22" ht="19.8" customHeight="1" x14ac:dyDescent="0.6">
      <c r="B594" s="268">
        <v>15</v>
      </c>
      <c r="C594" s="255" t="s">
        <v>771</v>
      </c>
      <c r="D594" s="303" t="s">
        <v>808</v>
      </c>
      <c r="E594" s="276" t="s">
        <v>57</v>
      </c>
      <c r="G594" s="290"/>
      <c r="I594" s="290">
        <v>16735.45</v>
      </c>
      <c r="J594" s="298">
        <f t="shared" si="268"/>
        <v>6610502</v>
      </c>
      <c r="K594" s="316">
        <v>6610502</v>
      </c>
      <c r="L594" s="271" t="s">
        <v>843</v>
      </c>
      <c r="M594" s="276"/>
      <c r="N594" s="290">
        <f t="shared" si="269"/>
        <v>0</v>
      </c>
      <c r="O594" s="276"/>
      <c r="P594" s="290">
        <f>2670000+2610000</f>
        <v>5280000</v>
      </c>
      <c r="Q594" s="276"/>
      <c r="R594" s="290"/>
      <c r="S594" s="276"/>
      <c r="T594" s="290"/>
      <c r="U594" s="276">
        <v>195</v>
      </c>
      <c r="V594" s="290">
        <v>5280000</v>
      </c>
    </row>
    <row r="595" spans="2:22" ht="19.8" customHeight="1" x14ac:dyDescent="0.6">
      <c r="B595" s="268">
        <v>16</v>
      </c>
      <c r="C595" s="255" t="s">
        <v>772</v>
      </c>
      <c r="D595" s="303" t="s">
        <v>566</v>
      </c>
      <c r="E595" s="276" t="s">
        <v>58</v>
      </c>
      <c r="G595" s="290"/>
      <c r="I595" s="290">
        <v>57555.85</v>
      </c>
      <c r="J595" s="298">
        <f t="shared" si="268"/>
        <v>1784231</v>
      </c>
      <c r="K595" s="316">
        <v>1784231</v>
      </c>
      <c r="L595" s="271"/>
      <c r="M595" s="276"/>
      <c r="N595" s="290">
        <f t="shared" si="269"/>
        <v>0</v>
      </c>
      <c r="O595" s="276"/>
      <c r="P595" s="290">
        <f t="shared" si="270"/>
        <v>0</v>
      </c>
      <c r="Q595" s="276"/>
      <c r="R595" s="290"/>
      <c r="S595" s="276"/>
      <c r="T595" s="290"/>
      <c r="U595" s="276">
        <v>0</v>
      </c>
      <c r="V595" s="290">
        <v>0</v>
      </c>
    </row>
    <row r="596" spans="2:22" ht="19.8" customHeight="1" x14ac:dyDescent="0.6">
      <c r="B596" s="268"/>
      <c r="C596" s="255" t="s">
        <v>231</v>
      </c>
      <c r="D596" s="303"/>
      <c r="E596" s="276"/>
      <c r="G596" s="290"/>
      <c r="I596" s="290"/>
      <c r="J596" s="298"/>
      <c r="K596" s="316"/>
      <c r="L596" s="271"/>
      <c r="M596" s="276"/>
      <c r="N596" s="290"/>
      <c r="O596" s="276"/>
      <c r="P596" s="290"/>
      <c r="Q596" s="276"/>
      <c r="R596" s="290"/>
      <c r="S596" s="276"/>
      <c r="T596" s="290"/>
      <c r="U596" s="276">
        <v>0</v>
      </c>
      <c r="V596" s="290">
        <v>0</v>
      </c>
    </row>
    <row r="597" spans="2:22" ht="19.8" customHeight="1" x14ac:dyDescent="0.6">
      <c r="B597" s="268">
        <v>17</v>
      </c>
      <c r="C597" s="255" t="s">
        <v>807</v>
      </c>
      <c r="D597" s="303" t="s">
        <v>784</v>
      </c>
      <c r="E597" s="276" t="s">
        <v>58</v>
      </c>
      <c r="G597" s="290"/>
      <c r="I597" s="290">
        <v>47833.36</v>
      </c>
      <c r="J597" s="298">
        <f t="shared" ref="J597" si="271">IF(G597="-","-",IF(D597&gt;0,ROUNDDOWN(I597*D597,0),""))</f>
        <v>2200334</v>
      </c>
      <c r="K597" s="316">
        <v>2200334</v>
      </c>
      <c r="L597" s="271"/>
      <c r="M597" s="276"/>
      <c r="N597" s="290">
        <f t="shared" ref="N597" si="272">ROUNDDOWN(M597*$I597,0)</f>
        <v>0</v>
      </c>
      <c r="O597" s="276"/>
      <c r="P597" s="290">
        <f t="shared" ref="P597" si="273">ROUNDDOWN(O597*$I597,0)</f>
        <v>0</v>
      </c>
      <c r="Q597" s="276"/>
      <c r="R597" s="290"/>
      <c r="S597" s="276"/>
      <c r="T597" s="290"/>
      <c r="U597" s="276">
        <v>0</v>
      </c>
      <c r="V597" s="290">
        <v>0</v>
      </c>
    </row>
    <row r="598" spans="2:22" ht="19.8" customHeight="1" x14ac:dyDescent="0.6">
      <c r="B598" s="268"/>
      <c r="C598" s="255" t="s">
        <v>231</v>
      </c>
      <c r="D598" s="303"/>
      <c r="E598" s="276"/>
      <c r="G598" s="290"/>
      <c r="I598" s="290"/>
      <c r="J598" s="298"/>
      <c r="K598" s="316"/>
      <c r="L598" s="271"/>
      <c r="M598" s="276"/>
      <c r="N598" s="290"/>
      <c r="O598" s="276"/>
      <c r="P598" s="290"/>
      <c r="Q598" s="276"/>
      <c r="R598" s="290"/>
      <c r="S598" s="276"/>
      <c r="T598" s="290"/>
      <c r="U598" s="276">
        <v>0</v>
      </c>
      <c r="V598" s="290">
        <v>0</v>
      </c>
    </row>
    <row r="599" spans="2:22" ht="19.8" customHeight="1" x14ac:dyDescent="0.6">
      <c r="B599" s="268">
        <v>18</v>
      </c>
      <c r="C599" s="255" t="s">
        <v>649</v>
      </c>
      <c r="D599" s="303" t="s">
        <v>785</v>
      </c>
      <c r="E599" s="276" t="s">
        <v>57</v>
      </c>
      <c r="G599" s="290"/>
      <c r="I599" s="290">
        <v>5266.93</v>
      </c>
      <c r="J599" s="298">
        <f t="shared" ref="J599" si="274">IF(G599="-","-",IF(D599&gt;0,ROUNDDOWN(I599*D599,0),""))</f>
        <v>2312182</v>
      </c>
      <c r="K599" s="316">
        <v>2312182</v>
      </c>
      <c r="L599" s="271"/>
      <c r="M599" s="276"/>
      <c r="N599" s="290">
        <f t="shared" ref="N599" si="275">ROUNDDOWN(M599*$I599,0)</f>
        <v>0</v>
      </c>
      <c r="O599" s="276"/>
      <c r="P599" s="290">
        <f t="shared" ref="P599" si="276">ROUNDDOWN(O599*$I599,0)</f>
        <v>0</v>
      </c>
      <c r="Q599" s="276"/>
      <c r="R599" s="290"/>
      <c r="S599" s="276"/>
      <c r="T599" s="290"/>
      <c r="U599" s="276">
        <v>0</v>
      </c>
      <c r="V599" s="290">
        <v>0</v>
      </c>
    </row>
    <row r="600" spans="2:22" ht="19.8" customHeight="1" x14ac:dyDescent="0.6">
      <c r="B600" s="268"/>
      <c r="C600" s="255" t="s">
        <v>775</v>
      </c>
      <c r="D600" s="303"/>
      <c r="E600" s="276"/>
      <c r="G600" s="290"/>
      <c r="I600" s="290"/>
      <c r="J600" s="298"/>
      <c r="K600" s="316"/>
      <c r="L600" s="271"/>
      <c r="M600" s="276"/>
      <c r="N600" s="290"/>
      <c r="O600" s="276"/>
      <c r="P600" s="290"/>
      <c r="Q600" s="276"/>
      <c r="R600" s="290"/>
      <c r="S600" s="276"/>
      <c r="T600" s="290"/>
      <c r="U600" s="276">
        <v>0</v>
      </c>
      <c r="V600" s="290">
        <v>0</v>
      </c>
    </row>
    <row r="601" spans="2:22" ht="19.8" customHeight="1" x14ac:dyDescent="0.6">
      <c r="B601" s="268">
        <v>19</v>
      </c>
      <c r="C601" s="255" t="s">
        <v>243</v>
      </c>
      <c r="D601" s="303" t="s">
        <v>786</v>
      </c>
      <c r="E601" s="276" t="s">
        <v>55</v>
      </c>
      <c r="G601" s="290"/>
      <c r="I601" s="290">
        <v>617.54</v>
      </c>
      <c r="J601" s="298">
        <f t="shared" ref="J601:J610" si="277">IF(G601="-","-",IF(D601&gt;0,ROUNDDOWN(I601*D601,0),""))</f>
        <v>436600</v>
      </c>
      <c r="K601" s="316">
        <v>436600</v>
      </c>
      <c r="L601" s="271"/>
      <c r="M601" s="276"/>
      <c r="N601" s="290">
        <f t="shared" ref="N601:N610" si="278">ROUNDDOWN(M601*$I601,0)</f>
        <v>0</v>
      </c>
      <c r="O601" s="276"/>
      <c r="P601" s="290">
        <f t="shared" ref="P601:P610" si="279">ROUNDDOWN(O601*$I601,0)</f>
        <v>0</v>
      </c>
      <c r="Q601" s="276"/>
      <c r="R601" s="290"/>
      <c r="S601" s="276"/>
      <c r="T601" s="290"/>
      <c r="U601" s="276">
        <v>0</v>
      </c>
      <c r="V601" s="290">
        <v>0</v>
      </c>
    </row>
    <row r="602" spans="2:22" ht="19.8" customHeight="1" x14ac:dyDescent="0.6">
      <c r="B602" s="268">
        <v>20</v>
      </c>
      <c r="C602" s="255" t="s">
        <v>773</v>
      </c>
      <c r="D602" s="303" t="s">
        <v>787</v>
      </c>
      <c r="E602" s="276" t="s">
        <v>54</v>
      </c>
      <c r="G602" s="290"/>
      <c r="I602" s="290">
        <v>447.01</v>
      </c>
      <c r="J602" s="298">
        <f t="shared" si="277"/>
        <v>3161254</v>
      </c>
      <c r="K602" s="316">
        <v>3161254</v>
      </c>
      <c r="L602" s="271"/>
      <c r="M602" s="276"/>
      <c r="N602" s="290">
        <f t="shared" si="278"/>
        <v>0</v>
      </c>
      <c r="O602" s="276"/>
      <c r="P602" s="290">
        <f t="shared" si="279"/>
        <v>0</v>
      </c>
      <c r="Q602" s="276"/>
      <c r="R602" s="290"/>
      <c r="S602" s="276"/>
      <c r="T602" s="290"/>
      <c r="U602" s="276">
        <v>0</v>
      </c>
      <c r="V602" s="290">
        <v>0</v>
      </c>
    </row>
    <row r="603" spans="2:22" ht="19.8" customHeight="1" x14ac:dyDescent="0.6">
      <c r="B603" s="268">
        <v>21</v>
      </c>
      <c r="C603" s="255" t="s">
        <v>623</v>
      </c>
      <c r="D603" s="303" t="s">
        <v>788</v>
      </c>
      <c r="E603" s="276" t="s">
        <v>57</v>
      </c>
      <c r="G603" s="290"/>
      <c r="I603" s="290">
        <v>277.14</v>
      </c>
      <c r="J603" s="298">
        <f t="shared" si="277"/>
        <v>21339</v>
      </c>
      <c r="K603" s="316">
        <v>21339</v>
      </c>
      <c r="L603" s="271"/>
      <c r="M603" s="276"/>
      <c r="N603" s="290">
        <f t="shared" si="278"/>
        <v>0</v>
      </c>
      <c r="O603" s="276"/>
      <c r="P603" s="290">
        <f t="shared" si="279"/>
        <v>0</v>
      </c>
      <c r="Q603" s="276"/>
      <c r="R603" s="290"/>
      <c r="S603" s="276"/>
      <c r="T603" s="290"/>
      <c r="U603" s="276">
        <v>0</v>
      </c>
      <c r="V603" s="290">
        <v>0</v>
      </c>
    </row>
    <row r="604" spans="2:22" ht="19.8" customHeight="1" x14ac:dyDescent="0.6">
      <c r="B604" s="268">
        <v>22</v>
      </c>
      <c r="C604" s="255" t="s">
        <v>624</v>
      </c>
      <c r="D604" s="303" t="s">
        <v>789</v>
      </c>
      <c r="E604" s="276" t="s">
        <v>57</v>
      </c>
      <c r="G604" s="290"/>
      <c r="I604" s="290">
        <v>181.83</v>
      </c>
      <c r="J604" s="298">
        <f t="shared" si="277"/>
        <v>117098</v>
      </c>
      <c r="K604" s="316">
        <v>117098</v>
      </c>
      <c r="L604" s="271"/>
      <c r="M604" s="276"/>
      <c r="N604" s="290">
        <f t="shared" si="278"/>
        <v>0</v>
      </c>
      <c r="O604" s="276"/>
      <c r="P604" s="290">
        <f t="shared" si="279"/>
        <v>0</v>
      </c>
      <c r="Q604" s="276"/>
      <c r="R604" s="290"/>
      <c r="S604" s="276"/>
      <c r="T604" s="290"/>
      <c r="U604" s="276">
        <v>0</v>
      </c>
      <c r="V604" s="290">
        <v>0</v>
      </c>
    </row>
    <row r="605" spans="2:22" ht="19.8" customHeight="1" x14ac:dyDescent="0.6">
      <c r="B605" s="268">
        <v>23</v>
      </c>
      <c r="C605" s="255" t="s">
        <v>625</v>
      </c>
      <c r="D605" s="303" t="s">
        <v>790</v>
      </c>
      <c r="E605" s="276" t="s">
        <v>57</v>
      </c>
      <c r="G605" s="290"/>
      <c r="I605" s="290">
        <v>63.47</v>
      </c>
      <c r="J605" s="298">
        <f t="shared" si="277"/>
        <v>65691</v>
      </c>
      <c r="K605" s="316">
        <v>65691</v>
      </c>
      <c r="L605" s="271"/>
      <c r="M605" s="276"/>
      <c r="N605" s="290">
        <f t="shared" si="278"/>
        <v>0</v>
      </c>
      <c r="O605" s="276"/>
      <c r="P605" s="290">
        <f t="shared" si="279"/>
        <v>0</v>
      </c>
      <c r="Q605" s="276"/>
      <c r="R605" s="290"/>
      <c r="S605" s="276"/>
      <c r="T605" s="290"/>
      <c r="U605" s="276">
        <v>0</v>
      </c>
      <c r="V605" s="290">
        <v>0</v>
      </c>
    </row>
    <row r="606" spans="2:22" ht="19.8" customHeight="1" x14ac:dyDescent="0.6">
      <c r="B606" s="268">
        <v>24</v>
      </c>
      <c r="C606" s="255" t="s">
        <v>774</v>
      </c>
      <c r="D606" s="303" t="s">
        <v>794</v>
      </c>
      <c r="E606" s="276" t="s">
        <v>54</v>
      </c>
      <c r="G606" s="290"/>
      <c r="I606" s="290">
        <v>447.01</v>
      </c>
      <c r="J606" s="298">
        <f t="shared" si="277"/>
        <v>234680</v>
      </c>
      <c r="K606" s="316">
        <v>234680</v>
      </c>
      <c r="L606" s="271"/>
      <c r="M606" s="276"/>
      <c r="N606" s="290">
        <f t="shared" si="278"/>
        <v>0</v>
      </c>
      <c r="O606" s="276"/>
      <c r="P606" s="290">
        <f t="shared" si="279"/>
        <v>0</v>
      </c>
      <c r="Q606" s="276"/>
      <c r="R606" s="290"/>
      <c r="S606" s="276"/>
      <c r="T606" s="290"/>
      <c r="U606" s="276">
        <v>0</v>
      </c>
      <c r="V606" s="290">
        <v>0</v>
      </c>
    </row>
    <row r="607" spans="2:22" ht="19.8" customHeight="1" x14ac:dyDescent="0.6">
      <c r="B607" s="268">
        <v>25</v>
      </c>
      <c r="C607" s="255" t="s">
        <v>791</v>
      </c>
      <c r="D607" s="303" t="s">
        <v>795</v>
      </c>
      <c r="E607" s="276" t="s">
        <v>55</v>
      </c>
      <c r="G607" s="290"/>
      <c r="I607" s="290">
        <v>617.54</v>
      </c>
      <c r="J607" s="298">
        <f t="shared" si="277"/>
        <v>32420</v>
      </c>
      <c r="K607" s="316">
        <v>32420</v>
      </c>
      <c r="L607" s="271"/>
      <c r="M607" s="276"/>
      <c r="N607" s="290">
        <f t="shared" si="278"/>
        <v>0</v>
      </c>
      <c r="O607" s="276"/>
      <c r="P607" s="290">
        <f t="shared" si="279"/>
        <v>0</v>
      </c>
      <c r="Q607" s="276"/>
      <c r="R607" s="290"/>
      <c r="S607" s="276"/>
      <c r="T607" s="290"/>
      <c r="U607" s="276">
        <v>0</v>
      </c>
      <c r="V607" s="290">
        <v>0</v>
      </c>
    </row>
    <row r="608" spans="2:22" ht="19.8" customHeight="1" x14ac:dyDescent="0.6">
      <c r="B608" s="268">
        <v>26</v>
      </c>
      <c r="C608" s="255" t="s">
        <v>792</v>
      </c>
      <c r="D608" s="303" t="s">
        <v>576</v>
      </c>
      <c r="E608" s="276" t="s">
        <v>55</v>
      </c>
      <c r="G608" s="290"/>
      <c r="I608" s="290">
        <v>324.95</v>
      </c>
      <c r="J608" s="298">
        <f t="shared" si="277"/>
        <v>34119</v>
      </c>
      <c r="K608" s="316">
        <v>34119</v>
      </c>
      <c r="L608" s="271"/>
      <c r="M608" s="276"/>
      <c r="N608" s="290">
        <f t="shared" si="278"/>
        <v>0</v>
      </c>
      <c r="O608" s="276"/>
      <c r="P608" s="290">
        <f t="shared" si="279"/>
        <v>0</v>
      </c>
      <c r="Q608" s="276"/>
      <c r="R608" s="290"/>
      <c r="S608" s="276"/>
      <c r="T608" s="290"/>
      <c r="U608" s="276">
        <v>0</v>
      </c>
      <c r="V608" s="290">
        <v>0</v>
      </c>
    </row>
    <row r="609" spans="2:22" ht="19.8" customHeight="1" x14ac:dyDescent="0.6">
      <c r="B609" s="268">
        <v>27</v>
      </c>
      <c r="C609" s="255" t="s">
        <v>630</v>
      </c>
      <c r="D609" s="303" t="s">
        <v>796</v>
      </c>
      <c r="E609" s="276" t="s">
        <v>54</v>
      </c>
      <c r="G609" s="290"/>
      <c r="I609" s="290">
        <v>16.96</v>
      </c>
      <c r="J609" s="298">
        <f t="shared" si="277"/>
        <v>128845</v>
      </c>
      <c r="K609" s="316">
        <v>128845</v>
      </c>
      <c r="L609" s="271"/>
      <c r="M609" s="276"/>
      <c r="N609" s="290">
        <f t="shared" si="278"/>
        <v>0</v>
      </c>
      <c r="O609" s="276"/>
      <c r="P609" s="290">
        <f t="shared" si="279"/>
        <v>0</v>
      </c>
      <c r="Q609" s="276"/>
      <c r="R609" s="290"/>
      <c r="S609" s="276"/>
      <c r="T609" s="290"/>
      <c r="U609" s="276">
        <v>0</v>
      </c>
      <c r="V609" s="290">
        <v>0</v>
      </c>
    </row>
    <row r="610" spans="2:22" ht="19.8" customHeight="1" x14ac:dyDescent="0.6">
      <c r="B610" s="268">
        <v>28</v>
      </c>
      <c r="C610" s="255" t="s">
        <v>793</v>
      </c>
      <c r="D610" s="303" t="s">
        <v>796</v>
      </c>
      <c r="E610" s="276" t="s">
        <v>54</v>
      </c>
      <c r="G610" s="290"/>
      <c r="I610" s="290">
        <v>293.86</v>
      </c>
      <c r="J610" s="298">
        <f t="shared" si="277"/>
        <v>2232454</v>
      </c>
      <c r="K610" s="316">
        <v>2232454</v>
      </c>
      <c r="L610" s="271"/>
      <c r="M610" s="276"/>
      <c r="N610" s="290">
        <f t="shared" si="278"/>
        <v>0</v>
      </c>
      <c r="O610" s="276"/>
      <c r="P610" s="290">
        <f t="shared" si="279"/>
        <v>0</v>
      </c>
      <c r="Q610" s="276"/>
      <c r="R610" s="290"/>
      <c r="S610" s="276"/>
      <c r="T610" s="290"/>
      <c r="U610" s="276">
        <v>0</v>
      </c>
      <c r="V610" s="290">
        <v>0</v>
      </c>
    </row>
    <row r="611" spans="2:22" ht="19.8" customHeight="1" x14ac:dyDescent="0.6">
      <c r="B611" s="268"/>
      <c r="D611" s="303"/>
      <c r="E611" s="276"/>
      <c r="G611" s="290"/>
      <c r="I611" s="290"/>
      <c r="J611" s="298"/>
      <c r="K611" s="316"/>
      <c r="L611" s="271"/>
      <c r="M611" s="276"/>
      <c r="N611" s="290"/>
      <c r="O611" s="276"/>
      <c r="P611" s="290"/>
      <c r="Q611" s="276"/>
      <c r="R611" s="290"/>
      <c r="S611" s="276"/>
      <c r="T611" s="290"/>
      <c r="U611" s="276">
        <v>0</v>
      </c>
      <c r="V611" s="290">
        <v>0</v>
      </c>
    </row>
    <row r="612" spans="2:22" ht="19.8" customHeight="1" x14ac:dyDescent="0.6">
      <c r="B612" s="826" t="s">
        <v>797</v>
      </c>
      <c r="C612" s="827"/>
      <c r="D612" s="294" t="s">
        <v>780</v>
      </c>
      <c r="E612" s="257" t="s">
        <v>57</v>
      </c>
      <c r="F612" s="296"/>
      <c r="G612" s="293"/>
      <c r="H612" s="297"/>
      <c r="I612" s="293"/>
      <c r="J612" s="299">
        <f>SUM(J581:J611)</f>
        <v>26163587</v>
      </c>
      <c r="K612" s="319">
        <v>26163587</v>
      </c>
      <c r="L612" s="262"/>
      <c r="M612" s="257"/>
      <c r="N612" s="326">
        <f>SUM(N581:N611)</f>
        <v>0</v>
      </c>
      <c r="O612" s="257"/>
      <c r="P612" s="326">
        <f>SUM(P581:P611)</f>
        <v>8620000</v>
      </c>
      <c r="Q612" s="257"/>
      <c r="R612" s="326">
        <v>0</v>
      </c>
      <c r="S612" s="257"/>
      <c r="T612" s="326">
        <v>0</v>
      </c>
      <c r="U612" s="257">
        <v>0</v>
      </c>
      <c r="V612" s="326">
        <v>8620000</v>
      </c>
    </row>
    <row r="613" spans="2:22" ht="19.8" customHeight="1" x14ac:dyDescent="0.6">
      <c r="B613" s="306">
        <v>3.9</v>
      </c>
      <c r="C613" s="255" t="s">
        <v>123</v>
      </c>
      <c r="D613" s="303"/>
      <c r="E613" s="276"/>
      <c r="G613" s="290"/>
      <c r="I613" s="290"/>
      <c r="J613" s="298"/>
      <c r="K613" s="316"/>
      <c r="L613" s="271"/>
      <c r="M613" s="276"/>
      <c r="N613" s="290"/>
      <c r="O613" s="276"/>
      <c r="P613" s="290"/>
      <c r="Q613" s="276"/>
      <c r="R613" s="290"/>
      <c r="S613" s="276"/>
      <c r="T613" s="290"/>
      <c r="U613" s="276">
        <v>0</v>
      </c>
      <c r="V613" s="290">
        <v>0</v>
      </c>
    </row>
    <row r="614" spans="2:22" ht="19.8" customHeight="1" x14ac:dyDescent="0.6">
      <c r="B614" s="268"/>
      <c r="C614" s="255" t="s">
        <v>798</v>
      </c>
      <c r="D614" s="303"/>
      <c r="E614" s="276"/>
      <c r="G614" s="290"/>
      <c r="I614" s="290"/>
      <c r="J614" s="298"/>
      <c r="K614" s="316"/>
      <c r="L614" s="271"/>
      <c r="M614" s="276"/>
      <c r="N614" s="290"/>
      <c r="O614" s="276"/>
      <c r="P614" s="290"/>
      <c r="Q614" s="276"/>
      <c r="R614" s="290"/>
      <c r="S614" s="276"/>
      <c r="T614" s="290"/>
      <c r="U614" s="276">
        <v>0</v>
      </c>
      <c r="V614" s="290">
        <v>0</v>
      </c>
    </row>
    <row r="615" spans="2:22" ht="19.8" customHeight="1" x14ac:dyDescent="0.6">
      <c r="B615" s="268"/>
      <c r="C615" s="255" t="s">
        <v>799</v>
      </c>
      <c r="D615" s="303"/>
      <c r="E615" s="276"/>
      <c r="G615" s="290"/>
      <c r="I615" s="290"/>
      <c r="J615" s="298"/>
      <c r="K615" s="316"/>
      <c r="L615" s="271"/>
      <c r="M615" s="276"/>
      <c r="N615" s="290"/>
      <c r="O615" s="276"/>
      <c r="P615" s="290"/>
      <c r="Q615" s="276"/>
      <c r="R615" s="290"/>
      <c r="S615" s="276"/>
      <c r="T615" s="290"/>
      <c r="U615" s="276">
        <v>0</v>
      </c>
      <c r="V615" s="290">
        <v>0</v>
      </c>
    </row>
    <row r="616" spans="2:22" ht="19.8" customHeight="1" x14ac:dyDescent="0.6">
      <c r="B616" s="268">
        <v>1</v>
      </c>
      <c r="C616" s="255" t="s">
        <v>224</v>
      </c>
      <c r="D616" s="303" t="s">
        <v>800</v>
      </c>
      <c r="E616" s="276" t="s">
        <v>55</v>
      </c>
      <c r="G616" s="290"/>
      <c r="I616" s="290">
        <v>81.77</v>
      </c>
      <c r="J616" s="298">
        <f t="shared" ref="J616:J619" si="280">IF(G616="-","-",IF(D616&gt;0,ROUNDDOWN(I616*D616,0),""))</f>
        <v>25185</v>
      </c>
      <c r="K616" s="316">
        <v>25185</v>
      </c>
      <c r="L616" s="271"/>
      <c r="M616" s="276"/>
      <c r="N616" s="290">
        <f t="shared" ref="N616:N619" si="281">ROUNDDOWN(M616*$I616,0)</f>
        <v>0</v>
      </c>
      <c r="O616" s="276"/>
      <c r="P616" s="290">
        <f t="shared" ref="P616:P619" si="282">ROUNDDOWN(O616*$I616,0)</f>
        <v>0</v>
      </c>
      <c r="Q616" s="276"/>
      <c r="R616" s="290"/>
      <c r="S616" s="276"/>
      <c r="T616" s="290"/>
      <c r="U616" s="276">
        <v>0</v>
      </c>
      <c r="V616" s="290">
        <v>0</v>
      </c>
    </row>
    <row r="617" spans="2:22" ht="19.8" customHeight="1" x14ac:dyDescent="0.6">
      <c r="B617" s="268">
        <v>2</v>
      </c>
      <c r="C617" s="255" t="s">
        <v>238</v>
      </c>
      <c r="D617" s="303" t="s">
        <v>801</v>
      </c>
      <c r="E617" s="276" t="s">
        <v>241</v>
      </c>
      <c r="G617" s="290"/>
      <c r="I617" s="290">
        <v>144.06</v>
      </c>
      <c r="J617" s="298">
        <f t="shared" si="280"/>
        <v>95079</v>
      </c>
      <c r="K617" s="316">
        <v>95079</v>
      </c>
      <c r="L617" s="271"/>
      <c r="M617" s="276"/>
      <c r="N617" s="290">
        <f t="shared" si="281"/>
        <v>0</v>
      </c>
      <c r="O617" s="276"/>
      <c r="P617" s="290">
        <f t="shared" si="282"/>
        <v>0</v>
      </c>
      <c r="Q617" s="276"/>
      <c r="R617" s="290"/>
      <c r="S617" s="276"/>
      <c r="T617" s="290"/>
      <c r="U617" s="276">
        <v>0</v>
      </c>
      <c r="V617" s="290">
        <v>0</v>
      </c>
    </row>
    <row r="618" spans="2:22" ht="19.8" customHeight="1" x14ac:dyDescent="0.6">
      <c r="B618" s="268">
        <v>3</v>
      </c>
      <c r="C618" s="255" t="s">
        <v>239</v>
      </c>
      <c r="D618" s="303" t="s">
        <v>802</v>
      </c>
      <c r="E618" s="276" t="s">
        <v>54</v>
      </c>
      <c r="G618" s="290"/>
      <c r="I618" s="290">
        <v>504.4</v>
      </c>
      <c r="J618" s="298">
        <f t="shared" si="280"/>
        <v>1331616</v>
      </c>
      <c r="K618" s="316">
        <v>1331616</v>
      </c>
      <c r="L618" s="271"/>
      <c r="M618" s="276"/>
      <c r="N618" s="290">
        <f t="shared" si="281"/>
        <v>0</v>
      </c>
      <c r="O618" s="276"/>
      <c r="P618" s="290">
        <f t="shared" si="282"/>
        <v>0</v>
      </c>
      <c r="Q618" s="276"/>
      <c r="R618" s="290"/>
      <c r="S618" s="276"/>
      <c r="T618" s="290"/>
      <c r="U618" s="276">
        <v>0</v>
      </c>
      <c r="V618" s="290">
        <v>0</v>
      </c>
    </row>
    <row r="619" spans="2:22" ht="19.8" customHeight="1" x14ac:dyDescent="0.6">
      <c r="B619" s="268">
        <v>4</v>
      </c>
      <c r="C619" s="255" t="s">
        <v>240</v>
      </c>
      <c r="D619" s="303" t="s">
        <v>441</v>
      </c>
      <c r="E619" s="276" t="s">
        <v>73</v>
      </c>
      <c r="G619" s="290"/>
      <c r="I619" s="290">
        <v>11242.64</v>
      </c>
      <c r="J619" s="298">
        <f t="shared" si="280"/>
        <v>67455</v>
      </c>
      <c r="K619" s="316">
        <v>67455</v>
      </c>
      <c r="L619" s="271"/>
      <c r="M619" s="276"/>
      <c r="N619" s="290">
        <f t="shared" si="281"/>
        <v>0</v>
      </c>
      <c r="O619" s="276"/>
      <c r="P619" s="290">
        <f t="shared" si="282"/>
        <v>0</v>
      </c>
      <c r="Q619" s="276"/>
      <c r="R619" s="290"/>
      <c r="S619" s="276"/>
      <c r="T619" s="290"/>
      <c r="U619" s="276">
        <v>0</v>
      </c>
      <c r="V619" s="290">
        <v>0</v>
      </c>
    </row>
    <row r="620" spans="2:22" ht="19.8" customHeight="1" x14ac:dyDescent="0.6">
      <c r="B620" s="268">
        <v>5</v>
      </c>
      <c r="C620" s="255" t="s">
        <v>59</v>
      </c>
      <c r="D620" s="303"/>
      <c r="E620" s="276"/>
      <c r="G620" s="290"/>
      <c r="I620" s="290"/>
      <c r="J620" s="298"/>
      <c r="K620" s="316"/>
      <c r="L620" s="271"/>
      <c r="M620" s="276"/>
      <c r="N620" s="290"/>
      <c r="O620" s="276"/>
      <c r="P620" s="290"/>
      <c r="Q620" s="276"/>
      <c r="R620" s="290"/>
      <c r="S620" s="276"/>
      <c r="T620" s="290"/>
      <c r="U620" s="276">
        <v>0</v>
      </c>
      <c r="V620" s="290">
        <v>0</v>
      </c>
    </row>
    <row r="621" spans="2:22" ht="19.8" customHeight="1" x14ac:dyDescent="0.6">
      <c r="B621" s="268"/>
      <c r="D621" s="303"/>
      <c r="E621" s="276"/>
      <c r="G621" s="290"/>
      <c r="I621" s="290"/>
      <c r="J621" s="298"/>
      <c r="K621" s="316"/>
      <c r="L621" s="271"/>
      <c r="M621" s="276"/>
      <c r="N621" s="290"/>
      <c r="O621" s="276"/>
      <c r="P621" s="290"/>
      <c r="Q621" s="276"/>
      <c r="R621" s="290"/>
      <c r="S621" s="276"/>
      <c r="T621" s="290"/>
      <c r="U621" s="276">
        <v>0</v>
      </c>
      <c r="V621" s="290">
        <v>0</v>
      </c>
    </row>
    <row r="622" spans="2:22" ht="19.8" customHeight="1" x14ac:dyDescent="0.6">
      <c r="B622" s="826" t="s">
        <v>803</v>
      </c>
      <c r="C622" s="827"/>
      <c r="D622" s="294"/>
      <c r="E622" s="257"/>
      <c r="F622" s="296"/>
      <c r="G622" s="293"/>
      <c r="H622" s="297"/>
      <c r="I622" s="293"/>
      <c r="J622" s="299">
        <f>SUM(J613:J621)</f>
        <v>1519335</v>
      </c>
      <c r="K622" s="319">
        <v>1519335</v>
      </c>
      <c r="L622" s="262"/>
      <c r="M622" s="257"/>
      <c r="N622" s="326">
        <f>SUM(N613:N621)</f>
        <v>0</v>
      </c>
      <c r="O622" s="257"/>
      <c r="P622" s="326">
        <f>SUM(P613:P621)</f>
        <v>0</v>
      </c>
      <c r="Q622" s="257"/>
      <c r="R622" s="326">
        <v>0</v>
      </c>
      <c r="S622" s="257"/>
      <c r="T622" s="326">
        <v>0</v>
      </c>
      <c r="U622" s="257">
        <v>0</v>
      </c>
      <c r="V622" s="326">
        <v>0</v>
      </c>
    </row>
    <row r="623" spans="2:22" ht="19.8" customHeight="1" x14ac:dyDescent="0.6">
      <c r="B623" s="306" t="s">
        <v>804</v>
      </c>
      <c r="C623" s="255" t="s">
        <v>124</v>
      </c>
      <c r="D623" s="303"/>
      <c r="E623" s="276"/>
      <c r="G623" s="290"/>
      <c r="I623" s="290"/>
      <c r="J623" s="298"/>
      <c r="K623" s="316"/>
      <c r="L623" s="271"/>
      <c r="M623" s="276"/>
      <c r="N623" s="290"/>
      <c r="O623" s="276"/>
      <c r="P623" s="290"/>
      <c r="Q623" s="276"/>
      <c r="R623" s="290"/>
      <c r="S623" s="276"/>
      <c r="T623" s="290"/>
      <c r="U623" s="276">
        <v>0</v>
      </c>
      <c r="V623" s="290">
        <v>0</v>
      </c>
    </row>
    <row r="624" spans="2:22" ht="19.8" customHeight="1" x14ac:dyDescent="0.6">
      <c r="B624" s="268">
        <v>1</v>
      </c>
      <c r="C624" s="255" t="s">
        <v>825</v>
      </c>
      <c r="D624" s="303" t="s">
        <v>826</v>
      </c>
      <c r="E624" s="276" t="s">
        <v>58</v>
      </c>
      <c r="G624" s="290"/>
      <c r="I624" s="290">
        <v>24484.85</v>
      </c>
      <c r="J624" s="298">
        <f t="shared" ref="J624" si="283">IF(G624="-","-",IF(D624&gt;0,ROUNDDOWN(I624*D624,0),""))</f>
        <v>4431757</v>
      </c>
      <c r="K624" s="316">
        <v>4431757</v>
      </c>
      <c r="L624" s="271"/>
      <c r="M624" s="276"/>
      <c r="N624" s="290">
        <f t="shared" ref="N624" si="284">ROUNDDOWN(M624*$I624,0)</f>
        <v>0</v>
      </c>
      <c r="O624" s="276"/>
      <c r="P624" s="290">
        <f t="shared" ref="P624" si="285">ROUNDDOWN(O624*$I624,0)</f>
        <v>0</v>
      </c>
      <c r="Q624" s="276"/>
      <c r="R624" s="290"/>
      <c r="S624" s="276"/>
      <c r="T624" s="290"/>
      <c r="U624" s="276">
        <v>0</v>
      </c>
      <c r="V624" s="290">
        <v>0</v>
      </c>
    </row>
    <row r="625" spans="2:22" ht="19.8" customHeight="1" x14ac:dyDescent="0.6">
      <c r="B625" s="306"/>
      <c r="C625" s="255" t="s">
        <v>231</v>
      </c>
      <c r="D625" s="303"/>
      <c r="E625" s="276"/>
      <c r="G625" s="290"/>
      <c r="I625" s="290"/>
      <c r="J625" s="298"/>
      <c r="K625" s="316"/>
      <c r="L625" s="271"/>
      <c r="M625" s="276"/>
      <c r="N625" s="290"/>
      <c r="O625" s="276"/>
      <c r="P625" s="290"/>
      <c r="Q625" s="276"/>
      <c r="R625" s="290"/>
      <c r="S625" s="276"/>
      <c r="T625" s="290"/>
      <c r="U625" s="276">
        <v>0</v>
      </c>
      <c r="V625" s="290">
        <v>0</v>
      </c>
    </row>
    <row r="626" spans="2:22" ht="19.8" customHeight="1" x14ac:dyDescent="0.6">
      <c r="B626" s="268">
        <v>2</v>
      </c>
      <c r="C626" s="255" t="s">
        <v>59</v>
      </c>
      <c r="D626" s="303"/>
      <c r="E626" s="276"/>
      <c r="G626" s="290"/>
      <c r="I626" s="290"/>
      <c r="J626" s="298"/>
      <c r="K626" s="316"/>
      <c r="L626" s="271"/>
      <c r="M626" s="276"/>
      <c r="N626" s="290"/>
      <c r="O626" s="276"/>
      <c r="P626" s="290"/>
      <c r="Q626" s="276"/>
      <c r="R626" s="290"/>
      <c r="S626" s="276"/>
      <c r="T626" s="290"/>
      <c r="U626" s="276">
        <v>0</v>
      </c>
      <c r="V626" s="290">
        <v>0</v>
      </c>
    </row>
    <row r="627" spans="2:22" ht="19.8" customHeight="1" x14ac:dyDescent="0.6">
      <c r="B627" s="268"/>
      <c r="D627" s="303"/>
      <c r="E627" s="276"/>
      <c r="G627" s="290"/>
      <c r="I627" s="290"/>
      <c r="J627" s="298"/>
      <c r="K627" s="316"/>
      <c r="L627" s="271"/>
      <c r="M627" s="276"/>
      <c r="N627" s="290"/>
      <c r="O627" s="276"/>
      <c r="P627" s="290"/>
      <c r="Q627" s="276"/>
      <c r="R627" s="290"/>
      <c r="S627" s="276"/>
      <c r="T627" s="290"/>
      <c r="U627" s="276">
        <v>0</v>
      </c>
      <c r="V627" s="290">
        <v>0</v>
      </c>
    </row>
    <row r="628" spans="2:22" ht="19.8" customHeight="1" x14ac:dyDescent="0.6">
      <c r="B628" s="826" t="s">
        <v>827</v>
      </c>
      <c r="C628" s="827"/>
      <c r="D628" s="294"/>
      <c r="E628" s="257"/>
      <c r="F628" s="296"/>
      <c r="G628" s="293"/>
      <c r="H628" s="297"/>
      <c r="I628" s="293"/>
      <c r="J628" s="299">
        <f>SUM(J623:J627)</f>
        <v>4431757</v>
      </c>
      <c r="K628" s="319"/>
      <c r="L628" s="262"/>
      <c r="M628" s="275"/>
      <c r="N628" s="326">
        <f>SUM(N623:N627)</f>
        <v>0</v>
      </c>
      <c r="O628" s="275"/>
      <c r="P628" s="326">
        <f>SUM(P623:P627)</f>
        <v>0</v>
      </c>
      <c r="Q628" s="275"/>
      <c r="R628" s="326">
        <v>0</v>
      </c>
      <c r="S628" s="275"/>
      <c r="T628" s="326">
        <v>0</v>
      </c>
      <c r="U628" s="275">
        <v>0</v>
      </c>
      <c r="V628" s="326">
        <v>0</v>
      </c>
    </row>
    <row r="629" spans="2:22" ht="19.8" customHeight="1" x14ac:dyDescent="0.6">
      <c r="B629" s="831" t="s">
        <v>828</v>
      </c>
      <c r="C629" s="832"/>
      <c r="D629" s="294"/>
      <c r="E629" s="257"/>
      <c r="F629" s="296"/>
      <c r="G629" s="293"/>
      <c r="H629" s="297"/>
      <c r="I629" s="293"/>
      <c r="J629" s="299"/>
      <c r="K629" s="319">
        <v>129821804</v>
      </c>
      <c r="L629" s="262"/>
      <c r="M629" s="257"/>
      <c r="N629" s="293"/>
      <c r="O629" s="257"/>
      <c r="P629" s="293"/>
      <c r="Q629" s="257"/>
      <c r="R629" s="293"/>
      <c r="S629" s="257"/>
      <c r="T629" s="293"/>
      <c r="U629" s="257"/>
      <c r="V629" s="293"/>
    </row>
    <row r="630" spans="2:22" ht="19.8" customHeight="1" x14ac:dyDescent="0.6">
      <c r="B630" s="312" t="s">
        <v>529</v>
      </c>
      <c r="C630" s="255" t="s">
        <v>114</v>
      </c>
      <c r="D630" s="303"/>
      <c r="E630" s="276"/>
      <c r="G630" s="290"/>
      <c r="I630" s="290"/>
      <c r="J630" s="298"/>
      <c r="K630" s="316"/>
      <c r="L630" s="271"/>
      <c r="M630" s="276"/>
      <c r="N630" s="290"/>
      <c r="O630" s="276"/>
      <c r="P630" s="290"/>
      <c r="Q630" s="276"/>
      <c r="R630" s="290"/>
      <c r="S630" s="276"/>
      <c r="T630" s="290"/>
      <c r="U630" s="276">
        <v>0</v>
      </c>
      <c r="V630" s="290">
        <v>0</v>
      </c>
    </row>
    <row r="631" spans="2:22" ht="19.8" customHeight="1" x14ac:dyDescent="0.6">
      <c r="B631" s="268">
        <v>1</v>
      </c>
      <c r="C631" s="255" t="s">
        <v>805</v>
      </c>
      <c r="D631" s="303" t="s">
        <v>410</v>
      </c>
      <c r="E631" s="276" t="s">
        <v>241</v>
      </c>
      <c r="G631" s="290"/>
      <c r="I631" s="290">
        <v>1270416.56</v>
      </c>
      <c r="J631" s="298">
        <f t="shared" ref="J631" si="286">IF(G631="-","-",IF(D631&gt;0,ROUNDDOWN(I631*D631,0),""))</f>
        <v>2540833</v>
      </c>
      <c r="K631" s="316">
        <v>2540833</v>
      </c>
      <c r="L631" s="271"/>
      <c r="M631" s="276"/>
      <c r="N631" s="290">
        <f t="shared" ref="N631" si="287">ROUNDDOWN(M631*$I631,0)</f>
        <v>0</v>
      </c>
      <c r="O631" s="276"/>
      <c r="P631" s="290">
        <f t="shared" ref="P631" si="288">ROUNDDOWN(O631*$I631,0)</f>
        <v>0</v>
      </c>
      <c r="Q631" s="276"/>
      <c r="R631" s="290"/>
      <c r="S631" s="276"/>
      <c r="T631" s="290"/>
      <c r="U631" s="276">
        <v>0</v>
      </c>
      <c r="V631" s="290">
        <v>0</v>
      </c>
    </row>
    <row r="632" spans="2:22" ht="19.8" customHeight="1" x14ac:dyDescent="0.6">
      <c r="B632" s="268"/>
      <c r="C632" s="255" t="s">
        <v>242</v>
      </c>
      <c r="D632" s="303"/>
      <c r="E632" s="276"/>
      <c r="G632" s="290"/>
      <c r="I632" s="290"/>
      <c r="J632" s="298"/>
      <c r="K632" s="316"/>
      <c r="L632" s="271"/>
      <c r="M632" s="276"/>
      <c r="N632" s="290"/>
      <c r="O632" s="276"/>
      <c r="P632" s="290"/>
      <c r="Q632" s="276"/>
      <c r="R632" s="290"/>
      <c r="S632" s="276"/>
      <c r="T632" s="290"/>
      <c r="U632" s="276">
        <v>0</v>
      </c>
      <c r="V632" s="290">
        <v>0</v>
      </c>
    </row>
    <row r="633" spans="2:22" ht="19.8" customHeight="1" x14ac:dyDescent="0.6">
      <c r="B633" s="268">
        <v>2</v>
      </c>
      <c r="C633" s="255" t="s">
        <v>746</v>
      </c>
      <c r="D633" s="303"/>
      <c r="E633" s="276"/>
      <c r="G633" s="290"/>
      <c r="I633" s="290"/>
      <c r="J633" s="298"/>
      <c r="K633" s="316"/>
      <c r="L633" s="271"/>
      <c r="M633" s="276"/>
      <c r="N633" s="290"/>
      <c r="O633" s="276"/>
      <c r="P633" s="290"/>
      <c r="Q633" s="276"/>
      <c r="R633" s="290"/>
      <c r="S633" s="276"/>
      <c r="T633" s="290"/>
      <c r="U633" s="276">
        <v>0</v>
      </c>
      <c r="V633" s="290">
        <v>0</v>
      </c>
    </row>
    <row r="634" spans="2:22" ht="19.8" customHeight="1" x14ac:dyDescent="0.6">
      <c r="B634" s="268"/>
      <c r="D634" s="303"/>
      <c r="E634" s="276"/>
      <c r="G634" s="290"/>
      <c r="I634" s="290"/>
      <c r="J634" s="298"/>
      <c r="K634" s="316"/>
      <c r="L634" s="271"/>
      <c r="M634" s="276"/>
      <c r="N634" s="290"/>
      <c r="O634" s="276"/>
      <c r="P634" s="290"/>
      <c r="Q634" s="276"/>
      <c r="R634" s="290"/>
      <c r="S634" s="276"/>
      <c r="T634" s="290"/>
      <c r="U634" s="276">
        <v>0</v>
      </c>
      <c r="V634" s="290">
        <v>0</v>
      </c>
    </row>
    <row r="635" spans="2:22" ht="19.8" customHeight="1" x14ac:dyDescent="0.6">
      <c r="B635" s="826" t="s">
        <v>806</v>
      </c>
      <c r="C635" s="827"/>
      <c r="D635" s="294"/>
      <c r="E635" s="257"/>
      <c r="F635" s="296"/>
      <c r="G635" s="293"/>
      <c r="H635" s="297"/>
      <c r="I635" s="293"/>
      <c r="J635" s="299">
        <f>SUM(J630:J634)</f>
        <v>2540833</v>
      </c>
      <c r="K635" s="319">
        <v>2540833</v>
      </c>
      <c r="L635" s="262"/>
      <c r="M635" s="257"/>
      <c r="N635" s="326">
        <f>SUM(N630:N634)</f>
        <v>0</v>
      </c>
      <c r="O635" s="257"/>
      <c r="P635" s="326">
        <f>SUM(P630:P634)</f>
        <v>0</v>
      </c>
      <c r="Q635" s="257"/>
      <c r="R635" s="326">
        <v>0</v>
      </c>
      <c r="S635" s="257"/>
      <c r="T635" s="326">
        <v>0</v>
      </c>
      <c r="U635" s="257">
        <v>0</v>
      </c>
      <c r="V635" s="326">
        <v>0</v>
      </c>
    </row>
    <row r="636" spans="2:22" ht="19.8" customHeight="1" x14ac:dyDescent="0.6">
      <c r="B636" s="434" t="s">
        <v>333</v>
      </c>
      <c r="C636" s="255" t="s">
        <v>127</v>
      </c>
      <c r="D636" s="435"/>
      <c r="E636" s="275"/>
      <c r="I636" s="289"/>
      <c r="J636" s="286"/>
      <c r="K636" s="320"/>
      <c r="L636" s="270"/>
      <c r="N636" s="427"/>
      <c r="P636" s="427"/>
      <c r="R636" s="427"/>
      <c r="T636" s="427"/>
      <c r="U636" s="258">
        <v>0</v>
      </c>
      <c r="V636" s="427">
        <v>0</v>
      </c>
    </row>
    <row r="637" spans="2:22" ht="19.8" customHeight="1" x14ac:dyDescent="0.6">
      <c r="B637" s="306" t="s">
        <v>821</v>
      </c>
      <c r="C637" s="255" t="s">
        <v>835</v>
      </c>
      <c r="D637" s="436" t="s">
        <v>389</v>
      </c>
      <c r="E637" s="276" t="s">
        <v>171</v>
      </c>
      <c r="I637" s="290"/>
      <c r="J637" s="286">
        <f t="shared" ref="J637:J639" si="289">SUM(J635)</f>
        <v>2540833</v>
      </c>
      <c r="K637" s="316"/>
      <c r="L637" s="271"/>
      <c r="N637" s="421"/>
      <c r="P637" s="421"/>
      <c r="R637" s="421"/>
      <c r="T637" s="421"/>
      <c r="U637" s="258">
        <v>0</v>
      </c>
      <c r="V637" s="421">
        <v>0</v>
      </c>
    </row>
    <row r="638" spans="2:22" ht="19.8" customHeight="1" x14ac:dyDescent="0.6">
      <c r="B638" s="306" t="s">
        <v>389</v>
      </c>
      <c r="C638" s="255" t="s">
        <v>172</v>
      </c>
      <c r="D638" s="436" t="s">
        <v>837</v>
      </c>
      <c r="E638" s="276" t="s">
        <v>146</v>
      </c>
      <c r="I638" s="290"/>
      <c r="J638" s="286">
        <f t="shared" si="289"/>
        <v>0</v>
      </c>
      <c r="K638" s="316">
        <v>405000</v>
      </c>
      <c r="L638" s="271"/>
      <c r="N638" s="290">
        <f t="shared" ref="N638:N639" si="290">ROUNDDOWN(M638*$I638,0)</f>
        <v>0</v>
      </c>
      <c r="P638" s="290">
        <f t="shared" ref="P638:P639" si="291">ROUNDDOWN(O638*$I638,0)</f>
        <v>0</v>
      </c>
      <c r="R638" s="290">
        <v>0</v>
      </c>
      <c r="T638" s="290">
        <v>0</v>
      </c>
      <c r="U638" s="258">
        <v>0</v>
      </c>
      <c r="V638" s="290">
        <v>0</v>
      </c>
    </row>
    <row r="639" spans="2:22" ht="19.8" customHeight="1" x14ac:dyDescent="0.6">
      <c r="B639" s="306" t="s">
        <v>410</v>
      </c>
      <c r="C639" s="433" t="s">
        <v>173</v>
      </c>
      <c r="D639" s="436" t="s">
        <v>836</v>
      </c>
      <c r="E639" s="276" t="s">
        <v>55</v>
      </c>
      <c r="I639" s="291"/>
      <c r="J639" s="286">
        <f t="shared" si="289"/>
        <v>2540833</v>
      </c>
      <c r="K639" s="432">
        <v>161191</v>
      </c>
      <c r="L639" s="271"/>
      <c r="N639" s="290">
        <f t="shared" si="290"/>
        <v>0</v>
      </c>
      <c r="P639" s="290">
        <f t="shared" si="291"/>
        <v>0</v>
      </c>
      <c r="R639" s="290">
        <v>0</v>
      </c>
      <c r="T639" s="290">
        <v>0</v>
      </c>
      <c r="U639" s="258">
        <v>0</v>
      </c>
      <c r="V639" s="290">
        <v>0</v>
      </c>
    </row>
    <row r="640" spans="2:22" ht="19.8" customHeight="1" x14ac:dyDescent="0.6">
      <c r="B640" s="826" t="s">
        <v>174</v>
      </c>
      <c r="C640" s="827"/>
      <c r="D640" s="437"/>
      <c r="E640" s="257"/>
      <c r="F640" s="296"/>
      <c r="G640" s="438"/>
      <c r="H640" s="297"/>
      <c r="I640" s="293"/>
      <c r="J640" s="438">
        <f>SUM(J636:J638)</f>
        <v>2540833</v>
      </c>
      <c r="K640" s="319">
        <f>SUM(K638:K639)</f>
        <v>566191</v>
      </c>
      <c r="L640" s="262"/>
      <c r="M640" s="419"/>
      <c r="N640" s="326">
        <f>SUM(N636:N639)</f>
        <v>0</v>
      </c>
      <c r="O640" s="419"/>
      <c r="P640" s="326">
        <f>SUM(P636:P639)</f>
        <v>0</v>
      </c>
      <c r="Q640" s="419"/>
      <c r="R640" s="326">
        <v>0</v>
      </c>
      <c r="S640" s="419"/>
      <c r="T640" s="326">
        <v>0</v>
      </c>
      <c r="U640" s="419">
        <v>0</v>
      </c>
      <c r="V640" s="326">
        <v>0</v>
      </c>
    </row>
    <row r="641" spans="2:22" ht="19.8" customHeight="1" x14ac:dyDescent="0.6">
      <c r="B641" s="817" t="s">
        <v>115</v>
      </c>
      <c r="C641" s="818"/>
      <c r="D641" s="294"/>
      <c r="E641" s="257"/>
      <c r="F641" s="296"/>
      <c r="G641" s="293"/>
      <c r="H641" s="297"/>
      <c r="I641" s="293"/>
      <c r="J641" s="299"/>
      <c r="K641" s="319">
        <f>SUM(K635,K629,K388,K335)</f>
        <v>237923918</v>
      </c>
      <c r="L641" s="262"/>
      <c r="M641" s="257"/>
      <c r="N641" s="293"/>
      <c r="O641" s="257"/>
      <c r="P641" s="293"/>
      <c r="Q641" s="257"/>
      <c r="R641" s="293"/>
      <c r="S641" s="257"/>
      <c r="T641" s="293"/>
      <c r="U641" s="257"/>
      <c r="V641" s="293"/>
    </row>
  </sheetData>
  <mergeCells count="57">
    <mergeCell ref="B629:C629"/>
    <mergeCell ref="B635:C635"/>
    <mergeCell ref="B640:C640"/>
    <mergeCell ref="B641:C641"/>
    <mergeCell ref="B524:C524"/>
    <mergeCell ref="B549:C549"/>
    <mergeCell ref="B580:C580"/>
    <mergeCell ref="B612:C612"/>
    <mergeCell ref="B622:C622"/>
    <mergeCell ref="B628:C628"/>
    <mergeCell ref="B507:C507"/>
    <mergeCell ref="B264:C264"/>
    <mergeCell ref="B290:C290"/>
    <mergeCell ref="B314:C314"/>
    <mergeCell ref="B334:C334"/>
    <mergeCell ref="B335:C335"/>
    <mergeCell ref="B355:C355"/>
    <mergeCell ref="B387:C387"/>
    <mergeCell ref="B388:C388"/>
    <mergeCell ref="B431:C431"/>
    <mergeCell ref="B462:C462"/>
    <mergeCell ref="B493:C493"/>
    <mergeCell ref="B240:C240"/>
    <mergeCell ref="Z38:AA38"/>
    <mergeCell ref="Z42:AA42"/>
    <mergeCell ref="Z46:AA46"/>
    <mergeCell ref="B56:C56"/>
    <mergeCell ref="Z69:AA69"/>
    <mergeCell ref="B77:C77"/>
    <mergeCell ref="B121:C121"/>
    <mergeCell ref="B144:C144"/>
    <mergeCell ref="B168:C168"/>
    <mergeCell ref="B191:C191"/>
    <mergeCell ref="B215:C215"/>
    <mergeCell ref="AC7:AD7"/>
    <mergeCell ref="Z15:AA15"/>
    <mergeCell ref="Z20:AA20"/>
    <mergeCell ref="Z26:AA26"/>
    <mergeCell ref="Z30:AA30"/>
    <mergeCell ref="Z34:AA34"/>
    <mergeCell ref="C7:C8"/>
    <mergeCell ref="D7:D8"/>
    <mergeCell ref="E7:E8"/>
    <mergeCell ref="F7:F8"/>
    <mergeCell ref="G7:G8"/>
    <mergeCell ref="I7:K7"/>
    <mergeCell ref="Q6:R7"/>
    <mergeCell ref="S6:T7"/>
    <mergeCell ref="B3:W3"/>
    <mergeCell ref="B4:W4"/>
    <mergeCell ref="H6:H8"/>
    <mergeCell ref="I6:K6"/>
    <mergeCell ref="L6:L8"/>
    <mergeCell ref="M6:N7"/>
    <mergeCell ref="O6:P7"/>
    <mergeCell ref="U6:V7"/>
    <mergeCell ref="B7:B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394D-4A2C-495B-98F6-1CA0062FC681}">
  <dimension ref="A1:BH129"/>
  <sheetViews>
    <sheetView topLeftCell="G65" zoomScale="85" zoomScaleNormal="85" workbookViewId="0">
      <selection activeCell="N108" sqref="N108"/>
    </sheetView>
  </sheetViews>
  <sheetFormatPr defaultRowHeight="9" customHeight="1" x14ac:dyDescent="0.7"/>
  <cols>
    <col min="1" max="1" width="8.88671875" style="480"/>
    <col min="2" max="2" width="8.77734375" style="480" customWidth="1"/>
    <col min="3" max="3" width="28.5546875" style="481" customWidth="1"/>
    <col min="4" max="4" width="10.33203125" style="481" customWidth="1"/>
    <col min="5" max="5" width="9.88671875" style="481" bestFit="1" customWidth="1"/>
    <col min="6" max="6" width="10.6640625" style="481" customWidth="1"/>
    <col min="7" max="7" width="9.88671875" style="481" bestFit="1" customWidth="1"/>
    <col min="8" max="8" width="14.88671875" style="481" customWidth="1"/>
    <col min="9" max="9" width="25.6640625" style="481" bestFit="1" customWidth="1"/>
    <col min="10" max="10" width="14" style="481" customWidth="1"/>
    <col min="11" max="11" width="15.21875" style="480" customWidth="1"/>
    <col min="12" max="13" width="15.21875" style="498" customWidth="1"/>
    <col min="14" max="14" width="15.21875" style="480" customWidth="1"/>
    <col min="15" max="15" width="47.5546875" style="481" customWidth="1"/>
    <col min="16" max="19" width="8.88671875" style="498" customWidth="1"/>
    <col min="20" max="20" width="13.21875" style="498" customWidth="1"/>
    <col min="21" max="24" width="8.88671875" style="498" customWidth="1"/>
    <col min="25" max="25" width="13.21875" style="498" customWidth="1"/>
    <col min="26" max="29" width="8.88671875" style="498"/>
    <col min="30" max="30" width="13.21875" style="498" customWidth="1"/>
    <col min="31" max="34" width="8.88671875" style="498"/>
    <col min="35" max="35" width="13.21875" style="498" customWidth="1"/>
    <col min="36" max="39" width="8.88671875" style="498"/>
    <col min="40" max="40" width="13.21875" style="498" customWidth="1"/>
    <col min="41" max="44" width="8.88671875" style="498"/>
    <col min="45" max="45" width="13.21875" style="498" customWidth="1"/>
    <col min="46" max="49" width="8.88671875" style="498"/>
    <col min="50" max="50" width="13.21875" style="498" customWidth="1"/>
    <col min="51" max="54" width="8.88671875" style="498"/>
    <col min="55" max="55" width="13.21875" style="498" customWidth="1"/>
    <col min="56" max="59" width="8.88671875" style="498"/>
    <col min="60" max="60" width="13.21875" style="498" customWidth="1"/>
    <col min="61" max="16384" width="8.88671875" style="480"/>
  </cols>
  <sheetData>
    <row r="1" spans="2:60" ht="18" customHeight="1" x14ac:dyDescent="0.7"/>
    <row r="2" spans="2:60" ht="18" customHeight="1" x14ac:dyDescent="0.15">
      <c r="B2" s="482" t="s">
        <v>24</v>
      </c>
      <c r="C2" s="711" t="s">
        <v>0</v>
      </c>
      <c r="D2" s="711" t="s">
        <v>1</v>
      </c>
      <c r="E2" s="713" t="s">
        <v>2</v>
      </c>
      <c r="F2" s="735" t="s">
        <v>28</v>
      </c>
      <c r="G2" s="737" t="s">
        <v>20</v>
      </c>
      <c r="H2" s="483" t="s">
        <v>3</v>
      </c>
      <c r="I2" s="483" t="s">
        <v>4</v>
      </c>
      <c r="J2" s="739" t="s">
        <v>20</v>
      </c>
      <c r="L2" s="837" t="s">
        <v>866</v>
      </c>
      <c r="M2" s="837" t="s">
        <v>867</v>
      </c>
      <c r="O2" s="701" t="s">
        <v>0</v>
      </c>
      <c r="P2" s="847">
        <v>2567</v>
      </c>
      <c r="Q2" s="848"/>
      <c r="R2" s="848"/>
      <c r="S2" s="848"/>
      <c r="T2" s="849"/>
      <c r="U2" s="833">
        <v>2568</v>
      </c>
      <c r="V2" s="833"/>
      <c r="W2" s="833"/>
      <c r="X2" s="833"/>
      <c r="Y2" s="833"/>
      <c r="Z2" s="833"/>
      <c r="AA2" s="833"/>
      <c r="AB2" s="833"/>
      <c r="AC2" s="833"/>
      <c r="AD2" s="833"/>
      <c r="AE2" s="833"/>
      <c r="AF2" s="833"/>
      <c r="AG2" s="833"/>
      <c r="AH2" s="833"/>
      <c r="AI2" s="833"/>
      <c r="AJ2" s="833"/>
      <c r="AK2" s="833"/>
      <c r="AL2" s="833"/>
      <c r="AM2" s="833"/>
      <c r="AN2" s="833"/>
      <c r="AO2" s="833">
        <v>2569</v>
      </c>
      <c r="AP2" s="833"/>
      <c r="AQ2" s="833"/>
      <c r="AR2" s="833"/>
      <c r="AS2" s="833"/>
      <c r="AT2" s="833"/>
      <c r="AU2" s="833"/>
      <c r="AV2" s="833"/>
      <c r="AW2" s="833"/>
      <c r="AX2" s="833"/>
      <c r="AY2" s="833"/>
      <c r="AZ2" s="833"/>
      <c r="BA2" s="833"/>
      <c r="BB2" s="833"/>
      <c r="BC2" s="833"/>
      <c r="BD2" s="833"/>
      <c r="BE2" s="833"/>
      <c r="BF2" s="833"/>
      <c r="BG2" s="833"/>
      <c r="BH2" s="833"/>
    </row>
    <row r="3" spans="2:60" ht="18" customHeight="1" x14ac:dyDescent="0.15">
      <c r="B3" s="484" t="s">
        <v>25</v>
      </c>
      <c r="C3" s="712"/>
      <c r="D3" s="712"/>
      <c r="E3" s="714"/>
      <c r="F3" s="736"/>
      <c r="G3" s="738"/>
      <c r="H3" s="485" t="s">
        <v>5</v>
      </c>
      <c r="I3" s="485" t="s">
        <v>5</v>
      </c>
      <c r="J3" s="740"/>
      <c r="L3" s="781"/>
      <c r="M3" s="781"/>
      <c r="O3" s="702"/>
      <c r="P3" s="707">
        <v>243831</v>
      </c>
      <c r="Q3" s="708"/>
      <c r="R3" s="708"/>
      <c r="S3" s="708"/>
      <c r="T3" s="709"/>
      <c r="U3" s="710" t="s">
        <v>850</v>
      </c>
      <c r="V3" s="708"/>
      <c r="W3" s="708"/>
      <c r="X3" s="708"/>
      <c r="Y3" s="709"/>
      <c r="Z3" s="710" t="s">
        <v>851</v>
      </c>
      <c r="AA3" s="708"/>
      <c r="AB3" s="708"/>
      <c r="AC3" s="708"/>
      <c r="AD3" s="709"/>
      <c r="AE3" s="710" t="s">
        <v>852</v>
      </c>
      <c r="AF3" s="708"/>
      <c r="AG3" s="708"/>
      <c r="AH3" s="708"/>
      <c r="AI3" s="709"/>
      <c r="AJ3" s="710" t="s">
        <v>853</v>
      </c>
      <c r="AK3" s="708"/>
      <c r="AL3" s="708"/>
      <c r="AM3" s="708"/>
      <c r="AN3" s="709"/>
      <c r="AO3" s="834" t="s">
        <v>854</v>
      </c>
      <c r="AP3" s="835"/>
      <c r="AQ3" s="835"/>
      <c r="AR3" s="835"/>
      <c r="AS3" s="836"/>
      <c r="AT3" s="834" t="s">
        <v>906</v>
      </c>
      <c r="AU3" s="835"/>
      <c r="AV3" s="835"/>
      <c r="AW3" s="835"/>
      <c r="AX3" s="836"/>
      <c r="AY3" s="834" t="s">
        <v>907</v>
      </c>
      <c r="AZ3" s="835"/>
      <c r="BA3" s="835"/>
      <c r="BB3" s="835"/>
      <c r="BC3" s="836"/>
      <c r="BD3" s="834" t="s">
        <v>908</v>
      </c>
      <c r="BE3" s="835"/>
      <c r="BF3" s="835"/>
      <c r="BG3" s="835"/>
      <c r="BH3" s="836"/>
    </row>
    <row r="4" spans="2:60" ht="9" customHeight="1" x14ac:dyDescent="0.15">
      <c r="B4" s="691">
        <v>1</v>
      </c>
      <c r="C4" s="693" t="s">
        <v>33</v>
      </c>
      <c r="D4" s="695"/>
      <c r="E4" s="695"/>
      <c r="F4" s="697">
        <f>[1]แผนการก่อสร้าง!E9</f>
        <v>0</v>
      </c>
      <c r="G4" s="697">
        <f>[1]แผนการก่อสร้าง!F9</f>
        <v>0</v>
      </c>
      <c r="H4" s="695"/>
      <c r="I4" s="695"/>
      <c r="J4" s="699"/>
      <c r="L4" s="781"/>
      <c r="M4" s="781"/>
      <c r="O4" s="693" t="s">
        <v>33</v>
      </c>
      <c r="P4" s="716" t="s">
        <v>855</v>
      </c>
      <c r="Q4" s="716" t="s">
        <v>856</v>
      </c>
      <c r="R4" s="716" t="s">
        <v>857</v>
      </c>
      <c r="S4" s="716" t="s">
        <v>858</v>
      </c>
      <c r="T4" s="715" t="s">
        <v>31</v>
      </c>
      <c r="U4" s="716" t="s">
        <v>855</v>
      </c>
      <c r="V4" s="716" t="s">
        <v>856</v>
      </c>
      <c r="W4" s="716" t="s">
        <v>857</v>
      </c>
      <c r="X4" s="716" t="s">
        <v>858</v>
      </c>
      <c r="Y4" s="715" t="s">
        <v>31</v>
      </c>
      <c r="Z4" s="716" t="s">
        <v>855</v>
      </c>
      <c r="AA4" s="716" t="s">
        <v>856</v>
      </c>
      <c r="AB4" s="716" t="s">
        <v>857</v>
      </c>
      <c r="AC4" s="716" t="s">
        <v>858</v>
      </c>
      <c r="AD4" s="715" t="s">
        <v>31</v>
      </c>
      <c r="AE4" s="716" t="s">
        <v>855</v>
      </c>
      <c r="AF4" s="716" t="s">
        <v>856</v>
      </c>
      <c r="AG4" s="716" t="s">
        <v>857</v>
      </c>
      <c r="AH4" s="716" t="s">
        <v>858</v>
      </c>
      <c r="AI4" s="715" t="s">
        <v>31</v>
      </c>
      <c r="AJ4" s="716" t="s">
        <v>855</v>
      </c>
      <c r="AK4" s="716" t="s">
        <v>856</v>
      </c>
      <c r="AL4" s="716" t="s">
        <v>857</v>
      </c>
      <c r="AM4" s="716" t="s">
        <v>858</v>
      </c>
      <c r="AN4" s="715" t="s">
        <v>31</v>
      </c>
      <c r="AO4" s="716" t="s">
        <v>855</v>
      </c>
      <c r="AP4" s="716" t="s">
        <v>856</v>
      </c>
      <c r="AQ4" s="716" t="s">
        <v>857</v>
      </c>
      <c r="AR4" s="716" t="s">
        <v>858</v>
      </c>
      <c r="AS4" s="715" t="s">
        <v>31</v>
      </c>
      <c r="AT4" s="716" t="s">
        <v>855</v>
      </c>
      <c r="AU4" s="716" t="s">
        <v>856</v>
      </c>
      <c r="AV4" s="716" t="s">
        <v>857</v>
      </c>
      <c r="AW4" s="716" t="s">
        <v>858</v>
      </c>
      <c r="AX4" s="715" t="s">
        <v>31</v>
      </c>
      <c r="AY4" s="716" t="s">
        <v>855</v>
      </c>
      <c r="AZ4" s="716" t="s">
        <v>856</v>
      </c>
      <c r="BA4" s="716" t="s">
        <v>857</v>
      </c>
      <c r="BB4" s="716" t="s">
        <v>858</v>
      </c>
      <c r="BC4" s="715" t="s">
        <v>31</v>
      </c>
      <c r="BD4" s="716" t="s">
        <v>855</v>
      </c>
      <c r="BE4" s="716" t="s">
        <v>856</v>
      </c>
      <c r="BF4" s="716" t="s">
        <v>857</v>
      </c>
      <c r="BG4" s="716" t="s">
        <v>858</v>
      </c>
      <c r="BH4" s="715" t="s">
        <v>31</v>
      </c>
    </row>
    <row r="5" spans="2:60" ht="9" customHeight="1" x14ac:dyDescent="0.15">
      <c r="B5" s="692"/>
      <c r="C5" s="694"/>
      <c r="D5" s="696"/>
      <c r="E5" s="696"/>
      <c r="F5" s="698"/>
      <c r="G5" s="698"/>
      <c r="H5" s="696"/>
      <c r="I5" s="696"/>
      <c r="J5" s="700"/>
      <c r="L5" s="782"/>
      <c r="M5" s="782"/>
      <c r="O5" s="694"/>
      <c r="P5" s="716"/>
      <c r="Q5" s="716"/>
      <c r="R5" s="716"/>
      <c r="S5" s="716"/>
      <c r="T5" s="715"/>
      <c r="U5" s="716"/>
      <c r="V5" s="716"/>
      <c r="W5" s="716"/>
      <c r="X5" s="716"/>
      <c r="Y5" s="715"/>
      <c r="Z5" s="716"/>
      <c r="AA5" s="716"/>
      <c r="AB5" s="716"/>
      <c r="AC5" s="716"/>
      <c r="AD5" s="715"/>
      <c r="AE5" s="716"/>
      <c r="AF5" s="716"/>
      <c r="AG5" s="716"/>
      <c r="AH5" s="716"/>
      <c r="AI5" s="715"/>
      <c r="AJ5" s="716"/>
      <c r="AK5" s="716"/>
      <c r="AL5" s="716"/>
      <c r="AM5" s="716"/>
      <c r="AN5" s="715"/>
      <c r="AO5" s="716"/>
      <c r="AP5" s="716"/>
      <c r="AQ5" s="716"/>
      <c r="AR5" s="716"/>
      <c r="AS5" s="715"/>
      <c r="AT5" s="716"/>
      <c r="AU5" s="716"/>
      <c r="AV5" s="716"/>
      <c r="AW5" s="716"/>
      <c r="AX5" s="715"/>
      <c r="AY5" s="716"/>
      <c r="AZ5" s="716"/>
      <c r="BA5" s="716"/>
      <c r="BB5" s="716"/>
      <c r="BC5" s="715"/>
      <c r="BD5" s="716"/>
      <c r="BE5" s="716"/>
      <c r="BF5" s="716"/>
      <c r="BG5" s="716"/>
      <c r="BH5" s="715"/>
    </row>
    <row r="6" spans="2:60" ht="9" customHeight="1" x14ac:dyDescent="0.15">
      <c r="B6" s="717">
        <v>1.1000000000000001</v>
      </c>
      <c r="C6" s="719" t="s">
        <v>34</v>
      </c>
      <c r="D6" s="721" t="s">
        <v>6</v>
      </c>
      <c r="E6" s="723">
        <v>1</v>
      </c>
      <c r="F6" s="725">
        <f>แผนการก่อสร้าง!G11</f>
        <v>7.2120000000000004E-2</v>
      </c>
      <c r="G6" s="727">
        <f>แผนการก่อสร้าง!H11</f>
        <v>7.2119999999999997</v>
      </c>
      <c r="H6" s="729">
        <v>5090507</v>
      </c>
      <c r="I6" s="731">
        <v>5090507</v>
      </c>
      <c r="J6" s="733">
        <v>2.1344275955460281</v>
      </c>
      <c r="L6" s="499"/>
      <c r="M6" s="499"/>
      <c r="O6" s="719" t="s">
        <v>34</v>
      </c>
      <c r="P6" s="499"/>
      <c r="Q6" s="499"/>
      <c r="R6" s="499"/>
      <c r="S6" s="499"/>
      <c r="T6" s="500"/>
      <c r="U6" s="499"/>
      <c r="V6" s="499"/>
      <c r="W6" s="499"/>
      <c r="X6" s="499"/>
      <c r="Y6" s="500"/>
      <c r="Z6" s="499"/>
      <c r="AA6" s="499"/>
      <c r="AB6" s="499"/>
      <c r="AC6" s="499"/>
      <c r="AD6" s="500"/>
      <c r="AE6" s="499"/>
      <c r="AF6" s="499"/>
      <c r="AG6" s="499"/>
      <c r="AH6" s="499"/>
      <c r="AI6" s="500"/>
      <c r="AJ6" s="499"/>
      <c r="AK6" s="499"/>
      <c r="AL6" s="499"/>
      <c r="AM6" s="499"/>
      <c r="AN6" s="500"/>
      <c r="AO6" s="499"/>
      <c r="AP6" s="499"/>
      <c r="AQ6" s="499"/>
      <c r="AR6" s="499"/>
      <c r="AS6" s="500"/>
      <c r="AT6" s="499"/>
      <c r="AU6" s="499"/>
      <c r="AV6" s="499"/>
      <c r="AW6" s="499"/>
      <c r="AX6" s="500"/>
      <c r="AY6" s="499"/>
      <c r="AZ6" s="499"/>
      <c r="BA6" s="499"/>
      <c r="BB6" s="499"/>
      <c r="BC6" s="500"/>
      <c r="BD6" s="499"/>
      <c r="BE6" s="499"/>
      <c r="BF6" s="499"/>
      <c r="BG6" s="499"/>
      <c r="BH6" s="500"/>
    </row>
    <row r="7" spans="2:60" ht="9" customHeight="1" x14ac:dyDescent="0.15">
      <c r="B7" s="718"/>
      <c r="C7" s="720"/>
      <c r="D7" s="722"/>
      <c r="E7" s="724"/>
      <c r="F7" s="726"/>
      <c r="G7" s="728"/>
      <c r="H7" s="730"/>
      <c r="I7" s="732"/>
      <c r="J7" s="734"/>
      <c r="L7" s="495">
        <f>SUM(P7,Q7,R7,S7,U7,V7,W7,X7,Z7,AA7:AC7,AE7,AF7,AG7,AH7,AJ7,AK7,AL7,AM7,AO7,AP7,AQ7,AR7,AT7,AU7,AV7,AW7,AY7,AZ7,BA7,BB7,BD7,BE7,BF7)</f>
        <v>367394</v>
      </c>
      <c r="M7" s="495">
        <f>SUM(P7,Q7,R7,S7,U7,V7,W7,X7,Z7,AA7,AB7:AC7,AE7,AF7,AG7,AH7,AJ7,AK7,AL7,AM7,AO7,AP7,AQ7,AR7,AT7,AU7,AV7,AW7,AY7,AZ7,BA7,BB7,BD7,BE7,BF7,BG7)</f>
        <v>367394</v>
      </c>
      <c r="O7" s="720"/>
      <c r="P7" s="495">
        <v>0</v>
      </c>
      <c r="Q7" s="495">
        <v>0</v>
      </c>
      <c r="R7" s="495">
        <v>0</v>
      </c>
      <c r="S7" s="495">
        <v>217394</v>
      </c>
      <c r="T7" s="495">
        <f>SUM(P7:S7)</f>
        <v>217394</v>
      </c>
      <c r="U7" s="495">
        <v>0</v>
      </c>
      <c r="V7" s="495">
        <v>0</v>
      </c>
      <c r="W7" s="495">
        <v>150000</v>
      </c>
      <c r="X7" s="495">
        <v>0</v>
      </c>
      <c r="Y7" s="495">
        <f>SUM(U7:X7)</f>
        <v>150000</v>
      </c>
      <c r="Z7" s="495">
        <v>0</v>
      </c>
      <c r="AA7" s="495">
        <v>0</v>
      </c>
      <c r="AB7" s="495">
        <v>0</v>
      </c>
      <c r="AC7" s="495">
        <v>0</v>
      </c>
      <c r="AD7" s="495">
        <f>SUM(Z7:AC7)</f>
        <v>0</v>
      </c>
      <c r="AE7" s="495">
        <v>0</v>
      </c>
      <c r="AF7" s="495">
        <v>0</v>
      </c>
      <c r="AG7" s="495">
        <v>0</v>
      </c>
      <c r="AH7" s="495">
        <v>0</v>
      </c>
      <c r="AI7" s="495">
        <f>SUM(AE7:AH7)</f>
        <v>0</v>
      </c>
      <c r="AJ7" s="495">
        <v>0</v>
      </c>
      <c r="AK7" s="495">
        <v>0</v>
      </c>
      <c r="AL7" s="495">
        <v>0</v>
      </c>
      <c r="AM7" s="495">
        <v>0</v>
      </c>
      <c r="AN7" s="495">
        <f>SUM(AJ7:AM7)</f>
        <v>0</v>
      </c>
      <c r="AO7" s="495">
        <v>0</v>
      </c>
      <c r="AP7" s="495">
        <v>0</v>
      </c>
      <c r="AQ7" s="495">
        <v>0</v>
      </c>
      <c r="AR7" s="495">
        <v>0</v>
      </c>
      <c r="AS7" s="495">
        <f>SUM(AO7:AR7)</f>
        <v>0</v>
      </c>
      <c r="AT7" s="495">
        <v>0</v>
      </c>
      <c r="AU7" s="495">
        <v>0</v>
      </c>
      <c r="AV7" s="495">
        <v>0</v>
      </c>
      <c r="AW7" s="495">
        <v>0</v>
      </c>
      <c r="AX7" s="495">
        <f>SUM(AT7:AW7)</f>
        <v>0</v>
      </c>
      <c r="AY7" s="495">
        <v>0</v>
      </c>
      <c r="AZ7" s="495">
        <v>0</v>
      </c>
      <c r="BA7" s="495">
        <v>0</v>
      </c>
      <c r="BB7" s="495">
        <v>0</v>
      </c>
      <c r="BC7" s="495">
        <f>SUM(AY7:BB7)</f>
        <v>0</v>
      </c>
      <c r="BD7" s="495">
        <v>0</v>
      </c>
      <c r="BE7" s="495">
        <v>0</v>
      </c>
      <c r="BF7" s="495">
        <v>0</v>
      </c>
      <c r="BG7" s="495">
        <v>0</v>
      </c>
      <c r="BH7" s="495">
        <f>SUM(BD7:BG7)</f>
        <v>0</v>
      </c>
    </row>
    <row r="8" spans="2:60" ht="9" customHeight="1" x14ac:dyDescent="0.15">
      <c r="B8" s="741">
        <v>-1</v>
      </c>
      <c r="C8" s="719" t="s">
        <v>35</v>
      </c>
      <c r="D8" s="721" t="s">
        <v>6</v>
      </c>
      <c r="E8" s="723">
        <v>1</v>
      </c>
      <c r="F8" s="725">
        <f>แผนการก่อสร้าง!G13</f>
        <v>0</v>
      </c>
      <c r="G8" s="727">
        <f>แผนการก่อสร้าง!H13</f>
        <v>0</v>
      </c>
      <c r="H8" s="729">
        <v>2151709</v>
      </c>
      <c r="I8" s="731">
        <v>2151709</v>
      </c>
      <c r="J8" s="733">
        <v>0.90220228892421694</v>
      </c>
      <c r="L8" s="495">
        <f t="shared" ref="L8:L71" si="0">SUM(P8,Q8,R8,S8,U8,V8,W8,X8,Z8,AA8:AC8,AE8,AF8,AG8,AH8,AJ8,AK8,AL8,AM8,AO8,AP8,AQ8,AR8,AT8,AU8,AV8,AW8,AY8,AZ8,BA8,BB8,BD8,BE8,BF8)</f>
        <v>0</v>
      </c>
      <c r="M8" s="495">
        <f t="shared" ref="M8:M71" si="1">SUM(P8,Q8,R8,S8,U8,V8,W8,X8,Z8,AA8,AB8:AC8,AE8,AF8,AG8,AH8,AJ8,AK8,AL8,AM8,AO8,AP8,AQ8,AR8,AT8,AU8,AV8,AW8,AY8,AZ8,BA8,BB8,BD8,BE8,BF8,BG8)</f>
        <v>0</v>
      </c>
      <c r="O8" s="719" t="s">
        <v>35</v>
      </c>
      <c r="P8" s="499"/>
      <c r="Q8" s="499"/>
      <c r="R8" s="499"/>
      <c r="S8" s="499"/>
      <c r="T8" s="500"/>
      <c r="U8" s="499"/>
      <c r="V8" s="499"/>
      <c r="W8" s="499"/>
      <c r="X8" s="499"/>
      <c r="Y8" s="500"/>
      <c r="Z8" s="499"/>
      <c r="AA8" s="499"/>
      <c r="AB8" s="499"/>
      <c r="AC8" s="499"/>
      <c r="AD8" s="500"/>
      <c r="AE8" s="499"/>
      <c r="AF8" s="499"/>
      <c r="AG8" s="499"/>
      <c r="AH8" s="499"/>
      <c r="AI8" s="500"/>
      <c r="AJ8" s="499"/>
      <c r="AK8" s="499"/>
      <c r="AL8" s="499"/>
      <c r="AM8" s="499"/>
      <c r="AN8" s="500"/>
      <c r="AO8" s="499"/>
      <c r="AP8" s="499"/>
      <c r="AQ8" s="499"/>
      <c r="AR8" s="499"/>
      <c r="AS8" s="500"/>
      <c r="AT8" s="499"/>
      <c r="AU8" s="499"/>
      <c r="AV8" s="499"/>
      <c r="AW8" s="499"/>
      <c r="AX8" s="500"/>
      <c r="AY8" s="499"/>
      <c r="AZ8" s="499"/>
      <c r="BA8" s="499"/>
      <c r="BB8" s="499"/>
      <c r="BC8" s="500"/>
      <c r="BD8" s="499"/>
      <c r="BE8" s="499"/>
      <c r="BF8" s="499"/>
      <c r="BG8" s="499"/>
      <c r="BH8" s="500"/>
    </row>
    <row r="9" spans="2:60" ht="9" customHeight="1" x14ac:dyDescent="0.15">
      <c r="B9" s="742"/>
      <c r="C9" s="720"/>
      <c r="D9" s="722"/>
      <c r="E9" s="724"/>
      <c r="F9" s="726"/>
      <c r="G9" s="728"/>
      <c r="H9" s="730"/>
      <c r="I9" s="732"/>
      <c r="J9" s="734"/>
      <c r="L9" s="495">
        <f t="shared" si="0"/>
        <v>0</v>
      </c>
      <c r="M9" s="495">
        <f t="shared" si="1"/>
        <v>0</v>
      </c>
      <c r="O9" s="720"/>
      <c r="P9" s="495">
        <v>0</v>
      </c>
      <c r="Q9" s="495">
        <v>0</v>
      </c>
      <c r="R9" s="495">
        <v>0</v>
      </c>
      <c r="S9" s="495">
        <v>0</v>
      </c>
      <c r="T9" s="495">
        <f>SUM(P9:S9)</f>
        <v>0</v>
      </c>
      <c r="U9" s="495">
        <v>0</v>
      </c>
      <c r="V9" s="495">
        <v>0</v>
      </c>
      <c r="W9" s="495">
        <v>0</v>
      </c>
      <c r="X9" s="495">
        <v>0</v>
      </c>
      <c r="Y9" s="495">
        <f>SUM(U9:X9)</f>
        <v>0</v>
      </c>
      <c r="Z9" s="495">
        <v>0</v>
      </c>
      <c r="AA9" s="495">
        <v>0</v>
      </c>
      <c r="AB9" s="495">
        <v>0</v>
      </c>
      <c r="AC9" s="495">
        <v>0</v>
      </c>
      <c r="AD9" s="495">
        <f>SUM(Z9:AC9)</f>
        <v>0</v>
      </c>
      <c r="AE9" s="495">
        <v>0</v>
      </c>
      <c r="AF9" s="495">
        <v>0</v>
      </c>
      <c r="AG9" s="495">
        <v>0</v>
      </c>
      <c r="AH9" s="495">
        <v>0</v>
      </c>
      <c r="AI9" s="495">
        <f>SUM(AE9:AH9)</f>
        <v>0</v>
      </c>
      <c r="AJ9" s="495">
        <v>0</v>
      </c>
      <c r="AK9" s="495">
        <v>0</v>
      </c>
      <c r="AL9" s="495">
        <v>0</v>
      </c>
      <c r="AM9" s="495">
        <v>0</v>
      </c>
      <c r="AN9" s="495">
        <f>SUM(AJ9:AM9)</f>
        <v>0</v>
      </c>
      <c r="AO9" s="495">
        <v>0</v>
      </c>
      <c r="AP9" s="495">
        <v>0</v>
      </c>
      <c r="AQ9" s="495">
        <v>0</v>
      </c>
      <c r="AR9" s="495">
        <v>0</v>
      </c>
      <c r="AS9" s="495">
        <f>SUM(AO9:AR9)</f>
        <v>0</v>
      </c>
      <c r="AT9" s="495">
        <v>0</v>
      </c>
      <c r="AU9" s="495">
        <v>0</v>
      </c>
      <c r="AV9" s="495">
        <v>0</v>
      </c>
      <c r="AW9" s="495">
        <v>0</v>
      </c>
      <c r="AX9" s="495">
        <f>SUM(AT9:AW9)</f>
        <v>0</v>
      </c>
      <c r="AY9" s="495">
        <v>0</v>
      </c>
      <c r="AZ9" s="495">
        <v>0</v>
      </c>
      <c r="BA9" s="495">
        <v>0</v>
      </c>
      <c r="BB9" s="495">
        <v>0</v>
      </c>
      <c r="BC9" s="495">
        <f>SUM(AY9:BB9)</f>
        <v>0</v>
      </c>
      <c r="BD9" s="495">
        <v>0</v>
      </c>
      <c r="BE9" s="495">
        <v>0</v>
      </c>
      <c r="BF9" s="495">
        <v>0</v>
      </c>
      <c r="BG9" s="495">
        <v>0</v>
      </c>
      <c r="BH9" s="495">
        <f>SUM(BD9:BG9)</f>
        <v>0</v>
      </c>
    </row>
    <row r="10" spans="2:60" ht="9" customHeight="1" x14ac:dyDescent="0.15">
      <c r="B10" s="741">
        <v>-2</v>
      </c>
      <c r="C10" s="719" t="s">
        <v>36</v>
      </c>
      <c r="D10" s="721" t="s">
        <v>6</v>
      </c>
      <c r="E10" s="723">
        <v>1</v>
      </c>
      <c r="F10" s="725">
        <f>แผนการก่อสร้าง!G15</f>
        <v>0</v>
      </c>
      <c r="G10" s="727">
        <f>แผนการก่อสร้าง!H15</f>
        <v>0</v>
      </c>
      <c r="H10" s="729">
        <v>906762</v>
      </c>
      <c r="I10" s="731">
        <v>906762</v>
      </c>
      <c r="J10" s="733">
        <v>0.38020138964399963</v>
      </c>
      <c r="L10" s="495">
        <f t="shared" si="0"/>
        <v>0</v>
      </c>
      <c r="M10" s="495">
        <f t="shared" si="1"/>
        <v>0</v>
      </c>
      <c r="O10" s="719" t="s">
        <v>36</v>
      </c>
      <c r="P10" s="499"/>
      <c r="Q10" s="499"/>
      <c r="R10" s="499"/>
      <c r="S10" s="499"/>
      <c r="T10" s="500"/>
      <c r="U10" s="499"/>
      <c r="V10" s="499"/>
      <c r="W10" s="499"/>
      <c r="X10" s="499"/>
      <c r="Y10" s="500"/>
      <c r="Z10" s="499"/>
      <c r="AA10" s="499"/>
      <c r="AB10" s="499"/>
      <c r="AC10" s="499"/>
      <c r="AD10" s="500"/>
      <c r="AE10" s="499"/>
      <c r="AF10" s="499"/>
      <c r="AG10" s="499"/>
      <c r="AH10" s="499"/>
      <c r="AI10" s="500"/>
      <c r="AJ10" s="499"/>
      <c r="AK10" s="499"/>
      <c r="AL10" s="499"/>
      <c r="AM10" s="499"/>
      <c r="AN10" s="500"/>
      <c r="AO10" s="499"/>
      <c r="AP10" s="499"/>
      <c r="AQ10" s="499"/>
      <c r="AR10" s="499"/>
      <c r="AS10" s="500"/>
      <c r="AT10" s="499"/>
      <c r="AU10" s="499"/>
      <c r="AV10" s="499"/>
      <c r="AW10" s="499"/>
      <c r="AX10" s="500"/>
      <c r="AY10" s="499"/>
      <c r="AZ10" s="499"/>
      <c r="BA10" s="499"/>
      <c r="BB10" s="499"/>
      <c r="BC10" s="500"/>
      <c r="BD10" s="499"/>
      <c r="BE10" s="499"/>
      <c r="BF10" s="499"/>
      <c r="BG10" s="499"/>
      <c r="BH10" s="500"/>
    </row>
    <row r="11" spans="2:60" ht="9" customHeight="1" x14ac:dyDescent="0.15">
      <c r="B11" s="742"/>
      <c r="C11" s="720"/>
      <c r="D11" s="722"/>
      <c r="E11" s="724"/>
      <c r="F11" s="726"/>
      <c r="G11" s="728"/>
      <c r="H11" s="730"/>
      <c r="I11" s="732"/>
      <c r="J11" s="734"/>
      <c r="L11" s="495">
        <f t="shared" si="0"/>
        <v>0</v>
      </c>
      <c r="M11" s="495">
        <f t="shared" si="1"/>
        <v>0</v>
      </c>
      <c r="O11" s="720"/>
      <c r="P11" s="495">
        <v>0</v>
      </c>
      <c r="Q11" s="495">
        <v>0</v>
      </c>
      <c r="R11" s="495">
        <v>0</v>
      </c>
      <c r="S11" s="495">
        <v>0</v>
      </c>
      <c r="T11" s="495">
        <f>SUM(P11:S11)</f>
        <v>0</v>
      </c>
      <c r="U11" s="495">
        <v>0</v>
      </c>
      <c r="V11" s="495">
        <v>0</v>
      </c>
      <c r="W11" s="495">
        <v>0</v>
      </c>
      <c r="X11" s="495">
        <v>0</v>
      </c>
      <c r="Y11" s="495">
        <f>SUM(U11:X11)</f>
        <v>0</v>
      </c>
      <c r="Z11" s="495">
        <v>0</v>
      </c>
      <c r="AA11" s="495">
        <v>0</v>
      </c>
      <c r="AB11" s="495">
        <v>0</v>
      </c>
      <c r="AC11" s="495">
        <v>0</v>
      </c>
      <c r="AD11" s="495">
        <f>SUM(Z11:AC11)</f>
        <v>0</v>
      </c>
      <c r="AE11" s="495">
        <v>0</v>
      </c>
      <c r="AF11" s="495">
        <v>0</v>
      </c>
      <c r="AG11" s="495">
        <v>0</v>
      </c>
      <c r="AH11" s="495">
        <v>0</v>
      </c>
      <c r="AI11" s="495">
        <f>SUM(AE11:AH11)</f>
        <v>0</v>
      </c>
      <c r="AJ11" s="495">
        <v>0</v>
      </c>
      <c r="AK11" s="495">
        <v>0</v>
      </c>
      <c r="AL11" s="495">
        <v>0</v>
      </c>
      <c r="AM11" s="495">
        <v>0</v>
      </c>
      <c r="AN11" s="495">
        <f>SUM(AJ11:AM11)</f>
        <v>0</v>
      </c>
      <c r="AO11" s="495">
        <v>0</v>
      </c>
      <c r="AP11" s="495">
        <v>0</v>
      </c>
      <c r="AQ11" s="495">
        <v>0</v>
      </c>
      <c r="AR11" s="495">
        <v>0</v>
      </c>
      <c r="AS11" s="495">
        <f>SUM(AO11:AR11)</f>
        <v>0</v>
      </c>
      <c r="AT11" s="495">
        <v>0</v>
      </c>
      <c r="AU11" s="495">
        <v>0</v>
      </c>
      <c r="AV11" s="495">
        <v>0</v>
      </c>
      <c r="AW11" s="495">
        <v>0</v>
      </c>
      <c r="AX11" s="495">
        <f>SUM(AT11:AW11)</f>
        <v>0</v>
      </c>
      <c r="AY11" s="495">
        <v>0</v>
      </c>
      <c r="AZ11" s="495">
        <v>0</v>
      </c>
      <c r="BA11" s="495">
        <v>0</v>
      </c>
      <c r="BB11" s="495">
        <v>0</v>
      </c>
      <c r="BC11" s="495">
        <f>SUM(AY11:BB11)</f>
        <v>0</v>
      </c>
      <c r="BD11" s="495">
        <v>0</v>
      </c>
      <c r="BE11" s="495">
        <v>0</v>
      </c>
      <c r="BF11" s="495">
        <v>0</v>
      </c>
      <c r="BG11" s="495">
        <v>0</v>
      </c>
      <c r="BH11" s="495">
        <f>SUM(BD11:BG11)</f>
        <v>0</v>
      </c>
    </row>
    <row r="12" spans="2:60" ht="9" customHeight="1" x14ac:dyDescent="0.15">
      <c r="B12" s="741">
        <v>-3</v>
      </c>
      <c r="C12" s="719" t="s">
        <v>37</v>
      </c>
      <c r="D12" s="721" t="s">
        <v>6</v>
      </c>
      <c r="E12" s="723">
        <v>1</v>
      </c>
      <c r="F12" s="725">
        <f>แผนการก่อสร้าง!G17</f>
        <v>0</v>
      </c>
      <c r="G12" s="727">
        <f>แผนการก่อสร้าง!H17</f>
        <v>0</v>
      </c>
      <c r="H12" s="729">
        <v>1372327</v>
      </c>
      <c r="I12" s="731">
        <v>1372327</v>
      </c>
      <c r="J12" s="733">
        <v>0.57541078303455717</v>
      </c>
      <c r="L12" s="495">
        <f t="shared" si="0"/>
        <v>0</v>
      </c>
      <c r="M12" s="495">
        <f t="shared" si="1"/>
        <v>0</v>
      </c>
      <c r="O12" s="719" t="s">
        <v>37</v>
      </c>
      <c r="P12" s="499"/>
      <c r="Q12" s="499"/>
      <c r="R12" s="499"/>
      <c r="S12" s="499"/>
      <c r="T12" s="500"/>
      <c r="U12" s="499"/>
      <c r="V12" s="499"/>
      <c r="W12" s="499"/>
      <c r="X12" s="499"/>
      <c r="Y12" s="500"/>
      <c r="Z12" s="499"/>
      <c r="AA12" s="499"/>
      <c r="AB12" s="499"/>
      <c r="AC12" s="499"/>
      <c r="AD12" s="500"/>
      <c r="AE12" s="499"/>
      <c r="AF12" s="499"/>
      <c r="AG12" s="499"/>
      <c r="AH12" s="499"/>
      <c r="AI12" s="500"/>
      <c r="AJ12" s="499"/>
      <c r="AK12" s="499"/>
      <c r="AL12" s="499"/>
      <c r="AM12" s="499"/>
      <c r="AN12" s="500"/>
      <c r="AO12" s="499"/>
      <c r="AP12" s="499"/>
      <c r="AQ12" s="499"/>
      <c r="AR12" s="499"/>
      <c r="AS12" s="500"/>
      <c r="AT12" s="499"/>
      <c r="AU12" s="499"/>
      <c r="AV12" s="499"/>
      <c r="AW12" s="499"/>
      <c r="AX12" s="500"/>
      <c r="AY12" s="499"/>
      <c r="AZ12" s="499"/>
      <c r="BA12" s="499"/>
      <c r="BB12" s="499"/>
      <c r="BC12" s="500"/>
      <c r="BD12" s="499"/>
      <c r="BE12" s="499"/>
      <c r="BF12" s="499"/>
      <c r="BG12" s="499"/>
      <c r="BH12" s="500"/>
    </row>
    <row r="13" spans="2:60" ht="9" customHeight="1" x14ac:dyDescent="0.15">
      <c r="B13" s="742"/>
      <c r="C13" s="720"/>
      <c r="D13" s="722"/>
      <c r="E13" s="724"/>
      <c r="F13" s="726"/>
      <c r="G13" s="728"/>
      <c r="H13" s="730"/>
      <c r="I13" s="732"/>
      <c r="J13" s="734"/>
      <c r="L13" s="495">
        <f t="shared" si="0"/>
        <v>0</v>
      </c>
      <c r="M13" s="495">
        <f t="shared" si="1"/>
        <v>0</v>
      </c>
      <c r="O13" s="720"/>
      <c r="P13" s="495">
        <v>0</v>
      </c>
      <c r="Q13" s="495">
        <v>0</v>
      </c>
      <c r="R13" s="495">
        <v>0</v>
      </c>
      <c r="S13" s="495">
        <v>0</v>
      </c>
      <c r="T13" s="495">
        <f>SUM(P13:S13)</f>
        <v>0</v>
      </c>
      <c r="U13" s="495">
        <v>0</v>
      </c>
      <c r="V13" s="495">
        <v>0</v>
      </c>
      <c r="W13" s="495">
        <v>0</v>
      </c>
      <c r="X13" s="495">
        <v>0</v>
      </c>
      <c r="Y13" s="495">
        <f>SUM(U13:X13)</f>
        <v>0</v>
      </c>
      <c r="Z13" s="495">
        <v>0</v>
      </c>
      <c r="AA13" s="495">
        <v>0</v>
      </c>
      <c r="AB13" s="495">
        <v>0</v>
      </c>
      <c r="AC13" s="495">
        <v>0</v>
      </c>
      <c r="AD13" s="495">
        <f>SUM(Z13:AC13)</f>
        <v>0</v>
      </c>
      <c r="AE13" s="495">
        <v>0</v>
      </c>
      <c r="AF13" s="495">
        <v>0</v>
      </c>
      <c r="AG13" s="495">
        <v>0</v>
      </c>
      <c r="AH13" s="495">
        <v>0</v>
      </c>
      <c r="AI13" s="495">
        <f>SUM(AE13:AH13)</f>
        <v>0</v>
      </c>
      <c r="AJ13" s="495">
        <v>0</v>
      </c>
      <c r="AK13" s="495">
        <v>0</v>
      </c>
      <c r="AL13" s="495">
        <v>0</v>
      </c>
      <c r="AM13" s="495">
        <v>0</v>
      </c>
      <c r="AN13" s="495">
        <f>SUM(AJ13:AM13)</f>
        <v>0</v>
      </c>
      <c r="AO13" s="495">
        <v>0</v>
      </c>
      <c r="AP13" s="495">
        <v>0</v>
      </c>
      <c r="AQ13" s="495">
        <v>0</v>
      </c>
      <c r="AR13" s="495">
        <v>0</v>
      </c>
      <c r="AS13" s="495">
        <f>SUM(AO13:AR13)</f>
        <v>0</v>
      </c>
      <c r="AT13" s="495">
        <v>0</v>
      </c>
      <c r="AU13" s="495">
        <v>0</v>
      </c>
      <c r="AV13" s="495">
        <v>0</v>
      </c>
      <c r="AW13" s="495">
        <v>0</v>
      </c>
      <c r="AX13" s="495">
        <f>SUM(AT13:AW13)</f>
        <v>0</v>
      </c>
      <c r="AY13" s="495">
        <v>0</v>
      </c>
      <c r="AZ13" s="495">
        <v>0</v>
      </c>
      <c r="BA13" s="495">
        <v>0</v>
      </c>
      <c r="BB13" s="495">
        <v>0</v>
      </c>
      <c r="BC13" s="495">
        <f>SUM(AY13:BB13)</f>
        <v>0</v>
      </c>
      <c r="BD13" s="495">
        <v>0</v>
      </c>
      <c r="BE13" s="495">
        <v>0</v>
      </c>
      <c r="BF13" s="495">
        <v>0</v>
      </c>
      <c r="BG13" s="495">
        <v>0</v>
      </c>
      <c r="BH13" s="495">
        <f>SUM(BD13:BG13)</f>
        <v>0</v>
      </c>
    </row>
    <row r="14" spans="2:60" ht="9" customHeight="1" x14ac:dyDescent="0.15">
      <c r="B14" s="741">
        <v>-4</v>
      </c>
      <c r="C14" s="743" t="s">
        <v>39</v>
      </c>
      <c r="D14" s="721" t="s">
        <v>6</v>
      </c>
      <c r="E14" s="723">
        <v>1</v>
      </c>
      <c r="F14" s="725">
        <f>แผนการก่อสร้าง!G19</f>
        <v>0</v>
      </c>
      <c r="G14" s="727">
        <f>แผนการก่อสร้าง!H19</f>
        <v>0</v>
      </c>
      <c r="H14" s="729">
        <v>789372</v>
      </c>
      <c r="I14" s="731">
        <v>789372</v>
      </c>
      <c r="J14" s="733">
        <v>0.33098026973567846</v>
      </c>
      <c r="L14" s="495">
        <f t="shared" si="0"/>
        <v>0</v>
      </c>
      <c r="M14" s="495">
        <f t="shared" si="1"/>
        <v>0</v>
      </c>
      <c r="O14" s="743" t="s">
        <v>39</v>
      </c>
      <c r="P14" s="499"/>
      <c r="Q14" s="499"/>
      <c r="R14" s="499"/>
      <c r="S14" s="499"/>
      <c r="T14" s="500"/>
      <c r="U14" s="499"/>
      <c r="V14" s="499"/>
      <c r="W14" s="499"/>
      <c r="X14" s="499"/>
      <c r="Y14" s="500"/>
      <c r="Z14" s="499"/>
      <c r="AA14" s="499"/>
      <c r="AB14" s="499"/>
      <c r="AC14" s="499"/>
      <c r="AD14" s="500"/>
      <c r="AE14" s="499"/>
      <c r="AF14" s="499"/>
      <c r="AG14" s="499"/>
      <c r="AH14" s="499"/>
      <c r="AI14" s="500"/>
      <c r="AJ14" s="499"/>
      <c r="AK14" s="499"/>
      <c r="AL14" s="499"/>
      <c r="AM14" s="499"/>
      <c r="AN14" s="500"/>
      <c r="AO14" s="499"/>
      <c r="AP14" s="499"/>
      <c r="AQ14" s="499"/>
      <c r="AR14" s="499"/>
      <c r="AS14" s="500"/>
      <c r="AT14" s="499"/>
      <c r="AU14" s="499"/>
      <c r="AV14" s="499"/>
      <c r="AW14" s="499"/>
      <c r="AX14" s="500"/>
      <c r="AY14" s="499"/>
      <c r="AZ14" s="499"/>
      <c r="BA14" s="499"/>
      <c r="BB14" s="499"/>
      <c r="BC14" s="500"/>
      <c r="BD14" s="499"/>
      <c r="BE14" s="499"/>
      <c r="BF14" s="499"/>
      <c r="BG14" s="499"/>
      <c r="BH14" s="500"/>
    </row>
    <row r="15" spans="2:60" ht="9" customHeight="1" x14ac:dyDescent="0.15">
      <c r="B15" s="742"/>
      <c r="C15" s="744"/>
      <c r="D15" s="722"/>
      <c r="E15" s="724"/>
      <c r="F15" s="726"/>
      <c r="G15" s="728"/>
      <c r="H15" s="730"/>
      <c r="I15" s="732"/>
      <c r="J15" s="734"/>
      <c r="L15" s="495">
        <f t="shared" si="0"/>
        <v>0</v>
      </c>
      <c r="M15" s="495">
        <f t="shared" si="1"/>
        <v>0</v>
      </c>
      <c r="O15" s="744"/>
      <c r="P15" s="495">
        <v>0</v>
      </c>
      <c r="Q15" s="495">
        <v>0</v>
      </c>
      <c r="R15" s="495">
        <v>0</v>
      </c>
      <c r="S15" s="495">
        <v>0</v>
      </c>
      <c r="T15" s="495">
        <f>SUM(P15:S15)</f>
        <v>0</v>
      </c>
      <c r="U15" s="495">
        <v>0</v>
      </c>
      <c r="V15" s="495">
        <v>0</v>
      </c>
      <c r="W15" s="495">
        <v>0</v>
      </c>
      <c r="X15" s="495">
        <v>0</v>
      </c>
      <c r="Y15" s="495">
        <f>SUM(U15:X15)</f>
        <v>0</v>
      </c>
      <c r="Z15" s="495">
        <v>0</v>
      </c>
      <c r="AA15" s="495">
        <v>0</v>
      </c>
      <c r="AB15" s="495">
        <v>0</v>
      </c>
      <c r="AC15" s="495">
        <v>0</v>
      </c>
      <c r="AD15" s="495">
        <f>SUM(Z15:AC15)</f>
        <v>0</v>
      </c>
      <c r="AE15" s="495">
        <v>0</v>
      </c>
      <c r="AF15" s="495">
        <v>0</v>
      </c>
      <c r="AG15" s="495">
        <v>0</v>
      </c>
      <c r="AH15" s="495">
        <v>0</v>
      </c>
      <c r="AI15" s="495">
        <f>SUM(AE15:AH15)</f>
        <v>0</v>
      </c>
      <c r="AJ15" s="495">
        <v>0</v>
      </c>
      <c r="AK15" s="495">
        <v>0</v>
      </c>
      <c r="AL15" s="495">
        <v>0</v>
      </c>
      <c r="AM15" s="495">
        <v>0</v>
      </c>
      <c r="AN15" s="495">
        <f>SUM(AJ15:AM15)</f>
        <v>0</v>
      </c>
      <c r="AO15" s="495">
        <v>0</v>
      </c>
      <c r="AP15" s="495">
        <v>0</v>
      </c>
      <c r="AQ15" s="495">
        <v>0</v>
      </c>
      <c r="AR15" s="495">
        <v>0</v>
      </c>
      <c r="AS15" s="495">
        <f>SUM(AO15:AR15)</f>
        <v>0</v>
      </c>
      <c r="AT15" s="495">
        <v>0</v>
      </c>
      <c r="AU15" s="495">
        <v>0</v>
      </c>
      <c r="AV15" s="495">
        <v>0</v>
      </c>
      <c r="AW15" s="495">
        <v>0</v>
      </c>
      <c r="AX15" s="495">
        <f>SUM(AT15:AW15)</f>
        <v>0</v>
      </c>
      <c r="AY15" s="495">
        <v>0</v>
      </c>
      <c r="AZ15" s="495">
        <v>0</v>
      </c>
      <c r="BA15" s="495">
        <v>0</v>
      </c>
      <c r="BB15" s="495">
        <v>0</v>
      </c>
      <c r="BC15" s="495">
        <f>SUM(AY15:BB15)</f>
        <v>0</v>
      </c>
      <c r="BD15" s="495">
        <v>0</v>
      </c>
      <c r="BE15" s="495">
        <v>0</v>
      </c>
      <c r="BF15" s="495">
        <v>0</v>
      </c>
      <c r="BG15" s="495">
        <v>0</v>
      </c>
      <c r="BH15" s="495">
        <f>SUM(BD15:BG15)</f>
        <v>0</v>
      </c>
    </row>
    <row r="16" spans="2:60" ht="9" customHeight="1" x14ac:dyDescent="0.15">
      <c r="B16" s="717">
        <v>1.2</v>
      </c>
      <c r="C16" s="719" t="s">
        <v>40</v>
      </c>
      <c r="D16" s="721" t="s">
        <v>6</v>
      </c>
      <c r="E16" s="723">
        <v>1</v>
      </c>
      <c r="F16" s="725">
        <f>แผนการก่อสร้าง!G21</f>
        <v>3.4799999999999996E-3</v>
      </c>
      <c r="G16" s="727">
        <f>แผนการก่อสร้าง!H21</f>
        <v>0.34799999999999998</v>
      </c>
      <c r="H16" s="729">
        <v>5004503</v>
      </c>
      <c r="I16" s="731">
        <v>5004503</v>
      </c>
      <c r="J16" s="733">
        <v>2.0983664898590426</v>
      </c>
      <c r="L16" s="495">
        <f t="shared" si="0"/>
        <v>0</v>
      </c>
      <c r="M16" s="495">
        <f t="shared" si="1"/>
        <v>0</v>
      </c>
      <c r="O16" s="719" t="s">
        <v>40</v>
      </c>
      <c r="P16" s="499"/>
      <c r="Q16" s="499"/>
      <c r="R16" s="499"/>
      <c r="S16" s="499"/>
      <c r="T16" s="500"/>
      <c r="U16" s="499"/>
      <c r="V16" s="499"/>
      <c r="W16" s="499"/>
      <c r="X16" s="499"/>
      <c r="Y16" s="500"/>
      <c r="Z16" s="499"/>
      <c r="AA16" s="499"/>
      <c r="AB16" s="499"/>
      <c r="AC16" s="499"/>
      <c r="AD16" s="500"/>
      <c r="AE16" s="499"/>
      <c r="AF16" s="499"/>
      <c r="AG16" s="499"/>
      <c r="AH16" s="499"/>
      <c r="AI16" s="500"/>
      <c r="AJ16" s="499"/>
      <c r="AK16" s="499"/>
      <c r="AL16" s="499"/>
      <c r="AM16" s="499"/>
      <c r="AN16" s="500"/>
      <c r="AO16" s="499"/>
      <c r="AP16" s="499"/>
      <c r="AQ16" s="499"/>
      <c r="AR16" s="499"/>
      <c r="AS16" s="500"/>
      <c r="AT16" s="499"/>
      <c r="AU16" s="499"/>
      <c r="AV16" s="499"/>
      <c r="AW16" s="499"/>
      <c r="AX16" s="500"/>
      <c r="AY16" s="499"/>
      <c r="AZ16" s="499"/>
      <c r="BA16" s="499"/>
      <c r="BB16" s="499"/>
      <c r="BC16" s="500"/>
      <c r="BD16" s="499"/>
      <c r="BE16" s="499"/>
      <c r="BF16" s="499"/>
      <c r="BG16" s="499"/>
      <c r="BH16" s="500"/>
    </row>
    <row r="17" spans="2:60" ht="9" customHeight="1" x14ac:dyDescent="0.15">
      <c r="B17" s="718"/>
      <c r="C17" s="745"/>
      <c r="D17" s="722"/>
      <c r="E17" s="746"/>
      <c r="F17" s="726"/>
      <c r="G17" s="728"/>
      <c r="H17" s="747"/>
      <c r="I17" s="732"/>
      <c r="J17" s="734"/>
      <c r="L17" s="495">
        <f t="shared" si="0"/>
        <v>17394</v>
      </c>
      <c r="M17" s="495">
        <f t="shared" si="1"/>
        <v>17394</v>
      </c>
      <c r="O17" s="745"/>
      <c r="P17" s="495">
        <v>0</v>
      </c>
      <c r="Q17" s="495">
        <v>0</v>
      </c>
      <c r="R17" s="495">
        <v>0</v>
      </c>
      <c r="S17" s="495">
        <v>17394</v>
      </c>
      <c r="T17" s="495">
        <v>17394</v>
      </c>
      <c r="U17" s="495">
        <v>0</v>
      </c>
      <c r="V17" s="495">
        <v>0</v>
      </c>
      <c r="W17" s="495">
        <v>0</v>
      </c>
      <c r="X17" s="495">
        <v>0</v>
      </c>
      <c r="Y17" s="495">
        <f>SUM(U17:X17)</f>
        <v>0</v>
      </c>
      <c r="Z17" s="495">
        <v>0</v>
      </c>
      <c r="AA17" s="495">
        <v>0</v>
      </c>
      <c r="AB17" s="495">
        <v>0</v>
      </c>
      <c r="AC17" s="495">
        <v>0</v>
      </c>
      <c r="AD17" s="495">
        <f>SUM(Z17:AC17)</f>
        <v>0</v>
      </c>
      <c r="AE17" s="495">
        <v>0</v>
      </c>
      <c r="AF17" s="495">
        <v>0</v>
      </c>
      <c r="AG17" s="495">
        <v>0</v>
      </c>
      <c r="AH17" s="495">
        <v>0</v>
      </c>
      <c r="AI17" s="495">
        <f>SUM(AE17:AH17)</f>
        <v>0</v>
      </c>
      <c r="AJ17" s="495">
        <v>0</v>
      </c>
      <c r="AK17" s="495">
        <v>0</v>
      </c>
      <c r="AL17" s="495">
        <v>0</v>
      </c>
      <c r="AM17" s="495">
        <v>0</v>
      </c>
      <c r="AN17" s="495">
        <f>SUM(AJ17:AM17)</f>
        <v>0</v>
      </c>
      <c r="AO17" s="495">
        <v>0</v>
      </c>
      <c r="AP17" s="495">
        <v>0</v>
      </c>
      <c r="AQ17" s="495">
        <v>0</v>
      </c>
      <c r="AR17" s="495">
        <v>0</v>
      </c>
      <c r="AS17" s="495">
        <f>SUM(AO17:AR17)</f>
        <v>0</v>
      </c>
      <c r="AT17" s="495">
        <v>0</v>
      </c>
      <c r="AU17" s="495">
        <v>0</v>
      </c>
      <c r="AV17" s="495">
        <v>0</v>
      </c>
      <c r="AW17" s="495">
        <v>0</v>
      </c>
      <c r="AX17" s="495">
        <f>SUM(AT17:AW17)</f>
        <v>0</v>
      </c>
      <c r="AY17" s="495">
        <v>0</v>
      </c>
      <c r="AZ17" s="495">
        <v>0</v>
      </c>
      <c r="BA17" s="495">
        <v>0</v>
      </c>
      <c r="BB17" s="495">
        <v>0</v>
      </c>
      <c r="BC17" s="495">
        <f>SUM(AY17:BB17)</f>
        <v>0</v>
      </c>
      <c r="BD17" s="495">
        <v>0</v>
      </c>
      <c r="BE17" s="495">
        <v>0</v>
      </c>
      <c r="BF17" s="495">
        <v>0</v>
      </c>
      <c r="BG17" s="495">
        <v>0</v>
      </c>
      <c r="BH17" s="495">
        <f>SUM(BD17:BG17)</f>
        <v>0</v>
      </c>
    </row>
    <row r="18" spans="2:60" ht="9" customHeight="1" x14ac:dyDescent="0.15">
      <c r="B18" s="741">
        <v>-1</v>
      </c>
      <c r="C18" s="719" t="s">
        <v>35</v>
      </c>
      <c r="D18" s="721" t="s">
        <v>6</v>
      </c>
      <c r="E18" s="723">
        <v>1</v>
      </c>
      <c r="F18" s="725">
        <f>แผนการก่อสร้าง!G23</f>
        <v>0</v>
      </c>
      <c r="G18" s="727">
        <f>แผนการก่อสร้าง!H23</f>
        <v>0</v>
      </c>
      <c r="H18" s="729">
        <v>1136018</v>
      </c>
      <c r="I18" s="731">
        <v>1136018</v>
      </c>
      <c r="J18" s="733">
        <v>0.4763274401227634</v>
      </c>
      <c r="L18" s="495">
        <f t="shared" si="0"/>
        <v>0</v>
      </c>
      <c r="M18" s="495">
        <f t="shared" si="1"/>
        <v>0</v>
      </c>
      <c r="O18" s="719" t="s">
        <v>35</v>
      </c>
      <c r="P18" s="499"/>
      <c r="Q18" s="499"/>
      <c r="R18" s="499"/>
      <c r="S18" s="499"/>
      <c r="T18" s="500"/>
      <c r="U18" s="499"/>
      <c r="V18" s="499"/>
      <c r="W18" s="499"/>
      <c r="X18" s="499"/>
      <c r="Y18" s="500"/>
      <c r="Z18" s="499"/>
      <c r="AA18" s="499"/>
      <c r="AB18" s="499"/>
      <c r="AC18" s="499"/>
      <c r="AD18" s="500"/>
      <c r="AE18" s="499"/>
      <c r="AF18" s="499"/>
      <c r="AG18" s="499"/>
      <c r="AH18" s="499"/>
      <c r="AI18" s="500"/>
      <c r="AJ18" s="499"/>
      <c r="AK18" s="499"/>
      <c r="AL18" s="499"/>
      <c r="AM18" s="499"/>
      <c r="AN18" s="500"/>
      <c r="AO18" s="499"/>
      <c r="AP18" s="499"/>
      <c r="AQ18" s="499"/>
      <c r="AR18" s="499"/>
      <c r="AS18" s="500"/>
      <c r="AT18" s="499"/>
      <c r="AU18" s="499"/>
      <c r="AV18" s="499"/>
      <c r="AW18" s="499"/>
      <c r="AX18" s="500"/>
      <c r="AY18" s="499"/>
      <c r="AZ18" s="499"/>
      <c r="BA18" s="499"/>
      <c r="BB18" s="499"/>
      <c r="BC18" s="500"/>
      <c r="BD18" s="499"/>
      <c r="BE18" s="499"/>
      <c r="BF18" s="499"/>
      <c r="BG18" s="499"/>
      <c r="BH18" s="500"/>
    </row>
    <row r="19" spans="2:60" ht="9" customHeight="1" x14ac:dyDescent="0.15">
      <c r="B19" s="742"/>
      <c r="C19" s="720"/>
      <c r="D19" s="722"/>
      <c r="E19" s="724"/>
      <c r="F19" s="726"/>
      <c r="G19" s="728"/>
      <c r="H19" s="747"/>
      <c r="I19" s="732"/>
      <c r="J19" s="734"/>
      <c r="L19" s="495">
        <f t="shared" si="0"/>
        <v>0</v>
      </c>
      <c r="M19" s="495">
        <f t="shared" si="1"/>
        <v>0</v>
      </c>
      <c r="O19" s="720"/>
      <c r="P19" s="495">
        <v>0</v>
      </c>
      <c r="Q19" s="495">
        <v>0</v>
      </c>
      <c r="R19" s="495">
        <v>0</v>
      </c>
      <c r="S19" s="495">
        <v>0</v>
      </c>
      <c r="T19" s="495">
        <f>SUM(P19:S19)</f>
        <v>0</v>
      </c>
      <c r="U19" s="495">
        <v>0</v>
      </c>
      <c r="V19" s="495">
        <v>0</v>
      </c>
      <c r="W19" s="495">
        <v>0</v>
      </c>
      <c r="X19" s="495">
        <v>0</v>
      </c>
      <c r="Y19" s="495">
        <f>SUM(U19:X19)</f>
        <v>0</v>
      </c>
      <c r="Z19" s="495">
        <v>0</v>
      </c>
      <c r="AA19" s="495">
        <v>0</v>
      </c>
      <c r="AB19" s="495">
        <v>0</v>
      </c>
      <c r="AC19" s="495">
        <v>0</v>
      </c>
      <c r="AD19" s="495">
        <f>SUM(Z19:AC19)</f>
        <v>0</v>
      </c>
      <c r="AE19" s="495">
        <v>0</v>
      </c>
      <c r="AF19" s="495">
        <v>0</v>
      </c>
      <c r="AG19" s="495">
        <v>0</v>
      </c>
      <c r="AH19" s="495">
        <v>0</v>
      </c>
      <c r="AI19" s="495">
        <f>SUM(AE19:AH19)</f>
        <v>0</v>
      </c>
      <c r="AJ19" s="495">
        <v>0</v>
      </c>
      <c r="AK19" s="495">
        <v>0</v>
      </c>
      <c r="AL19" s="495">
        <v>0</v>
      </c>
      <c r="AM19" s="495">
        <v>0</v>
      </c>
      <c r="AN19" s="495">
        <f>SUM(AJ19:AM19)</f>
        <v>0</v>
      </c>
      <c r="AO19" s="495">
        <v>0</v>
      </c>
      <c r="AP19" s="495">
        <v>0</v>
      </c>
      <c r="AQ19" s="495">
        <v>0</v>
      </c>
      <c r="AR19" s="495">
        <v>0</v>
      </c>
      <c r="AS19" s="495">
        <f>SUM(AO19:AR19)</f>
        <v>0</v>
      </c>
      <c r="AT19" s="495">
        <v>0</v>
      </c>
      <c r="AU19" s="495">
        <v>0</v>
      </c>
      <c r="AV19" s="495">
        <v>0</v>
      </c>
      <c r="AW19" s="495">
        <v>0</v>
      </c>
      <c r="AX19" s="495">
        <f>SUM(AT19:AW19)</f>
        <v>0</v>
      </c>
      <c r="AY19" s="495">
        <v>0</v>
      </c>
      <c r="AZ19" s="495">
        <v>0</v>
      </c>
      <c r="BA19" s="495">
        <v>0</v>
      </c>
      <c r="BB19" s="495">
        <v>0</v>
      </c>
      <c r="BC19" s="495">
        <f>SUM(AY19:BB19)</f>
        <v>0</v>
      </c>
      <c r="BD19" s="495">
        <v>0</v>
      </c>
      <c r="BE19" s="495">
        <v>0</v>
      </c>
      <c r="BF19" s="495">
        <v>0</v>
      </c>
      <c r="BG19" s="495">
        <v>0</v>
      </c>
      <c r="BH19" s="495">
        <f>SUM(BD19:BG19)</f>
        <v>0</v>
      </c>
    </row>
    <row r="20" spans="2:60" ht="9" customHeight="1" x14ac:dyDescent="0.15">
      <c r="B20" s="741">
        <v>-2</v>
      </c>
      <c r="C20" s="743" t="s">
        <v>37</v>
      </c>
      <c r="D20" s="721" t="s">
        <v>6</v>
      </c>
      <c r="E20" s="723">
        <v>1</v>
      </c>
      <c r="F20" s="725">
        <f>แผนการก่อสร้าง!G25</f>
        <v>0</v>
      </c>
      <c r="G20" s="727">
        <f>แผนการก่อสร้าง!H25</f>
        <v>0</v>
      </c>
      <c r="H20" s="729">
        <v>528774</v>
      </c>
      <c r="I20" s="731">
        <v>528774</v>
      </c>
      <c r="J20" s="733">
        <v>0.22171265404551169</v>
      </c>
      <c r="L20" s="495">
        <f t="shared" si="0"/>
        <v>0</v>
      </c>
      <c r="M20" s="495">
        <f t="shared" si="1"/>
        <v>0</v>
      </c>
      <c r="O20" s="743" t="s">
        <v>37</v>
      </c>
      <c r="P20" s="499"/>
      <c r="Q20" s="499"/>
      <c r="R20" s="499"/>
      <c r="S20" s="499"/>
      <c r="T20" s="500"/>
      <c r="U20" s="499"/>
      <c r="V20" s="499"/>
      <c r="W20" s="499"/>
      <c r="X20" s="499"/>
      <c r="Y20" s="500"/>
      <c r="Z20" s="499"/>
      <c r="AA20" s="499"/>
      <c r="AB20" s="499"/>
      <c r="AC20" s="499"/>
      <c r="AD20" s="500"/>
      <c r="AE20" s="499"/>
      <c r="AF20" s="499"/>
      <c r="AG20" s="499"/>
      <c r="AH20" s="499"/>
      <c r="AI20" s="500"/>
      <c r="AJ20" s="499"/>
      <c r="AK20" s="499"/>
      <c r="AL20" s="499"/>
      <c r="AM20" s="499"/>
      <c r="AN20" s="500"/>
      <c r="AO20" s="499"/>
      <c r="AP20" s="499"/>
      <c r="AQ20" s="499"/>
      <c r="AR20" s="499"/>
      <c r="AS20" s="500"/>
      <c r="AT20" s="499"/>
      <c r="AU20" s="499"/>
      <c r="AV20" s="499"/>
      <c r="AW20" s="499"/>
      <c r="AX20" s="500"/>
      <c r="AY20" s="499"/>
      <c r="AZ20" s="499"/>
      <c r="BA20" s="499"/>
      <c r="BB20" s="499"/>
      <c r="BC20" s="500"/>
      <c r="BD20" s="499"/>
      <c r="BE20" s="499"/>
      <c r="BF20" s="499"/>
      <c r="BG20" s="499"/>
      <c r="BH20" s="500"/>
    </row>
    <row r="21" spans="2:60" ht="9" customHeight="1" x14ac:dyDescent="0.15">
      <c r="B21" s="742"/>
      <c r="C21" s="744"/>
      <c r="D21" s="722"/>
      <c r="E21" s="724"/>
      <c r="F21" s="726"/>
      <c r="G21" s="728"/>
      <c r="H21" s="747"/>
      <c r="I21" s="732"/>
      <c r="J21" s="734"/>
      <c r="L21" s="495">
        <f t="shared" si="0"/>
        <v>0</v>
      </c>
      <c r="M21" s="495">
        <f t="shared" si="1"/>
        <v>0</v>
      </c>
      <c r="O21" s="744"/>
      <c r="P21" s="495">
        <v>0</v>
      </c>
      <c r="Q21" s="495">
        <v>0</v>
      </c>
      <c r="R21" s="495">
        <v>0</v>
      </c>
      <c r="S21" s="495">
        <v>0</v>
      </c>
      <c r="T21" s="495">
        <f>SUM(P21:S21)</f>
        <v>0</v>
      </c>
      <c r="U21" s="495">
        <v>0</v>
      </c>
      <c r="V21" s="495">
        <v>0</v>
      </c>
      <c r="W21" s="495">
        <v>0</v>
      </c>
      <c r="X21" s="495">
        <v>0</v>
      </c>
      <c r="Y21" s="495">
        <f>SUM(U21:X21)</f>
        <v>0</v>
      </c>
      <c r="Z21" s="495">
        <v>0</v>
      </c>
      <c r="AA21" s="495">
        <v>0</v>
      </c>
      <c r="AB21" s="495">
        <v>0</v>
      </c>
      <c r="AC21" s="495">
        <v>0</v>
      </c>
      <c r="AD21" s="495">
        <f>SUM(Z21:AC21)</f>
        <v>0</v>
      </c>
      <c r="AE21" s="495">
        <v>0</v>
      </c>
      <c r="AF21" s="495">
        <v>0</v>
      </c>
      <c r="AG21" s="495">
        <v>0</v>
      </c>
      <c r="AH21" s="495">
        <v>0</v>
      </c>
      <c r="AI21" s="495">
        <f>SUM(AE21:AH21)</f>
        <v>0</v>
      </c>
      <c r="AJ21" s="495">
        <v>0</v>
      </c>
      <c r="AK21" s="495">
        <v>0</v>
      </c>
      <c r="AL21" s="495">
        <v>0</v>
      </c>
      <c r="AM21" s="495">
        <v>0</v>
      </c>
      <c r="AN21" s="495">
        <f>SUM(AJ21:AM21)</f>
        <v>0</v>
      </c>
      <c r="AO21" s="495">
        <v>0</v>
      </c>
      <c r="AP21" s="495">
        <v>0</v>
      </c>
      <c r="AQ21" s="495">
        <v>0</v>
      </c>
      <c r="AR21" s="495">
        <v>0</v>
      </c>
      <c r="AS21" s="495">
        <f>SUM(AO21:AR21)</f>
        <v>0</v>
      </c>
      <c r="AT21" s="495">
        <v>0</v>
      </c>
      <c r="AU21" s="495">
        <v>0</v>
      </c>
      <c r="AV21" s="495">
        <v>0</v>
      </c>
      <c r="AW21" s="495">
        <v>0</v>
      </c>
      <c r="AX21" s="495">
        <f>SUM(AT21:AW21)</f>
        <v>0</v>
      </c>
      <c r="AY21" s="495">
        <v>0</v>
      </c>
      <c r="AZ21" s="495">
        <v>0</v>
      </c>
      <c r="BA21" s="495">
        <v>0</v>
      </c>
      <c r="BB21" s="495">
        <v>0</v>
      </c>
      <c r="BC21" s="495">
        <f>SUM(AY21:BB21)</f>
        <v>0</v>
      </c>
      <c r="BD21" s="495">
        <v>0</v>
      </c>
      <c r="BE21" s="495">
        <v>0</v>
      </c>
      <c r="BF21" s="495">
        <v>0</v>
      </c>
      <c r="BG21" s="495">
        <v>0</v>
      </c>
      <c r="BH21" s="495">
        <f>SUM(BD21:BG21)</f>
        <v>0</v>
      </c>
    </row>
    <row r="22" spans="2:60" ht="9" customHeight="1" x14ac:dyDescent="0.15">
      <c r="B22" s="741">
        <v>-3</v>
      </c>
      <c r="C22" s="743" t="s">
        <v>56</v>
      </c>
      <c r="D22" s="721" t="s">
        <v>6</v>
      </c>
      <c r="E22" s="723">
        <v>1</v>
      </c>
      <c r="F22" s="725">
        <f>แผนการก่อสร้าง!G27</f>
        <v>0</v>
      </c>
      <c r="G22" s="727">
        <f>แผนการก่อสร้าง!H27</f>
        <v>0</v>
      </c>
      <c r="H22" s="729">
        <v>160623</v>
      </c>
      <c r="I22" s="731">
        <v>160623</v>
      </c>
      <c r="J22" s="733">
        <v>6.7348530053959202E-2</v>
      </c>
      <c r="L22" s="495">
        <f t="shared" si="0"/>
        <v>0</v>
      </c>
      <c r="M22" s="495">
        <f t="shared" si="1"/>
        <v>0</v>
      </c>
      <c r="O22" s="743" t="s">
        <v>56</v>
      </c>
      <c r="P22" s="499"/>
      <c r="Q22" s="499"/>
      <c r="R22" s="499"/>
      <c r="S22" s="499"/>
      <c r="T22" s="500"/>
      <c r="U22" s="499"/>
      <c r="V22" s="499"/>
      <c r="W22" s="499"/>
      <c r="X22" s="499"/>
      <c r="Y22" s="500"/>
      <c r="Z22" s="499"/>
      <c r="AA22" s="499"/>
      <c r="AB22" s="499"/>
      <c r="AC22" s="499"/>
      <c r="AD22" s="500"/>
      <c r="AE22" s="499"/>
      <c r="AF22" s="499"/>
      <c r="AG22" s="499"/>
      <c r="AH22" s="499"/>
      <c r="AI22" s="500"/>
      <c r="AJ22" s="499"/>
      <c r="AK22" s="499"/>
      <c r="AL22" s="499"/>
      <c r="AM22" s="499"/>
      <c r="AN22" s="500"/>
      <c r="AO22" s="499"/>
      <c r="AP22" s="499"/>
      <c r="AQ22" s="499"/>
      <c r="AR22" s="499"/>
      <c r="AS22" s="500"/>
      <c r="AT22" s="499"/>
      <c r="AU22" s="499"/>
      <c r="AV22" s="499"/>
      <c r="AW22" s="499"/>
      <c r="AX22" s="500"/>
      <c r="AY22" s="499"/>
      <c r="AZ22" s="499"/>
      <c r="BA22" s="499"/>
      <c r="BB22" s="499"/>
      <c r="BC22" s="500"/>
      <c r="BD22" s="499"/>
      <c r="BE22" s="499"/>
      <c r="BF22" s="499"/>
      <c r="BG22" s="499"/>
      <c r="BH22" s="500"/>
    </row>
    <row r="23" spans="2:60" ht="9" customHeight="1" x14ac:dyDescent="0.15">
      <c r="B23" s="742"/>
      <c r="C23" s="744"/>
      <c r="D23" s="722"/>
      <c r="E23" s="724"/>
      <c r="F23" s="726"/>
      <c r="G23" s="728"/>
      <c r="H23" s="747"/>
      <c r="I23" s="732"/>
      <c r="J23" s="734"/>
      <c r="L23" s="495">
        <f t="shared" si="0"/>
        <v>0</v>
      </c>
      <c r="M23" s="495">
        <f t="shared" si="1"/>
        <v>0</v>
      </c>
      <c r="O23" s="744"/>
      <c r="P23" s="495">
        <v>0</v>
      </c>
      <c r="Q23" s="495">
        <v>0</v>
      </c>
      <c r="R23" s="495">
        <v>0</v>
      </c>
      <c r="S23" s="495">
        <v>0</v>
      </c>
      <c r="T23" s="495">
        <f>SUM(P23:S23)</f>
        <v>0</v>
      </c>
      <c r="U23" s="495">
        <v>0</v>
      </c>
      <c r="V23" s="495">
        <v>0</v>
      </c>
      <c r="W23" s="495">
        <v>0</v>
      </c>
      <c r="X23" s="495">
        <v>0</v>
      </c>
      <c r="Y23" s="495">
        <f>SUM(U23:X23)</f>
        <v>0</v>
      </c>
      <c r="Z23" s="495">
        <v>0</v>
      </c>
      <c r="AA23" s="495">
        <v>0</v>
      </c>
      <c r="AB23" s="495">
        <v>0</v>
      </c>
      <c r="AC23" s="495">
        <v>0</v>
      </c>
      <c r="AD23" s="495">
        <f>SUM(Z23:AC23)</f>
        <v>0</v>
      </c>
      <c r="AE23" s="495">
        <v>0</v>
      </c>
      <c r="AF23" s="495">
        <v>0</v>
      </c>
      <c r="AG23" s="495">
        <v>0</v>
      </c>
      <c r="AH23" s="495">
        <v>0</v>
      </c>
      <c r="AI23" s="495">
        <f>SUM(AE23:AH23)</f>
        <v>0</v>
      </c>
      <c r="AJ23" s="495">
        <v>0</v>
      </c>
      <c r="AK23" s="495">
        <v>0</v>
      </c>
      <c r="AL23" s="495">
        <v>0</v>
      </c>
      <c r="AM23" s="495">
        <v>0</v>
      </c>
      <c r="AN23" s="495">
        <f>SUM(AJ23:AM23)</f>
        <v>0</v>
      </c>
      <c r="AO23" s="495">
        <v>0</v>
      </c>
      <c r="AP23" s="495">
        <v>0</v>
      </c>
      <c r="AQ23" s="495">
        <v>0</v>
      </c>
      <c r="AR23" s="495">
        <v>0</v>
      </c>
      <c r="AS23" s="495">
        <f>SUM(AO23:AR23)</f>
        <v>0</v>
      </c>
      <c r="AT23" s="495">
        <v>0</v>
      </c>
      <c r="AU23" s="495">
        <v>0</v>
      </c>
      <c r="AV23" s="495">
        <v>0</v>
      </c>
      <c r="AW23" s="495">
        <v>0</v>
      </c>
      <c r="AX23" s="495">
        <f>SUM(AT23:AW23)</f>
        <v>0</v>
      </c>
      <c r="AY23" s="495">
        <v>0</v>
      </c>
      <c r="AZ23" s="495">
        <v>0</v>
      </c>
      <c r="BA23" s="495">
        <v>0</v>
      </c>
      <c r="BB23" s="495">
        <v>0</v>
      </c>
      <c r="BC23" s="495">
        <f>SUM(AY23:BB23)</f>
        <v>0</v>
      </c>
      <c r="BD23" s="495">
        <v>0</v>
      </c>
      <c r="BE23" s="495">
        <v>0</v>
      </c>
      <c r="BF23" s="495">
        <v>0</v>
      </c>
      <c r="BG23" s="495">
        <v>0</v>
      </c>
      <c r="BH23" s="495">
        <f>SUM(BD23:BG23)</f>
        <v>0</v>
      </c>
    </row>
    <row r="24" spans="2:60" ht="9" customHeight="1" x14ac:dyDescent="0.15">
      <c r="B24" s="717">
        <v>1.3</v>
      </c>
      <c r="C24" s="719" t="s">
        <v>34</v>
      </c>
      <c r="D24" s="721" t="s">
        <v>6</v>
      </c>
      <c r="E24" s="723">
        <v>1</v>
      </c>
      <c r="F24" s="725">
        <f>แผนการก่อสร้าง!G29</f>
        <v>0</v>
      </c>
      <c r="G24" s="727">
        <f>แผนการก่อสร้าง!H29</f>
        <v>64.76600000000002</v>
      </c>
      <c r="H24" s="729">
        <v>4270013</v>
      </c>
      <c r="I24" s="731">
        <v>4270013</v>
      </c>
      <c r="J24" s="733">
        <v>1.7903980056486088</v>
      </c>
      <c r="L24" s="495">
        <f t="shared" si="0"/>
        <v>0</v>
      </c>
      <c r="M24" s="495">
        <f t="shared" si="1"/>
        <v>0</v>
      </c>
      <c r="O24" s="719" t="s">
        <v>34</v>
      </c>
      <c r="P24" s="499"/>
      <c r="Q24" s="499"/>
      <c r="R24" s="499"/>
      <c r="S24" s="499"/>
      <c r="T24" s="500"/>
      <c r="U24" s="499"/>
      <c r="V24" s="499"/>
      <c r="W24" s="499"/>
      <c r="X24" s="499"/>
      <c r="Y24" s="500"/>
      <c r="Z24" s="499"/>
      <c r="AA24" s="499"/>
      <c r="AB24" s="499"/>
      <c r="AC24" s="499"/>
      <c r="AD24" s="500"/>
      <c r="AE24" s="499"/>
      <c r="AF24" s="499"/>
      <c r="AG24" s="499"/>
      <c r="AH24" s="499"/>
      <c r="AI24" s="500"/>
      <c r="AJ24" s="499"/>
      <c r="AK24" s="499"/>
      <c r="AL24" s="499"/>
      <c r="AM24" s="499"/>
      <c r="AN24" s="500"/>
      <c r="AO24" s="499"/>
      <c r="AP24" s="499"/>
      <c r="AQ24" s="499"/>
      <c r="AR24" s="499"/>
      <c r="AS24" s="500"/>
      <c r="AT24" s="499"/>
      <c r="AU24" s="499"/>
      <c r="AV24" s="499"/>
      <c r="AW24" s="499"/>
      <c r="AX24" s="500"/>
      <c r="AY24" s="499"/>
      <c r="AZ24" s="499"/>
      <c r="BA24" s="499"/>
      <c r="BB24" s="499"/>
      <c r="BC24" s="500"/>
      <c r="BD24" s="499"/>
      <c r="BE24" s="499"/>
      <c r="BF24" s="499"/>
      <c r="BG24" s="499"/>
      <c r="BH24" s="500"/>
    </row>
    <row r="25" spans="2:60" ht="9" customHeight="1" x14ac:dyDescent="0.15">
      <c r="B25" s="718"/>
      <c r="C25" s="720"/>
      <c r="D25" s="722"/>
      <c r="E25" s="724"/>
      <c r="F25" s="748"/>
      <c r="G25" s="749"/>
      <c r="H25" s="747"/>
      <c r="I25" s="732"/>
      <c r="J25" s="734"/>
      <c r="L25" s="495">
        <f t="shared" si="0"/>
        <v>2767394</v>
      </c>
      <c r="M25" s="495">
        <f t="shared" si="1"/>
        <v>2767394</v>
      </c>
      <c r="O25" s="720"/>
      <c r="P25" s="495">
        <v>0</v>
      </c>
      <c r="Q25" s="495">
        <v>0</v>
      </c>
      <c r="R25" s="495">
        <v>0</v>
      </c>
      <c r="S25" s="495">
        <v>17394</v>
      </c>
      <c r="T25" s="495">
        <v>17394</v>
      </c>
      <c r="U25" s="495">
        <v>0</v>
      </c>
      <c r="V25" s="495">
        <v>0</v>
      </c>
      <c r="W25" s="495">
        <v>0</v>
      </c>
      <c r="X25" s="495">
        <v>0</v>
      </c>
      <c r="Y25" s="495">
        <f>SUM(U25:X25)</f>
        <v>0</v>
      </c>
      <c r="Z25" s="495">
        <v>0</v>
      </c>
      <c r="AA25" s="495">
        <v>0</v>
      </c>
      <c r="AB25" s="495">
        <v>0</v>
      </c>
      <c r="AC25" s="495">
        <v>0</v>
      </c>
      <c r="AD25" s="495">
        <f>SUM(Z25:AC25)</f>
        <v>0</v>
      </c>
      <c r="AE25" s="495">
        <v>0</v>
      </c>
      <c r="AF25" s="495">
        <v>0</v>
      </c>
      <c r="AG25" s="495">
        <v>0</v>
      </c>
      <c r="AH25" s="495">
        <v>0</v>
      </c>
      <c r="AI25" s="495">
        <f>SUM(AE25:AH25)</f>
        <v>0</v>
      </c>
      <c r="AJ25" s="495">
        <v>0</v>
      </c>
      <c r="AK25" s="495">
        <v>0</v>
      </c>
      <c r="AL25" s="495">
        <v>0</v>
      </c>
      <c r="AM25" s="495">
        <v>0</v>
      </c>
      <c r="AN25" s="495">
        <f>SUM(AJ25:AM25)</f>
        <v>0</v>
      </c>
      <c r="AO25" s="495">
        <v>0</v>
      </c>
      <c r="AP25" s="495">
        <v>0</v>
      </c>
      <c r="AQ25" s="495">
        <v>0</v>
      </c>
      <c r="AR25" s="495">
        <v>0</v>
      </c>
      <c r="AS25" s="495">
        <f>SUM(AO25:AR25)</f>
        <v>0</v>
      </c>
      <c r="AT25" s="495">
        <v>0</v>
      </c>
      <c r="AU25" s="495">
        <v>0</v>
      </c>
      <c r="AV25" s="495">
        <v>0</v>
      </c>
      <c r="AW25" s="495">
        <v>0</v>
      </c>
      <c r="AX25" s="495">
        <f>SUM(AT25:AW25)</f>
        <v>0</v>
      </c>
      <c r="AY25" s="495">
        <v>0</v>
      </c>
      <c r="AZ25" s="495">
        <v>0</v>
      </c>
      <c r="BA25" s="495">
        <f>1240000+980000+530000</f>
        <v>2750000</v>
      </c>
      <c r="BB25" s="495">
        <v>0</v>
      </c>
      <c r="BC25" s="495">
        <f>SUM(AY25:BB25)</f>
        <v>2750000</v>
      </c>
      <c r="BD25" s="495">
        <v>0</v>
      </c>
      <c r="BE25" s="495">
        <v>0</v>
      </c>
      <c r="BF25" s="495">
        <v>0</v>
      </c>
      <c r="BG25" s="495">
        <v>0</v>
      </c>
      <c r="BH25" s="495">
        <f>SUM(BD25:BG25)</f>
        <v>0</v>
      </c>
    </row>
    <row r="26" spans="2:60" ht="9" customHeight="1" x14ac:dyDescent="0.15">
      <c r="B26" s="741">
        <v>-1</v>
      </c>
      <c r="C26" s="719" t="s">
        <v>35</v>
      </c>
      <c r="D26" s="721" t="s">
        <v>6</v>
      </c>
      <c r="E26" s="723">
        <v>1</v>
      </c>
      <c r="F26" s="750">
        <f>แผนการก่อสร้าง!G31</f>
        <v>0</v>
      </c>
      <c r="G26" s="751">
        <f>แผนการก่อสร้าง!H31</f>
        <v>0</v>
      </c>
      <c r="H26" s="729">
        <v>2092762</v>
      </c>
      <c r="I26" s="731">
        <v>2092762</v>
      </c>
      <c r="J26" s="733">
        <v>0.87748606645862526</v>
      </c>
      <c r="L26" s="495">
        <f t="shared" si="0"/>
        <v>0</v>
      </c>
      <c r="M26" s="495">
        <f t="shared" si="1"/>
        <v>0</v>
      </c>
      <c r="O26" s="719" t="s">
        <v>35</v>
      </c>
      <c r="P26" s="499"/>
      <c r="Q26" s="499"/>
      <c r="R26" s="499"/>
      <c r="S26" s="499"/>
      <c r="T26" s="500"/>
      <c r="U26" s="499"/>
      <c r="V26" s="499"/>
      <c r="W26" s="499"/>
      <c r="X26" s="499"/>
      <c r="Y26" s="500"/>
      <c r="Z26" s="499"/>
      <c r="AA26" s="499"/>
      <c r="AB26" s="499"/>
      <c r="AC26" s="499"/>
      <c r="AD26" s="500"/>
      <c r="AE26" s="499"/>
      <c r="AF26" s="499"/>
      <c r="AG26" s="499"/>
      <c r="AH26" s="499"/>
      <c r="AI26" s="500"/>
      <c r="AJ26" s="499"/>
      <c r="AK26" s="499"/>
      <c r="AL26" s="499"/>
      <c r="AM26" s="499"/>
      <c r="AN26" s="500"/>
      <c r="AO26" s="499"/>
      <c r="AP26" s="499"/>
      <c r="AQ26" s="499"/>
      <c r="AR26" s="499"/>
      <c r="AS26" s="500"/>
      <c r="AT26" s="499"/>
      <c r="AU26" s="499"/>
      <c r="AV26" s="499"/>
      <c r="AW26" s="499"/>
      <c r="AX26" s="500"/>
      <c r="AY26" s="499"/>
      <c r="AZ26" s="499"/>
      <c r="BA26" s="499"/>
      <c r="BB26" s="499"/>
      <c r="BC26" s="500"/>
      <c r="BD26" s="499"/>
      <c r="BE26" s="499"/>
      <c r="BF26" s="499"/>
      <c r="BG26" s="499"/>
      <c r="BH26" s="500"/>
    </row>
    <row r="27" spans="2:60" ht="9" customHeight="1" x14ac:dyDescent="0.15">
      <c r="B27" s="742"/>
      <c r="C27" s="720"/>
      <c r="D27" s="722"/>
      <c r="E27" s="724"/>
      <c r="F27" s="726"/>
      <c r="G27" s="728"/>
      <c r="H27" s="747"/>
      <c r="I27" s="732"/>
      <c r="J27" s="734"/>
      <c r="L27" s="495">
        <f t="shared" si="0"/>
        <v>0</v>
      </c>
      <c r="M27" s="495">
        <f t="shared" si="1"/>
        <v>0</v>
      </c>
      <c r="O27" s="720"/>
      <c r="P27" s="495">
        <v>0</v>
      </c>
      <c r="Q27" s="495">
        <v>0</v>
      </c>
      <c r="R27" s="495">
        <v>0</v>
      </c>
      <c r="S27" s="495">
        <v>0</v>
      </c>
      <c r="T27" s="495">
        <f>SUM(P27:S27)</f>
        <v>0</v>
      </c>
      <c r="U27" s="495">
        <v>0</v>
      </c>
      <c r="V27" s="495">
        <v>0</v>
      </c>
      <c r="W27" s="495">
        <v>0</v>
      </c>
      <c r="X27" s="495">
        <v>0</v>
      </c>
      <c r="Y27" s="495">
        <f>SUM(U27:X27)</f>
        <v>0</v>
      </c>
      <c r="Z27" s="495">
        <v>0</v>
      </c>
      <c r="AA27" s="495">
        <v>0</v>
      </c>
      <c r="AB27" s="495">
        <v>0</v>
      </c>
      <c r="AC27" s="495">
        <v>0</v>
      </c>
      <c r="AD27" s="495">
        <f>SUM(Z27:AC27)</f>
        <v>0</v>
      </c>
      <c r="AE27" s="495">
        <v>0</v>
      </c>
      <c r="AF27" s="495">
        <v>0</v>
      </c>
      <c r="AG27" s="495">
        <v>0</v>
      </c>
      <c r="AH27" s="495">
        <v>0</v>
      </c>
      <c r="AI27" s="495">
        <f>SUM(AE27:AH27)</f>
        <v>0</v>
      </c>
      <c r="AJ27" s="495">
        <v>0</v>
      </c>
      <c r="AK27" s="495">
        <v>0</v>
      </c>
      <c r="AL27" s="495">
        <v>0</v>
      </c>
      <c r="AM27" s="495">
        <v>0</v>
      </c>
      <c r="AN27" s="495">
        <f>SUM(AJ27:AM27)</f>
        <v>0</v>
      </c>
      <c r="AO27" s="495">
        <v>0</v>
      </c>
      <c r="AP27" s="495">
        <v>0</v>
      </c>
      <c r="AQ27" s="495">
        <v>0</v>
      </c>
      <c r="AR27" s="495">
        <v>0</v>
      </c>
      <c r="AS27" s="495">
        <f>SUM(AO27:AR27)</f>
        <v>0</v>
      </c>
      <c r="AT27" s="495">
        <v>0</v>
      </c>
      <c r="AU27" s="495">
        <v>0</v>
      </c>
      <c r="AV27" s="495">
        <v>0</v>
      </c>
      <c r="AW27" s="495">
        <v>0</v>
      </c>
      <c r="AX27" s="495">
        <f>SUM(AT27:AW27)</f>
        <v>0</v>
      </c>
      <c r="AY27" s="495">
        <v>0</v>
      </c>
      <c r="AZ27" s="495">
        <v>0</v>
      </c>
      <c r="BA27" s="495">
        <v>0</v>
      </c>
      <c r="BB27" s="495">
        <v>0</v>
      </c>
      <c r="BC27" s="495">
        <f>SUM(AY27:BB27)</f>
        <v>0</v>
      </c>
      <c r="BD27" s="495">
        <v>0</v>
      </c>
      <c r="BE27" s="495">
        <v>0</v>
      </c>
      <c r="BF27" s="495">
        <v>0</v>
      </c>
      <c r="BG27" s="495">
        <v>0</v>
      </c>
      <c r="BH27" s="495">
        <f>SUM(BD27:BG27)</f>
        <v>0</v>
      </c>
    </row>
    <row r="28" spans="2:60" ht="9" customHeight="1" x14ac:dyDescent="0.15">
      <c r="B28" s="741">
        <v>-2</v>
      </c>
      <c r="C28" s="719" t="s">
        <v>36</v>
      </c>
      <c r="D28" s="721" t="s">
        <v>6</v>
      </c>
      <c r="E28" s="723">
        <v>1</v>
      </c>
      <c r="F28" s="725">
        <f>แผนการก่อสร้าง!G33</f>
        <v>0</v>
      </c>
      <c r="G28" s="727">
        <f>แผนการก่อสร้าง!H33</f>
        <v>0</v>
      </c>
      <c r="H28" s="729">
        <v>883548</v>
      </c>
      <c r="I28" s="731">
        <v>883548</v>
      </c>
      <c r="J28" s="733">
        <v>0.37046785972192992</v>
      </c>
      <c r="L28" s="495">
        <f t="shared" si="0"/>
        <v>0</v>
      </c>
      <c r="M28" s="495">
        <f t="shared" si="1"/>
        <v>0</v>
      </c>
      <c r="O28" s="719" t="s">
        <v>36</v>
      </c>
      <c r="P28" s="499"/>
      <c r="Q28" s="499"/>
      <c r="R28" s="499"/>
      <c r="S28" s="499"/>
      <c r="T28" s="500"/>
      <c r="U28" s="499"/>
      <c r="V28" s="499"/>
      <c r="W28" s="499"/>
      <c r="X28" s="499"/>
      <c r="Y28" s="500"/>
      <c r="Z28" s="499"/>
      <c r="AA28" s="499"/>
      <c r="AB28" s="499"/>
      <c r="AC28" s="499"/>
      <c r="AD28" s="500"/>
      <c r="AE28" s="499"/>
      <c r="AF28" s="499"/>
      <c r="AG28" s="499"/>
      <c r="AH28" s="499"/>
      <c r="AI28" s="500"/>
      <c r="AJ28" s="499"/>
      <c r="AK28" s="499"/>
      <c r="AL28" s="499"/>
      <c r="AM28" s="499"/>
      <c r="AN28" s="500"/>
      <c r="AO28" s="499"/>
      <c r="AP28" s="499"/>
      <c r="AQ28" s="499"/>
      <c r="AR28" s="499"/>
      <c r="AS28" s="500"/>
      <c r="AT28" s="499"/>
      <c r="AU28" s="499"/>
      <c r="AV28" s="499"/>
      <c r="AW28" s="499"/>
      <c r="AX28" s="500"/>
      <c r="AY28" s="499"/>
      <c r="AZ28" s="499"/>
      <c r="BA28" s="499"/>
      <c r="BB28" s="499"/>
      <c r="BC28" s="500"/>
      <c r="BD28" s="499"/>
      <c r="BE28" s="499"/>
      <c r="BF28" s="499"/>
      <c r="BG28" s="499"/>
      <c r="BH28" s="500"/>
    </row>
    <row r="29" spans="2:60" ht="9" customHeight="1" x14ac:dyDescent="0.15">
      <c r="B29" s="742"/>
      <c r="C29" s="720"/>
      <c r="D29" s="722"/>
      <c r="E29" s="724"/>
      <c r="F29" s="726"/>
      <c r="G29" s="728"/>
      <c r="H29" s="747"/>
      <c r="I29" s="732"/>
      <c r="J29" s="734"/>
      <c r="L29" s="495">
        <f t="shared" si="0"/>
        <v>0</v>
      </c>
      <c r="M29" s="495">
        <f t="shared" si="1"/>
        <v>0</v>
      </c>
      <c r="O29" s="720"/>
      <c r="P29" s="495">
        <v>0</v>
      </c>
      <c r="Q29" s="495">
        <v>0</v>
      </c>
      <c r="R29" s="495">
        <v>0</v>
      </c>
      <c r="S29" s="495">
        <v>0</v>
      </c>
      <c r="T29" s="495">
        <f>SUM(P29:S29)</f>
        <v>0</v>
      </c>
      <c r="U29" s="495">
        <v>0</v>
      </c>
      <c r="V29" s="495">
        <v>0</v>
      </c>
      <c r="W29" s="495">
        <v>0</v>
      </c>
      <c r="X29" s="495">
        <v>0</v>
      </c>
      <c r="Y29" s="495">
        <f>SUM(U29:X29)</f>
        <v>0</v>
      </c>
      <c r="Z29" s="495">
        <v>0</v>
      </c>
      <c r="AA29" s="495">
        <v>0</v>
      </c>
      <c r="AB29" s="495">
        <v>0</v>
      </c>
      <c r="AC29" s="495">
        <v>0</v>
      </c>
      <c r="AD29" s="495">
        <f>SUM(Z29:AC29)</f>
        <v>0</v>
      </c>
      <c r="AE29" s="495">
        <v>0</v>
      </c>
      <c r="AF29" s="495">
        <v>0</v>
      </c>
      <c r="AG29" s="495">
        <v>0</v>
      </c>
      <c r="AH29" s="495">
        <v>0</v>
      </c>
      <c r="AI29" s="495">
        <f>SUM(AE29:AH29)</f>
        <v>0</v>
      </c>
      <c r="AJ29" s="495">
        <v>0</v>
      </c>
      <c r="AK29" s="495">
        <v>0</v>
      </c>
      <c r="AL29" s="495">
        <v>0</v>
      </c>
      <c r="AM29" s="495">
        <v>0</v>
      </c>
      <c r="AN29" s="495">
        <f>SUM(AJ29:AM29)</f>
        <v>0</v>
      </c>
      <c r="AO29" s="495">
        <v>0</v>
      </c>
      <c r="AP29" s="495">
        <v>0</v>
      </c>
      <c r="AQ29" s="495">
        <v>0</v>
      </c>
      <c r="AR29" s="495">
        <v>0</v>
      </c>
      <c r="AS29" s="495">
        <f>SUM(AO29:AR29)</f>
        <v>0</v>
      </c>
      <c r="AT29" s="495">
        <v>0</v>
      </c>
      <c r="AU29" s="495">
        <v>0</v>
      </c>
      <c r="AV29" s="495">
        <v>0</v>
      </c>
      <c r="AW29" s="495">
        <v>0</v>
      </c>
      <c r="AX29" s="495">
        <f>SUM(AT29:AW29)</f>
        <v>0</v>
      </c>
      <c r="AY29" s="495">
        <v>0</v>
      </c>
      <c r="AZ29" s="495">
        <v>0</v>
      </c>
      <c r="BA29" s="495">
        <v>0</v>
      </c>
      <c r="BB29" s="495">
        <v>0</v>
      </c>
      <c r="BC29" s="495">
        <f>SUM(AY29:BB29)</f>
        <v>0</v>
      </c>
      <c r="BD29" s="495">
        <v>0</v>
      </c>
      <c r="BE29" s="495">
        <v>0</v>
      </c>
      <c r="BF29" s="495">
        <v>0</v>
      </c>
      <c r="BG29" s="495">
        <v>0</v>
      </c>
      <c r="BH29" s="495">
        <f>SUM(BD29:BG29)</f>
        <v>0</v>
      </c>
    </row>
    <row r="30" spans="2:60" ht="9" customHeight="1" x14ac:dyDescent="0.15">
      <c r="B30" s="741">
        <v>-3</v>
      </c>
      <c r="C30" s="719" t="s">
        <v>37</v>
      </c>
      <c r="D30" s="721" t="s">
        <v>6</v>
      </c>
      <c r="E30" s="723">
        <v>1</v>
      </c>
      <c r="F30" s="725">
        <f>แผนการก่อสร้าง!G35</f>
        <v>0</v>
      </c>
      <c r="G30" s="727">
        <f>แผนการก่อสร้าง!H35</f>
        <v>0</v>
      </c>
      <c r="H30" s="729">
        <v>1344618</v>
      </c>
      <c r="I30" s="731">
        <v>1344618</v>
      </c>
      <c r="J30" s="733">
        <v>0.56379251902961913</v>
      </c>
      <c r="L30" s="495">
        <f t="shared" si="0"/>
        <v>0</v>
      </c>
      <c r="M30" s="495">
        <f t="shared" si="1"/>
        <v>0</v>
      </c>
      <c r="O30" s="719" t="s">
        <v>37</v>
      </c>
      <c r="P30" s="499"/>
      <c r="Q30" s="499"/>
      <c r="R30" s="499"/>
      <c r="S30" s="499"/>
      <c r="T30" s="500"/>
      <c r="U30" s="499"/>
      <c r="V30" s="499"/>
      <c r="W30" s="499"/>
      <c r="X30" s="499"/>
      <c r="Y30" s="500"/>
      <c r="Z30" s="499"/>
      <c r="AA30" s="499"/>
      <c r="AB30" s="499"/>
      <c r="AC30" s="499"/>
      <c r="AD30" s="500"/>
      <c r="AE30" s="499"/>
      <c r="AF30" s="499"/>
      <c r="AG30" s="499"/>
      <c r="AH30" s="499"/>
      <c r="AI30" s="500"/>
      <c r="AJ30" s="499"/>
      <c r="AK30" s="499"/>
      <c r="AL30" s="499"/>
      <c r="AM30" s="499"/>
      <c r="AN30" s="500"/>
      <c r="AO30" s="499"/>
      <c r="AP30" s="499"/>
      <c r="AQ30" s="499"/>
      <c r="AR30" s="499"/>
      <c r="AS30" s="500"/>
      <c r="AT30" s="499"/>
      <c r="AU30" s="499"/>
      <c r="AV30" s="499"/>
      <c r="AW30" s="499"/>
      <c r="AX30" s="500"/>
      <c r="AY30" s="499"/>
      <c r="AZ30" s="499"/>
      <c r="BA30" s="499"/>
      <c r="BB30" s="499"/>
      <c r="BC30" s="500"/>
      <c r="BD30" s="499"/>
      <c r="BE30" s="499"/>
      <c r="BF30" s="499"/>
      <c r="BG30" s="499"/>
      <c r="BH30" s="500"/>
    </row>
    <row r="31" spans="2:60" ht="9" customHeight="1" x14ac:dyDescent="0.15">
      <c r="B31" s="742"/>
      <c r="C31" s="720"/>
      <c r="D31" s="722"/>
      <c r="E31" s="746"/>
      <c r="F31" s="726"/>
      <c r="G31" s="728"/>
      <c r="H31" s="747"/>
      <c r="I31" s="732"/>
      <c r="J31" s="734"/>
      <c r="L31" s="495">
        <f t="shared" si="0"/>
        <v>0</v>
      </c>
      <c r="M31" s="495">
        <f t="shared" si="1"/>
        <v>0</v>
      </c>
      <c r="O31" s="720"/>
      <c r="P31" s="495">
        <v>0</v>
      </c>
      <c r="Q31" s="495">
        <v>0</v>
      </c>
      <c r="R31" s="495">
        <v>0</v>
      </c>
      <c r="S31" s="495">
        <v>0</v>
      </c>
      <c r="T31" s="495">
        <f>SUM(P31:S31)</f>
        <v>0</v>
      </c>
      <c r="U31" s="495">
        <v>0</v>
      </c>
      <c r="V31" s="495">
        <v>0</v>
      </c>
      <c r="W31" s="495">
        <v>0</v>
      </c>
      <c r="X31" s="495">
        <v>0</v>
      </c>
      <c r="Y31" s="495">
        <f>SUM(U31:X31)</f>
        <v>0</v>
      </c>
      <c r="Z31" s="495">
        <v>0</v>
      </c>
      <c r="AA31" s="495">
        <v>0</v>
      </c>
      <c r="AB31" s="495">
        <v>0</v>
      </c>
      <c r="AC31" s="495">
        <v>0</v>
      </c>
      <c r="AD31" s="495">
        <f>SUM(Z31:AC31)</f>
        <v>0</v>
      </c>
      <c r="AE31" s="495">
        <v>0</v>
      </c>
      <c r="AF31" s="495">
        <v>0</v>
      </c>
      <c r="AG31" s="495">
        <v>0</v>
      </c>
      <c r="AH31" s="495">
        <v>0</v>
      </c>
      <c r="AI31" s="495">
        <f>SUM(AE31:AH31)</f>
        <v>0</v>
      </c>
      <c r="AJ31" s="495">
        <v>0</v>
      </c>
      <c r="AK31" s="495">
        <v>0</v>
      </c>
      <c r="AL31" s="495">
        <v>0</v>
      </c>
      <c r="AM31" s="495">
        <v>0</v>
      </c>
      <c r="AN31" s="495">
        <f>SUM(AJ31:AM31)</f>
        <v>0</v>
      </c>
      <c r="AO31" s="495">
        <v>0</v>
      </c>
      <c r="AP31" s="495">
        <v>0</v>
      </c>
      <c r="AQ31" s="495">
        <v>0</v>
      </c>
      <c r="AR31" s="495">
        <v>0</v>
      </c>
      <c r="AS31" s="495">
        <f>SUM(AO31:AR31)</f>
        <v>0</v>
      </c>
      <c r="AT31" s="495">
        <v>0</v>
      </c>
      <c r="AU31" s="495">
        <v>0</v>
      </c>
      <c r="AV31" s="495">
        <v>0</v>
      </c>
      <c r="AW31" s="495">
        <v>0</v>
      </c>
      <c r="AX31" s="495">
        <f>SUM(AT31:AW31)</f>
        <v>0</v>
      </c>
      <c r="AY31" s="495">
        <v>0</v>
      </c>
      <c r="AZ31" s="495">
        <v>0</v>
      </c>
      <c r="BA31" s="495">
        <v>0</v>
      </c>
      <c r="BB31" s="495">
        <v>0</v>
      </c>
      <c r="BC31" s="495">
        <f>SUM(AY31:BB31)</f>
        <v>0</v>
      </c>
      <c r="BD31" s="495">
        <v>0</v>
      </c>
      <c r="BE31" s="495">
        <v>0</v>
      </c>
      <c r="BF31" s="495">
        <v>0</v>
      </c>
      <c r="BG31" s="495">
        <v>0</v>
      </c>
      <c r="BH31" s="495">
        <f>SUM(BD31:BG31)</f>
        <v>0</v>
      </c>
    </row>
    <row r="32" spans="2:60" ht="9" customHeight="1" x14ac:dyDescent="0.15">
      <c r="B32" s="741">
        <v>-4</v>
      </c>
      <c r="C32" s="719" t="s">
        <v>39</v>
      </c>
      <c r="D32" s="721" t="s">
        <v>6</v>
      </c>
      <c r="E32" s="723">
        <v>1</v>
      </c>
      <c r="F32" s="725">
        <f>แผนการก่อสร้าง!G37</f>
        <v>0</v>
      </c>
      <c r="G32" s="727">
        <f>แผนการก่อสร้าง!H37</f>
        <v>0</v>
      </c>
      <c r="H32" s="729">
        <v>1048108</v>
      </c>
      <c r="I32" s="731">
        <v>1048108</v>
      </c>
      <c r="J32" s="733">
        <v>0.43946715686915994</v>
      </c>
      <c r="L32" s="495">
        <f t="shared" si="0"/>
        <v>0</v>
      </c>
      <c r="M32" s="495">
        <f t="shared" si="1"/>
        <v>0</v>
      </c>
      <c r="O32" s="719" t="s">
        <v>39</v>
      </c>
      <c r="P32" s="499"/>
      <c r="Q32" s="499"/>
      <c r="R32" s="499"/>
      <c r="S32" s="499"/>
      <c r="T32" s="500"/>
      <c r="U32" s="499"/>
      <c r="V32" s="499"/>
      <c r="W32" s="499"/>
      <c r="X32" s="499"/>
      <c r="Y32" s="500"/>
      <c r="Z32" s="499"/>
      <c r="AA32" s="499"/>
      <c r="AB32" s="499"/>
      <c r="AC32" s="499"/>
      <c r="AD32" s="500"/>
      <c r="AE32" s="499"/>
      <c r="AF32" s="499"/>
      <c r="AG32" s="499"/>
      <c r="AH32" s="499"/>
      <c r="AI32" s="500"/>
      <c r="AJ32" s="499"/>
      <c r="AK32" s="499"/>
      <c r="AL32" s="499"/>
      <c r="AM32" s="499"/>
      <c r="AN32" s="500"/>
      <c r="AO32" s="499"/>
      <c r="AP32" s="499"/>
      <c r="AQ32" s="499"/>
      <c r="AR32" s="499"/>
      <c r="AS32" s="500"/>
      <c r="AT32" s="499"/>
      <c r="AU32" s="499"/>
      <c r="AV32" s="499"/>
      <c r="AW32" s="499"/>
      <c r="AX32" s="500"/>
      <c r="AY32" s="499"/>
      <c r="AZ32" s="499"/>
      <c r="BA32" s="499"/>
      <c r="BB32" s="499"/>
      <c r="BC32" s="500"/>
      <c r="BD32" s="499"/>
      <c r="BE32" s="499"/>
      <c r="BF32" s="499"/>
      <c r="BG32" s="499"/>
      <c r="BH32" s="500"/>
    </row>
    <row r="33" spans="2:60" ht="9" customHeight="1" x14ac:dyDescent="0.15">
      <c r="B33" s="742"/>
      <c r="C33" s="720"/>
      <c r="D33" s="722"/>
      <c r="E33" s="724"/>
      <c r="F33" s="748"/>
      <c r="G33" s="749"/>
      <c r="H33" s="747"/>
      <c r="I33" s="732"/>
      <c r="J33" s="734"/>
      <c r="L33" s="495">
        <f t="shared" si="0"/>
        <v>0</v>
      </c>
      <c r="M33" s="495">
        <f t="shared" si="1"/>
        <v>0</v>
      </c>
      <c r="O33" s="720"/>
      <c r="P33" s="495">
        <v>0</v>
      </c>
      <c r="Q33" s="495">
        <v>0</v>
      </c>
      <c r="R33" s="495">
        <v>0</v>
      </c>
      <c r="S33" s="495">
        <v>0</v>
      </c>
      <c r="T33" s="495">
        <f>SUM(P33:S33)</f>
        <v>0</v>
      </c>
      <c r="U33" s="495">
        <v>0</v>
      </c>
      <c r="V33" s="495">
        <v>0</v>
      </c>
      <c r="W33" s="495">
        <v>0</v>
      </c>
      <c r="X33" s="495">
        <v>0</v>
      </c>
      <c r="Y33" s="495">
        <f>SUM(U33:X33)</f>
        <v>0</v>
      </c>
      <c r="Z33" s="495">
        <v>0</v>
      </c>
      <c r="AA33" s="495">
        <v>0</v>
      </c>
      <c r="AB33" s="495">
        <v>0</v>
      </c>
      <c r="AC33" s="495">
        <v>0</v>
      </c>
      <c r="AD33" s="495">
        <f>SUM(Z33:AC33)</f>
        <v>0</v>
      </c>
      <c r="AE33" s="495">
        <v>0</v>
      </c>
      <c r="AF33" s="495">
        <v>0</v>
      </c>
      <c r="AG33" s="495">
        <v>0</v>
      </c>
      <c r="AH33" s="495">
        <v>0</v>
      </c>
      <c r="AI33" s="495">
        <f>SUM(AE33:AH33)</f>
        <v>0</v>
      </c>
      <c r="AJ33" s="495">
        <v>0</v>
      </c>
      <c r="AK33" s="495">
        <v>0</v>
      </c>
      <c r="AL33" s="495">
        <v>0</v>
      </c>
      <c r="AM33" s="495">
        <v>0</v>
      </c>
      <c r="AN33" s="495">
        <f>SUM(AJ33:AM33)</f>
        <v>0</v>
      </c>
      <c r="AO33" s="495">
        <v>0</v>
      </c>
      <c r="AP33" s="495">
        <v>0</v>
      </c>
      <c r="AQ33" s="495">
        <v>0</v>
      </c>
      <c r="AR33" s="495">
        <v>0</v>
      </c>
      <c r="AS33" s="495">
        <f>SUM(AO33:AR33)</f>
        <v>0</v>
      </c>
      <c r="AT33" s="495">
        <v>0</v>
      </c>
      <c r="AU33" s="495">
        <v>0</v>
      </c>
      <c r="AV33" s="495">
        <v>0</v>
      </c>
      <c r="AW33" s="495">
        <v>0</v>
      </c>
      <c r="AX33" s="495">
        <f>SUM(AT33:AW33)</f>
        <v>0</v>
      </c>
      <c r="AY33" s="495">
        <v>0</v>
      </c>
      <c r="AZ33" s="495">
        <v>0</v>
      </c>
      <c r="BA33" s="495">
        <v>0</v>
      </c>
      <c r="BB33" s="495">
        <v>0</v>
      </c>
      <c r="BC33" s="495">
        <f>SUM(AY33:BB33)</f>
        <v>0</v>
      </c>
      <c r="BD33" s="495">
        <v>0</v>
      </c>
      <c r="BE33" s="495">
        <v>0</v>
      </c>
      <c r="BF33" s="495">
        <v>0</v>
      </c>
      <c r="BG33" s="495">
        <v>0</v>
      </c>
      <c r="BH33" s="495">
        <f>SUM(BD33:BG33)</f>
        <v>0</v>
      </c>
    </row>
    <row r="34" spans="2:60" ht="9" customHeight="1" x14ac:dyDescent="0.15">
      <c r="B34" s="717">
        <v>1.4</v>
      </c>
      <c r="C34" s="719" t="s">
        <v>118</v>
      </c>
      <c r="D34" s="721" t="s">
        <v>6</v>
      </c>
      <c r="E34" s="723">
        <v>1</v>
      </c>
      <c r="F34" s="750">
        <f>แผนการก่อสร้าง!G39</f>
        <v>0</v>
      </c>
      <c r="G34" s="751">
        <f>แผนการก่อสร้าง!H39</f>
        <v>53.669000000000004</v>
      </c>
      <c r="H34" s="729">
        <v>2827285</v>
      </c>
      <c r="I34" s="731">
        <v>2827285</v>
      </c>
      <c r="J34" s="733">
        <v>1.1854683874265084</v>
      </c>
      <c r="L34" s="495">
        <f t="shared" si="0"/>
        <v>0</v>
      </c>
      <c r="M34" s="495">
        <f t="shared" si="1"/>
        <v>0</v>
      </c>
      <c r="O34" s="719" t="s">
        <v>118</v>
      </c>
      <c r="P34" s="499"/>
      <c r="Q34" s="499"/>
      <c r="R34" s="499"/>
      <c r="S34" s="499"/>
      <c r="T34" s="500"/>
      <c r="U34" s="499"/>
      <c r="V34" s="499"/>
      <c r="W34" s="499"/>
      <c r="X34" s="499"/>
      <c r="Y34" s="500"/>
      <c r="Z34" s="499"/>
      <c r="AA34" s="499"/>
      <c r="AB34" s="499"/>
      <c r="AC34" s="499"/>
      <c r="AD34" s="500"/>
      <c r="AE34" s="499"/>
      <c r="AF34" s="499"/>
      <c r="AG34" s="499"/>
      <c r="AH34" s="499"/>
      <c r="AI34" s="500"/>
      <c r="AJ34" s="499"/>
      <c r="AK34" s="499"/>
      <c r="AL34" s="499"/>
      <c r="AM34" s="499"/>
      <c r="AN34" s="500"/>
      <c r="AO34" s="499"/>
      <c r="AP34" s="499"/>
      <c r="AQ34" s="499"/>
      <c r="AR34" s="499"/>
      <c r="AS34" s="500"/>
      <c r="AT34" s="499"/>
      <c r="AU34" s="499"/>
      <c r="AV34" s="499"/>
      <c r="AW34" s="499"/>
      <c r="AX34" s="500"/>
      <c r="AY34" s="499"/>
      <c r="AZ34" s="499"/>
      <c r="BA34" s="499"/>
      <c r="BB34" s="499"/>
      <c r="BC34" s="500"/>
      <c r="BD34" s="499"/>
      <c r="BE34" s="499"/>
      <c r="BF34" s="499"/>
      <c r="BG34" s="499"/>
      <c r="BH34" s="500"/>
    </row>
    <row r="35" spans="2:60" ht="9" customHeight="1" x14ac:dyDescent="0.15">
      <c r="B35" s="718"/>
      <c r="C35" s="720"/>
      <c r="D35" s="722"/>
      <c r="E35" s="724"/>
      <c r="F35" s="726"/>
      <c r="G35" s="728"/>
      <c r="H35" s="747"/>
      <c r="I35" s="732"/>
      <c r="J35" s="734"/>
      <c r="L35" s="495">
        <f t="shared" si="0"/>
        <v>1517394</v>
      </c>
      <c r="M35" s="495">
        <f t="shared" si="1"/>
        <v>1517394</v>
      </c>
      <c r="O35" s="720"/>
      <c r="P35" s="495">
        <v>0</v>
      </c>
      <c r="Q35" s="495">
        <v>0</v>
      </c>
      <c r="R35" s="495">
        <v>0</v>
      </c>
      <c r="S35" s="495">
        <v>17394</v>
      </c>
      <c r="T35" s="495">
        <v>17394</v>
      </c>
      <c r="U35" s="495">
        <v>0</v>
      </c>
      <c r="V35" s="495">
        <v>0</v>
      </c>
      <c r="W35" s="495">
        <v>1500000</v>
      </c>
      <c r="X35" s="495">
        <v>0</v>
      </c>
      <c r="Y35" s="495">
        <f>SUM(U35:X35)</f>
        <v>1500000</v>
      </c>
      <c r="Z35" s="495">
        <v>0</v>
      </c>
      <c r="AA35" s="495">
        <v>0</v>
      </c>
      <c r="AB35" s="495">
        <v>0</v>
      </c>
      <c r="AC35" s="495">
        <v>0</v>
      </c>
      <c r="AD35" s="495">
        <f>SUM(Z35:AC35)</f>
        <v>0</v>
      </c>
      <c r="AE35" s="495">
        <v>0</v>
      </c>
      <c r="AF35" s="495">
        <v>0</v>
      </c>
      <c r="AG35" s="495">
        <v>0</v>
      </c>
      <c r="AH35" s="495">
        <v>0</v>
      </c>
      <c r="AI35" s="495">
        <f>SUM(AE35:AH35)</f>
        <v>0</v>
      </c>
      <c r="AJ35" s="495">
        <v>0</v>
      </c>
      <c r="AK35" s="495">
        <v>0</v>
      </c>
      <c r="AL35" s="495">
        <v>0</v>
      </c>
      <c r="AM35" s="495">
        <v>0</v>
      </c>
      <c r="AN35" s="495">
        <f>SUM(AJ35:AM35)</f>
        <v>0</v>
      </c>
      <c r="AO35" s="495">
        <v>0</v>
      </c>
      <c r="AP35" s="495">
        <v>0</v>
      </c>
      <c r="AQ35" s="495">
        <v>0</v>
      </c>
      <c r="AR35" s="495">
        <v>0</v>
      </c>
      <c r="AS35" s="495">
        <f>SUM(AO35:AR35)</f>
        <v>0</v>
      </c>
      <c r="AT35" s="495">
        <v>0</v>
      </c>
      <c r="AU35" s="495">
        <v>0</v>
      </c>
      <c r="AV35" s="495">
        <v>0</v>
      </c>
      <c r="AW35" s="495">
        <v>0</v>
      </c>
      <c r="AX35" s="495">
        <f>SUM(AT35:AW35)</f>
        <v>0</v>
      </c>
      <c r="AY35" s="495">
        <v>0</v>
      </c>
      <c r="AZ35" s="495">
        <v>0</v>
      </c>
      <c r="BA35" s="495">
        <v>0</v>
      </c>
      <c r="BB35" s="495">
        <v>0</v>
      </c>
      <c r="BC35" s="495">
        <f>SUM(AY35:BB35)</f>
        <v>0</v>
      </c>
      <c r="BD35" s="495">
        <v>0</v>
      </c>
      <c r="BE35" s="495">
        <v>0</v>
      </c>
      <c r="BF35" s="495">
        <v>0</v>
      </c>
      <c r="BG35" s="495">
        <v>0</v>
      </c>
      <c r="BH35" s="495">
        <f>SUM(BD35:BG35)</f>
        <v>0</v>
      </c>
    </row>
    <row r="36" spans="2:60" ht="9" customHeight="1" x14ac:dyDescent="0.15">
      <c r="B36" s="741">
        <v>-1</v>
      </c>
      <c r="C36" s="719" t="s">
        <v>35</v>
      </c>
      <c r="D36" s="721" t="s">
        <v>6</v>
      </c>
      <c r="E36" s="723">
        <v>1</v>
      </c>
      <c r="F36" s="725">
        <f>แผนการก่อสร้าง!G41</f>
        <v>0</v>
      </c>
      <c r="G36" s="727">
        <f>แผนการก่อสร้าง!H41</f>
        <v>0</v>
      </c>
      <c r="H36" s="729">
        <v>317663</v>
      </c>
      <c r="I36" s="731">
        <v>317663</v>
      </c>
      <c r="J36" s="733">
        <v>0.13319472368546748</v>
      </c>
      <c r="L36" s="495">
        <f t="shared" si="0"/>
        <v>0</v>
      </c>
      <c r="M36" s="495">
        <f t="shared" si="1"/>
        <v>0</v>
      </c>
      <c r="O36" s="719" t="s">
        <v>35</v>
      </c>
      <c r="P36" s="499"/>
      <c r="Q36" s="499"/>
      <c r="R36" s="499"/>
      <c r="S36" s="499"/>
      <c r="T36" s="500"/>
      <c r="U36" s="499"/>
      <c r="V36" s="499"/>
      <c r="W36" s="499"/>
      <c r="X36" s="499"/>
      <c r="Y36" s="500"/>
      <c r="Z36" s="499"/>
      <c r="AA36" s="499"/>
      <c r="AB36" s="499"/>
      <c r="AC36" s="499"/>
      <c r="AD36" s="500"/>
      <c r="AE36" s="499"/>
      <c r="AF36" s="499"/>
      <c r="AG36" s="499"/>
      <c r="AH36" s="499"/>
      <c r="AI36" s="500"/>
      <c r="AJ36" s="499"/>
      <c r="AK36" s="499"/>
      <c r="AL36" s="499"/>
      <c r="AM36" s="499"/>
      <c r="AN36" s="500"/>
      <c r="AO36" s="499"/>
      <c r="AP36" s="499"/>
      <c r="AQ36" s="499"/>
      <c r="AR36" s="499"/>
      <c r="AS36" s="500"/>
      <c r="AT36" s="499"/>
      <c r="AU36" s="499"/>
      <c r="AV36" s="499"/>
      <c r="AW36" s="499"/>
      <c r="AX36" s="500"/>
      <c r="AY36" s="499"/>
      <c r="AZ36" s="499"/>
      <c r="BA36" s="499"/>
      <c r="BB36" s="499"/>
      <c r="BC36" s="500"/>
      <c r="BD36" s="499"/>
      <c r="BE36" s="499"/>
      <c r="BF36" s="499"/>
      <c r="BG36" s="499"/>
      <c r="BH36" s="500"/>
    </row>
    <row r="37" spans="2:60" ht="9" customHeight="1" x14ac:dyDescent="0.15">
      <c r="B37" s="742"/>
      <c r="C37" s="720"/>
      <c r="D37" s="722"/>
      <c r="E37" s="724"/>
      <c r="F37" s="726"/>
      <c r="G37" s="728"/>
      <c r="H37" s="747"/>
      <c r="I37" s="732"/>
      <c r="J37" s="734"/>
      <c r="L37" s="495">
        <f t="shared" si="0"/>
        <v>0</v>
      </c>
      <c r="M37" s="495">
        <f t="shared" si="1"/>
        <v>0</v>
      </c>
      <c r="O37" s="720"/>
      <c r="P37" s="495">
        <v>0</v>
      </c>
      <c r="Q37" s="495">
        <v>0</v>
      </c>
      <c r="R37" s="495">
        <v>0</v>
      </c>
      <c r="S37" s="495">
        <v>0</v>
      </c>
      <c r="T37" s="495">
        <f>SUM(P37:S37)</f>
        <v>0</v>
      </c>
      <c r="U37" s="495">
        <v>0</v>
      </c>
      <c r="V37" s="495">
        <v>0</v>
      </c>
      <c r="W37" s="495">
        <v>0</v>
      </c>
      <c r="X37" s="495">
        <v>0</v>
      </c>
      <c r="Y37" s="495">
        <f>SUM(U37:X37)</f>
        <v>0</v>
      </c>
      <c r="Z37" s="495">
        <v>0</v>
      </c>
      <c r="AA37" s="495">
        <v>0</v>
      </c>
      <c r="AB37" s="495">
        <v>0</v>
      </c>
      <c r="AC37" s="495">
        <v>0</v>
      </c>
      <c r="AD37" s="495">
        <f>SUM(Z37:AC37)</f>
        <v>0</v>
      </c>
      <c r="AE37" s="495">
        <v>0</v>
      </c>
      <c r="AF37" s="495">
        <v>0</v>
      </c>
      <c r="AG37" s="495">
        <v>0</v>
      </c>
      <c r="AH37" s="495">
        <v>0</v>
      </c>
      <c r="AI37" s="495">
        <f>SUM(AE37:AH37)</f>
        <v>0</v>
      </c>
      <c r="AJ37" s="495">
        <v>0</v>
      </c>
      <c r="AK37" s="495">
        <v>0</v>
      </c>
      <c r="AL37" s="495">
        <v>0</v>
      </c>
      <c r="AM37" s="495">
        <v>0</v>
      </c>
      <c r="AN37" s="495">
        <f>SUM(AJ37:AM37)</f>
        <v>0</v>
      </c>
      <c r="AO37" s="495">
        <v>0</v>
      </c>
      <c r="AP37" s="495">
        <v>0</v>
      </c>
      <c r="AQ37" s="495">
        <v>0</v>
      </c>
      <c r="AR37" s="495">
        <v>0</v>
      </c>
      <c r="AS37" s="495">
        <f>SUM(AO37:AR37)</f>
        <v>0</v>
      </c>
      <c r="AT37" s="495">
        <v>0</v>
      </c>
      <c r="AU37" s="495">
        <v>0</v>
      </c>
      <c r="AV37" s="495">
        <v>0</v>
      </c>
      <c r="AW37" s="495">
        <v>0</v>
      </c>
      <c r="AX37" s="495">
        <f>SUM(AT37:AW37)</f>
        <v>0</v>
      </c>
      <c r="AY37" s="495">
        <v>0</v>
      </c>
      <c r="AZ37" s="495">
        <v>0</v>
      </c>
      <c r="BA37" s="495">
        <v>0</v>
      </c>
      <c r="BB37" s="495">
        <v>0</v>
      </c>
      <c r="BC37" s="495">
        <f>SUM(AY37:BB37)</f>
        <v>0</v>
      </c>
      <c r="BD37" s="495">
        <v>0</v>
      </c>
      <c r="BE37" s="495">
        <v>0</v>
      </c>
      <c r="BF37" s="495">
        <v>0</v>
      </c>
      <c r="BG37" s="495">
        <v>0</v>
      </c>
      <c r="BH37" s="495">
        <f>SUM(BD37:BG37)</f>
        <v>0</v>
      </c>
    </row>
    <row r="38" spans="2:60" ht="9" customHeight="1" x14ac:dyDescent="0.15">
      <c r="B38" s="741">
        <v>-2</v>
      </c>
      <c r="C38" s="719" t="s">
        <v>121</v>
      </c>
      <c r="D38" s="721" t="s">
        <v>6</v>
      </c>
      <c r="E38" s="723">
        <v>1</v>
      </c>
      <c r="F38" s="725">
        <f>แผนการก่อสร้าง!G43</f>
        <v>0</v>
      </c>
      <c r="G38" s="727">
        <f>แผนการก่อสร้าง!H43</f>
        <v>0</v>
      </c>
      <c r="H38" s="729">
        <v>262286</v>
      </c>
      <c r="I38" s="731">
        <v>262286</v>
      </c>
      <c r="J38" s="733">
        <v>0.10997538679848305</v>
      </c>
      <c r="L38" s="495">
        <f t="shared" si="0"/>
        <v>0</v>
      </c>
      <c r="M38" s="495">
        <f t="shared" si="1"/>
        <v>0</v>
      </c>
      <c r="O38" s="719" t="s">
        <v>121</v>
      </c>
      <c r="P38" s="499"/>
      <c r="Q38" s="499"/>
      <c r="R38" s="499"/>
      <c r="S38" s="499"/>
      <c r="T38" s="500"/>
      <c r="U38" s="499"/>
      <c r="V38" s="499"/>
      <c r="W38" s="499"/>
      <c r="X38" s="499"/>
      <c r="Y38" s="500"/>
      <c r="Z38" s="499"/>
      <c r="AA38" s="499"/>
      <c r="AB38" s="499"/>
      <c r="AC38" s="499"/>
      <c r="AD38" s="500"/>
      <c r="AE38" s="499"/>
      <c r="AF38" s="499"/>
      <c r="AG38" s="499"/>
      <c r="AH38" s="499"/>
      <c r="AI38" s="500"/>
      <c r="AJ38" s="499"/>
      <c r="AK38" s="499"/>
      <c r="AL38" s="499"/>
      <c r="AM38" s="499"/>
      <c r="AN38" s="500"/>
      <c r="AO38" s="499"/>
      <c r="AP38" s="499"/>
      <c r="AQ38" s="499"/>
      <c r="AR38" s="499"/>
      <c r="AS38" s="500"/>
      <c r="AT38" s="499"/>
      <c r="AU38" s="499"/>
      <c r="AV38" s="499"/>
      <c r="AW38" s="499"/>
      <c r="AX38" s="500"/>
      <c r="AY38" s="499"/>
      <c r="AZ38" s="499"/>
      <c r="BA38" s="499"/>
      <c r="BB38" s="499"/>
      <c r="BC38" s="500"/>
      <c r="BD38" s="499"/>
      <c r="BE38" s="499"/>
      <c r="BF38" s="499"/>
      <c r="BG38" s="499"/>
      <c r="BH38" s="500"/>
    </row>
    <row r="39" spans="2:60" ht="9" customHeight="1" x14ac:dyDescent="0.15">
      <c r="B39" s="742"/>
      <c r="C39" s="720"/>
      <c r="D39" s="722"/>
      <c r="E39" s="746"/>
      <c r="F39" s="726"/>
      <c r="G39" s="728"/>
      <c r="H39" s="747"/>
      <c r="I39" s="732"/>
      <c r="J39" s="734"/>
      <c r="L39" s="495">
        <f t="shared" si="0"/>
        <v>0</v>
      </c>
      <c r="M39" s="495">
        <f t="shared" si="1"/>
        <v>0</v>
      </c>
      <c r="O39" s="720"/>
      <c r="P39" s="495">
        <v>0</v>
      </c>
      <c r="Q39" s="495">
        <v>0</v>
      </c>
      <c r="R39" s="495">
        <v>0</v>
      </c>
      <c r="S39" s="495">
        <v>0</v>
      </c>
      <c r="T39" s="495">
        <f>SUM(P39:S39)</f>
        <v>0</v>
      </c>
      <c r="U39" s="495">
        <v>0</v>
      </c>
      <c r="V39" s="495">
        <v>0</v>
      </c>
      <c r="W39" s="495">
        <v>0</v>
      </c>
      <c r="X39" s="495">
        <v>0</v>
      </c>
      <c r="Y39" s="495">
        <f>SUM(U39:X39)</f>
        <v>0</v>
      </c>
      <c r="Z39" s="495">
        <v>0</v>
      </c>
      <c r="AA39" s="495">
        <v>0</v>
      </c>
      <c r="AB39" s="495">
        <v>0</v>
      </c>
      <c r="AC39" s="495">
        <v>0</v>
      </c>
      <c r="AD39" s="495">
        <f>SUM(Z39:AC39)</f>
        <v>0</v>
      </c>
      <c r="AE39" s="495">
        <v>0</v>
      </c>
      <c r="AF39" s="495">
        <v>0</v>
      </c>
      <c r="AG39" s="495">
        <v>0</v>
      </c>
      <c r="AH39" s="495">
        <v>0</v>
      </c>
      <c r="AI39" s="495">
        <f>SUM(AE39:AH39)</f>
        <v>0</v>
      </c>
      <c r="AJ39" s="495">
        <v>0</v>
      </c>
      <c r="AK39" s="495">
        <v>0</v>
      </c>
      <c r="AL39" s="495">
        <v>0</v>
      </c>
      <c r="AM39" s="495">
        <v>0</v>
      </c>
      <c r="AN39" s="495">
        <f>SUM(AJ39:AM39)</f>
        <v>0</v>
      </c>
      <c r="AO39" s="495">
        <v>0</v>
      </c>
      <c r="AP39" s="495">
        <v>0</v>
      </c>
      <c r="AQ39" s="495">
        <v>0</v>
      </c>
      <c r="AR39" s="495">
        <v>0</v>
      </c>
      <c r="AS39" s="495">
        <f>SUM(AO39:AR39)</f>
        <v>0</v>
      </c>
      <c r="AT39" s="495">
        <v>0</v>
      </c>
      <c r="AU39" s="495">
        <v>0</v>
      </c>
      <c r="AV39" s="495">
        <v>0</v>
      </c>
      <c r="AW39" s="495">
        <v>0</v>
      </c>
      <c r="AX39" s="495">
        <f>SUM(AT39:AW39)</f>
        <v>0</v>
      </c>
      <c r="AY39" s="495">
        <v>0</v>
      </c>
      <c r="AZ39" s="495">
        <v>0</v>
      </c>
      <c r="BA39" s="495">
        <v>0</v>
      </c>
      <c r="BB39" s="495">
        <v>0</v>
      </c>
      <c r="BC39" s="495">
        <f>SUM(AY39:BB39)</f>
        <v>0</v>
      </c>
      <c r="BD39" s="495">
        <v>0</v>
      </c>
      <c r="BE39" s="495">
        <v>0</v>
      </c>
      <c r="BF39" s="495">
        <v>0</v>
      </c>
      <c r="BG39" s="495">
        <v>0</v>
      </c>
      <c r="BH39" s="495">
        <f>SUM(BD39:BG39)</f>
        <v>0</v>
      </c>
    </row>
    <row r="40" spans="2:60" ht="9" customHeight="1" x14ac:dyDescent="0.15">
      <c r="B40" s="717">
        <v>1.5</v>
      </c>
      <c r="C40" s="719" t="s">
        <v>119</v>
      </c>
      <c r="D40" s="721" t="s">
        <v>6</v>
      </c>
      <c r="E40" s="723">
        <v>1</v>
      </c>
      <c r="F40" s="725">
        <f>แผนการก่อสร้าง!G45</f>
        <v>0</v>
      </c>
      <c r="G40" s="727">
        <f>แผนการก่อสร้าง!H45</f>
        <v>54.391000000000005</v>
      </c>
      <c r="H40" s="729">
        <v>3175884</v>
      </c>
      <c r="I40" s="731">
        <v>3175884</v>
      </c>
      <c r="J40" s="733">
        <v>1.3316344422771842</v>
      </c>
      <c r="L40" s="495">
        <f t="shared" si="0"/>
        <v>0</v>
      </c>
      <c r="M40" s="495">
        <f t="shared" si="1"/>
        <v>0</v>
      </c>
      <c r="O40" s="719" t="s">
        <v>119</v>
      </c>
      <c r="P40" s="499"/>
      <c r="Q40" s="499"/>
      <c r="R40" s="499"/>
      <c r="S40" s="499"/>
      <c r="T40" s="500"/>
      <c r="U40" s="499"/>
      <c r="V40" s="499"/>
      <c r="W40" s="499"/>
      <c r="X40" s="499"/>
      <c r="Y40" s="500"/>
      <c r="Z40" s="499"/>
      <c r="AA40" s="499"/>
      <c r="AB40" s="499"/>
      <c r="AC40" s="499"/>
      <c r="AD40" s="500"/>
      <c r="AE40" s="499"/>
      <c r="AF40" s="499"/>
      <c r="AG40" s="499"/>
      <c r="AH40" s="499"/>
      <c r="AI40" s="500"/>
      <c r="AJ40" s="499"/>
      <c r="AK40" s="499"/>
      <c r="AL40" s="499"/>
      <c r="AM40" s="499"/>
      <c r="AN40" s="500"/>
      <c r="AO40" s="499"/>
      <c r="AP40" s="499"/>
      <c r="AQ40" s="499"/>
      <c r="AR40" s="499"/>
      <c r="AS40" s="500"/>
      <c r="AT40" s="499"/>
      <c r="AU40" s="499"/>
      <c r="AV40" s="499"/>
      <c r="AW40" s="499"/>
      <c r="AX40" s="500"/>
      <c r="AY40" s="499"/>
      <c r="AZ40" s="499"/>
      <c r="BA40" s="499"/>
      <c r="BB40" s="499"/>
      <c r="BC40" s="500"/>
      <c r="BD40" s="499"/>
      <c r="BE40" s="499"/>
      <c r="BF40" s="499"/>
      <c r="BG40" s="499"/>
      <c r="BH40" s="500"/>
    </row>
    <row r="41" spans="2:60" ht="9" customHeight="1" x14ac:dyDescent="0.15">
      <c r="B41" s="718"/>
      <c r="C41" s="720"/>
      <c r="D41" s="722"/>
      <c r="E41" s="724"/>
      <c r="F41" s="748"/>
      <c r="G41" s="749"/>
      <c r="H41" s="747"/>
      <c r="I41" s="732"/>
      <c r="J41" s="734"/>
      <c r="L41" s="495">
        <f t="shared" si="0"/>
        <v>1727394</v>
      </c>
      <c r="M41" s="495">
        <f t="shared" si="1"/>
        <v>1727394</v>
      </c>
      <c r="O41" s="720"/>
      <c r="P41" s="495">
        <v>0</v>
      </c>
      <c r="Q41" s="495">
        <v>0</v>
      </c>
      <c r="R41" s="495">
        <v>0</v>
      </c>
      <c r="S41" s="495">
        <v>17394</v>
      </c>
      <c r="T41" s="495">
        <v>17394</v>
      </c>
      <c r="U41" s="495">
        <v>0</v>
      </c>
      <c r="V41" s="495">
        <v>0</v>
      </c>
      <c r="W41" s="495">
        <v>540000</v>
      </c>
      <c r="X41" s="495">
        <v>0</v>
      </c>
      <c r="Y41" s="495">
        <f>SUM(U41:X41)</f>
        <v>540000</v>
      </c>
      <c r="Z41" s="495">
        <v>0</v>
      </c>
      <c r="AA41" s="495">
        <v>0</v>
      </c>
      <c r="AB41" s="495">
        <v>0</v>
      </c>
      <c r="AC41" s="495">
        <v>1170000</v>
      </c>
      <c r="AD41" s="495">
        <f>SUM(Z41:AC41)</f>
        <v>1170000</v>
      </c>
      <c r="AE41" s="495">
        <v>0</v>
      </c>
      <c r="AF41" s="495">
        <v>0</v>
      </c>
      <c r="AG41" s="495">
        <v>0</v>
      </c>
      <c r="AH41" s="495">
        <v>0</v>
      </c>
      <c r="AI41" s="495">
        <f>SUM(AE41:AH41)</f>
        <v>0</v>
      </c>
      <c r="AJ41" s="495">
        <v>0</v>
      </c>
      <c r="AK41" s="495">
        <v>0</v>
      </c>
      <c r="AL41" s="495">
        <v>0</v>
      </c>
      <c r="AM41" s="495">
        <v>0</v>
      </c>
      <c r="AN41" s="495">
        <f>SUM(AJ41:AM41)</f>
        <v>0</v>
      </c>
      <c r="AO41" s="495">
        <v>0</v>
      </c>
      <c r="AP41" s="495">
        <v>0</v>
      </c>
      <c r="AQ41" s="495">
        <v>0</v>
      </c>
      <c r="AR41" s="495">
        <v>0</v>
      </c>
      <c r="AS41" s="495">
        <f>SUM(AO41:AR41)</f>
        <v>0</v>
      </c>
      <c r="AT41" s="495">
        <v>0</v>
      </c>
      <c r="AU41" s="495">
        <v>0</v>
      </c>
      <c r="AV41" s="495">
        <v>0</v>
      </c>
      <c r="AW41" s="495">
        <v>0</v>
      </c>
      <c r="AX41" s="495">
        <f>SUM(AT41:AW41)</f>
        <v>0</v>
      </c>
      <c r="AY41" s="495">
        <v>0</v>
      </c>
      <c r="AZ41" s="495">
        <v>0</v>
      </c>
      <c r="BA41" s="495">
        <v>0</v>
      </c>
      <c r="BB41" s="495">
        <v>0</v>
      </c>
      <c r="BC41" s="495">
        <f>SUM(AY41:BB41)</f>
        <v>0</v>
      </c>
      <c r="BD41" s="495">
        <v>0</v>
      </c>
      <c r="BE41" s="495">
        <v>0</v>
      </c>
      <c r="BF41" s="495">
        <v>0</v>
      </c>
      <c r="BG41" s="495">
        <v>0</v>
      </c>
      <c r="BH41" s="495">
        <f>SUM(BD41:BG41)</f>
        <v>0</v>
      </c>
    </row>
    <row r="42" spans="2:60" ht="9" customHeight="1" x14ac:dyDescent="0.15">
      <c r="B42" s="741">
        <v>-1</v>
      </c>
      <c r="C42" s="719" t="s">
        <v>35</v>
      </c>
      <c r="D42" s="721" t="s">
        <v>6</v>
      </c>
      <c r="E42" s="723">
        <v>1</v>
      </c>
      <c r="F42" s="750">
        <f>แผนการก่อสร้าง!G47</f>
        <v>0</v>
      </c>
      <c r="G42" s="751">
        <f>แผนการก่อสร้าง!H47</f>
        <v>0</v>
      </c>
      <c r="H42" s="729">
        <v>358105</v>
      </c>
      <c r="I42" s="731">
        <v>358105</v>
      </c>
      <c r="J42" s="733">
        <v>0.15015187958743803</v>
      </c>
      <c r="L42" s="495">
        <f t="shared" si="0"/>
        <v>0</v>
      </c>
      <c r="M42" s="495">
        <f t="shared" si="1"/>
        <v>0</v>
      </c>
      <c r="O42" s="719" t="s">
        <v>35</v>
      </c>
      <c r="P42" s="499"/>
      <c r="Q42" s="499"/>
      <c r="R42" s="499"/>
      <c r="S42" s="499"/>
      <c r="T42" s="500"/>
      <c r="U42" s="499"/>
      <c r="V42" s="499"/>
      <c r="W42" s="499"/>
      <c r="X42" s="499"/>
      <c r="Y42" s="500"/>
      <c r="Z42" s="499"/>
      <c r="AA42" s="499"/>
      <c r="AB42" s="499"/>
      <c r="AC42" s="499"/>
      <c r="AD42" s="500"/>
      <c r="AE42" s="499"/>
      <c r="AF42" s="499"/>
      <c r="AG42" s="499"/>
      <c r="AH42" s="499"/>
      <c r="AI42" s="500"/>
      <c r="AJ42" s="499"/>
      <c r="AK42" s="499"/>
      <c r="AL42" s="499"/>
      <c r="AM42" s="499"/>
      <c r="AN42" s="500"/>
      <c r="AO42" s="499"/>
      <c r="AP42" s="499"/>
      <c r="AQ42" s="499"/>
      <c r="AR42" s="499"/>
      <c r="AS42" s="500"/>
      <c r="AT42" s="499"/>
      <c r="AU42" s="499"/>
      <c r="AV42" s="499"/>
      <c r="AW42" s="499"/>
      <c r="AX42" s="500"/>
      <c r="AY42" s="499"/>
      <c r="AZ42" s="499"/>
      <c r="BA42" s="499"/>
      <c r="BB42" s="499"/>
      <c r="BC42" s="500"/>
      <c r="BD42" s="499"/>
      <c r="BE42" s="499"/>
      <c r="BF42" s="499"/>
      <c r="BG42" s="499"/>
      <c r="BH42" s="500"/>
    </row>
    <row r="43" spans="2:60" ht="9" customHeight="1" x14ac:dyDescent="0.15">
      <c r="B43" s="742"/>
      <c r="C43" s="720"/>
      <c r="D43" s="722"/>
      <c r="E43" s="724"/>
      <c r="F43" s="726"/>
      <c r="G43" s="728"/>
      <c r="H43" s="747"/>
      <c r="I43" s="732"/>
      <c r="J43" s="734"/>
      <c r="L43" s="495">
        <f t="shared" si="0"/>
        <v>0</v>
      </c>
      <c r="M43" s="495">
        <f t="shared" si="1"/>
        <v>0</v>
      </c>
      <c r="O43" s="720"/>
      <c r="P43" s="495">
        <v>0</v>
      </c>
      <c r="Q43" s="495">
        <v>0</v>
      </c>
      <c r="R43" s="495">
        <v>0</v>
      </c>
      <c r="S43" s="495">
        <v>0</v>
      </c>
      <c r="T43" s="495">
        <f>SUM(P43:S43)</f>
        <v>0</v>
      </c>
      <c r="U43" s="495">
        <v>0</v>
      </c>
      <c r="V43" s="495">
        <v>0</v>
      </c>
      <c r="W43" s="495">
        <v>0</v>
      </c>
      <c r="X43" s="495">
        <v>0</v>
      </c>
      <c r="Y43" s="495">
        <f>SUM(U43:X43)</f>
        <v>0</v>
      </c>
      <c r="Z43" s="495">
        <v>0</v>
      </c>
      <c r="AA43" s="495">
        <v>0</v>
      </c>
      <c r="AB43" s="495">
        <v>0</v>
      </c>
      <c r="AC43" s="495">
        <v>0</v>
      </c>
      <c r="AD43" s="495">
        <f>SUM(Z43:AC43)</f>
        <v>0</v>
      </c>
      <c r="AE43" s="495">
        <v>0</v>
      </c>
      <c r="AF43" s="495">
        <v>0</v>
      </c>
      <c r="AG43" s="495">
        <v>0</v>
      </c>
      <c r="AH43" s="495">
        <v>0</v>
      </c>
      <c r="AI43" s="495">
        <f>SUM(AE43:AH43)</f>
        <v>0</v>
      </c>
      <c r="AJ43" s="495">
        <v>0</v>
      </c>
      <c r="AK43" s="495">
        <v>0</v>
      </c>
      <c r="AL43" s="495">
        <v>0</v>
      </c>
      <c r="AM43" s="495">
        <v>0</v>
      </c>
      <c r="AN43" s="495">
        <f>SUM(AJ43:AM43)</f>
        <v>0</v>
      </c>
      <c r="AO43" s="495">
        <v>0</v>
      </c>
      <c r="AP43" s="495">
        <v>0</v>
      </c>
      <c r="AQ43" s="495">
        <v>0</v>
      </c>
      <c r="AR43" s="495">
        <v>0</v>
      </c>
      <c r="AS43" s="495">
        <f>SUM(AO43:AR43)</f>
        <v>0</v>
      </c>
      <c r="AT43" s="495">
        <v>0</v>
      </c>
      <c r="AU43" s="495">
        <v>0</v>
      </c>
      <c r="AV43" s="495">
        <v>0</v>
      </c>
      <c r="AW43" s="495">
        <v>0</v>
      </c>
      <c r="AX43" s="495">
        <f>SUM(AT43:AW43)</f>
        <v>0</v>
      </c>
      <c r="AY43" s="495">
        <v>0</v>
      </c>
      <c r="AZ43" s="495">
        <v>0</v>
      </c>
      <c r="BA43" s="495">
        <v>0</v>
      </c>
      <c r="BB43" s="495">
        <v>0</v>
      </c>
      <c r="BC43" s="495">
        <f>SUM(AY43:BB43)</f>
        <v>0</v>
      </c>
      <c r="BD43" s="495">
        <v>0</v>
      </c>
      <c r="BE43" s="495">
        <v>0</v>
      </c>
      <c r="BF43" s="495">
        <v>0</v>
      </c>
      <c r="BG43" s="495">
        <v>0</v>
      </c>
      <c r="BH43" s="495">
        <f>SUM(BD43:BG43)</f>
        <v>0</v>
      </c>
    </row>
    <row r="44" spans="2:60" ht="9" customHeight="1" x14ac:dyDescent="0.15">
      <c r="B44" s="741">
        <v>-2</v>
      </c>
      <c r="C44" s="719" t="s">
        <v>121</v>
      </c>
      <c r="D44" s="721" t="s">
        <v>6</v>
      </c>
      <c r="E44" s="723">
        <v>1</v>
      </c>
      <c r="F44" s="725">
        <f>แผนการก่อสร้าง!G49</f>
        <v>0</v>
      </c>
      <c r="G44" s="727">
        <f>แผนการก่อสร้าง!H49</f>
        <v>0</v>
      </c>
      <c r="H44" s="729">
        <v>295042</v>
      </c>
      <c r="I44" s="731">
        <v>295042</v>
      </c>
      <c r="J44" s="733">
        <v>0.12370983610180504</v>
      </c>
      <c r="L44" s="495">
        <f t="shared" si="0"/>
        <v>0</v>
      </c>
      <c r="M44" s="495">
        <f t="shared" si="1"/>
        <v>0</v>
      </c>
      <c r="O44" s="719" t="s">
        <v>121</v>
      </c>
      <c r="P44" s="499"/>
      <c r="Q44" s="499"/>
      <c r="R44" s="499"/>
      <c r="S44" s="499"/>
      <c r="T44" s="500"/>
      <c r="U44" s="499"/>
      <c r="V44" s="499"/>
      <c r="W44" s="499"/>
      <c r="X44" s="499"/>
      <c r="Y44" s="500"/>
      <c r="Z44" s="499"/>
      <c r="AA44" s="499"/>
      <c r="AB44" s="499"/>
      <c r="AC44" s="499"/>
      <c r="AD44" s="500"/>
      <c r="AE44" s="499"/>
      <c r="AF44" s="499"/>
      <c r="AG44" s="499"/>
      <c r="AH44" s="499"/>
      <c r="AI44" s="500"/>
      <c r="AJ44" s="499"/>
      <c r="AK44" s="499"/>
      <c r="AL44" s="499"/>
      <c r="AM44" s="499"/>
      <c r="AN44" s="500"/>
      <c r="AO44" s="499"/>
      <c r="AP44" s="499"/>
      <c r="AQ44" s="499"/>
      <c r="AR44" s="499"/>
      <c r="AS44" s="500"/>
      <c r="AT44" s="499"/>
      <c r="AU44" s="499"/>
      <c r="AV44" s="499"/>
      <c r="AW44" s="499"/>
      <c r="AX44" s="500"/>
      <c r="AY44" s="499"/>
      <c r="AZ44" s="499"/>
      <c r="BA44" s="499"/>
      <c r="BB44" s="499"/>
      <c r="BC44" s="500"/>
      <c r="BD44" s="499"/>
      <c r="BE44" s="499"/>
      <c r="BF44" s="499"/>
      <c r="BG44" s="499"/>
      <c r="BH44" s="500"/>
    </row>
    <row r="45" spans="2:60" ht="9" customHeight="1" x14ac:dyDescent="0.15">
      <c r="B45" s="742"/>
      <c r="C45" s="720"/>
      <c r="D45" s="722"/>
      <c r="E45" s="724"/>
      <c r="F45" s="726"/>
      <c r="G45" s="728"/>
      <c r="H45" s="747"/>
      <c r="I45" s="732"/>
      <c r="J45" s="734"/>
      <c r="L45" s="495">
        <f t="shared" si="0"/>
        <v>0</v>
      </c>
      <c r="M45" s="495">
        <f t="shared" si="1"/>
        <v>0</v>
      </c>
      <c r="O45" s="720"/>
      <c r="P45" s="495">
        <v>0</v>
      </c>
      <c r="Q45" s="495">
        <v>0</v>
      </c>
      <c r="R45" s="495">
        <v>0</v>
      </c>
      <c r="S45" s="495">
        <v>0</v>
      </c>
      <c r="T45" s="495">
        <f>SUM(P45:S45)</f>
        <v>0</v>
      </c>
      <c r="U45" s="495">
        <v>0</v>
      </c>
      <c r="V45" s="495">
        <v>0</v>
      </c>
      <c r="W45" s="495">
        <v>0</v>
      </c>
      <c r="X45" s="495">
        <v>0</v>
      </c>
      <c r="Y45" s="495">
        <f>SUM(U45:X45)</f>
        <v>0</v>
      </c>
      <c r="Z45" s="495">
        <v>0</v>
      </c>
      <c r="AA45" s="495">
        <v>0</v>
      </c>
      <c r="AB45" s="495">
        <v>0</v>
      </c>
      <c r="AC45" s="495">
        <v>0</v>
      </c>
      <c r="AD45" s="495">
        <f>SUM(Z45:AC45)</f>
        <v>0</v>
      </c>
      <c r="AE45" s="495">
        <v>0</v>
      </c>
      <c r="AF45" s="495">
        <v>0</v>
      </c>
      <c r="AG45" s="495">
        <v>0</v>
      </c>
      <c r="AH45" s="495">
        <v>0</v>
      </c>
      <c r="AI45" s="495">
        <f>SUM(AE45:AH45)</f>
        <v>0</v>
      </c>
      <c r="AJ45" s="495">
        <v>0</v>
      </c>
      <c r="AK45" s="495">
        <v>0</v>
      </c>
      <c r="AL45" s="495">
        <v>0</v>
      </c>
      <c r="AM45" s="495">
        <v>0</v>
      </c>
      <c r="AN45" s="495">
        <f>SUM(AJ45:AM45)</f>
        <v>0</v>
      </c>
      <c r="AO45" s="495">
        <v>0</v>
      </c>
      <c r="AP45" s="495">
        <v>0</v>
      </c>
      <c r="AQ45" s="495">
        <v>0</v>
      </c>
      <c r="AR45" s="495">
        <v>0</v>
      </c>
      <c r="AS45" s="495">
        <f>SUM(AO45:AR45)</f>
        <v>0</v>
      </c>
      <c r="AT45" s="495">
        <v>0</v>
      </c>
      <c r="AU45" s="495">
        <v>0</v>
      </c>
      <c r="AV45" s="495">
        <v>0</v>
      </c>
      <c r="AW45" s="495">
        <v>0</v>
      </c>
      <c r="AX45" s="495">
        <f>SUM(AT45:AW45)</f>
        <v>0</v>
      </c>
      <c r="AY45" s="495">
        <v>0</v>
      </c>
      <c r="AZ45" s="495">
        <v>0</v>
      </c>
      <c r="BA45" s="495">
        <v>0</v>
      </c>
      <c r="BB45" s="495">
        <v>0</v>
      </c>
      <c r="BC45" s="495">
        <f>SUM(AY45:BB45)</f>
        <v>0</v>
      </c>
      <c r="BD45" s="495">
        <v>0</v>
      </c>
      <c r="BE45" s="495">
        <v>0</v>
      </c>
      <c r="BF45" s="495">
        <v>0</v>
      </c>
      <c r="BG45" s="495">
        <v>0</v>
      </c>
      <c r="BH45" s="495">
        <f>SUM(BD45:BG45)</f>
        <v>0</v>
      </c>
    </row>
    <row r="46" spans="2:60" ht="9" customHeight="1" x14ac:dyDescent="0.15">
      <c r="B46" s="717">
        <v>1.6</v>
      </c>
      <c r="C46" s="719" t="s">
        <v>120</v>
      </c>
      <c r="D46" s="721" t="s">
        <v>6</v>
      </c>
      <c r="E46" s="723">
        <v>1</v>
      </c>
      <c r="F46" s="725">
        <f>แผนการก่อสร้าง!G51</f>
        <v>0</v>
      </c>
      <c r="G46" s="727">
        <f>แผนการก่อสร้าง!H51</f>
        <v>82.375</v>
      </c>
      <c r="H46" s="729">
        <v>3323085</v>
      </c>
      <c r="I46" s="731">
        <v>3323085</v>
      </c>
      <c r="J46" s="733">
        <v>1.3933551857103965</v>
      </c>
      <c r="L46" s="495">
        <f t="shared" si="0"/>
        <v>0</v>
      </c>
      <c r="M46" s="495">
        <f t="shared" si="1"/>
        <v>0</v>
      </c>
      <c r="O46" s="719" t="s">
        <v>120</v>
      </c>
      <c r="P46" s="499"/>
      <c r="Q46" s="499"/>
      <c r="R46" s="499"/>
      <c r="S46" s="499"/>
      <c r="T46" s="500"/>
      <c r="U46" s="499"/>
      <c r="V46" s="499"/>
      <c r="W46" s="499"/>
      <c r="X46" s="499"/>
      <c r="Y46" s="500"/>
      <c r="Z46" s="499"/>
      <c r="AA46" s="499"/>
      <c r="AB46" s="499"/>
      <c r="AC46" s="499"/>
      <c r="AD46" s="500"/>
      <c r="AE46" s="499"/>
      <c r="AF46" s="499"/>
      <c r="AG46" s="499"/>
      <c r="AH46" s="499"/>
      <c r="AI46" s="500"/>
      <c r="AJ46" s="499"/>
      <c r="AK46" s="499"/>
      <c r="AL46" s="499"/>
      <c r="AM46" s="499"/>
      <c r="AN46" s="500"/>
      <c r="AO46" s="499"/>
      <c r="AP46" s="499"/>
      <c r="AQ46" s="499"/>
      <c r="AR46" s="499"/>
      <c r="AS46" s="500"/>
      <c r="AT46" s="499"/>
      <c r="AU46" s="499"/>
      <c r="AV46" s="499"/>
      <c r="AW46" s="499"/>
      <c r="AX46" s="500"/>
      <c r="AY46" s="499"/>
      <c r="AZ46" s="499"/>
      <c r="BA46" s="499"/>
      <c r="BB46" s="499"/>
      <c r="BC46" s="500"/>
      <c r="BD46" s="499"/>
      <c r="BE46" s="499"/>
      <c r="BF46" s="499"/>
      <c r="BG46" s="499"/>
      <c r="BH46" s="500"/>
    </row>
    <row r="47" spans="2:60" ht="9" customHeight="1" x14ac:dyDescent="0.15">
      <c r="B47" s="718"/>
      <c r="C47" s="720"/>
      <c r="D47" s="722"/>
      <c r="E47" s="746"/>
      <c r="F47" s="726"/>
      <c r="G47" s="728"/>
      <c r="H47" s="747"/>
      <c r="I47" s="732"/>
      <c r="J47" s="734"/>
      <c r="L47" s="495">
        <f t="shared" si="0"/>
        <v>2737394</v>
      </c>
      <c r="M47" s="495">
        <f t="shared" si="1"/>
        <v>2737394</v>
      </c>
      <c r="O47" s="720"/>
      <c r="P47" s="495">
        <v>0</v>
      </c>
      <c r="Q47" s="495">
        <v>0</v>
      </c>
      <c r="R47" s="495">
        <v>0</v>
      </c>
      <c r="S47" s="495">
        <v>17394</v>
      </c>
      <c r="T47" s="495">
        <v>17394</v>
      </c>
      <c r="U47" s="495">
        <v>0</v>
      </c>
      <c r="V47" s="495">
        <v>0</v>
      </c>
      <c r="W47" s="495">
        <v>1360000</v>
      </c>
      <c r="X47" s="495">
        <v>0</v>
      </c>
      <c r="Y47" s="495">
        <f>SUM(U47:X47)</f>
        <v>1360000</v>
      </c>
      <c r="Z47" s="495">
        <v>0</v>
      </c>
      <c r="AA47" s="495">
        <v>0</v>
      </c>
      <c r="AB47" s="495">
        <v>0</v>
      </c>
      <c r="AC47" s="495">
        <v>1360000</v>
      </c>
      <c r="AD47" s="495">
        <f>SUM(Z47:AC47)</f>
        <v>1360000</v>
      </c>
      <c r="AE47" s="495">
        <v>0</v>
      </c>
      <c r="AF47" s="495">
        <v>0</v>
      </c>
      <c r="AG47" s="495">
        <v>0</v>
      </c>
      <c r="AH47" s="495">
        <v>0</v>
      </c>
      <c r="AI47" s="495">
        <f>SUM(AE47:AH47)</f>
        <v>0</v>
      </c>
      <c r="AJ47" s="495">
        <v>0</v>
      </c>
      <c r="AK47" s="495">
        <v>0</v>
      </c>
      <c r="AL47" s="495">
        <v>0</v>
      </c>
      <c r="AM47" s="495">
        <v>0</v>
      </c>
      <c r="AN47" s="495">
        <f>SUM(AJ47:AM47)</f>
        <v>0</v>
      </c>
      <c r="AO47" s="495">
        <v>0</v>
      </c>
      <c r="AP47" s="495">
        <v>0</v>
      </c>
      <c r="AQ47" s="495">
        <v>0</v>
      </c>
      <c r="AR47" s="495">
        <v>0</v>
      </c>
      <c r="AS47" s="495">
        <f>SUM(AO47:AR47)</f>
        <v>0</v>
      </c>
      <c r="AT47" s="495">
        <v>0</v>
      </c>
      <c r="AU47" s="495">
        <v>0</v>
      </c>
      <c r="AV47" s="495">
        <v>0</v>
      </c>
      <c r="AW47" s="495">
        <v>0</v>
      </c>
      <c r="AX47" s="495">
        <f>SUM(AT47:AW47)</f>
        <v>0</v>
      </c>
      <c r="AY47" s="495">
        <v>0</v>
      </c>
      <c r="AZ47" s="495">
        <v>0</v>
      </c>
      <c r="BA47" s="495">
        <v>0</v>
      </c>
      <c r="BB47" s="495">
        <v>0</v>
      </c>
      <c r="BC47" s="495">
        <f>SUM(AY47:BB47)</f>
        <v>0</v>
      </c>
      <c r="BD47" s="495">
        <v>0</v>
      </c>
      <c r="BE47" s="495">
        <v>0</v>
      </c>
      <c r="BF47" s="495">
        <v>0</v>
      </c>
      <c r="BG47" s="495">
        <v>0</v>
      </c>
      <c r="BH47" s="495">
        <f>SUM(BD47:BG47)</f>
        <v>0</v>
      </c>
    </row>
    <row r="48" spans="2:60" ht="9" customHeight="1" x14ac:dyDescent="0.15">
      <c r="B48" s="741">
        <v>-1</v>
      </c>
      <c r="C48" s="719" t="s">
        <v>35</v>
      </c>
      <c r="D48" s="721" t="s">
        <v>6</v>
      </c>
      <c r="E48" s="723">
        <v>1</v>
      </c>
      <c r="F48" s="725">
        <f>แผนการก่อสร้าง!G53</f>
        <v>0</v>
      </c>
      <c r="G48" s="727">
        <f>แผนการก่อสร้าง!H53</f>
        <v>0</v>
      </c>
      <c r="H48" s="729">
        <v>358105</v>
      </c>
      <c r="I48" s="731">
        <v>358105</v>
      </c>
      <c r="J48" s="733">
        <v>0.15015187958743803</v>
      </c>
      <c r="L48" s="495">
        <f t="shared" si="0"/>
        <v>0</v>
      </c>
      <c r="M48" s="495">
        <f t="shared" si="1"/>
        <v>0</v>
      </c>
      <c r="O48" s="719" t="s">
        <v>35</v>
      </c>
      <c r="P48" s="499"/>
      <c r="Q48" s="499"/>
      <c r="R48" s="499"/>
      <c r="S48" s="499"/>
      <c r="T48" s="500"/>
      <c r="U48" s="499"/>
      <c r="V48" s="499"/>
      <c r="W48" s="499"/>
      <c r="X48" s="499"/>
      <c r="Y48" s="500"/>
      <c r="Z48" s="499"/>
      <c r="AA48" s="499"/>
      <c r="AB48" s="499"/>
      <c r="AC48" s="499"/>
      <c r="AD48" s="500"/>
      <c r="AE48" s="499"/>
      <c r="AF48" s="499"/>
      <c r="AG48" s="499"/>
      <c r="AH48" s="499"/>
      <c r="AI48" s="500"/>
      <c r="AJ48" s="499"/>
      <c r="AK48" s="499"/>
      <c r="AL48" s="499"/>
      <c r="AM48" s="499"/>
      <c r="AN48" s="500"/>
      <c r="AO48" s="499"/>
      <c r="AP48" s="499"/>
      <c r="AQ48" s="499"/>
      <c r="AR48" s="499"/>
      <c r="AS48" s="500"/>
      <c r="AT48" s="499"/>
      <c r="AU48" s="499"/>
      <c r="AV48" s="499"/>
      <c r="AW48" s="499"/>
      <c r="AX48" s="500"/>
      <c r="AY48" s="499"/>
      <c r="AZ48" s="499"/>
      <c r="BA48" s="499"/>
      <c r="BB48" s="499"/>
      <c r="BC48" s="500"/>
      <c r="BD48" s="499"/>
      <c r="BE48" s="499"/>
      <c r="BF48" s="499"/>
      <c r="BG48" s="499"/>
      <c r="BH48" s="500"/>
    </row>
    <row r="49" spans="2:60" ht="9" customHeight="1" x14ac:dyDescent="0.15">
      <c r="B49" s="742"/>
      <c r="C49" s="720"/>
      <c r="D49" s="722"/>
      <c r="E49" s="724"/>
      <c r="F49" s="748"/>
      <c r="G49" s="749"/>
      <c r="H49" s="747"/>
      <c r="I49" s="732"/>
      <c r="J49" s="734"/>
      <c r="L49" s="495">
        <f t="shared" si="0"/>
        <v>0</v>
      </c>
      <c r="M49" s="495">
        <f t="shared" si="1"/>
        <v>0</v>
      </c>
      <c r="O49" s="720"/>
      <c r="P49" s="495">
        <v>0</v>
      </c>
      <c r="Q49" s="495">
        <v>0</v>
      </c>
      <c r="R49" s="495">
        <v>0</v>
      </c>
      <c r="S49" s="495">
        <v>0</v>
      </c>
      <c r="T49" s="495">
        <f>SUM(P49:S49)</f>
        <v>0</v>
      </c>
      <c r="U49" s="495">
        <v>0</v>
      </c>
      <c r="V49" s="495">
        <v>0</v>
      </c>
      <c r="W49" s="495">
        <v>0</v>
      </c>
      <c r="X49" s="495">
        <v>0</v>
      </c>
      <c r="Y49" s="495">
        <f>SUM(U49:X49)</f>
        <v>0</v>
      </c>
      <c r="Z49" s="495">
        <v>0</v>
      </c>
      <c r="AA49" s="495">
        <v>0</v>
      </c>
      <c r="AB49" s="495">
        <v>0</v>
      </c>
      <c r="AC49" s="495">
        <v>0</v>
      </c>
      <c r="AD49" s="495">
        <f>SUM(Z49:AC49)</f>
        <v>0</v>
      </c>
      <c r="AE49" s="495">
        <v>0</v>
      </c>
      <c r="AF49" s="495">
        <v>0</v>
      </c>
      <c r="AG49" s="495">
        <v>0</v>
      </c>
      <c r="AH49" s="495">
        <v>0</v>
      </c>
      <c r="AI49" s="495">
        <f>SUM(AE49:AH49)</f>
        <v>0</v>
      </c>
      <c r="AJ49" s="495">
        <v>0</v>
      </c>
      <c r="AK49" s="495">
        <v>0</v>
      </c>
      <c r="AL49" s="495">
        <v>0</v>
      </c>
      <c r="AM49" s="495">
        <v>0</v>
      </c>
      <c r="AN49" s="495">
        <f>SUM(AJ49:AM49)</f>
        <v>0</v>
      </c>
      <c r="AO49" s="495">
        <v>0</v>
      </c>
      <c r="AP49" s="495">
        <v>0</v>
      </c>
      <c r="AQ49" s="495">
        <v>0</v>
      </c>
      <c r="AR49" s="495">
        <v>0</v>
      </c>
      <c r="AS49" s="495">
        <f>SUM(AO49:AR49)</f>
        <v>0</v>
      </c>
      <c r="AT49" s="495">
        <v>0</v>
      </c>
      <c r="AU49" s="495">
        <v>0</v>
      </c>
      <c r="AV49" s="495">
        <v>0</v>
      </c>
      <c r="AW49" s="495">
        <v>0</v>
      </c>
      <c r="AX49" s="495">
        <f>SUM(AT49:AW49)</f>
        <v>0</v>
      </c>
      <c r="AY49" s="495">
        <v>0</v>
      </c>
      <c r="AZ49" s="495">
        <v>0</v>
      </c>
      <c r="BA49" s="495">
        <v>0</v>
      </c>
      <c r="BB49" s="495">
        <v>0</v>
      </c>
      <c r="BC49" s="495">
        <f>SUM(AY49:BB49)</f>
        <v>0</v>
      </c>
      <c r="BD49" s="495">
        <v>0</v>
      </c>
      <c r="BE49" s="495">
        <v>0</v>
      </c>
      <c r="BF49" s="495">
        <v>0</v>
      </c>
      <c r="BG49" s="495">
        <v>0</v>
      </c>
      <c r="BH49" s="495">
        <f>SUM(BD49:BG49)</f>
        <v>0</v>
      </c>
    </row>
    <row r="50" spans="2:60" ht="9" customHeight="1" x14ac:dyDescent="0.15">
      <c r="B50" s="741">
        <v>-2</v>
      </c>
      <c r="C50" s="719" t="s">
        <v>121</v>
      </c>
      <c r="D50" s="721" t="s">
        <v>6</v>
      </c>
      <c r="E50" s="723">
        <v>1</v>
      </c>
      <c r="F50" s="750">
        <f>แผนการก่อสร้าง!G55</f>
        <v>0</v>
      </c>
      <c r="G50" s="751">
        <f>แผนการก่อสร้าง!H55</f>
        <v>0</v>
      </c>
      <c r="H50" s="729">
        <v>295042</v>
      </c>
      <c r="I50" s="731">
        <v>295042</v>
      </c>
      <c r="J50" s="733">
        <v>0.12370983610180504</v>
      </c>
      <c r="L50" s="495">
        <f t="shared" si="0"/>
        <v>0</v>
      </c>
      <c r="M50" s="495">
        <f t="shared" si="1"/>
        <v>0</v>
      </c>
      <c r="O50" s="719" t="s">
        <v>121</v>
      </c>
      <c r="P50" s="499"/>
      <c r="Q50" s="499"/>
      <c r="R50" s="499"/>
      <c r="S50" s="499"/>
      <c r="T50" s="500"/>
      <c r="U50" s="499"/>
      <c r="V50" s="499"/>
      <c r="W50" s="499"/>
      <c r="X50" s="499"/>
      <c r="Y50" s="500"/>
      <c r="Z50" s="499"/>
      <c r="AA50" s="499"/>
      <c r="AB50" s="499"/>
      <c r="AC50" s="499"/>
      <c r="AD50" s="500"/>
      <c r="AE50" s="499"/>
      <c r="AF50" s="499"/>
      <c r="AG50" s="499"/>
      <c r="AH50" s="499"/>
      <c r="AI50" s="500"/>
      <c r="AJ50" s="499"/>
      <c r="AK50" s="499"/>
      <c r="AL50" s="499"/>
      <c r="AM50" s="499"/>
      <c r="AN50" s="500"/>
      <c r="AO50" s="499"/>
      <c r="AP50" s="499"/>
      <c r="AQ50" s="499"/>
      <c r="AR50" s="499"/>
      <c r="AS50" s="500"/>
      <c r="AT50" s="499"/>
      <c r="AU50" s="499"/>
      <c r="AV50" s="499"/>
      <c r="AW50" s="499"/>
      <c r="AX50" s="500"/>
      <c r="AY50" s="499"/>
      <c r="AZ50" s="499"/>
      <c r="BA50" s="499"/>
      <c r="BB50" s="499"/>
      <c r="BC50" s="500"/>
      <c r="BD50" s="499"/>
      <c r="BE50" s="499"/>
      <c r="BF50" s="499"/>
      <c r="BG50" s="499"/>
      <c r="BH50" s="500"/>
    </row>
    <row r="51" spans="2:60" ht="9" customHeight="1" x14ac:dyDescent="0.15">
      <c r="B51" s="742"/>
      <c r="C51" s="720"/>
      <c r="D51" s="722"/>
      <c r="E51" s="746"/>
      <c r="F51" s="726"/>
      <c r="G51" s="728"/>
      <c r="H51" s="747"/>
      <c r="I51" s="732"/>
      <c r="J51" s="734"/>
      <c r="L51" s="495">
        <f t="shared" si="0"/>
        <v>0</v>
      </c>
      <c r="M51" s="495">
        <f t="shared" si="1"/>
        <v>0</v>
      </c>
      <c r="O51" s="720"/>
      <c r="P51" s="495">
        <v>0</v>
      </c>
      <c r="Q51" s="495">
        <v>0</v>
      </c>
      <c r="R51" s="495">
        <v>0</v>
      </c>
      <c r="S51" s="495">
        <v>0</v>
      </c>
      <c r="T51" s="495">
        <f>SUM(P51:S51)</f>
        <v>0</v>
      </c>
      <c r="U51" s="495">
        <v>0</v>
      </c>
      <c r="V51" s="495">
        <v>0</v>
      </c>
      <c r="W51" s="495">
        <v>0</v>
      </c>
      <c r="X51" s="495">
        <v>0</v>
      </c>
      <c r="Y51" s="495">
        <f>SUM(U51:X51)</f>
        <v>0</v>
      </c>
      <c r="Z51" s="495">
        <v>0</v>
      </c>
      <c r="AA51" s="495">
        <v>0</v>
      </c>
      <c r="AB51" s="495">
        <v>0</v>
      </c>
      <c r="AC51" s="495">
        <v>0</v>
      </c>
      <c r="AD51" s="495">
        <f>SUM(Z51:AC51)</f>
        <v>0</v>
      </c>
      <c r="AE51" s="495">
        <v>0</v>
      </c>
      <c r="AF51" s="495">
        <v>0</v>
      </c>
      <c r="AG51" s="495">
        <v>0</v>
      </c>
      <c r="AH51" s="495">
        <v>0</v>
      </c>
      <c r="AI51" s="495">
        <f>SUM(AE51:AH51)</f>
        <v>0</v>
      </c>
      <c r="AJ51" s="495">
        <v>0</v>
      </c>
      <c r="AK51" s="495">
        <v>0</v>
      </c>
      <c r="AL51" s="495">
        <v>0</v>
      </c>
      <c r="AM51" s="495">
        <v>0</v>
      </c>
      <c r="AN51" s="495">
        <f>SUM(AJ51:AM51)</f>
        <v>0</v>
      </c>
      <c r="AO51" s="495">
        <v>0</v>
      </c>
      <c r="AP51" s="495">
        <v>0</v>
      </c>
      <c r="AQ51" s="495">
        <v>0</v>
      </c>
      <c r="AR51" s="495">
        <v>0</v>
      </c>
      <c r="AS51" s="495">
        <f>SUM(AO51:AR51)</f>
        <v>0</v>
      </c>
      <c r="AT51" s="495">
        <v>0</v>
      </c>
      <c r="AU51" s="495">
        <v>0</v>
      </c>
      <c r="AV51" s="495">
        <v>0</v>
      </c>
      <c r="AW51" s="495">
        <v>0</v>
      </c>
      <c r="AX51" s="495">
        <f>SUM(AT51:AW51)</f>
        <v>0</v>
      </c>
      <c r="AY51" s="495">
        <v>0</v>
      </c>
      <c r="AZ51" s="495">
        <v>0</v>
      </c>
      <c r="BA51" s="495">
        <v>0</v>
      </c>
      <c r="BB51" s="495">
        <v>0</v>
      </c>
      <c r="BC51" s="495">
        <f>SUM(AY51:BB51)</f>
        <v>0</v>
      </c>
      <c r="BD51" s="495">
        <v>0</v>
      </c>
      <c r="BE51" s="495">
        <v>0</v>
      </c>
      <c r="BF51" s="495">
        <v>0</v>
      </c>
      <c r="BG51" s="495">
        <v>0</v>
      </c>
      <c r="BH51" s="495">
        <f>SUM(BD51:BG51)</f>
        <v>0</v>
      </c>
    </row>
    <row r="52" spans="2:60" ht="9" customHeight="1" x14ac:dyDescent="0.15">
      <c r="B52" s="717">
        <v>1.7</v>
      </c>
      <c r="C52" s="719" t="s">
        <v>65</v>
      </c>
      <c r="D52" s="721" t="s">
        <v>6</v>
      </c>
      <c r="E52" s="723">
        <v>1</v>
      </c>
      <c r="F52" s="725">
        <f>แผนการก่อสร้าง!G57</f>
        <v>0</v>
      </c>
      <c r="G52" s="727">
        <f>แผนการก่อสร้าง!H57</f>
        <v>42.96</v>
      </c>
      <c r="H52" s="729">
        <v>14559639</v>
      </c>
      <c r="I52" s="731">
        <v>14559639</v>
      </c>
      <c r="J52" s="733">
        <v>6.1047937391674703</v>
      </c>
      <c r="L52" s="495">
        <f t="shared" si="0"/>
        <v>0</v>
      </c>
      <c r="M52" s="495">
        <f t="shared" si="1"/>
        <v>0</v>
      </c>
      <c r="O52" s="719" t="s">
        <v>65</v>
      </c>
      <c r="P52" s="499"/>
      <c r="Q52" s="499"/>
      <c r="R52" s="499"/>
      <c r="S52" s="499"/>
      <c r="T52" s="500"/>
      <c r="U52" s="499"/>
      <c r="V52" s="499"/>
      <c r="W52" s="499"/>
      <c r="X52" s="499"/>
      <c r="Y52" s="500"/>
      <c r="Z52" s="499"/>
      <c r="AA52" s="499"/>
      <c r="AB52" s="499"/>
      <c r="AC52" s="499"/>
      <c r="AD52" s="500"/>
      <c r="AE52" s="499"/>
      <c r="AF52" s="499"/>
      <c r="AG52" s="499"/>
      <c r="AH52" s="499"/>
      <c r="AI52" s="500"/>
      <c r="AJ52" s="499"/>
      <c r="AK52" s="499"/>
      <c r="AL52" s="499"/>
      <c r="AM52" s="499"/>
      <c r="AN52" s="500"/>
      <c r="AO52" s="499"/>
      <c r="AP52" s="499"/>
      <c r="AQ52" s="499"/>
      <c r="AR52" s="499"/>
      <c r="AS52" s="500"/>
      <c r="AT52" s="499"/>
      <c r="AU52" s="499"/>
      <c r="AV52" s="499"/>
      <c r="AW52" s="499"/>
      <c r="AX52" s="500"/>
      <c r="AY52" s="499"/>
      <c r="AZ52" s="499"/>
      <c r="BA52" s="499"/>
      <c r="BB52" s="499"/>
      <c r="BC52" s="500"/>
      <c r="BD52" s="499"/>
      <c r="BE52" s="499"/>
      <c r="BF52" s="499"/>
      <c r="BG52" s="499"/>
      <c r="BH52" s="500"/>
    </row>
    <row r="53" spans="2:60" ht="9" customHeight="1" x14ac:dyDescent="0.15">
      <c r="B53" s="718"/>
      <c r="C53" s="720"/>
      <c r="D53" s="722"/>
      <c r="E53" s="724"/>
      <c r="F53" s="748"/>
      <c r="G53" s="749"/>
      <c r="H53" s="747"/>
      <c r="I53" s="732"/>
      <c r="J53" s="734"/>
      <c r="L53" s="495">
        <f t="shared" si="0"/>
        <v>6254788</v>
      </c>
      <c r="M53" s="495">
        <f t="shared" si="1"/>
        <v>6254788</v>
      </c>
      <c r="O53" s="720"/>
      <c r="P53" s="495">
        <v>0</v>
      </c>
      <c r="Q53" s="495">
        <v>0</v>
      </c>
      <c r="R53" s="495">
        <v>0</v>
      </c>
      <c r="S53" s="495">
        <v>34788</v>
      </c>
      <c r="T53" s="495">
        <v>34788</v>
      </c>
      <c r="U53" s="495">
        <v>0</v>
      </c>
      <c r="V53" s="495">
        <v>0</v>
      </c>
      <c r="W53" s="495">
        <v>3440000</v>
      </c>
      <c r="X53" s="495">
        <v>0</v>
      </c>
      <c r="Y53" s="495">
        <f>SUM(U53:X53)</f>
        <v>3440000</v>
      </c>
      <c r="Z53" s="495">
        <v>0</v>
      </c>
      <c r="AA53" s="495">
        <v>0</v>
      </c>
      <c r="AB53" s="495">
        <v>0</v>
      </c>
      <c r="AC53" s="495">
        <v>2780000</v>
      </c>
      <c r="AD53" s="495">
        <f>SUM(Z53:AC53)</f>
        <v>2780000</v>
      </c>
      <c r="AE53" s="495">
        <v>0</v>
      </c>
      <c r="AF53" s="495">
        <v>0</v>
      </c>
      <c r="AG53" s="495">
        <v>0</v>
      </c>
      <c r="AH53" s="495">
        <v>0</v>
      </c>
      <c r="AI53" s="495">
        <f>SUM(AE53:AH53)</f>
        <v>0</v>
      </c>
      <c r="AJ53" s="495">
        <v>0</v>
      </c>
      <c r="AK53" s="495">
        <v>0</v>
      </c>
      <c r="AL53" s="495">
        <v>0</v>
      </c>
      <c r="AM53" s="495">
        <v>0</v>
      </c>
      <c r="AN53" s="495">
        <f>SUM(AJ53:AM53)</f>
        <v>0</v>
      </c>
      <c r="AO53" s="495">
        <v>0</v>
      </c>
      <c r="AP53" s="495">
        <v>0</v>
      </c>
      <c r="AQ53" s="495">
        <v>0</v>
      </c>
      <c r="AR53" s="495">
        <v>0</v>
      </c>
      <c r="AS53" s="495">
        <f>SUM(AO53:AR53)</f>
        <v>0</v>
      </c>
      <c r="AT53" s="495">
        <v>0</v>
      </c>
      <c r="AU53" s="495">
        <v>0</v>
      </c>
      <c r="AV53" s="495">
        <v>0</v>
      </c>
      <c r="AW53" s="495">
        <v>0</v>
      </c>
      <c r="AX53" s="495">
        <f>SUM(AT53:AW53)</f>
        <v>0</v>
      </c>
      <c r="AY53" s="495">
        <v>0</v>
      </c>
      <c r="AZ53" s="495">
        <v>0</v>
      </c>
      <c r="BA53" s="495">
        <v>0</v>
      </c>
      <c r="BB53" s="495">
        <v>0</v>
      </c>
      <c r="BC53" s="495">
        <f>SUM(AY53:BB53)</f>
        <v>0</v>
      </c>
      <c r="BD53" s="495">
        <v>0</v>
      </c>
      <c r="BE53" s="495">
        <v>0</v>
      </c>
      <c r="BF53" s="495">
        <v>0</v>
      </c>
      <c r="BG53" s="495">
        <v>0</v>
      </c>
      <c r="BH53" s="495">
        <f>SUM(BD53:BG53)</f>
        <v>0</v>
      </c>
    </row>
    <row r="54" spans="2:60" ht="9" customHeight="1" x14ac:dyDescent="0.15">
      <c r="B54" s="741">
        <v>-1</v>
      </c>
      <c r="C54" s="719" t="s">
        <v>35</v>
      </c>
      <c r="D54" s="721" t="s">
        <v>6</v>
      </c>
      <c r="E54" s="723">
        <v>1</v>
      </c>
      <c r="F54" s="750">
        <f>แผนการก่อสร้าง!G59</f>
        <v>0</v>
      </c>
      <c r="G54" s="751">
        <f>แผนการก่อสร้าง!H59</f>
        <v>0</v>
      </c>
      <c r="H54" s="729">
        <v>1620450</v>
      </c>
      <c r="I54" s="731">
        <v>1620450</v>
      </c>
      <c r="J54" s="733">
        <v>0.67944768511320419</v>
      </c>
      <c r="L54" s="495">
        <f t="shared" si="0"/>
        <v>0</v>
      </c>
      <c r="M54" s="495">
        <f t="shared" si="1"/>
        <v>0</v>
      </c>
      <c r="O54" s="719" t="s">
        <v>35</v>
      </c>
      <c r="P54" s="499"/>
      <c r="Q54" s="499"/>
      <c r="R54" s="499"/>
      <c r="S54" s="499"/>
      <c r="T54" s="500"/>
      <c r="U54" s="499"/>
      <c r="V54" s="499"/>
      <c r="W54" s="499"/>
      <c r="X54" s="499"/>
      <c r="Y54" s="500"/>
      <c r="Z54" s="499"/>
      <c r="AA54" s="499"/>
      <c r="AB54" s="499"/>
      <c r="AC54" s="499"/>
      <c r="AD54" s="500"/>
      <c r="AE54" s="499"/>
      <c r="AF54" s="499"/>
      <c r="AG54" s="499"/>
      <c r="AH54" s="499"/>
      <c r="AI54" s="500"/>
      <c r="AJ54" s="499"/>
      <c r="AK54" s="499"/>
      <c r="AL54" s="499"/>
      <c r="AM54" s="499"/>
      <c r="AN54" s="500"/>
      <c r="AO54" s="499"/>
      <c r="AP54" s="499"/>
      <c r="AQ54" s="499"/>
      <c r="AR54" s="499"/>
      <c r="AS54" s="500"/>
      <c r="AT54" s="499"/>
      <c r="AU54" s="499"/>
      <c r="AV54" s="499"/>
      <c r="AW54" s="499"/>
      <c r="AX54" s="500"/>
      <c r="AY54" s="499"/>
      <c r="AZ54" s="499"/>
      <c r="BA54" s="499"/>
      <c r="BB54" s="499"/>
      <c r="BC54" s="500"/>
      <c r="BD54" s="499"/>
      <c r="BE54" s="499"/>
      <c r="BF54" s="499"/>
      <c r="BG54" s="499"/>
      <c r="BH54" s="500"/>
    </row>
    <row r="55" spans="2:60" ht="9" customHeight="1" x14ac:dyDescent="0.15">
      <c r="B55" s="742"/>
      <c r="C55" s="720"/>
      <c r="D55" s="722"/>
      <c r="E55" s="746"/>
      <c r="F55" s="726"/>
      <c r="G55" s="728"/>
      <c r="H55" s="747"/>
      <c r="I55" s="732"/>
      <c r="J55" s="734"/>
      <c r="L55" s="495">
        <f t="shared" si="0"/>
        <v>0</v>
      </c>
      <c r="M55" s="495">
        <f t="shared" si="1"/>
        <v>0</v>
      </c>
      <c r="O55" s="720"/>
      <c r="P55" s="495">
        <v>0</v>
      </c>
      <c r="Q55" s="495">
        <v>0</v>
      </c>
      <c r="R55" s="495">
        <v>0</v>
      </c>
      <c r="S55" s="495">
        <v>0</v>
      </c>
      <c r="T55" s="495">
        <f>SUM(P55:S55)</f>
        <v>0</v>
      </c>
      <c r="U55" s="495">
        <v>0</v>
      </c>
      <c r="V55" s="495">
        <v>0</v>
      </c>
      <c r="W55" s="495">
        <v>0</v>
      </c>
      <c r="X55" s="495">
        <v>0</v>
      </c>
      <c r="Y55" s="495">
        <f>SUM(U55:X55)</f>
        <v>0</v>
      </c>
      <c r="Z55" s="495">
        <v>0</v>
      </c>
      <c r="AA55" s="495">
        <v>0</v>
      </c>
      <c r="AB55" s="495">
        <v>0</v>
      </c>
      <c r="AC55" s="495">
        <v>0</v>
      </c>
      <c r="AD55" s="495">
        <f>SUM(Z55:AC55)</f>
        <v>0</v>
      </c>
      <c r="AE55" s="495">
        <v>0</v>
      </c>
      <c r="AF55" s="495">
        <v>0</v>
      </c>
      <c r="AG55" s="495">
        <v>0</v>
      </c>
      <c r="AH55" s="495">
        <v>0</v>
      </c>
      <c r="AI55" s="495">
        <f>SUM(AE55:AH55)</f>
        <v>0</v>
      </c>
      <c r="AJ55" s="495">
        <v>0</v>
      </c>
      <c r="AK55" s="495">
        <v>0</v>
      </c>
      <c r="AL55" s="495">
        <v>0</v>
      </c>
      <c r="AM55" s="495">
        <v>0</v>
      </c>
      <c r="AN55" s="495">
        <f>SUM(AJ55:AM55)</f>
        <v>0</v>
      </c>
      <c r="AO55" s="495">
        <v>0</v>
      </c>
      <c r="AP55" s="495">
        <v>0</v>
      </c>
      <c r="AQ55" s="495">
        <v>0</v>
      </c>
      <c r="AR55" s="495">
        <v>0</v>
      </c>
      <c r="AS55" s="495">
        <f>SUM(AO55:AR55)</f>
        <v>0</v>
      </c>
      <c r="AT55" s="495">
        <v>0</v>
      </c>
      <c r="AU55" s="495">
        <v>0</v>
      </c>
      <c r="AV55" s="495">
        <v>0</v>
      </c>
      <c r="AW55" s="495">
        <v>0</v>
      </c>
      <c r="AX55" s="495">
        <f>SUM(AT55:AW55)</f>
        <v>0</v>
      </c>
      <c r="AY55" s="495">
        <v>0</v>
      </c>
      <c r="AZ55" s="495">
        <v>0</v>
      </c>
      <c r="BA55" s="495">
        <v>0</v>
      </c>
      <c r="BB55" s="495">
        <v>0</v>
      </c>
      <c r="BC55" s="495">
        <f>SUM(AY55:BB55)</f>
        <v>0</v>
      </c>
      <c r="BD55" s="495">
        <v>0</v>
      </c>
      <c r="BE55" s="495">
        <v>0</v>
      </c>
      <c r="BF55" s="495">
        <v>0</v>
      </c>
      <c r="BG55" s="495">
        <v>0</v>
      </c>
      <c r="BH55" s="495">
        <f>SUM(BD55:BG55)</f>
        <v>0</v>
      </c>
    </row>
    <row r="56" spans="2:60" ht="9" customHeight="1" x14ac:dyDescent="0.15">
      <c r="B56" s="741">
        <v>-2</v>
      </c>
      <c r="C56" s="719" t="s">
        <v>121</v>
      </c>
      <c r="D56" s="721" t="s">
        <v>6</v>
      </c>
      <c r="E56" s="723">
        <v>1</v>
      </c>
      <c r="F56" s="725">
        <f>แผนการก่อสร้าง!G61</f>
        <v>0</v>
      </c>
      <c r="G56" s="727">
        <f>แผนการก่อสร้าง!H61</f>
        <v>0</v>
      </c>
      <c r="H56" s="729">
        <v>1340232</v>
      </c>
      <c r="I56" s="731">
        <v>1340232</v>
      </c>
      <c r="J56" s="733">
        <v>0.56195348817590163</v>
      </c>
      <c r="L56" s="495">
        <f t="shared" si="0"/>
        <v>0</v>
      </c>
      <c r="M56" s="495">
        <f t="shared" si="1"/>
        <v>0</v>
      </c>
      <c r="O56" s="719" t="s">
        <v>121</v>
      </c>
      <c r="P56" s="499"/>
      <c r="Q56" s="499"/>
      <c r="R56" s="499"/>
      <c r="S56" s="499"/>
      <c r="T56" s="500"/>
      <c r="U56" s="499"/>
      <c r="V56" s="499"/>
      <c r="W56" s="499"/>
      <c r="X56" s="499"/>
      <c r="Y56" s="500"/>
      <c r="Z56" s="499"/>
      <c r="AA56" s="499"/>
      <c r="AB56" s="499"/>
      <c r="AC56" s="499"/>
      <c r="AD56" s="500"/>
      <c r="AE56" s="499"/>
      <c r="AF56" s="499"/>
      <c r="AG56" s="499"/>
      <c r="AH56" s="499"/>
      <c r="AI56" s="500"/>
      <c r="AJ56" s="499"/>
      <c r="AK56" s="499"/>
      <c r="AL56" s="499"/>
      <c r="AM56" s="499"/>
      <c r="AN56" s="500"/>
      <c r="AO56" s="499"/>
      <c r="AP56" s="499"/>
      <c r="AQ56" s="499"/>
      <c r="AR56" s="499"/>
      <c r="AS56" s="500"/>
      <c r="AT56" s="499"/>
      <c r="AU56" s="499"/>
      <c r="AV56" s="499"/>
      <c r="AW56" s="499"/>
      <c r="AX56" s="500"/>
      <c r="AY56" s="499"/>
      <c r="AZ56" s="499"/>
      <c r="BA56" s="499"/>
      <c r="BB56" s="499"/>
      <c r="BC56" s="500"/>
      <c r="BD56" s="499"/>
      <c r="BE56" s="499"/>
      <c r="BF56" s="499"/>
      <c r="BG56" s="499"/>
      <c r="BH56" s="500"/>
    </row>
    <row r="57" spans="2:60" ht="9" customHeight="1" x14ac:dyDescent="0.15">
      <c r="B57" s="742"/>
      <c r="C57" s="720"/>
      <c r="D57" s="722"/>
      <c r="E57" s="724"/>
      <c r="F57" s="748"/>
      <c r="G57" s="749"/>
      <c r="H57" s="747"/>
      <c r="I57" s="732"/>
      <c r="J57" s="734"/>
      <c r="L57" s="495">
        <f t="shared" si="0"/>
        <v>0</v>
      </c>
      <c r="M57" s="495">
        <f t="shared" si="1"/>
        <v>0</v>
      </c>
      <c r="O57" s="720"/>
      <c r="P57" s="495">
        <v>0</v>
      </c>
      <c r="Q57" s="495">
        <v>0</v>
      </c>
      <c r="R57" s="495">
        <v>0</v>
      </c>
      <c r="S57" s="495">
        <v>0</v>
      </c>
      <c r="T57" s="495">
        <f>SUM(P57:S57)</f>
        <v>0</v>
      </c>
      <c r="U57" s="495">
        <v>0</v>
      </c>
      <c r="V57" s="495">
        <v>0</v>
      </c>
      <c r="W57" s="495">
        <v>0</v>
      </c>
      <c r="X57" s="495">
        <v>0</v>
      </c>
      <c r="Y57" s="495">
        <f>SUM(U57:X57)</f>
        <v>0</v>
      </c>
      <c r="Z57" s="495">
        <v>0</v>
      </c>
      <c r="AA57" s="495">
        <v>0</v>
      </c>
      <c r="AB57" s="495">
        <v>0</v>
      </c>
      <c r="AC57" s="495">
        <v>0</v>
      </c>
      <c r="AD57" s="495">
        <f>SUM(Z57:AC57)</f>
        <v>0</v>
      </c>
      <c r="AE57" s="495">
        <v>0</v>
      </c>
      <c r="AF57" s="495">
        <v>0</v>
      </c>
      <c r="AG57" s="495">
        <v>0</v>
      </c>
      <c r="AH57" s="495">
        <v>0</v>
      </c>
      <c r="AI57" s="495">
        <f>SUM(AE57:AH57)</f>
        <v>0</v>
      </c>
      <c r="AJ57" s="495">
        <v>0</v>
      </c>
      <c r="AK57" s="495">
        <v>0</v>
      </c>
      <c r="AL57" s="495">
        <v>0</v>
      </c>
      <c r="AM57" s="495">
        <v>0</v>
      </c>
      <c r="AN57" s="495">
        <f>SUM(AJ57:AM57)</f>
        <v>0</v>
      </c>
      <c r="AO57" s="495">
        <v>0</v>
      </c>
      <c r="AP57" s="495">
        <v>0</v>
      </c>
      <c r="AQ57" s="495">
        <v>0</v>
      </c>
      <c r="AR57" s="495">
        <v>0</v>
      </c>
      <c r="AS57" s="495">
        <f>SUM(AO57:AR57)</f>
        <v>0</v>
      </c>
      <c r="AT57" s="495">
        <v>0</v>
      </c>
      <c r="AU57" s="495">
        <v>0</v>
      </c>
      <c r="AV57" s="495">
        <v>0</v>
      </c>
      <c r="AW57" s="495">
        <v>0</v>
      </c>
      <c r="AX57" s="495">
        <f>SUM(AT57:AW57)</f>
        <v>0</v>
      </c>
      <c r="AY57" s="495">
        <v>0</v>
      </c>
      <c r="AZ57" s="495">
        <v>0</v>
      </c>
      <c r="BA57" s="495">
        <v>0</v>
      </c>
      <c r="BB57" s="495">
        <v>0</v>
      </c>
      <c r="BC57" s="495">
        <f>SUM(AY57:BB57)</f>
        <v>0</v>
      </c>
      <c r="BD57" s="495">
        <v>0</v>
      </c>
      <c r="BE57" s="495">
        <v>0</v>
      </c>
      <c r="BF57" s="495">
        <v>0</v>
      </c>
      <c r="BG57" s="495">
        <v>0</v>
      </c>
      <c r="BH57" s="495">
        <f>SUM(BD57:BG57)</f>
        <v>0</v>
      </c>
    </row>
    <row r="58" spans="2:60" ht="9" customHeight="1" x14ac:dyDescent="0.15">
      <c r="B58" s="717">
        <v>1.8</v>
      </c>
      <c r="C58" s="719" t="s">
        <v>142</v>
      </c>
      <c r="D58" s="721" t="s">
        <v>6</v>
      </c>
      <c r="E58" s="723">
        <v>1</v>
      </c>
      <c r="F58" s="750">
        <f>แผนการก่อสร้าง!G63</f>
        <v>0</v>
      </c>
      <c r="G58" s="751">
        <f>แผนการก่อสร้าง!H63</f>
        <v>19.939</v>
      </c>
      <c r="H58" s="729">
        <v>16172985</v>
      </c>
      <c r="I58" s="731">
        <v>16172985</v>
      </c>
      <c r="J58" s="733">
        <v>6.7812627477679497</v>
      </c>
      <c r="L58" s="495">
        <f t="shared" si="0"/>
        <v>0</v>
      </c>
      <c r="M58" s="495">
        <f t="shared" si="1"/>
        <v>0</v>
      </c>
      <c r="O58" s="719" t="s">
        <v>142</v>
      </c>
      <c r="P58" s="499"/>
      <c r="Q58" s="499"/>
      <c r="R58" s="499"/>
      <c r="S58" s="499"/>
      <c r="T58" s="500"/>
      <c r="U58" s="499"/>
      <c r="V58" s="499"/>
      <c r="W58" s="499"/>
      <c r="X58" s="499"/>
      <c r="Y58" s="500"/>
      <c r="Z58" s="499"/>
      <c r="AA58" s="499"/>
      <c r="AB58" s="499"/>
      <c r="AC58" s="499"/>
      <c r="AD58" s="500"/>
      <c r="AE58" s="499"/>
      <c r="AF58" s="499"/>
      <c r="AG58" s="499"/>
      <c r="AH58" s="499"/>
      <c r="AI58" s="500"/>
      <c r="AJ58" s="499"/>
      <c r="AK58" s="499"/>
      <c r="AL58" s="499"/>
      <c r="AM58" s="499"/>
      <c r="AN58" s="500"/>
      <c r="AO58" s="499"/>
      <c r="AP58" s="499"/>
      <c r="AQ58" s="499"/>
      <c r="AR58" s="499"/>
      <c r="AS58" s="500"/>
      <c r="AT58" s="499"/>
      <c r="AU58" s="499"/>
      <c r="AV58" s="499"/>
      <c r="AW58" s="499"/>
      <c r="AX58" s="500"/>
      <c r="AY58" s="499"/>
      <c r="AZ58" s="499"/>
      <c r="BA58" s="499"/>
      <c r="BB58" s="499"/>
      <c r="BC58" s="500"/>
      <c r="BD58" s="499"/>
      <c r="BE58" s="499"/>
      <c r="BF58" s="499"/>
      <c r="BG58" s="499"/>
      <c r="BH58" s="500"/>
    </row>
    <row r="59" spans="2:60" ht="9" customHeight="1" x14ac:dyDescent="0.15">
      <c r="B59" s="718"/>
      <c r="C59" s="720"/>
      <c r="D59" s="722"/>
      <c r="E59" s="746"/>
      <c r="F59" s="726"/>
      <c r="G59" s="728"/>
      <c r="H59" s="747"/>
      <c r="I59" s="732"/>
      <c r="J59" s="734"/>
      <c r="L59" s="495">
        <f t="shared" si="0"/>
        <v>3224788</v>
      </c>
      <c r="M59" s="495">
        <f t="shared" si="1"/>
        <v>3224788</v>
      </c>
      <c r="O59" s="720"/>
      <c r="P59" s="495">
        <v>0</v>
      </c>
      <c r="Q59" s="495">
        <v>0</v>
      </c>
      <c r="R59" s="495">
        <v>0</v>
      </c>
      <c r="S59" s="495">
        <v>34788</v>
      </c>
      <c r="T59" s="495">
        <v>34788</v>
      </c>
      <c r="U59" s="495">
        <v>0</v>
      </c>
      <c r="V59" s="495">
        <v>0</v>
      </c>
      <c r="W59" s="495">
        <v>870000</v>
      </c>
      <c r="X59" s="495">
        <v>0</v>
      </c>
      <c r="Y59" s="495">
        <f>SUM(U59:X59)</f>
        <v>870000</v>
      </c>
      <c r="Z59" s="495">
        <v>0</v>
      </c>
      <c r="AA59" s="495">
        <v>0</v>
      </c>
      <c r="AB59" s="495">
        <v>0</v>
      </c>
      <c r="AC59" s="495">
        <v>2320000</v>
      </c>
      <c r="AD59" s="495">
        <f>SUM(Z59:AC59)</f>
        <v>2320000</v>
      </c>
      <c r="AE59" s="495">
        <v>0</v>
      </c>
      <c r="AF59" s="495">
        <v>0</v>
      </c>
      <c r="AG59" s="495">
        <v>0</v>
      </c>
      <c r="AH59" s="495">
        <v>0</v>
      </c>
      <c r="AI59" s="495">
        <f>SUM(AE59:AH59)</f>
        <v>0</v>
      </c>
      <c r="AJ59" s="495">
        <v>0</v>
      </c>
      <c r="AK59" s="495">
        <v>0</v>
      </c>
      <c r="AL59" s="495">
        <v>0</v>
      </c>
      <c r="AM59" s="495">
        <v>0</v>
      </c>
      <c r="AN59" s="495">
        <f>SUM(AJ59:AM59)</f>
        <v>0</v>
      </c>
      <c r="AO59" s="495">
        <v>0</v>
      </c>
      <c r="AP59" s="495">
        <v>0</v>
      </c>
      <c r="AQ59" s="495">
        <v>0</v>
      </c>
      <c r="AR59" s="495">
        <v>0</v>
      </c>
      <c r="AS59" s="495">
        <f>SUM(AO59:AR59)</f>
        <v>0</v>
      </c>
      <c r="AT59" s="495">
        <v>0</v>
      </c>
      <c r="AU59" s="495">
        <v>0</v>
      </c>
      <c r="AV59" s="495">
        <v>0</v>
      </c>
      <c r="AW59" s="495">
        <v>0</v>
      </c>
      <c r="AX59" s="495">
        <f>SUM(AT59:AW59)</f>
        <v>0</v>
      </c>
      <c r="AY59" s="495">
        <v>0</v>
      </c>
      <c r="AZ59" s="495">
        <v>0</v>
      </c>
      <c r="BA59" s="495">
        <v>0</v>
      </c>
      <c r="BB59" s="495">
        <v>0</v>
      </c>
      <c r="BC59" s="495">
        <f>SUM(AY59:BB59)</f>
        <v>0</v>
      </c>
      <c r="BD59" s="495">
        <v>0</v>
      </c>
      <c r="BE59" s="495">
        <v>0</v>
      </c>
      <c r="BF59" s="495">
        <v>0</v>
      </c>
      <c r="BG59" s="495">
        <v>0</v>
      </c>
      <c r="BH59" s="495">
        <f>SUM(BD59:BG59)</f>
        <v>0</v>
      </c>
    </row>
    <row r="60" spans="2:60" ht="9" customHeight="1" x14ac:dyDescent="0.15">
      <c r="B60" s="741">
        <v>-1</v>
      </c>
      <c r="C60" s="719" t="s">
        <v>35</v>
      </c>
      <c r="D60" s="721" t="s">
        <v>6</v>
      </c>
      <c r="E60" s="723">
        <v>1</v>
      </c>
      <c r="F60" s="725">
        <f>แผนการก่อสร้าง!G65</f>
        <v>0</v>
      </c>
      <c r="G60" s="727">
        <f>แผนการก่อสร้าง!H65</f>
        <v>0</v>
      </c>
      <c r="H60" s="729">
        <v>1828365</v>
      </c>
      <c r="I60" s="731">
        <v>1828365</v>
      </c>
      <c r="J60" s="733">
        <v>0.76662554647906667</v>
      </c>
      <c r="L60" s="495">
        <f t="shared" si="0"/>
        <v>0</v>
      </c>
      <c r="M60" s="495">
        <f t="shared" si="1"/>
        <v>0</v>
      </c>
      <c r="O60" s="719" t="s">
        <v>35</v>
      </c>
      <c r="P60" s="499"/>
      <c r="Q60" s="499"/>
      <c r="R60" s="499"/>
      <c r="S60" s="499"/>
      <c r="T60" s="500"/>
      <c r="U60" s="499"/>
      <c r="V60" s="499"/>
      <c r="W60" s="499"/>
      <c r="X60" s="499"/>
      <c r="Y60" s="500"/>
      <c r="Z60" s="499"/>
      <c r="AA60" s="499"/>
      <c r="AB60" s="499"/>
      <c r="AC60" s="499"/>
      <c r="AD60" s="500"/>
      <c r="AE60" s="499"/>
      <c r="AF60" s="499"/>
      <c r="AG60" s="499"/>
      <c r="AH60" s="499"/>
      <c r="AI60" s="500"/>
      <c r="AJ60" s="499"/>
      <c r="AK60" s="499"/>
      <c r="AL60" s="499"/>
      <c r="AM60" s="499"/>
      <c r="AN60" s="500"/>
      <c r="AO60" s="499"/>
      <c r="AP60" s="499"/>
      <c r="AQ60" s="499"/>
      <c r="AR60" s="499"/>
      <c r="AS60" s="500"/>
      <c r="AT60" s="499"/>
      <c r="AU60" s="499"/>
      <c r="AV60" s="499"/>
      <c r="AW60" s="499"/>
      <c r="AX60" s="500"/>
      <c r="AY60" s="499"/>
      <c r="AZ60" s="499"/>
      <c r="BA60" s="499"/>
      <c r="BB60" s="499"/>
      <c r="BC60" s="500"/>
      <c r="BD60" s="499"/>
      <c r="BE60" s="499"/>
      <c r="BF60" s="499"/>
      <c r="BG60" s="499"/>
      <c r="BH60" s="500"/>
    </row>
    <row r="61" spans="2:60" ht="9" customHeight="1" x14ac:dyDescent="0.15">
      <c r="B61" s="742"/>
      <c r="C61" s="720"/>
      <c r="D61" s="722"/>
      <c r="E61" s="724"/>
      <c r="F61" s="748"/>
      <c r="G61" s="749"/>
      <c r="H61" s="747"/>
      <c r="I61" s="732"/>
      <c r="J61" s="734"/>
      <c r="L61" s="495">
        <f t="shared" si="0"/>
        <v>0</v>
      </c>
      <c r="M61" s="495">
        <f t="shared" si="1"/>
        <v>0</v>
      </c>
      <c r="O61" s="720"/>
      <c r="P61" s="495">
        <v>0</v>
      </c>
      <c r="Q61" s="495">
        <v>0</v>
      </c>
      <c r="R61" s="495">
        <v>0</v>
      </c>
      <c r="S61" s="495">
        <v>0</v>
      </c>
      <c r="T61" s="495">
        <f>SUM(P61:S61)</f>
        <v>0</v>
      </c>
      <c r="U61" s="495">
        <v>0</v>
      </c>
      <c r="V61" s="495">
        <v>0</v>
      </c>
      <c r="W61" s="495">
        <v>0</v>
      </c>
      <c r="X61" s="495">
        <v>0</v>
      </c>
      <c r="Y61" s="495">
        <f>SUM(U61:X61)</f>
        <v>0</v>
      </c>
      <c r="Z61" s="495">
        <v>0</v>
      </c>
      <c r="AA61" s="495">
        <v>0</v>
      </c>
      <c r="AB61" s="495">
        <v>0</v>
      </c>
      <c r="AC61" s="495">
        <v>0</v>
      </c>
      <c r="AD61" s="495">
        <f>SUM(Z61:AC61)</f>
        <v>0</v>
      </c>
      <c r="AE61" s="495">
        <v>0</v>
      </c>
      <c r="AF61" s="495">
        <v>0</v>
      </c>
      <c r="AG61" s="495">
        <v>0</v>
      </c>
      <c r="AH61" s="495">
        <v>0</v>
      </c>
      <c r="AI61" s="495">
        <f>SUM(AE61:AH61)</f>
        <v>0</v>
      </c>
      <c r="AJ61" s="495">
        <v>0</v>
      </c>
      <c r="AK61" s="495">
        <v>0</v>
      </c>
      <c r="AL61" s="495">
        <v>0</v>
      </c>
      <c r="AM61" s="495">
        <v>0</v>
      </c>
      <c r="AN61" s="495">
        <f>SUM(AJ61:AM61)</f>
        <v>0</v>
      </c>
      <c r="AO61" s="495">
        <v>0</v>
      </c>
      <c r="AP61" s="495">
        <v>0</v>
      </c>
      <c r="AQ61" s="495">
        <v>0</v>
      </c>
      <c r="AR61" s="495">
        <v>0</v>
      </c>
      <c r="AS61" s="495">
        <f>SUM(AO61:AR61)</f>
        <v>0</v>
      </c>
      <c r="AT61" s="495">
        <v>0</v>
      </c>
      <c r="AU61" s="495">
        <v>0</v>
      </c>
      <c r="AV61" s="495">
        <v>0</v>
      </c>
      <c r="AW61" s="495">
        <v>0</v>
      </c>
      <c r="AX61" s="495">
        <f>SUM(AT61:AW61)</f>
        <v>0</v>
      </c>
      <c r="AY61" s="495">
        <v>0</v>
      </c>
      <c r="AZ61" s="495">
        <v>0</v>
      </c>
      <c r="BA61" s="495">
        <v>0</v>
      </c>
      <c r="BB61" s="495">
        <v>0</v>
      </c>
      <c r="BC61" s="495">
        <f>SUM(AY61:BB61)</f>
        <v>0</v>
      </c>
      <c r="BD61" s="495">
        <v>0</v>
      </c>
      <c r="BE61" s="495">
        <v>0</v>
      </c>
      <c r="BF61" s="495">
        <v>0</v>
      </c>
      <c r="BG61" s="495">
        <v>0</v>
      </c>
      <c r="BH61" s="495">
        <f>SUM(BD61:BG61)</f>
        <v>0</v>
      </c>
    </row>
    <row r="62" spans="2:60" ht="9" customHeight="1" x14ac:dyDescent="0.15">
      <c r="B62" s="741">
        <v>-2</v>
      </c>
      <c r="C62" s="719" t="s">
        <v>121</v>
      </c>
      <c r="D62" s="721" t="s">
        <v>6</v>
      </c>
      <c r="E62" s="723">
        <v>1</v>
      </c>
      <c r="F62" s="750">
        <f>แผนการก่อสร้าง!G67</f>
        <v>0</v>
      </c>
      <c r="G62" s="751">
        <f>แผนการก่อสร้าง!H67</f>
        <v>0</v>
      </c>
      <c r="H62" s="729">
        <v>2138194</v>
      </c>
      <c r="I62" s="731">
        <v>2138194</v>
      </c>
      <c r="J62" s="733">
        <v>0.89653550780520375</v>
      </c>
      <c r="L62" s="495">
        <f t="shared" si="0"/>
        <v>0</v>
      </c>
      <c r="M62" s="495">
        <f t="shared" si="1"/>
        <v>0</v>
      </c>
      <c r="O62" s="719" t="s">
        <v>121</v>
      </c>
      <c r="P62" s="499"/>
      <c r="Q62" s="499"/>
      <c r="R62" s="499"/>
      <c r="S62" s="499"/>
      <c r="T62" s="500"/>
      <c r="U62" s="499"/>
      <c r="V62" s="499"/>
      <c r="W62" s="499"/>
      <c r="X62" s="499"/>
      <c r="Y62" s="500"/>
      <c r="Z62" s="499"/>
      <c r="AA62" s="499"/>
      <c r="AB62" s="499"/>
      <c r="AC62" s="499"/>
      <c r="AD62" s="500"/>
      <c r="AE62" s="499"/>
      <c r="AF62" s="499"/>
      <c r="AG62" s="499"/>
      <c r="AH62" s="499"/>
      <c r="AI62" s="500"/>
      <c r="AJ62" s="499"/>
      <c r="AK62" s="499"/>
      <c r="AL62" s="499"/>
      <c r="AM62" s="499"/>
      <c r="AN62" s="500"/>
      <c r="AO62" s="499"/>
      <c r="AP62" s="499"/>
      <c r="AQ62" s="499"/>
      <c r="AR62" s="499"/>
      <c r="AS62" s="500"/>
      <c r="AT62" s="499"/>
      <c r="AU62" s="499"/>
      <c r="AV62" s="499"/>
      <c r="AW62" s="499"/>
      <c r="AX62" s="500"/>
      <c r="AY62" s="499"/>
      <c r="AZ62" s="499"/>
      <c r="BA62" s="499"/>
      <c r="BB62" s="499"/>
      <c r="BC62" s="500"/>
      <c r="BD62" s="499"/>
      <c r="BE62" s="499"/>
      <c r="BF62" s="499"/>
      <c r="BG62" s="499"/>
      <c r="BH62" s="500"/>
    </row>
    <row r="63" spans="2:60" ht="9" customHeight="1" x14ac:dyDescent="0.15">
      <c r="B63" s="742"/>
      <c r="C63" s="720"/>
      <c r="D63" s="722"/>
      <c r="E63" s="746"/>
      <c r="F63" s="726"/>
      <c r="G63" s="728"/>
      <c r="H63" s="747"/>
      <c r="I63" s="732"/>
      <c r="J63" s="734"/>
      <c r="L63" s="495">
        <f t="shared" si="0"/>
        <v>0</v>
      </c>
      <c r="M63" s="495">
        <f t="shared" si="1"/>
        <v>0</v>
      </c>
      <c r="O63" s="720"/>
      <c r="P63" s="495">
        <v>0</v>
      </c>
      <c r="Q63" s="495">
        <v>0</v>
      </c>
      <c r="R63" s="495">
        <v>0</v>
      </c>
      <c r="S63" s="495">
        <v>0</v>
      </c>
      <c r="T63" s="495">
        <f>SUM(P63:S63)</f>
        <v>0</v>
      </c>
      <c r="U63" s="495">
        <v>0</v>
      </c>
      <c r="V63" s="495">
        <v>0</v>
      </c>
      <c r="W63" s="495">
        <v>0</v>
      </c>
      <c r="X63" s="495">
        <v>0</v>
      </c>
      <c r="Y63" s="495">
        <f>SUM(U63:X63)</f>
        <v>0</v>
      </c>
      <c r="Z63" s="495">
        <v>0</v>
      </c>
      <c r="AA63" s="495">
        <v>0</v>
      </c>
      <c r="AB63" s="495">
        <v>0</v>
      </c>
      <c r="AC63" s="495">
        <v>0</v>
      </c>
      <c r="AD63" s="495">
        <f>SUM(Z63:AC63)</f>
        <v>0</v>
      </c>
      <c r="AE63" s="495">
        <v>0</v>
      </c>
      <c r="AF63" s="495">
        <v>0</v>
      </c>
      <c r="AG63" s="495">
        <v>0</v>
      </c>
      <c r="AH63" s="495">
        <v>0</v>
      </c>
      <c r="AI63" s="495">
        <f>SUM(AE63:AH63)</f>
        <v>0</v>
      </c>
      <c r="AJ63" s="495">
        <v>0</v>
      </c>
      <c r="AK63" s="495">
        <v>0</v>
      </c>
      <c r="AL63" s="495">
        <v>0</v>
      </c>
      <c r="AM63" s="495">
        <v>0</v>
      </c>
      <c r="AN63" s="495">
        <f>SUM(AJ63:AM63)</f>
        <v>0</v>
      </c>
      <c r="AO63" s="495">
        <v>0</v>
      </c>
      <c r="AP63" s="495">
        <v>0</v>
      </c>
      <c r="AQ63" s="495">
        <v>0</v>
      </c>
      <c r="AR63" s="495">
        <v>0</v>
      </c>
      <c r="AS63" s="495">
        <f>SUM(AO63:AR63)</f>
        <v>0</v>
      </c>
      <c r="AT63" s="495">
        <v>0</v>
      </c>
      <c r="AU63" s="495">
        <v>0</v>
      </c>
      <c r="AV63" s="495">
        <v>0</v>
      </c>
      <c r="AW63" s="495">
        <v>0</v>
      </c>
      <c r="AX63" s="495">
        <f>SUM(AT63:AW63)</f>
        <v>0</v>
      </c>
      <c r="AY63" s="495">
        <v>0</v>
      </c>
      <c r="AZ63" s="495">
        <v>0</v>
      </c>
      <c r="BA63" s="495">
        <v>0</v>
      </c>
      <c r="BB63" s="495">
        <v>0</v>
      </c>
      <c r="BC63" s="495">
        <f>SUM(AY63:BB63)</f>
        <v>0</v>
      </c>
      <c r="BD63" s="495">
        <v>0</v>
      </c>
      <c r="BE63" s="495">
        <v>0</v>
      </c>
      <c r="BF63" s="495">
        <v>0</v>
      </c>
      <c r="BG63" s="495">
        <v>0</v>
      </c>
      <c r="BH63" s="495">
        <f>SUM(BD63:BG63)</f>
        <v>0</v>
      </c>
    </row>
    <row r="64" spans="2:60" ht="9" customHeight="1" x14ac:dyDescent="0.15">
      <c r="B64" s="717">
        <v>1.9</v>
      </c>
      <c r="C64" s="719" t="s">
        <v>66</v>
      </c>
      <c r="D64" s="721" t="s">
        <v>6</v>
      </c>
      <c r="E64" s="723">
        <v>1</v>
      </c>
      <c r="F64" s="725">
        <f>แผนการก่อสร้าง!G69</f>
        <v>0</v>
      </c>
      <c r="G64" s="727">
        <f>แผนการก่อสร้าง!H69</f>
        <v>0</v>
      </c>
      <c r="H64" s="729">
        <v>344287</v>
      </c>
      <c r="I64" s="731">
        <v>344287</v>
      </c>
      <c r="J64" s="733">
        <v>0.14435805187729933</v>
      </c>
      <c r="L64" s="495">
        <f t="shared" si="0"/>
        <v>0</v>
      </c>
      <c r="M64" s="495">
        <f t="shared" si="1"/>
        <v>0</v>
      </c>
      <c r="O64" s="719" t="s">
        <v>66</v>
      </c>
      <c r="P64" s="499"/>
      <c r="Q64" s="499"/>
      <c r="R64" s="499"/>
      <c r="S64" s="499"/>
      <c r="T64" s="500"/>
      <c r="U64" s="499"/>
      <c r="V64" s="499"/>
      <c r="W64" s="499"/>
      <c r="X64" s="499"/>
      <c r="Y64" s="500"/>
      <c r="Z64" s="499"/>
      <c r="AA64" s="499"/>
      <c r="AB64" s="499"/>
      <c r="AC64" s="499"/>
      <c r="AD64" s="500"/>
      <c r="AE64" s="499"/>
      <c r="AF64" s="499"/>
      <c r="AG64" s="499"/>
      <c r="AH64" s="499"/>
      <c r="AI64" s="500"/>
      <c r="AJ64" s="499"/>
      <c r="AK64" s="499"/>
      <c r="AL64" s="499"/>
      <c r="AM64" s="499"/>
      <c r="AN64" s="500"/>
      <c r="AO64" s="499"/>
      <c r="AP64" s="499"/>
      <c r="AQ64" s="499"/>
      <c r="AR64" s="499"/>
      <c r="AS64" s="500"/>
      <c r="AT64" s="499"/>
      <c r="AU64" s="499"/>
      <c r="AV64" s="499"/>
      <c r="AW64" s="499"/>
      <c r="AX64" s="500"/>
      <c r="AY64" s="499"/>
      <c r="AZ64" s="499"/>
      <c r="BA64" s="499"/>
      <c r="BB64" s="499"/>
      <c r="BC64" s="500"/>
      <c r="BD64" s="499"/>
      <c r="BE64" s="499"/>
      <c r="BF64" s="499"/>
      <c r="BG64" s="499"/>
      <c r="BH64" s="500"/>
    </row>
    <row r="65" spans="2:60" ht="9" customHeight="1" x14ac:dyDescent="0.15">
      <c r="B65" s="718"/>
      <c r="C65" s="720"/>
      <c r="D65" s="722"/>
      <c r="E65" s="746"/>
      <c r="F65" s="726"/>
      <c r="G65" s="728"/>
      <c r="H65" s="747"/>
      <c r="I65" s="732"/>
      <c r="J65" s="734"/>
      <c r="L65" s="495">
        <f t="shared" si="0"/>
        <v>0</v>
      </c>
      <c r="M65" s="495">
        <f t="shared" si="1"/>
        <v>0</v>
      </c>
      <c r="O65" s="720"/>
      <c r="P65" s="495">
        <v>0</v>
      </c>
      <c r="Q65" s="495">
        <v>0</v>
      </c>
      <c r="R65" s="495">
        <v>0</v>
      </c>
      <c r="S65" s="495">
        <v>0</v>
      </c>
      <c r="T65" s="495">
        <f>SUM(P65:S65)</f>
        <v>0</v>
      </c>
      <c r="U65" s="495">
        <v>0</v>
      </c>
      <c r="V65" s="495">
        <v>0</v>
      </c>
      <c r="W65" s="495">
        <v>0</v>
      </c>
      <c r="X65" s="495">
        <v>0</v>
      </c>
      <c r="Y65" s="495">
        <f>SUM(U65:X65)</f>
        <v>0</v>
      </c>
      <c r="Z65" s="495">
        <v>0</v>
      </c>
      <c r="AA65" s="495">
        <v>0</v>
      </c>
      <c r="AB65" s="495">
        <v>0</v>
      </c>
      <c r="AC65" s="495">
        <v>0</v>
      </c>
      <c r="AD65" s="495">
        <f>SUM(Z65:AC65)</f>
        <v>0</v>
      </c>
      <c r="AE65" s="495">
        <v>0</v>
      </c>
      <c r="AF65" s="495">
        <v>0</v>
      </c>
      <c r="AG65" s="495">
        <v>0</v>
      </c>
      <c r="AH65" s="495">
        <v>0</v>
      </c>
      <c r="AI65" s="495">
        <f>SUM(AE65:AH65)</f>
        <v>0</v>
      </c>
      <c r="AJ65" s="495">
        <v>0</v>
      </c>
      <c r="AK65" s="495">
        <v>0</v>
      </c>
      <c r="AL65" s="495">
        <v>0</v>
      </c>
      <c r="AM65" s="495">
        <v>0</v>
      </c>
      <c r="AN65" s="495">
        <f>SUM(AJ65:AM65)</f>
        <v>0</v>
      </c>
      <c r="AO65" s="495">
        <v>0</v>
      </c>
      <c r="AP65" s="495">
        <v>0</v>
      </c>
      <c r="AQ65" s="495">
        <v>0</v>
      </c>
      <c r="AR65" s="495">
        <v>0</v>
      </c>
      <c r="AS65" s="495">
        <f>SUM(AO65:AR65)</f>
        <v>0</v>
      </c>
      <c r="AT65" s="495">
        <v>0</v>
      </c>
      <c r="AU65" s="495">
        <v>0</v>
      </c>
      <c r="AV65" s="495">
        <v>0</v>
      </c>
      <c r="AW65" s="495">
        <v>0</v>
      </c>
      <c r="AX65" s="495">
        <f>SUM(AT65:AW65)</f>
        <v>0</v>
      </c>
      <c r="AY65" s="495">
        <v>0</v>
      </c>
      <c r="AZ65" s="495">
        <v>0</v>
      </c>
      <c r="BA65" s="495">
        <v>0</v>
      </c>
      <c r="BB65" s="495">
        <v>0</v>
      </c>
      <c r="BC65" s="495">
        <f>SUM(AY65:BB65)</f>
        <v>0</v>
      </c>
      <c r="BD65" s="495">
        <v>0</v>
      </c>
      <c r="BE65" s="495">
        <v>0</v>
      </c>
      <c r="BF65" s="495">
        <v>0</v>
      </c>
      <c r="BG65" s="495">
        <v>0</v>
      </c>
      <c r="BH65" s="495">
        <f>SUM(BD65:BG65)</f>
        <v>0</v>
      </c>
    </row>
    <row r="66" spans="2:60" ht="9" customHeight="1" x14ac:dyDescent="0.15">
      <c r="B66" s="752">
        <v>1.1000000000000001</v>
      </c>
      <c r="C66" s="719" t="s">
        <v>67</v>
      </c>
      <c r="D66" s="721" t="s">
        <v>6</v>
      </c>
      <c r="E66" s="723">
        <v>1</v>
      </c>
      <c r="F66" s="725">
        <f>แผนการก่อสร้าง!G71</f>
        <v>0</v>
      </c>
      <c r="G66" s="727">
        <f>แผนการก่อสร้าง!H71</f>
        <v>0</v>
      </c>
      <c r="H66" s="729">
        <v>1601756</v>
      </c>
      <c r="I66" s="731">
        <v>1601756</v>
      </c>
      <c r="J66" s="733">
        <v>0.67160937166600976</v>
      </c>
      <c r="L66" s="495">
        <f t="shared" si="0"/>
        <v>0</v>
      </c>
      <c r="M66" s="495">
        <f t="shared" si="1"/>
        <v>0</v>
      </c>
      <c r="O66" s="719" t="s">
        <v>67</v>
      </c>
      <c r="P66" s="499"/>
      <c r="Q66" s="499"/>
      <c r="R66" s="499"/>
      <c r="S66" s="499"/>
      <c r="T66" s="500"/>
      <c r="U66" s="499"/>
      <c r="V66" s="499"/>
      <c r="W66" s="499"/>
      <c r="X66" s="499"/>
      <c r="Y66" s="500"/>
      <c r="Z66" s="499"/>
      <c r="AA66" s="499"/>
      <c r="AB66" s="499"/>
      <c r="AC66" s="499"/>
      <c r="AD66" s="500"/>
      <c r="AE66" s="499"/>
      <c r="AF66" s="499"/>
      <c r="AG66" s="499"/>
      <c r="AH66" s="499"/>
      <c r="AI66" s="500"/>
      <c r="AJ66" s="499"/>
      <c r="AK66" s="499"/>
      <c r="AL66" s="499"/>
      <c r="AM66" s="499"/>
      <c r="AN66" s="500"/>
      <c r="AO66" s="499"/>
      <c r="AP66" s="499"/>
      <c r="AQ66" s="499"/>
      <c r="AR66" s="499"/>
      <c r="AS66" s="500"/>
      <c r="AT66" s="499"/>
      <c r="AU66" s="499"/>
      <c r="AV66" s="499"/>
      <c r="AW66" s="499"/>
      <c r="AX66" s="500"/>
      <c r="AY66" s="499"/>
      <c r="AZ66" s="499"/>
      <c r="BA66" s="499"/>
      <c r="BB66" s="499"/>
      <c r="BC66" s="500"/>
      <c r="BD66" s="499"/>
      <c r="BE66" s="499"/>
      <c r="BF66" s="499"/>
      <c r="BG66" s="499"/>
      <c r="BH66" s="500"/>
    </row>
    <row r="67" spans="2:60" ht="9" customHeight="1" x14ac:dyDescent="0.15">
      <c r="B67" s="753"/>
      <c r="C67" s="720"/>
      <c r="D67" s="722"/>
      <c r="E67" s="724"/>
      <c r="F67" s="748"/>
      <c r="G67" s="749"/>
      <c r="H67" s="730"/>
      <c r="I67" s="732"/>
      <c r="J67" s="734"/>
      <c r="L67" s="495">
        <f t="shared" si="0"/>
        <v>0</v>
      </c>
      <c r="M67" s="495">
        <f t="shared" si="1"/>
        <v>0</v>
      </c>
      <c r="O67" s="720"/>
      <c r="P67" s="495">
        <v>0</v>
      </c>
      <c r="Q67" s="495">
        <v>0</v>
      </c>
      <c r="R67" s="495">
        <v>0</v>
      </c>
      <c r="S67" s="495">
        <v>0</v>
      </c>
      <c r="T67" s="495">
        <f>SUM(P67:S67)</f>
        <v>0</v>
      </c>
      <c r="U67" s="495">
        <v>0</v>
      </c>
      <c r="V67" s="495">
        <v>0</v>
      </c>
      <c r="W67" s="495">
        <v>0</v>
      </c>
      <c r="X67" s="495">
        <v>0</v>
      </c>
      <c r="Y67" s="495">
        <f>SUM(U67:X67)</f>
        <v>0</v>
      </c>
      <c r="Z67" s="495">
        <v>0</v>
      </c>
      <c r="AA67" s="495">
        <v>0</v>
      </c>
      <c r="AB67" s="495">
        <v>0</v>
      </c>
      <c r="AC67" s="495">
        <v>0</v>
      </c>
      <c r="AD67" s="495">
        <f>SUM(Z67:AC67)</f>
        <v>0</v>
      </c>
      <c r="AE67" s="495">
        <v>0</v>
      </c>
      <c r="AF67" s="495">
        <v>0</v>
      </c>
      <c r="AG67" s="495">
        <v>0</v>
      </c>
      <c r="AH67" s="495">
        <v>0</v>
      </c>
      <c r="AI67" s="495">
        <f>SUM(AE67:AH67)</f>
        <v>0</v>
      </c>
      <c r="AJ67" s="495">
        <v>0</v>
      </c>
      <c r="AK67" s="495">
        <v>0</v>
      </c>
      <c r="AL67" s="495">
        <v>0</v>
      </c>
      <c r="AM67" s="495">
        <v>0</v>
      </c>
      <c r="AN67" s="495">
        <f>SUM(AJ67:AM67)</f>
        <v>0</v>
      </c>
      <c r="AO67" s="495">
        <v>0</v>
      </c>
      <c r="AP67" s="495">
        <v>0</v>
      </c>
      <c r="AQ67" s="495">
        <v>0</v>
      </c>
      <c r="AR67" s="495">
        <v>0</v>
      </c>
      <c r="AS67" s="495">
        <f>SUM(AO67:AR67)</f>
        <v>0</v>
      </c>
      <c r="AT67" s="495">
        <v>0</v>
      </c>
      <c r="AU67" s="495">
        <v>0</v>
      </c>
      <c r="AV67" s="495">
        <v>0</v>
      </c>
      <c r="AW67" s="495">
        <v>0</v>
      </c>
      <c r="AX67" s="495">
        <f>SUM(AT67:AW67)</f>
        <v>0</v>
      </c>
      <c r="AY67" s="495">
        <v>0</v>
      </c>
      <c r="AZ67" s="495">
        <v>0</v>
      </c>
      <c r="BA67" s="495">
        <v>0</v>
      </c>
      <c r="BB67" s="495">
        <v>0</v>
      </c>
      <c r="BC67" s="495">
        <f>SUM(AY67:BB67)</f>
        <v>0</v>
      </c>
      <c r="BD67" s="495">
        <v>0</v>
      </c>
      <c r="BE67" s="495">
        <v>0</v>
      </c>
      <c r="BF67" s="495">
        <v>0</v>
      </c>
      <c r="BG67" s="495">
        <v>0</v>
      </c>
      <c r="BH67" s="495">
        <f>SUM(BD67:BG67)</f>
        <v>0</v>
      </c>
    </row>
    <row r="68" spans="2:60" ht="9" customHeight="1" x14ac:dyDescent="0.15">
      <c r="B68" s="752">
        <v>1.1100000000000001</v>
      </c>
      <c r="C68" s="719" t="s">
        <v>69</v>
      </c>
      <c r="D68" s="721" t="s">
        <v>6</v>
      </c>
      <c r="E68" s="723">
        <v>1</v>
      </c>
      <c r="F68" s="750">
        <f>แผนการก่อสร้าง!G73</f>
        <v>0</v>
      </c>
      <c r="G68" s="751">
        <f>แผนการก่อสร้าง!H73</f>
        <v>0</v>
      </c>
      <c r="H68" s="729">
        <v>333944</v>
      </c>
      <c r="I68" s="731">
        <v>333944</v>
      </c>
      <c r="J68" s="733">
        <v>0.14002127665614111</v>
      </c>
      <c r="L68" s="495">
        <f t="shared" si="0"/>
        <v>0</v>
      </c>
      <c r="M68" s="495">
        <f t="shared" si="1"/>
        <v>0</v>
      </c>
      <c r="O68" s="719" t="s">
        <v>69</v>
      </c>
      <c r="P68" s="499"/>
      <c r="Q68" s="499"/>
      <c r="R68" s="499"/>
      <c r="S68" s="499"/>
      <c r="T68" s="500"/>
      <c r="U68" s="499"/>
      <c r="V68" s="499"/>
      <c r="W68" s="499"/>
      <c r="X68" s="499"/>
      <c r="Y68" s="500"/>
      <c r="Z68" s="499"/>
      <c r="AA68" s="499"/>
      <c r="AB68" s="499"/>
      <c r="AC68" s="499"/>
      <c r="AD68" s="500"/>
      <c r="AE68" s="499"/>
      <c r="AF68" s="499"/>
      <c r="AG68" s="499"/>
      <c r="AH68" s="499"/>
      <c r="AI68" s="500"/>
      <c r="AJ68" s="499"/>
      <c r="AK68" s="499"/>
      <c r="AL68" s="499"/>
      <c r="AM68" s="499"/>
      <c r="AN68" s="500"/>
      <c r="AO68" s="499"/>
      <c r="AP68" s="499"/>
      <c r="AQ68" s="499"/>
      <c r="AR68" s="499"/>
      <c r="AS68" s="500"/>
      <c r="AT68" s="499"/>
      <c r="AU68" s="499"/>
      <c r="AV68" s="499"/>
      <c r="AW68" s="499"/>
      <c r="AX68" s="500"/>
      <c r="AY68" s="499"/>
      <c r="AZ68" s="499"/>
      <c r="BA68" s="499"/>
      <c r="BB68" s="499"/>
      <c r="BC68" s="500"/>
      <c r="BD68" s="499"/>
      <c r="BE68" s="499"/>
      <c r="BF68" s="499"/>
      <c r="BG68" s="499"/>
      <c r="BH68" s="500"/>
    </row>
    <row r="69" spans="2:60" ht="9" customHeight="1" x14ac:dyDescent="0.15">
      <c r="B69" s="753"/>
      <c r="C69" s="720"/>
      <c r="D69" s="722"/>
      <c r="E69" s="724"/>
      <c r="F69" s="748"/>
      <c r="G69" s="749"/>
      <c r="H69" s="730"/>
      <c r="I69" s="732"/>
      <c r="J69" s="734"/>
      <c r="L69" s="495">
        <f t="shared" si="0"/>
        <v>0</v>
      </c>
      <c r="M69" s="495">
        <f t="shared" si="1"/>
        <v>0</v>
      </c>
      <c r="O69" s="720"/>
      <c r="P69" s="495">
        <v>0</v>
      </c>
      <c r="Q69" s="495">
        <v>0</v>
      </c>
      <c r="R69" s="495">
        <v>0</v>
      </c>
      <c r="S69" s="495">
        <v>0</v>
      </c>
      <c r="T69" s="495">
        <f>SUM(P69:S69)</f>
        <v>0</v>
      </c>
      <c r="U69" s="495">
        <v>0</v>
      </c>
      <c r="V69" s="495">
        <v>0</v>
      </c>
      <c r="W69" s="495">
        <v>0</v>
      </c>
      <c r="X69" s="495">
        <v>0</v>
      </c>
      <c r="Y69" s="495">
        <f>SUM(U69:X69)</f>
        <v>0</v>
      </c>
      <c r="Z69" s="495">
        <v>0</v>
      </c>
      <c r="AA69" s="495">
        <v>0</v>
      </c>
      <c r="AB69" s="495">
        <v>0</v>
      </c>
      <c r="AC69" s="495">
        <v>0</v>
      </c>
      <c r="AD69" s="495">
        <f>SUM(Z69:AC69)</f>
        <v>0</v>
      </c>
      <c r="AE69" s="495">
        <v>0</v>
      </c>
      <c r="AF69" s="495">
        <v>0</v>
      </c>
      <c r="AG69" s="495">
        <v>0</v>
      </c>
      <c r="AH69" s="495">
        <v>0</v>
      </c>
      <c r="AI69" s="495">
        <f>SUM(AE69:AH69)</f>
        <v>0</v>
      </c>
      <c r="AJ69" s="495">
        <v>0</v>
      </c>
      <c r="AK69" s="495">
        <v>0</v>
      </c>
      <c r="AL69" s="495">
        <v>0</v>
      </c>
      <c r="AM69" s="495">
        <v>0</v>
      </c>
      <c r="AN69" s="495">
        <f>SUM(AJ69:AM69)</f>
        <v>0</v>
      </c>
      <c r="AO69" s="495">
        <v>0</v>
      </c>
      <c r="AP69" s="495">
        <v>0</v>
      </c>
      <c r="AQ69" s="495">
        <v>0</v>
      </c>
      <c r="AR69" s="495">
        <v>0</v>
      </c>
      <c r="AS69" s="495">
        <f>SUM(AO69:AR69)</f>
        <v>0</v>
      </c>
      <c r="AT69" s="495">
        <v>0</v>
      </c>
      <c r="AU69" s="495">
        <v>0</v>
      </c>
      <c r="AV69" s="495">
        <v>0</v>
      </c>
      <c r="AW69" s="495">
        <v>0</v>
      </c>
      <c r="AX69" s="495">
        <f>SUM(AT69:AW69)</f>
        <v>0</v>
      </c>
      <c r="AY69" s="495">
        <v>0</v>
      </c>
      <c r="AZ69" s="495">
        <v>0</v>
      </c>
      <c r="BA69" s="495">
        <v>0</v>
      </c>
      <c r="BB69" s="495">
        <v>0</v>
      </c>
      <c r="BC69" s="495">
        <f>SUM(AY69:BB69)</f>
        <v>0</v>
      </c>
      <c r="BD69" s="495">
        <v>0</v>
      </c>
      <c r="BE69" s="495">
        <v>0</v>
      </c>
      <c r="BF69" s="495">
        <v>0</v>
      </c>
      <c r="BG69" s="495">
        <v>0</v>
      </c>
      <c r="BH69" s="495">
        <f>SUM(BD69:BG69)</f>
        <v>0</v>
      </c>
    </row>
    <row r="70" spans="2:60" ht="9" customHeight="1" x14ac:dyDescent="0.15">
      <c r="B70" s="752">
        <v>1.1200000000000001</v>
      </c>
      <c r="C70" s="719" t="s">
        <v>70</v>
      </c>
      <c r="D70" s="721" t="s">
        <v>6</v>
      </c>
      <c r="E70" s="723">
        <v>1</v>
      </c>
      <c r="F70" s="750">
        <f>แผนการก่อสร้าง!G75</f>
        <v>0</v>
      </c>
      <c r="G70" s="751">
        <f>แผนการก่อสร้าง!H75</f>
        <v>0</v>
      </c>
      <c r="H70" s="729">
        <v>1597253</v>
      </c>
      <c r="I70" s="731">
        <v>1597253</v>
      </c>
      <c r="J70" s="733">
        <v>0.66972128321769919</v>
      </c>
      <c r="L70" s="495">
        <f t="shared" si="0"/>
        <v>0</v>
      </c>
      <c r="M70" s="495">
        <f t="shared" si="1"/>
        <v>0</v>
      </c>
      <c r="O70" s="719" t="s">
        <v>70</v>
      </c>
      <c r="P70" s="499"/>
      <c r="Q70" s="499"/>
      <c r="R70" s="499"/>
      <c r="S70" s="499"/>
      <c r="T70" s="500"/>
      <c r="U70" s="499"/>
      <c r="V70" s="499"/>
      <c r="W70" s="499"/>
      <c r="X70" s="499"/>
      <c r="Y70" s="500"/>
      <c r="Z70" s="499"/>
      <c r="AA70" s="499"/>
      <c r="AB70" s="499"/>
      <c r="AC70" s="499"/>
      <c r="AD70" s="500"/>
      <c r="AE70" s="499"/>
      <c r="AF70" s="499"/>
      <c r="AG70" s="499"/>
      <c r="AH70" s="499"/>
      <c r="AI70" s="500"/>
      <c r="AJ70" s="499"/>
      <c r="AK70" s="499"/>
      <c r="AL70" s="499"/>
      <c r="AM70" s="499"/>
      <c r="AN70" s="500"/>
      <c r="AO70" s="499"/>
      <c r="AP70" s="499"/>
      <c r="AQ70" s="499"/>
      <c r="AR70" s="499"/>
      <c r="AS70" s="500"/>
      <c r="AT70" s="499"/>
      <c r="AU70" s="499"/>
      <c r="AV70" s="499"/>
      <c r="AW70" s="499"/>
      <c r="AX70" s="500"/>
      <c r="AY70" s="499"/>
      <c r="AZ70" s="499"/>
      <c r="BA70" s="499"/>
      <c r="BB70" s="499"/>
      <c r="BC70" s="500"/>
      <c r="BD70" s="499"/>
      <c r="BE70" s="499"/>
      <c r="BF70" s="499"/>
      <c r="BG70" s="499"/>
      <c r="BH70" s="500"/>
    </row>
    <row r="71" spans="2:60" ht="9" customHeight="1" x14ac:dyDescent="0.15">
      <c r="B71" s="753"/>
      <c r="C71" s="720"/>
      <c r="D71" s="722"/>
      <c r="E71" s="724"/>
      <c r="F71" s="748"/>
      <c r="G71" s="749"/>
      <c r="H71" s="730"/>
      <c r="I71" s="732"/>
      <c r="J71" s="734"/>
      <c r="L71" s="495">
        <f t="shared" si="0"/>
        <v>0</v>
      </c>
      <c r="M71" s="495">
        <f t="shared" si="1"/>
        <v>0</v>
      </c>
      <c r="O71" s="720"/>
      <c r="P71" s="495">
        <v>0</v>
      </c>
      <c r="Q71" s="495">
        <v>0</v>
      </c>
      <c r="R71" s="495">
        <v>0</v>
      </c>
      <c r="S71" s="495">
        <v>0</v>
      </c>
      <c r="T71" s="495">
        <f>SUM(P71:S71)</f>
        <v>0</v>
      </c>
      <c r="U71" s="495">
        <v>0</v>
      </c>
      <c r="V71" s="495">
        <v>0</v>
      </c>
      <c r="W71" s="495">
        <v>0</v>
      </c>
      <c r="X71" s="495">
        <v>0</v>
      </c>
      <c r="Y71" s="495">
        <f>SUM(U71:X71)</f>
        <v>0</v>
      </c>
      <c r="Z71" s="495">
        <v>0</v>
      </c>
      <c r="AA71" s="495">
        <v>0</v>
      </c>
      <c r="AB71" s="495">
        <v>0</v>
      </c>
      <c r="AC71" s="495">
        <v>0</v>
      </c>
      <c r="AD71" s="495">
        <f>SUM(Z71:AC71)</f>
        <v>0</v>
      </c>
      <c r="AE71" s="495">
        <v>0</v>
      </c>
      <c r="AF71" s="495">
        <v>0</v>
      </c>
      <c r="AG71" s="495">
        <v>0</v>
      </c>
      <c r="AH71" s="495">
        <v>0</v>
      </c>
      <c r="AI71" s="495">
        <f>SUM(AE71:AH71)</f>
        <v>0</v>
      </c>
      <c r="AJ71" s="495">
        <v>0</v>
      </c>
      <c r="AK71" s="495">
        <v>0</v>
      </c>
      <c r="AL71" s="495">
        <v>0</v>
      </c>
      <c r="AM71" s="495">
        <v>0</v>
      </c>
      <c r="AN71" s="495">
        <f>SUM(AJ71:AM71)</f>
        <v>0</v>
      </c>
      <c r="AO71" s="495">
        <v>0</v>
      </c>
      <c r="AP71" s="495">
        <v>0</v>
      </c>
      <c r="AQ71" s="495">
        <v>0</v>
      </c>
      <c r="AR71" s="495">
        <v>0</v>
      </c>
      <c r="AS71" s="495">
        <f>SUM(AO71:AR71)</f>
        <v>0</v>
      </c>
      <c r="AT71" s="495">
        <v>0</v>
      </c>
      <c r="AU71" s="495">
        <v>0</v>
      </c>
      <c r="AV71" s="495">
        <v>0</v>
      </c>
      <c r="AW71" s="495">
        <v>0</v>
      </c>
      <c r="AX71" s="495">
        <f>SUM(AT71:AW71)</f>
        <v>0</v>
      </c>
      <c r="AY71" s="495">
        <v>0</v>
      </c>
      <c r="AZ71" s="495">
        <v>0</v>
      </c>
      <c r="BA71" s="495">
        <v>0</v>
      </c>
      <c r="BB71" s="495">
        <v>0</v>
      </c>
      <c r="BC71" s="495">
        <f>SUM(AY71:BB71)</f>
        <v>0</v>
      </c>
      <c r="BD71" s="495">
        <v>0</v>
      </c>
      <c r="BE71" s="495">
        <v>0</v>
      </c>
      <c r="BF71" s="495">
        <v>0</v>
      </c>
      <c r="BG71" s="495">
        <v>0</v>
      </c>
      <c r="BH71" s="495">
        <f>SUM(BD71:BG71)</f>
        <v>0</v>
      </c>
    </row>
    <row r="72" spans="2:60" ht="9" customHeight="1" x14ac:dyDescent="0.15">
      <c r="B72" s="754">
        <v>2</v>
      </c>
      <c r="C72" s="693" t="s">
        <v>71</v>
      </c>
      <c r="D72" s="757"/>
      <c r="E72" s="759"/>
      <c r="F72" s="486">
        <f>แผนการก่อสร้าง!G77</f>
        <v>0</v>
      </c>
      <c r="G72" s="487">
        <f>แผนการก่อสร้าง!H77</f>
        <v>0</v>
      </c>
      <c r="H72" s="759"/>
      <c r="I72" s="759"/>
      <c r="J72" s="761"/>
      <c r="L72" s="495">
        <f t="shared" ref="L72:L107" si="2">SUM(P72,Q72,R72,S72,U72,V72,W72,X72,Z72,AA72:AC72,AE72,AF72,AG72,AH72,AJ72,AK72,AL72,AM72,AO72,AP72,AQ72,AR72,AT72,AU72,AV72,AW72,AY72,AZ72,BA72,BB72,BD72,BE72,BF72)</f>
        <v>0</v>
      </c>
      <c r="M72" s="495">
        <f t="shared" ref="M72:M107" si="3">SUM(P72,Q72,R72,S72,U72,V72,W72,X72,Z72,AA72,AB72:AC72,AE72,AF72,AG72,AH72,AJ72,AK72,AL72,AM72,AO72,AP72,AQ72,AR72,AT72,AU72,AV72,AW72,AY72,AZ72,BA72,BB72,BD72,BE72,BF72,BG72)</f>
        <v>0</v>
      </c>
      <c r="O72" s="693" t="s">
        <v>71</v>
      </c>
      <c r="P72" s="499"/>
      <c r="Q72" s="499"/>
      <c r="R72" s="499"/>
      <c r="S72" s="499"/>
      <c r="T72" s="500"/>
      <c r="U72" s="499"/>
      <c r="V72" s="499"/>
      <c r="W72" s="499"/>
      <c r="X72" s="499"/>
      <c r="Y72" s="500"/>
      <c r="Z72" s="499"/>
      <c r="AA72" s="499"/>
      <c r="AB72" s="499"/>
      <c r="AC72" s="499"/>
      <c r="AD72" s="500"/>
      <c r="AE72" s="499"/>
      <c r="AF72" s="499"/>
      <c r="AG72" s="499"/>
      <c r="AH72" s="499"/>
      <c r="AI72" s="500"/>
      <c r="AJ72" s="499"/>
      <c r="AK72" s="499"/>
      <c r="AL72" s="499"/>
      <c r="AM72" s="499"/>
      <c r="AN72" s="500"/>
      <c r="AO72" s="499"/>
      <c r="AP72" s="499"/>
      <c r="AQ72" s="499"/>
      <c r="AR72" s="499"/>
      <c r="AS72" s="500"/>
      <c r="AT72" s="499"/>
      <c r="AU72" s="499"/>
      <c r="AV72" s="499"/>
      <c r="AW72" s="499"/>
      <c r="AX72" s="500"/>
      <c r="AY72" s="499"/>
      <c r="AZ72" s="499"/>
      <c r="BA72" s="499"/>
      <c r="BB72" s="499"/>
      <c r="BC72" s="500"/>
      <c r="BD72" s="499"/>
      <c r="BE72" s="499"/>
      <c r="BF72" s="499"/>
      <c r="BG72" s="499"/>
      <c r="BH72" s="500"/>
    </row>
    <row r="73" spans="2:60" ht="9" customHeight="1" x14ac:dyDescent="0.15">
      <c r="B73" s="755"/>
      <c r="C73" s="756"/>
      <c r="D73" s="758"/>
      <c r="E73" s="760"/>
      <c r="F73" s="488">
        <f>แผนการก่อสร้าง!G78</f>
        <v>0</v>
      </c>
      <c r="G73" s="489">
        <f>แผนการก่อสร้าง!H78</f>
        <v>0</v>
      </c>
      <c r="H73" s="760"/>
      <c r="I73" s="760"/>
      <c r="J73" s="762"/>
      <c r="L73" s="495">
        <f t="shared" si="2"/>
        <v>0</v>
      </c>
      <c r="M73" s="495">
        <f t="shared" si="3"/>
        <v>0</v>
      </c>
      <c r="O73" s="756"/>
      <c r="P73" s="499"/>
      <c r="Q73" s="499"/>
      <c r="R73" s="499"/>
      <c r="S73" s="499"/>
      <c r="T73" s="500"/>
      <c r="U73" s="499"/>
      <c r="V73" s="499"/>
      <c r="W73" s="499"/>
      <c r="X73" s="499"/>
      <c r="Y73" s="500"/>
      <c r="Z73" s="499"/>
      <c r="AA73" s="499"/>
      <c r="AB73" s="499"/>
      <c r="AC73" s="499"/>
      <c r="AD73" s="500"/>
      <c r="AE73" s="499"/>
      <c r="AF73" s="499"/>
      <c r="AG73" s="499"/>
      <c r="AH73" s="499"/>
      <c r="AI73" s="500"/>
      <c r="AJ73" s="499"/>
      <c r="AK73" s="499"/>
      <c r="AL73" s="499"/>
      <c r="AM73" s="499"/>
      <c r="AN73" s="500"/>
      <c r="AO73" s="499"/>
      <c r="AP73" s="499"/>
      <c r="AQ73" s="499"/>
      <c r="AR73" s="499"/>
      <c r="AS73" s="500"/>
      <c r="AT73" s="499"/>
      <c r="AU73" s="499"/>
      <c r="AV73" s="499"/>
      <c r="AW73" s="499"/>
      <c r="AX73" s="500"/>
      <c r="AY73" s="499"/>
      <c r="AZ73" s="499"/>
      <c r="BA73" s="499"/>
      <c r="BB73" s="499"/>
      <c r="BC73" s="500"/>
      <c r="BD73" s="499"/>
      <c r="BE73" s="499"/>
      <c r="BF73" s="499"/>
      <c r="BG73" s="499"/>
      <c r="BH73" s="500"/>
    </row>
    <row r="74" spans="2:60" ht="9" customHeight="1" x14ac:dyDescent="0.15">
      <c r="B74" s="717">
        <v>2.1</v>
      </c>
      <c r="C74" s="719" t="s">
        <v>72</v>
      </c>
      <c r="D74" s="721" t="s">
        <v>6</v>
      </c>
      <c r="E74" s="723">
        <v>1</v>
      </c>
      <c r="F74" s="725">
        <f>แผนการก่อสร้าง!G79</f>
        <v>0</v>
      </c>
      <c r="G74" s="727">
        <f>แผนการก่อสร้าง!H79</f>
        <v>0</v>
      </c>
      <c r="H74" s="729">
        <v>3297434</v>
      </c>
      <c r="I74" s="731">
        <v>3297434</v>
      </c>
      <c r="J74" s="733">
        <v>1.3825998322154791</v>
      </c>
      <c r="L74" s="495">
        <f t="shared" si="2"/>
        <v>0</v>
      </c>
      <c r="M74" s="495">
        <f t="shared" si="3"/>
        <v>0</v>
      </c>
      <c r="O74" s="719" t="s">
        <v>72</v>
      </c>
      <c r="P74" s="499"/>
      <c r="Q74" s="499"/>
      <c r="R74" s="499"/>
      <c r="S74" s="499"/>
      <c r="T74" s="500"/>
      <c r="U74" s="499"/>
      <c r="V74" s="499"/>
      <c r="W74" s="499"/>
      <c r="X74" s="499"/>
      <c r="Y74" s="500"/>
      <c r="Z74" s="499"/>
      <c r="AA74" s="499"/>
      <c r="AB74" s="499"/>
      <c r="AC74" s="499"/>
      <c r="AD74" s="500"/>
      <c r="AE74" s="499"/>
      <c r="AF74" s="499"/>
      <c r="AG74" s="499"/>
      <c r="AH74" s="499"/>
      <c r="AI74" s="500"/>
      <c r="AJ74" s="499"/>
      <c r="AK74" s="499"/>
      <c r="AL74" s="499"/>
      <c r="AM74" s="499"/>
      <c r="AN74" s="500"/>
      <c r="AO74" s="499"/>
      <c r="AP74" s="499"/>
      <c r="AQ74" s="499"/>
      <c r="AR74" s="499"/>
      <c r="AS74" s="500"/>
      <c r="AT74" s="499"/>
      <c r="AU74" s="499"/>
      <c r="AV74" s="499"/>
      <c r="AW74" s="499"/>
      <c r="AX74" s="500"/>
      <c r="AY74" s="499"/>
      <c r="AZ74" s="499"/>
      <c r="BA74" s="499"/>
      <c r="BB74" s="499"/>
      <c r="BC74" s="500"/>
      <c r="BD74" s="499"/>
      <c r="BE74" s="499"/>
      <c r="BF74" s="499"/>
      <c r="BG74" s="499"/>
      <c r="BH74" s="500"/>
    </row>
    <row r="75" spans="2:60" ht="9" customHeight="1" x14ac:dyDescent="0.15">
      <c r="B75" s="718"/>
      <c r="C75" s="720"/>
      <c r="D75" s="722"/>
      <c r="E75" s="724"/>
      <c r="F75" s="726"/>
      <c r="G75" s="728"/>
      <c r="H75" s="730"/>
      <c r="I75" s="732"/>
      <c r="J75" s="734"/>
      <c r="L75" s="495">
        <f t="shared" si="2"/>
        <v>0</v>
      </c>
      <c r="M75" s="495">
        <f t="shared" si="3"/>
        <v>0</v>
      </c>
      <c r="O75" s="720"/>
      <c r="P75" s="495">
        <v>0</v>
      </c>
      <c r="Q75" s="495">
        <v>0</v>
      </c>
      <c r="R75" s="495">
        <v>0</v>
      </c>
      <c r="S75" s="495">
        <v>0</v>
      </c>
      <c r="T75" s="495">
        <f>SUM(P75:S75)</f>
        <v>0</v>
      </c>
      <c r="U75" s="495">
        <v>0</v>
      </c>
      <c r="V75" s="495">
        <v>0</v>
      </c>
      <c r="W75" s="495">
        <v>0</v>
      </c>
      <c r="X75" s="495">
        <v>0</v>
      </c>
      <c r="Y75" s="495">
        <f>SUM(U75:X75)</f>
        <v>0</v>
      </c>
      <c r="Z75" s="495">
        <v>0</v>
      </c>
      <c r="AA75" s="495">
        <v>0</v>
      </c>
      <c r="AB75" s="495">
        <v>0</v>
      </c>
      <c r="AC75" s="495">
        <v>0</v>
      </c>
      <c r="AD75" s="495">
        <f>SUM(Z75:AC75)</f>
        <v>0</v>
      </c>
      <c r="AE75" s="495">
        <v>0</v>
      </c>
      <c r="AF75" s="495">
        <v>0</v>
      </c>
      <c r="AG75" s="495">
        <v>0</v>
      </c>
      <c r="AH75" s="495">
        <v>0</v>
      </c>
      <c r="AI75" s="495">
        <f>SUM(AE75:AH75)</f>
        <v>0</v>
      </c>
      <c r="AJ75" s="495">
        <v>0</v>
      </c>
      <c r="AK75" s="495">
        <v>0</v>
      </c>
      <c r="AL75" s="495">
        <v>0</v>
      </c>
      <c r="AM75" s="495">
        <v>0</v>
      </c>
      <c r="AN75" s="495">
        <f>SUM(AJ75:AM75)</f>
        <v>0</v>
      </c>
      <c r="AO75" s="495">
        <v>0</v>
      </c>
      <c r="AP75" s="495">
        <v>0</v>
      </c>
      <c r="AQ75" s="495">
        <v>0</v>
      </c>
      <c r="AR75" s="495">
        <v>0</v>
      </c>
      <c r="AS75" s="495">
        <f>SUM(AO75:AR75)</f>
        <v>0</v>
      </c>
      <c r="AT75" s="495">
        <v>0</v>
      </c>
      <c r="AU75" s="495">
        <v>0</v>
      </c>
      <c r="AV75" s="495">
        <v>0</v>
      </c>
      <c r="AW75" s="495">
        <v>0</v>
      </c>
      <c r="AX75" s="495">
        <f>SUM(AT75:AW75)</f>
        <v>0</v>
      </c>
      <c r="AY75" s="495">
        <v>0</v>
      </c>
      <c r="AZ75" s="495">
        <v>0</v>
      </c>
      <c r="BA75" s="495">
        <v>0</v>
      </c>
      <c r="BB75" s="495">
        <v>0</v>
      </c>
      <c r="BC75" s="495">
        <f>SUM(AY75:BB75)</f>
        <v>0</v>
      </c>
      <c r="BD75" s="495">
        <v>0</v>
      </c>
      <c r="BE75" s="495">
        <v>0</v>
      </c>
      <c r="BF75" s="495">
        <v>0</v>
      </c>
      <c r="BG75" s="495">
        <v>0</v>
      </c>
      <c r="BH75" s="495">
        <f>SUM(BD75:BG75)</f>
        <v>0</v>
      </c>
    </row>
    <row r="76" spans="2:60" ht="9" customHeight="1" x14ac:dyDescent="0.15">
      <c r="B76" s="717">
        <v>2.2000000000000002</v>
      </c>
      <c r="C76" s="719" t="s">
        <v>122</v>
      </c>
      <c r="D76" s="721" t="s">
        <v>6</v>
      </c>
      <c r="E76" s="723">
        <v>1</v>
      </c>
      <c r="F76" s="725">
        <f>แผนการก่อสร้าง!G81</f>
        <v>1.57E-3</v>
      </c>
      <c r="G76" s="727">
        <f>แผนการก่อสร้าง!H81</f>
        <v>0.157</v>
      </c>
      <c r="H76" s="729">
        <v>22731675</v>
      </c>
      <c r="I76" s="731">
        <v>22731675</v>
      </c>
      <c r="J76" s="733">
        <v>9.5312931330776607</v>
      </c>
      <c r="L76" s="495">
        <f t="shared" si="2"/>
        <v>0</v>
      </c>
      <c r="M76" s="495">
        <f t="shared" si="3"/>
        <v>0</v>
      </c>
      <c r="O76" s="719" t="s">
        <v>122</v>
      </c>
      <c r="P76" s="499"/>
      <c r="Q76" s="499"/>
      <c r="R76" s="499"/>
      <c r="S76" s="499"/>
      <c r="T76" s="500"/>
      <c r="U76" s="499"/>
      <c r="V76" s="499"/>
      <c r="W76" s="499"/>
      <c r="X76" s="499"/>
      <c r="Y76" s="500"/>
      <c r="Z76" s="499"/>
      <c r="AA76" s="499"/>
      <c r="AB76" s="499"/>
      <c r="AC76" s="499"/>
      <c r="AD76" s="500"/>
      <c r="AE76" s="499"/>
      <c r="AF76" s="499"/>
      <c r="AG76" s="499"/>
      <c r="AH76" s="499"/>
      <c r="AI76" s="500"/>
      <c r="AJ76" s="499"/>
      <c r="AK76" s="499"/>
      <c r="AL76" s="499"/>
      <c r="AM76" s="499"/>
      <c r="AN76" s="500"/>
      <c r="AO76" s="499"/>
      <c r="AP76" s="499"/>
      <c r="AQ76" s="499"/>
      <c r="AR76" s="499"/>
      <c r="AS76" s="500"/>
      <c r="AT76" s="499"/>
      <c r="AU76" s="499"/>
      <c r="AV76" s="499"/>
      <c r="AW76" s="499"/>
      <c r="AX76" s="500"/>
      <c r="AY76" s="499"/>
      <c r="AZ76" s="499"/>
      <c r="BA76" s="499"/>
      <c r="BB76" s="499"/>
      <c r="BC76" s="500"/>
      <c r="BD76" s="499"/>
      <c r="BE76" s="499"/>
      <c r="BF76" s="499"/>
      <c r="BG76" s="499"/>
      <c r="BH76" s="500"/>
    </row>
    <row r="77" spans="2:60" ht="9" customHeight="1" x14ac:dyDescent="0.15">
      <c r="B77" s="718"/>
      <c r="C77" s="720"/>
      <c r="D77" s="722"/>
      <c r="E77" s="724"/>
      <c r="F77" s="748"/>
      <c r="G77" s="749"/>
      <c r="H77" s="730"/>
      <c r="I77" s="732"/>
      <c r="J77" s="763"/>
      <c r="L77" s="495">
        <f t="shared" si="2"/>
        <v>35724</v>
      </c>
      <c r="M77" s="495">
        <f t="shared" si="3"/>
        <v>35724</v>
      </c>
      <c r="O77" s="720"/>
      <c r="P77" s="495">
        <v>0</v>
      </c>
      <c r="Q77" s="495">
        <v>0</v>
      </c>
      <c r="R77" s="495">
        <v>0</v>
      </c>
      <c r="S77" s="495">
        <v>35724</v>
      </c>
      <c r="T77" s="495">
        <v>35724</v>
      </c>
      <c r="U77" s="495">
        <v>0</v>
      </c>
      <c r="V77" s="495">
        <v>0</v>
      </c>
      <c r="W77" s="495">
        <v>0</v>
      </c>
      <c r="X77" s="495">
        <v>0</v>
      </c>
      <c r="Y77" s="495">
        <f>SUM(U77:X77)</f>
        <v>0</v>
      </c>
      <c r="Z77" s="495">
        <v>0</v>
      </c>
      <c r="AA77" s="495">
        <v>0</v>
      </c>
      <c r="AB77" s="495">
        <v>0</v>
      </c>
      <c r="AC77" s="495">
        <v>0</v>
      </c>
      <c r="AD77" s="495">
        <f>SUM(Z77:AC77)</f>
        <v>0</v>
      </c>
      <c r="AE77" s="495">
        <v>0</v>
      </c>
      <c r="AF77" s="495">
        <v>0</v>
      </c>
      <c r="AG77" s="495">
        <v>0</v>
      </c>
      <c r="AH77" s="495">
        <v>0</v>
      </c>
      <c r="AI77" s="495">
        <f>SUM(AE77:AH77)</f>
        <v>0</v>
      </c>
      <c r="AJ77" s="495">
        <v>0</v>
      </c>
      <c r="AK77" s="495">
        <v>0</v>
      </c>
      <c r="AL77" s="495">
        <v>0</v>
      </c>
      <c r="AM77" s="495">
        <v>0</v>
      </c>
      <c r="AN77" s="495">
        <f>SUM(AJ77:AM77)</f>
        <v>0</v>
      </c>
      <c r="AO77" s="495">
        <v>0</v>
      </c>
      <c r="AP77" s="495">
        <v>0</v>
      </c>
      <c r="AQ77" s="495">
        <v>0</v>
      </c>
      <c r="AR77" s="495">
        <v>0</v>
      </c>
      <c r="AS77" s="495">
        <f>SUM(AO77:AR77)</f>
        <v>0</v>
      </c>
      <c r="AT77" s="495">
        <v>0</v>
      </c>
      <c r="AU77" s="495">
        <v>0</v>
      </c>
      <c r="AV77" s="495">
        <v>0</v>
      </c>
      <c r="AW77" s="495">
        <v>0</v>
      </c>
      <c r="AX77" s="495">
        <f>SUM(AT77:AW77)</f>
        <v>0</v>
      </c>
      <c r="AY77" s="495">
        <v>0</v>
      </c>
      <c r="AZ77" s="495">
        <v>0</v>
      </c>
      <c r="BA77" s="495">
        <v>0</v>
      </c>
      <c r="BB77" s="495">
        <v>0</v>
      </c>
      <c r="BC77" s="495">
        <f>SUM(AY77:BB77)</f>
        <v>0</v>
      </c>
      <c r="BD77" s="495">
        <v>0</v>
      </c>
      <c r="BE77" s="495">
        <v>0</v>
      </c>
      <c r="BF77" s="495">
        <v>0</v>
      </c>
      <c r="BG77" s="495">
        <v>0</v>
      </c>
      <c r="BH77" s="495">
        <f>SUM(BD77:BG77)</f>
        <v>0</v>
      </c>
    </row>
    <row r="78" spans="2:60" ht="9" customHeight="1" x14ac:dyDescent="0.15">
      <c r="B78" s="754">
        <v>3</v>
      </c>
      <c r="C78" s="693" t="s">
        <v>29</v>
      </c>
      <c r="D78" s="757"/>
      <c r="E78" s="759"/>
      <c r="F78" s="486">
        <f>แผนการก่อสร้าง!G83</f>
        <v>0</v>
      </c>
      <c r="G78" s="487">
        <f>แผนการก่อสร้าง!H83</f>
        <v>0</v>
      </c>
      <c r="H78" s="759"/>
      <c r="I78" s="759"/>
      <c r="J78" s="761"/>
      <c r="L78" s="495">
        <f t="shared" si="2"/>
        <v>0</v>
      </c>
      <c r="M78" s="495">
        <f t="shared" si="3"/>
        <v>0</v>
      </c>
      <c r="O78" s="693" t="s">
        <v>29</v>
      </c>
      <c r="P78" s="499"/>
      <c r="Q78" s="499"/>
      <c r="R78" s="499"/>
      <c r="S78" s="499"/>
      <c r="T78" s="500"/>
      <c r="U78" s="499"/>
      <c r="V78" s="499"/>
      <c r="W78" s="499"/>
      <c r="X78" s="499"/>
      <c r="Y78" s="500"/>
      <c r="Z78" s="499"/>
      <c r="AA78" s="499"/>
      <c r="AB78" s="499"/>
      <c r="AC78" s="499"/>
      <c r="AD78" s="500"/>
      <c r="AE78" s="499"/>
      <c r="AF78" s="499"/>
      <c r="AG78" s="499"/>
      <c r="AH78" s="499"/>
      <c r="AI78" s="500"/>
      <c r="AJ78" s="499"/>
      <c r="AK78" s="499"/>
      <c r="AL78" s="499"/>
      <c r="AM78" s="499"/>
      <c r="AN78" s="500"/>
      <c r="AO78" s="499"/>
      <c r="AP78" s="499"/>
      <c r="AQ78" s="499"/>
      <c r="AR78" s="499"/>
      <c r="AS78" s="500"/>
      <c r="AT78" s="499"/>
      <c r="AU78" s="499"/>
      <c r="AV78" s="499"/>
      <c r="AW78" s="499"/>
      <c r="AX78" s="500"/>
      <c r="AY78" s="499"/>
      <c r="AZ78" s="499"/>
      <c r="BA78" s="499"/>
      <c r="BB78" s="499"/>
      <c r="BC78" s="500"/>
      <c r="BD78" s="499"/>
      <c r="BE78" s="499"/>
      <c r="BF78" s="499"/>
      <c r="BG78" s="499"/>
      <c r="BH78" s="500"/>
    </row>
    <row r="79" spans="2:60" ht="9" customHeight="1" x14ac:dyDescent="0.15">
      <c r="B79" s="755"/>
      <c r="C79" s="756"/>
      <c r="D79" s="758"/>
      <c r="E79" s="760"/>
      <c r="F79" s="488">
        <f>แผนการก่อสร้าง!G84</f>
        <v>0</v>
      </c>
      <c r="G79" s="489">
        <f>แผนการก่อสร้าง!H84</f>
        <v>0</v>
      </c>
      <c r="H79" s="760"/>
      <c r="I79" s="760"/>
      <c r="J79" s="762"/>
      <c r="L79" s="495">
        <f t="shared" si="2"/>
        <v>0</v>
      </c>
      <c r="M79" s="495">
        <f t="shared" si="3"/>
        <v>0</v>
      </c>
      <c r="O79" s="756"/>
      <c r="P79" s="499"/>
      <c r="Q79" s="499"/>
      <c r="R79" s="499"/>
      <c r="S79" s="499"/>
      <c r="T79" s="500"/>
      <c r="U79" s="499"/>
      <c r="V79" s="499"/>
      <c r="W79" s="499"/>
      <c r="X79" s="499"/>
      <c r="Y79" s="500"/>
      <c r="Z79" s="499"/>
      <c r="AA79" s="499"/>
      <c r="AB79" s="499"/>
      <c r="AC79" s="499"/>
      <c r="AD79" s="500"/>
      <c r="AE79" s="499"/>
      <c r="AF79" s="499"/>
      <c r="AG79" s="499"/>
      <c r="AH79" s="499"/>
      <c r="AI79" s="500"/>
      <c r="AJ79" s="499"/>
      <c r="AK79" s="499"/>
      <c r="AL79" s="499"/>
      <c r="AM79" s="499"/>
      <c r="AN79" s="500"/>
      <c r="AO79" s="499"/>
      <c r="AP79" s="499"/>
      <c r="AQ79" s="499"/>
      <c r="AR79" s="499"/>
      <c r="AS79" s="500"/>
      <c r="AT79" s="499"/>
      <c r="AU79" s="499"/>
      <c r="AV79" s="499"/>
      <c r="AW79" s="499"/>
      <c r="AX79" s="500"/>
      <c r="AY79" s="499"/>
      <c r="AZ79" s="499"/>
      <c r="BA79" s="499"/>
      <c r="BB79" s="499"/>
      <c r="BC79" s="500"/>
      <c r="BD79" s="499"/>
      <c r="BE79" s="499"/>
      <c r="BF79" s="499"/>
      <c r="BG79" s="499"/>
      <c r="BH79" s="500"/>
    </row>
    <row r="80" spans="2:60" ht="9" customHeight="1" x14ac:dyDescent="0.15">
      <c r="B80" s="717">
        <v>3.1</v>
      </c>
      <c r="C80" s="764" t="s">
        <v>105</v>
      </c>
      <c r="D80" s="721" t="s">
        <v>6</v>
      </c>
      <c r="E80" s="723">
        <v>1</v>
      </c>
      <c r="F80" s="725">
        <f>แผนการก่อสร้าง!G85</f>
        <v>0.1623</v>
      </c>
      <c r="G80" s="727">
        <f>แผนการก่อสร้าง!H85</f>
        <v>16.23</v>
      </c>
      <c r="H80" s="729">
        <v>20579504</v>
      </c>
      <c r="I80" s="731">
        <v>20579504</v>
      </c>
      <c r="J80" s="733">
        <v>8.6288971295491539</v>
      </c>
      <c r="L80" s="495">
        <f t="shared" si="2"/>
        <v>0</v>
      </c>
      <c r="M80" s="495">
        <f t="shared" si="3"/>
        <v>0</v>
      </c>
      <c r="O80" s="764" t="s">
        <v>105</v>
      </c>
      <c r="P80" s="499"/>
      <c r="Q80" s="499"/>
      <c r="R80" s="499"/>
      <c r="S80" s="499"/>
      <c r="T80" s="500"/>
      <c r="U80" s="499"/>
      <c r="V80" s="499"/>
      <c r="W80" s="499"/>
      <c r="X80" s="499"/>
      <c r="Y80" s="500"/>
      <c r="Z80" s="499"/>
      <c r="AA80" s="499"/>
      <c r="AB80" s="499"/>
      <c r="AC80" s="499"/>
      <c r="AD80" s="500"/>
      <c r="AE80" s="499"/>
      <c r="AF80" s="499"/>
      <c r="AG80" s="499"/>
      <c r="AH80" s="499"/>
      <c r="AI80" s="500"/>
      <c r="AJ80" s="499"/>
      <c r="AK80" s="499"/>
      <c r="AL80" s="499"/>
      <c r="AM80" s="499"/>
      <c r="AN80" s="500"/>
      <c r="AO80" s="499"/>
      <c r="AP80" s="499"/>
      <c r="AQ80" s="499"/>
      <c r="AR80" s="499"/>
      <c r="AS80" s="500"/>
      <c r="AT80" s="499"/>
      <c r="AU80" s="499"/>
      <c r="AV80" s="499"/>
      <c r="AW80" s="499"/>
      <c r="AX80" s="500"/>
      <c r="AY80" s="499"/>
      <c r="AZ80" s="499"/>
      <c r="BA80" s="499"/>
      <c r="BB80" s="499"/>
      <c r="BC80" s="500"/>
      <c r="BD80" s="499"/>
      <c r="BE80" s="499"/>
      <c r="BF80" s="499"/>
      <c r="BG80" s="499"/>
      <c r="BH80" s="500"/>
    </row>
    <row r="81" spans="2:60" ht="9" customHeight="1" x14ac:dyDescent="0.15">
      <c r="B81" s="718"/>
      <c r="C81" s="765"/>
      <c r="D81" s="722"/>
      <c r="E81" s="724"/>
      <c r="F81" s="726"/>
      <c r="G81" s="728"/>
      <c r="H81" s="730"/>
      <c r="I81" s="732"/>
      <c r="J81" s="734"/>
      <c r="L81" s="495">
        <f t="shared" si="2"/>
        <v>3340000</v>
      </c>
      <c r="M81" s="495">
        <f t="shared" si="3"/>
        <v>3340000</v>
      </c>
      <c r="O81" s="765"/>
      <c r="P81" s="495">
        <v>0</v>
      </c>
      <c r="Q81" s="495">
        <v>0</v>
      </c>
      <c r="R81" s="495">
        <v>0</v>
      </c>
      <c r="S81" s="495">
        <v>0</v>
      </c>
      <c r="T81" s="495">
        <f>SUM(P81:S81)</f>
        <v>0</v>
      </c>
      <c r="U81" s="495">
        <v>0</v>
      </c>
      <c r="V81" s="495">
        <v>0</v>
      </c>
      <c r="W81" s="495">
        <v>3340000</v>
      </c>
      <c r="X81" s="495">
        <v>0</v>
      </c>
      <c r="Y81" s="495">
        <f>SUM(U81:X81)</f>
        <v>3340000</v>
      </c>
      <c r="Z81" s="495">
        <v>0</v>
      </c>
      <c r="AA81" s="495">
        <v>0</v>
      </c>
      <c r="AB81" s="495">
        <v>0</v>
      </c>
      <c r="AC81" s="495"/>
      <c r="AD81" s="495">
        <f>SUM(Z81:AC81)</f>
        <v>0</v>
      </c>
      <c r="AE81" s="495">
        <v>0</v>
      </c>
      <c r="AF81" s="495">
        <v>0</v>
      </c>
      <c r="AG81" s="495">
        <v>0</v>
      </c>
      <c r="AH81" s="495">
        <v>0</v>
      </c>
      <c r="AI81" s="495">
        <f>SUM(AE81:AH81)</f>
        <v>0</v>
      </c>
      <c r="AJ81" s="495">
        <v>0</v>
      </c>
      <c r="AK81" s="495">
        <v>0</v>
      </c>
      <c r="AL81" s="495">
        <v>0</v>
      </c>
      <c r="AM81" s="495">
        <v>0</v>
      </c>
      <c r="AN81" s="495">
        <f>SUM(AJ81:AM81)</f>
        <v>0</v>
      </c>
      <c r="AO81" s="495">
        <v>0</v>
      </c>
      <c r="AP81" s="495">
        <v>0</v>
      </c>
      <c r="AQ81" s="495">
        <v>0</v>
      </c>
      <c r="AR81" s="495">
        <v>0</v>
      </c>
      <c r="AS81" s="495">
        <f>SUM(AO81:AR81)</f>
        <v>0</v>
      </c>
      <c r="AT81" s="495">
        <v>0</v>
      </c>
      <c r="AU81" s="495">
        <v>0</v>
      </c>
      <c r="AV81" s="495">
        <v>0</v>
      </c>
      <c r="AW81" s="495">
        <v>0</v>
      </c>
      <c r="AX81" s="495">
        <f>SUM(AT81:AW81)</f>
        <v>0</v>
      </c>
      <c r="AY81" s="495">
        <v>0</v>
      </c>
      <c r="AZ81" s="495">
        <v>0</v>
      </c>
      <c r="BA81" s="495">
        <v>0</v>
      </c>
      <c r="BB81" s="495">
        <v>0</v>
      </c>
      <c r="BC81" s="495">
        <f>SUM(AY81:BB81)</f>
        <v>0</v>
      </c>
      <c r="BD81" s="495">
        <v>0</v>
      </c>
      <c r="BE81" s="495">
        <v>0</v>
      </c>
      <c r="BF81" s="495">
        <v>0</v>
      </c>
      <c r="BG81" s="495">
        <v>0</v>
      </c>
      <c r="BH81" s="495">
        <f>SUM(BD81:BG81)</f>
        <v>0</v>
      </c>
    </row>
    <row r="82" spans="2:60" ht="9" customHeight="1" x14ac:dyDescent="0.15">
      <c r="B82" s="717">
        <v>3.2</v>
      </c>
      <c r="C82" s="764" t="s">
        <v>107</v>
      </c>
      <c r="D82" s="721" t="s">
        <v>6</v>
      </c>
      <c r="E82" s="723">
        <v>1</v>
      </c>
      <c r="F82" s="725">
        <f>แผนการก่อสร้าง!G87</f>
        <v>0.26985999999999999</v>
      </c>
      <c r="G82" s="727">
        <f>แผนการก่อสร้าง!H87</f>
        <v>26.986000000000001</v>
      </c>
      <c r="H82" s="729">
        <v>17824270</v>
      </c>
      <c r="I82" s="731">
        <v>17824270</v>
      </c>
      <c r="J82" s="733">
        <v>7.473639415182654</v>
      </c>
      <c r="L82" s="495">
        <f t="shared" si="2"/>
        <v>0</v>
      </c>
      <c r="M82" s="495">
        <f t="shared" si="3"/>
        <v>0</v>
      </c>
      <c r="O82" s="764" t="s">
        <v>107</v>
      </c>
      <c r="P82" s="499"/>
      <c r="Q82" s="499"/>
      <c r="R82" s="499"/>
      <c r="S82" s="499"/>
      <c r="T82" s="500"/>
      <c r="U82" s="499"/>
      <c r="V82" s="499"/>
      <c r="W82" s="499"/>
      <c r="X82" s="499"/>
      <c r="Y82" s="500"/>
      <c r="Z82" s="499"/>
      <c r="AA82" s="499"/>
      <c r="AB82" s="499"/>
      <c r="AC82" s="499"/>
      <c r="AD82" s="500"/>
      <c r="AE82" s="499"/>
      <c r="AF82" s="499"/>
      <c r="AG82" s="499"/>
      <c r="AH82" s="499"/>
      <c r="AI82" s="500"/>
      <c r="AJ82" s="499"/>
      <c r="AK82" s="499"/>
      <c r="AL82" s="499"/>
      <c r="AM82" s="499"/>
      <c r="AN82" s="500"/>
      <c r="AO82" s="499"/>
      <c r="AP82" s="499"/>
      <c r="AQ82" s="499"/>
      <c r="AR82" s="499"/>
      <c r="AS82" s="500"/>
      <c r="AT82" s="499"/>
      <c r="AU82" s="499"/>
      <c r="AV82" s="499"/>
      <c r="AW82" s="499"/>
      <c r="AX82" s="500"/>
      <c r="AY82" s="499"/>
      <c r="AZ82" s="499"/>
      <c r="BA82" s="499"/>
      <c r="BB82" s="499"/>
      <c r="BC82" s="500"/>
      <c r="BD82" s="499"/>
      <c r="BE82" s="499"/>
      <c r="BF82" s="499"/>
      <c r="BG82" s="499"/>
      <c r="BH82" s="500"/>
    </row>
    <row r="83" spans="2:60" ht="9" customHeight="1" x14ac:dyDescent="0.15">
      <c r="B83" s="718"/>
      <c r="C83" s="765"/>
      <c r="D83" s="722"/>
      <c r="E83" s="724"/>
      <c r="F83" s="726"/>
      <c r="G83" s="728"/>
      <c r="H83" s="730"/>
      <c r="I83" s="732"/>
      <c r="J83" s="734"/>
      <c r="L83" s="495">
        <f t="shared" si="2"/>
        <v>4810000</v>
      </c>
      <c r="M83" s="495">
        <f t="shared" si="3"/>
        <v>4810000</v>
      </c>
      <c r="O83" s="765"/>
      <c r="P83" s="495">
        <v>0</v>
      </c>
      <c r="Q83" s="495">
        <v>0</v>
      </c>
      <c r="R83" s="495">
        <v>0</v>
      </c>
      <c r="S83" s="495">
        <v>0</v>
      </c>
      <c r="T83" s="495">
        <f>SUM(P83:S83)</f>
        <v>0</v>
      </c>
      <c r="U83" s="495">
        <v>0</v>
      </c>
      <c r="V83" s="495">
        <v>0</v>
      </c>
      <c r="W83" s="495">
        <v>0</v>
      </c>
      <c r="X83" s="495">
        <v>0</v>
      </c>
      <c r="Y83" s="495">
        <f>SUM(U83:X83)</f>
        <v>0</v>
      </c>
      <c r="Z83" s="495">
        <v>0</v>
      </c>
      <c r="AA83" s="495">
        <v>0</v>
      </c>
      <c r="AB83" s="495">
        <v>0</v>
      </c>
      <c r="AC83" s="495">
        <v>4810000</v>
      </c>
      <c r="AD83" s="495">
        <f>SUM(Z83:AC83)</f>
        <v>4810000</v>
      </c>
      <c r="AE83" s="495">
        <v>0</v>
      </c>
      <c r="AF83" s="495">
        <v>0</v>
      </c>
      <c r="AG83" s="495">
        <v>0</v>
      </c>
      <c r="AH83" s="495">
        <v>0</v>
      </c>
      <c r="AI83" s="495">
        <f>SUM(AE83:AH83)</f>
        <v>0</v>
      </c>
      <c r="AJ83" s="495">
        <v>0</v>
      </c>
      <c r="AK83" s="495">
        <v>0</v>
      </c>
      <c r="AL83" s="495">
        <v>0</v>
      </c>
      <c r="AM83" s="495">
        <v>0</v>
      </c>
      <c r="AN83" s="495">
        <f>SUM(AJ83:AM83)</f>
        <v>0</v>
      </c>
      <c r="AO83" s="495">
        <v>0</v>
      </c>
      <c r="AP83" s="495">
        <v>0</v>
      </c>
      <c r="AQ83" s="495">
        <v>0</v>
      </c>
      <c r="AR83" s="495">
        <v>0</v>
      </c>
      <c r="AS83" s="495">
        <f>SUM(AO83:AR83)</f>
        <v>0</v>
      </c>
      <c r="AT83" s="495">
        <v>0</v>
      </c>
      <c r="AU83" s="495">
        <v>0</v>
      </c>
      <c r="AV83" s="495">
        <v>0</v>
      </c>
      <c r="AW83" s="495">
        <v>0</v>
      </c>
      <c r="AX83" s="495">
        <f>SUM(AT83:AW83)</f>
        <v>0</v>
      </c>
      <c r="AY83" s="495">
        <v>0</v>
      </c>
      <c r="AZ83" s="495">
        <v>0</v>
      </c>
      <c r="BA83" s="495">
        <v>0</v>
      </c>
      <c r="BB83" s="495">
        <v>0</v>
      </c>
      <c r="BC83" s="495">
        <f>SUM(AY83:BB83)</f>
        <v>0</v>
      </c>
      <c r="BD83" s="495">
        <v>0</v>
      </c>
      <c r="BE83" s="495">
        <v>0</v>
      </c>
      <c r="BF83" s="495">
        <v>0</v>
      </c>
      <c r="BG83" s="495">
        <v>0</v>
      </c>
      <c r="BH83" s="495">
        <f>SUM(BD83:BG83)</f>
        <v>0</v>
      </c>
    </row>
    <row r="84" spans="2:60" ht="9" customHeight="1" x14ac:dyDescent="0.15">
      <c r="B84" s="717">
        <v>3.3</v>
      </c>
      <c r="C84" s="764" t="s">
        <v>108</v>
      </c>
      <c r="D84" s="721" t="s">
        <v>6</v>
      </c>
      <c r="E84" s="723">
        <v>1</v>
      </c>
      <c r="F84" s="725">
        <f>แผนการก่อสร้าง!G89</f>
        <v>0.21559</v>
      </c>
      <c r="G84" s="727">
        <f>แผนการก่อสร้าง!H89</f>
        <v>21.559000000000001</v>
      </c>
      <c r="H84" s="729">
        <v>24768803</v>
      </c>
      <c r="I84" s="731">
        <v>24768803</v>
      </c>
      <c r="J84" s="733">
        <v>10.385452103659469</v>
      </c>
      <c r="L84" s="495">
        <f t="shared" si="2"/>
        <v>0</v>
      </c>
      <c r="M84" s="495">
        <f t="shared" si="3"/>
        <v>0</v>
      </c>
      <c r="O84" s="764" t="s">
        <v>108</v>
      </c>
      <c r="P84" s="499"/>
      <c r="Q84" s="499"/>
      <c r="R84" s="499"/>
      <c r="S84" s="499"/>
      <c r="T84" s="500"/>
      <c r="U84" s="499"/>
      <c r="V84" s="499"/>
      <c r="W84" s="499"/>
      <c r="X84" s="499"/>
      <c r="Y84" s="500"/>
      <c r="Z84" s="499"/>
      <c r="AA84" s="499"/>
      <c r="AB84" s="499"/>
      <c r="AC84" s="499"/>
      <c r="AD84" s="500"/>
      <c r="AE84" s="499"/>
      <c r="AF84" s="499"/>
      <c r="AG84" s="499"/>
      <c r="AH84" s="499"/>
      <c r="AI84" s="500"/>
      <c r="AJ84" s="499"/>
      <c r="AK84" s="499"/>
      <c r="AL84" s="499"/>
      <c r="AM84" s="499"/>
      <c r="AN84" s="500"/>
      <c r="AO84" s="499"/>
      <c r="AP84" s="499"/>
      <c r="AQ84" s="499"/>
      <c r="AR84" s="499"/>
      <c r="AS84" s="500"/>
      <c r="AT84" s="499"/>
      <c r="AU84" s="499"/>
      <c r="AV84" s="499"/>
      <c r="AW84" s="499"/>
      <c r="AX84" s="500"/>
      <c r="AY84" s="499"/>
      <c r="AZ84" s="499"/>
      <c r="BA84" s="499"/>
      <c r="BB84" s="499"/>
      <c r="BC84" s="500"/>
      <c r="BD84" s="499"/>
      <c r="BE84" s="499"/>
      <c r="BF84" s="499"/>
      <c r="BG84" s="499"/>
      <c r="BH84" s="500"/>
    </row>
    <row r="85" spans="2:60" ht="9" customHeight="1" x14ac:dyDescent="0.15">
      <c r="B85" s="718"/>
      <c r="C85" s="765"/>
      <c r="D85" s="722"/>
      <c r="E85" s="724"/>
      <c r="F85" s="726"/>
      <c r="G85" s="728"/>
      <c r="H85" s="730"/>
      <c r="I85" s="732"/>
      <c r="J85" s="734"/>
      <c r="L85" s="495">
        <f t="shared" si="2"/>
        <v>5340000</v>
      </c>
      <c r="M85" s="495">
        <f t="shared" si="3"/>
        <v>5340000</v>
      </c>
      <c r="O85" s="765"/>
      <c r="P85" s="495">
        <v>0</v>
      </c>
      <c r="Q85" s="495">
        <v>0</v>
      </c>
      <c r="R85" s="495">
        <v>0</v>
      </c>
      <c r="S85" s="495">
        <v>0</v>
      </c>
      <c r="T85" s="495">
        <f>SUM(P85:S85)</f>
        <v>0</v>
      </c>
      <c r="U85" s="495">
        <v>0</v>
      </c>
      <c r="V85" s="495">
        <v>0</v>
      </c>
      <c r="W85" s="495">
        <v>5340000</v>
      </c>
      <c r="X85" s="495">
        <v>0</v>
      </c>
      <c r="Y85" s="495">
        <f>SUM(U85:X85)</f>
        <v>5340000</v>
      </c>
      <c r="Z85" s="495">
        <v>0</v>
      </c>
      <c r="AA85" s="495">
        <v>0</v>
      </c>
      <c r="AB85" s="495">
        <v>0</v>
      </c>
      <c r="AC85" s="495">
        <v>0</v>
      </c>
      <c r="AD85" s="495">
        <f>SUM(Z85:AC85)</f>
        <v>0</v>
      </c>
      <c r="AE85" s="495">
        <v>0</v>
      </c>
      <c r="AF85" s="495">
        <v>0</v>
      </c>
      <c r="AG85" s="495">
        <v>0</v>
      </c>
      <c r="AH85" s="495">
        <v>0</v>
      </c>
      <c r="AI85" s="495">
        <f>SUM(AE85:AH85)</f>
        <v>0</v>
      </c>
      <c r="AJ85" s="495">
        <v>0</v>
      </c>
      <c r="AK85" s="495">
        <v>0</v>
      </c>
      <c r="AL85" s="495">
        <v>0</v>
      </c>
      <c r="AM85" s="495">
        <v>0</v>
      </c>
      <c r="AN85" s="495">
        <f>SUM(AJ85:AM85)</f>
        <v>0</v>
      </c>
      <c r="AO85" s="495">
        <v>0</v>
      </c>
      <c r="AP85" s="495">
        <v>0</v>
      </c>
      <c r="AQ85" s="495">
        <v>0</v>
      </c>
      <c r="AR85" s="495">
        <v>0</v>
      </c>
      <c r="AS85" s="495">
        <f>SUM(AO85:AR85)</f>
        <v>0</v>
      </c>
      <c r="AT85" s="495">
        <v>0</v>
      </c>
      <c r="AU85" s="495">
        <v>0</v>
      </c>
      <c r="AV85" s="495">
        <v>0</v>
      </c>
      <c r="AW85" s="495">
        <v>0</v>
      </c>
      <c r="AX85" s="495">
        <f>SUM(AT85:AW85)</f>
        <v>0</v>
      </c>
      <c r="AY85" s="495">
        <v>0</v>
      </c>
      <c r="AZ85" s="495">
        <v>0</v>
      </c>
      <c r="BA85" s="495">
        <v>0</v>
      </c>
      <c r="BB85" s="495">
        <v>0</v>
      </c>
      <c r="BC85" s="495">
        <f>SUM(AY85:BB85)</f>
        <v>0</v>
      </c>
      <c r="BD85" s="495">
        <v>0</v>
      </c>
      <c r="BE85" s="495">
        <v>0</v>
      </c>
      <c r="BF85" s="495">
        <v>0</v>
      </c>
      <c r="BG85" s="495">
        <v>0</v>
      </c>
      <c r="BH85" s="495">
        <f>SUM(BD85:BG85)</f>
        <v>0</v>
      </c>
    </row>
    <row r="86" spans="2:60" ht="9" customHeight="1" x14ac:dyDescent="0.15">
      <c r="B86" s="717">
        <v>3.4</v>
      </c>
      <c r="C86" s="764" t="s">
        <v>109</v>
      </c>
      <c r="D86" s="721" t="s">
        <v>6</v>
      </c>
      <c r="E86" s="723">
        <v>1</v>
      </c>
      <c r="F86" s="725">
        <f>แผนการก่อสร้าง!G91</f>
        <v>0</v>
      </c>
      <c r="G86" s="727">
        <f>แผนการก่อสร้าง!H91</f>
        <v>0</v>
      </c>
      <c r="H86" s="729">
        <v>2252864</v>
      </c>
      <c r="I86" s="731">
        <v>2252864</v>
      </c>
      <c r="J86" s="733">
        <v>0.94461614346315748</v>
      </c>
      <c r="L86" s="495">
        <f t="shared" si="2"/>
        <v>0</v>
      </c>
      <c r="M86" s="495">
        <f t="shared" si="3"/>
        <v>0</v>
      </c>
      <c r="O86" s="764" t="s">
        <v>109</v>
      </c>
      <c r="P86" s="499"/>
      <c r="Q86" s="499"/>
      <c r="R86" s="499"/>
      <c r="S86" s="499"/>
      <c r="T86" s="500"/>
      <c r="U86" s="499"/>
      <c r="V86" s="499"/>
      <c r="W86" s="499"/>
      <c r="X86" s="499"/>
      <c r="Y86" s="500"/>
      <c r="Z86" s="499"/>
      <c r="AA86" s="499"/>
      <c r="AB86" s="499"/>
      <c r="AC86" s="499"/>
      <c r="AD86" s="500"/>
      <c r="AE86" s="499"/>
      <c r="AF86" s="499"/>
      <c r="AG86" s="499"/>
      <c r="AH86" s="499"/>
      <c r="AI86" s="500"/>
      <c r="AJ86" s="499"/>
      <c r="AK86" s="499"/>
      <c r="AL86" s="499"/>
      <c r="AM86" s="499"/>
      <c r="AN86" s="500"/>
      <c r="AO86" s="499"/>
      <c r="AP86" s="499"/>
      <c r="AQ86" s="499"/>
      <c r="AR86" s="499"/>
      <c r="AS86" s="500"/>
      <c r="AT86" s="499"/>
      <c r="AU86" s="499"/>
      <c r="AV86" s="499"/>
      <c r="AW86" s="499"/>
      <c r="AX86" s="500"/>
      <c r="AY86" s="499"/>
      <c r="AZ86" s="499"/>
      <c r="BA86" s="499"/>
      <c r="BB86" s="499"/>
      <c r="BC86" s="500"/>
      <c r="BD86" s="499"/>
      <c r="BE86" s="499"/>
      <c r="BF86" s="499"/>
      <c r="BG86" s="499"/>
      <c r="BH86" s="500"/>
    </row>
    <row r="87" spans="2:60" ht="9" customHeight="1" x14ac:dyDescent="0.15">
      <c r="B87" s="718"/>
      <c r="C87" s="765"/>
      <c r="D87" s="722"/>
      <c r="E87" s="724"/>
      <c r="F87" s="726"/>
      <c r="G87" s="728"/>
      <c r="H87" s="730"/>
      <c r="I87" s="732"/>
      <c r="J87" s="734"/>
      <c r="L87" s="495">
        <f t="shared" si="2"/>
        <v>0</v>
      </c>
      <c r="M87" s="495">
        <f t="shared" si="3"/>
        <v>0</v>
      </c>
      <c r="O87" s="765"/>
      <c r="P87" s="495">
        <v>0</v>
      </c>
      <c r="Q87" s="495">
        <v>0</v>
      </c>
      <c r="R87" s="495">
        <v>0</v>
      </c>
      <c r="S87" s="495">
        <v>0</v>
      </c>
      <c r="T87" s="495">
        <f>SUM(P87:S87)</f>
        <v>0</v>
      </c>
      <c r="U87" s="495">
        <v>0</v>
      </c>
      <c r="V87" s="495">
        <v>0</v>
      </c>
      <c r="W87" s="495">
        <v>0</v>
      </c>
      <c r="X87" s="495">
        <v>0</v>
      </c>
      <c r="Y87" s="495">
        <f>SUM(U87:X87)</f>
        <v>0</v>
      </c>
      <c r="Z87" s="495">
        <v>0</v>
      </c>
      <c r="AA87" s="495">
        <v>0</v>
      </c>
      <c r="AB87" s="495">
        <v>0</v>
      </c>
      <c r="AC87" s="495">
        <v>0</v>
      </c>
      <c r="AD87" s="495">
        <f>SUM(Z87:AC87)</f>
        <v>0</v>
      </c>
      <c r="AE87" s="495">
        <v>0</v>
      </c>
      <c r="AF87" s="495">
        <v>0</v>
      </c>
      <c r="AG87" s="495">
        <v>0</v>
      </c>
      <c r="AH87" s="495">
        <v>0</v>
      </c>
      <c r="AI87" s="495">
        <f>SUM(AE87:AH87)</f>
        <v>0</v>
      </c>
      <c r="AJ87" s="495">
        <v>0</v>
      </c>
      <c r="AK87" s="495">
        <v>0</v>
      </c>
      <c r="AL87" s="495">
        <v>0</v>
      </c>
      <c r="AM87" s="495">
        <v>0</v>
      </c>
      <c r="AN87" s="495">
        <f>SUM(AJ87:AM87)</f>
        <v>0</v>
      </c>
      <c r="AO87" s="495">
        <v>0</v>
      </c>
      <c r="AP87" s="495">
        <v>0</v>
      </c>
      <c r="AQ87" s="495">
        <v>0</v>
      </c>
      <c r="AR87" s="495">
        <v>0</v>
      </c>
      <c r="AS87" s="495">
        <f>SUM(AO87:AR87)</f>
        <v>0</v>
      </c>
      <c r="AT87" s="495">
        <v>0</v>
      </c>
      <c r="AU87" s="495">
        <v>0</v>
      </c>
      <c r="AV87" s="495">
        <v>0</v>
      </c>
      <c r="AW87" s="495">
        <v>0</v>
      </c>
      <c r="AX87" s="495">
        <f>SUM(AT87:AW87)</f>
        <v>0</v>
      </c>
      <c r="AY87" s="495">
        <v>0</v>
      </c>
      <c r="AZ87" s="495">
        <v>0</v>
      </c>
      <c r="BA87" s="495">
        <v>0</v>
      </c>
      <c r="BB87" s="495">
        <v>0</v>
      </c>
      <c r="BC87" s="495">
        <f>SUM(AY87:BB87)</f>
        <v>0</v>
      </c>
      <c r="BD87" s="495">
        <v>0</v>
      </c>
      <c r="BE87" s="495">
        <v>0</v>
      </c>
      <c r="BF87" s="495">
        <v>0</v>
      </c>
      <c r="BG87" s="495">
        <v>0</v>
      </c>
      <c r="BH87" s="495">
        <f>SUM(BD87:BG87)</f>
        <v>0</v>
      </c>
    </row>
    <row r="88" spans="2:60" ht="9" customHeight="1" x14ac:dyDescent="0.15">
      <c r="B88" s="717">
        <v>3.5</v>
      </c>
      <c r="C88" s="764" t="s">
        <v>110</v>
      </c>
      <c r="D88" s="721" t="s">
        <v>6</v>
      </c>
      <c r="E88" s="723">
        <v>1</v>
      </c>
      <c r="F88" s="725">
        <f>แผนการก่อสร้าง!G93</f>
        <v>0</v>
      </c>
      <c r="G88" s="727">
        <f>แผนการก่อสร้าง!H93</f>
        <v>0</v>
      </c>
      <c r="H88" s="729">
        <v>1866144</v>
      </c>
      <c r="I88" s="731">
        <v>1866144</v>
      </c>
      <c r="J88" s="733">
        <v>0.78246611798444587</v>
      </c>
      <c r="L88" s="495">
        <f t="shared" si="2"/>
        <v>0</v>
      </c>
      <c r="M88" s="495">
        <f t="shared" si="3"/>
        <v>0</v>
      </c>
      <c r="O88" s="764" t="s">
        <v>110</v>
      </c>
      <c r="P88" s="499"/>
      <c r="Q88" s="499"/>
      <c r="R88" s="499"/>
      <c r="S88" s="499"/>
      <c r="T88" s="500"/>
      <c r="U88" s="499"/>
      <c r="V88" s="499"/>
      <c r="W88" s="499"/>
      <c r="X88" s="499"/>
      <c r="Y88" s="500"/>
      <c r="Z88" s="499"/>
      <c r="AA88" s="499"/>
      <c r="AB88" s="499"/>
      <c r="AC88" s="499"/>
      <c r="AD88" s="500"/>
      <c r="AE88" s="499"/>
      <c r="AF88" s="499"/>
      <c r="AG88" s="499"/>
      <c r="AH88" s="499"/>
      <c r="AI88" s="500"/>
      <c r="AJ88" s="499"/>
      <c r="AK88" s="499"/>
      <c r="AL88" s="499"/>
      <c r="AM88" s="499"/>
      <c r="AN88" s="500"/>
      <c r="AO88" s="499"/>
      <c r="AP88" s="499"/>
      <c r="AQ88" s="499"/>
      <c r="AR88" s="499"/>
      <c r="AS88" s="500"/>
      <c r="AT88" s="499"/>
      <c r="AU88" s="499"/>
      <c r="AV88" s="499"/>
      <c r="AW88" s="499"/>
      <c r="AX88" s="500"/>
      <c r="AY88" s="499"/>
      <c r="AZ88" s="499"/>
      <c r="BA88" s="499"/>
      <c r="BB88" s="499"/>
      <c r="BC88" s="500"/>
      <c r="BD88" s="499"/>
      <c r="BE88" s="499"/>
      <c r="BF88" s="499"/>
      <c r="BG88" s="499"/>
      <c r="BH88" s="500"/>
    </row>
    <row r="89" spans="2:60" ht="9" customHeight="1" x14ac:dyDescent="0.15">
      <c r="B89" s="718"/>
      <c r="C89" s="765"/>
      <c r="D89" s="722"/>
      <c r="E89" s="724"/>
      <c r="F89" s="726"/>
      <c r="G89" s="728"/>
      <c r="H89" s="730"/>
      <c r="I89" s="732"/>
      <c r="J89" s="734"/>
      <c r="L89" s="495">
        <f t="shared" si="2"/>
        <v>0</v>
      </c>
      <c r="M89" s="495">
        <f t="shared" si="3"/>
        <v>0</v>
      </c>
      <c r="O89" s="765"/>
      <c r="P89" s="495">
        <v>0</v>
      </c>
      <c r="Q89" s="495">
        <v>0</v>
      </c>
      <c r="R89" s="495">
        <v>0</v>
      </c>
      <c r="S89" s="495">
        <v>0</v>
      </c>
      <c r="T89" s="495">
        <f>SUM(P89:S89)</f>
        <v>0</v>
      </c>
      <c r="U89" s="495">
        <v>0</v>
      </c>
      <c r="V89" s="495">
        <v>0</v>
      </c>
      <c r="W89" s="495">
        <v>0</v>
      </c>
      <c r="X89" s="495">
        <v>0</v>
      </c>
      <c r="Y89" s="495">
        <f>SUM(U89:X89)</f>
        <v>0</v>
      </c>
      <c r="Z89" s="495">
        <v>0</v>
      </c>
      <c r="AA89" s="495">
        <v>0</v>
      </c>
      <c r="AB89" s="495">
        <v>0</v>
      </c>
      <c r="AC89" s="495">
        <v>0</v>
      </c>
      <c r="AD89" s="495">
        <f>SUM(Z89:AC89)</f>
        <v>0</v>
      </c>
      <c r="AE89" s="495">
        <v>0</v>
      </c>
      <c r="AF89" s="495">
        <v>0</v>
      </c>
      <c r="AG89" s="495">
        <v>0</v>
      </c>
      <c r="AH89" s="495">
        <v>0</v>
      </c>
      <c r="AI89" s="495">
        <f>SUM(AE89:AH89)</f>
        <v>0</v>
      </c>
      <c r="AJ89" s="495">
        <v>0</v>
      </c>
      <c r="AK89" s="495">
        <v>0</v>
      </c>
      <c r="AL89" s="495">
        <v>0</v>
      </c>
      <c r="AM89" s="495">
        <v>0</v>
      </c>
      <c r="AN89" s="495">
        <f>SUM(AJ89:AM89)</f>
        <v>0</v>
      </c>
      <c r="AO89" s="495">
        <v>0</v>
      </c>
      <c r="AP89" s="495">
        <v>0</v>
      </c>
      <c r="AQ89" s="495">
        <v>0</v>
      </c>
      <c r="AR89" s="495">
        <v>0</v>
      </c>
      <c r="AS89" s="495">
        <f>SUM(AO89:AR89)</f>
        <v>0</v>
      </c>
      <c r="AT89" s="495">
        <v>0</v>
      </c>
      <c r="AU89" s="495">
        <v>0</v>
      </c>
      <c r="AV89" s="495">
        <v>0</v>
      </c>
      <c r="AW89" s="495">
        <v>0</v>
      </c>
      <c r="AX89" s="495">
        <f>SUM(AT89:AW89)</f>
        <v>0</v>
      </c>
      <c r="AY89" s="495">
        <v>0</v>
      </c>
      <c r="AZ89" s="495">
        <v>0</v>
      </c>
      <c r="BA89" s="495">
        <v>0</v>
      </c>
      <c r="BB89" s="495">
        <v>0</v>
      </c>
      <c r="BC89" s="495">
        <f>SUM(AY89:BB89)</f>
        <v>0</v>
      </c>
      <c r="BD89" s="495">
        <v>0</v>
      </c>
      <c r="BE89" s="495">
        <v>0</v>
      </c>
      <c r="BF89" s="495">
        <v>0</v>
      </c>
      <c r="BG89" s="495">
        <v>0</v>
      </c>
      <c r="BH89" s="495">
        <f>SUM(BD89:BG89)</f>
        <v>0</v>
      </c>
    </row>
    <row r="90" spans="2:60" ht="9" customHeight="1" x14ac:dyDescent="0.15">
      <c r="B90" s="717">
        <v>3.6</v>
      </c>
      <c r="C90" s="764" t="s">
        <v>111</v>
      </c>
      <c r="D90" s="721" t="s">
        <v>6</v>
      </c>
      <c r="E90" s="723">
        <v>1</v>
      </c>
      <c r="F90" s="725">
        <f>แผนการก่อสร้าง!G95</f>
        <v>0.77425999999999984</v>
      </c>
      <c r="G90" s="727">
        <f>แผนการก่อสร้าง!H95</f>
        <v>77.425999999999988</v>
      </c>
      <c r="H90" s="729">
        <v>15408281</v>
      </c>
      <c r="I90" s="731">
        <v>15408281</v>
      </c>
      <c r="J90" s="733">
        <v>6.4606256638734711</v>
      </c>
      <c r="L90" s="495">
        <f t="shared" si="2"/>
        <v>0</v>
      </c>
      <c r="M90" s="495">
        <f t="shared" si="3"/>
        <v>0</v>
      </c>
      <c r="O90" s="764" t="s">
        <v>111</v>
      </c>
      <c r="P90" s="499"/>
      <c r="Q90" s="499"/>
      <c r="R90" s="499"/>
      <c r="S90" s="499"/>
      <c r="T90" s="500"/>
      <c r="U90" s="499"/>
      <c r="V90" s="499"/>
      <c r="W90" s="499"/>
      <c r="X90" s="499"/>
      <c r="Y90" s="500"/>
      <c r="Z90" s="499"/>
      <c r="AA90" s="499"/>
      <c r="AB90" s="499"/>
      <c r="AC90" s="499"/>
      <c r="AD90" s="500"/>
      <c r="AE90" s="499"/>
      <c r="AF90" s="499"/>
      <c r="AG90" s="499"/>
      <c r="AH90" s="499"/>
      <c r="AI90" s="500"/>
      <c r="AJ90" s="499"/>
      <c r="AK90" s="499"/>
      <c r="AL90" s="499"/>
      <c r="AM90" s="499"/>
      <c r="AN90" s="500"/>
      <c r="AO90" s="499"/>
      <c r="AP90" s="499"/>
      <c r="AQ90" s="499"/>
      <c r="AR90" s="499"/>
      <c r="AS90" s="500"/>
      <c r="AT90" s="499"/>
      <c r="AU90" s="499"/>
      <c r="AV90" s="499"/>
      <c r="AW90" s="499"/>
      <c r="AX90" s="500"/>
      <c r="AY90" s="499"/>
      <c r="AZ90" s="499"/>
      <c r="BA90" s="499"/>
      <c r="BB90" s="499"/>
      <c r="BC90" s="500"/>
      <c r="BD90" s="499"/>
      <c r="BE90" s="499"/>
      <c r="BF90" s="499"/>
      <c r="BG90" s="499"/>
      <c r="BH90" s="500"/>
    </row>
    <row r="91" spans="2:60" ht="9" customHeight="1" x14ac:dyDescent="0.15">
      <c r="B91" s="718"/>
      <c r="C91" s="765"/>
      <c r="D91" s="722"/>
      <c r="E91" s="724"/>
      <c r="F91" s="726"/>
      <c r="G91" s="728"/>
      <c r="H91" s="730"/>
      <c r="I91" s="732"/>
      <c r="J91" s="734"/>
      <c r="L91" s="495">
        <f t="shared" si="2"/>
        <v>11930000</v>
      </c>
      <c r="M91" s="495">
        <f t="shared" si="3"/>
        <v>11930000</v>
      </c>
      <c r="O91" s="765"/>
      <c r="P91" s="495">
        <v>0</v>
      </c>
      <c r="Q91" s="495">
        <v>0</v>
      </c>
      <c r="R91" s="495">
        <v>0</v>
      </c>
      <c r="S91" s="495">
        <v>0</v>
      </c>
      <c r="T91" s="495">
        <f>SUM(P91:S91)</f>
        <v>0</v>
      </c>
      <c r="U91" s="495">
        <v>0</v>
      </c>
      <c r="V91" s="495">
        <v>0</v>
      </c>
      <c r="W91" s="495">
        <v>3400000</v>
      </c>
      <c r="X91" s="495">
        <v>0</v>
      </c>
      <c r="Y91" s="495">
        <f>SUM(U91:X91)</f>
        <v>3400000</v>
      </c>
      <c r="Z91" s="495">
        <v>0</v>
      </c>
      <c r="AA91" s="495">
        <v>0</v>
      </c>
      <c r="AB91" s="495">
        <v>0</v>
      </c>
      <c r="AC91" s="495">
        <v>3400000</v>
      </c>
      <c r="AD91" s="495">
        <f>SUM(Z91:AC91)</f>
        <v>3400000</v>
      </c>
      <c r="AE91" s="495">
        <v>0</v>
      </c>
      <c r="AF91" s="495">
        <v>0</v>
      </c>
      <c r="AG91" s="495">
        <v>0</v>
      </c>
      <c r="AH91" s="495">
        <v>0</v>
      </c>
      <c r="AI91" s="495">
        <f>SUM(AE91:AH91)</f>
        <v>0</v>
      </c>
      <c r="AJ91" s="495">
        <v>0</v>
      </c>
      <c r="AK91" s="495">
        <v>0</v>
      </c>
      <c r="AL91" s="495">
        <v>0</v>
      </c>
      <c r="AM91" s="495">
        <v>0</v>
      </c>
      <c r="AN91" s="495">
        <f>SUM(AJ91:AM91)</f>
        <v>0</v>
      </c>
      <c r="AO91" s="495">
        <v>0</v>
      </c>
      <c r="AP91" s="495">
        <v>0</v>
      </c>
      <c r="AQ91" s="495">
        <v>0</v>
      </c>
      <c r="AR91" s="495">
        <v>0</v>
      </c>
      <c r="AS91" s="495">
        <f>SUM(AO91:AR91)</f>
        <v>0</v>
      </c>
      <c r="AT91" s="495">
        <v>0</v>
      </c>
      <c r="AU91" s="495">
        <v>0</v>
      </c>
      <c r="AV91" s="495">
        <v>0</v>
      </c>
      <c r="AW91" s="495">
        <v>0</v>
      </c>
      <c r="AX91" s="495">
        <f>SUM(AT91:AW91)</f>
        <v>0</v>
      </c>
      <c r="AY91" s="495">
        <v>0</v>
      </c>
      <c r="AZ91" s="495">
        <v>0</v>
      </c>
      <c r="BA91" s="495">
        <f>1710000+1710000+1710000</f>
        <v>5130000</v>
      </c>
      <c r="BB91" s="495">
        <v>0</v>
      </c>
      <c r="BC91" s="495">
        <f>SUM(AY91:BB91)</f>
        <v>5130000</v>
      </c>
      <c r="BD91" s="495">
        <v>0</v>
      </c>
      <c r="BE91" s="495">
        <v>0</v>
      </c>
      <c r="BF91" s="495">
        <v>0</v>
      </c>
      <c r="BG91" s="495">
        <v>0</v>
      </c>
      <c r="BH91" s="495">
        <f>SUM(BD91:BG91)</f>
        <v>0</v>
      </c>
    </row>
    <row r="92" spans="2:60" ht="9" customHeight="1" x14ac:dyDescent="0.15">
      <c r="B92" s="717">
        <v>3.7</v>
      </c>
      <c r="C92" s="764" t="s">
        <v>112</v>
      </c>
      <c r="D92" s="721" t="s">
        <v>6</v>
      </c>
      <c r="E92" s="723">
        <v>1</v>
      </c>
      <c r="F92" s="725">
        <f>แผนการก่อสร้าง!G97</f>
        <v>0.16725000000000001</v>
      </c>
      <c r="G92" s="727">
        <f>แผนการก่อสร้าง!H97</f>
        <v>16.725000000000001</v>
      </c>
      <c r="H92" s="729">
        <v>15007259</v>
      </c>
      <c r="I92" s="731">
        <v>15007259</v>
      </c>
      <c r="J92" s="733">
        <v>6.2924788715753639</v>
      </c>
      <c r="L92" s="495">
        <f t="shared" si="2"/>
        <v>0</v>
      </c>
      <c r="M92" s="495">
        <f t="shared" si="3"/>
        <v>0</v>
      </c>
      <c r="O92" s="764" t="s">
        <v>112</v>
      </c>
      <c r="P92" s="499"/>
      <c r="Q92" s="499"/>
      <c r="R92" s="499"/>
      <c r="S92" s="499"/>
      <c r="T92" s="500"/>
      <c r="U92" s="499"/>
      <c r="V92" s="499"/>
      <c r="W92" s="499"/>
      <c r="X92" s="499"/>
      <c r="Y92" s="500"/>
      <c r="Z92" s="499"/>
      <c r="AA92" s="499"/>
      <c r="AB92" s="499"/>
      <c r="AC92" s="499"/>
      <c r="AD92" s="500"/>
      <c r="AE92" s="499"/>
      <c r="AF92" s="499"/>
      <c r="AG92" s="499"/>
      <c r="AH92" s="499"/>
      <c r="AI92" s="500"/>
      <c r="AJ92" s="499"/>
      <c r="AK92" s="499"/>
      <c r="AL92" s="499"/>
      <c r="AM92" s="499"/>
      <c r="AN92" s="500"/>
      <c r="AO92" s="499"/>
      <c r="AP92" s="499"/>
      <c r="AQ92" s="499"/>
      <c r="AR92" s="499"/>
      <c r="AS92" s="500"/>
      <c r="AT92" s="499"/>
      <c r="AU92" s="499"/>
      <c r="AV92" s="499"/>
      <c r="AW92" s="499"/>
      <c r="AX92" s="500"/>
      <c r="AY92" s="499"/>
      <c r="AZ92" s="499"/>
      <c r="BA92" s="499"/>
      <c r="BB92" s="499"/>
      <c r="BC92" s="500"/>
      <c r="BD92" s="499"/>
      <c r="BE92" s="499"/>
      <c r="BF92" s="499"/>
      <c r="BG92" s="499"/>
      <c r="BH92" s="500"/>
    </row>
    <row r="93" spans="2:60" ht="9" customHeight="1" x14ac:dyDescent="0.15">
      <c r="B93" s="718"/>
      <c r="C93" s="765"/>
      <c r="D93" s="722"/>
      <c r="E93" s="724"/>
      <c r="F93" s="726"/>
      <c r="G93" s="728"/>
      <c r="H93" s="730"/>
      <c r="I93" s="732"/>
      <c r="J93" s="734"/>
      <c r="L93" s="495">
        <f t="shared" si="2"/>
        <v>2510000</v>
      </c>
      <c r="M93" s="495">
        <f t="shared" si="3"/>
        <v>2510000</v>
      </c>
      <c r="O93" s="765"/>
      <c r="P93" s="495">
        <v>0</v>
      </c>
      <c r="Q93" s="495">
        <v>0</v>
      </c>
      <c r="R93" s="495">
        <v>0</v>
      </c>
      <c r="S93" s="495">
        <v>0</v>
      </c>
      <c r="T93" s="495">
        <f>SUM(P93:S93)</f>
        <v>0</v>
      </c>
      <c r="U93" s="495">
        <v>0</v>
      </c>
      <c r="V93" s="495">
        <v>0</v>
      </c>
      <c r="W93" s="495">
        <v>2510000</v>
      </c>
      <c r="X93" s="495">
        <v>0</v>
      </c>
      <c r="Y93" s="495">
        <f>SUM(U93:X93)</f>
        <v>2510000</v>
      </c>
      <c r="Z93" s="495">
        <v>0</v>
      </c>
      <c r="AA93" s="495">
        <v>0</v>
      </c>
      <c r="AB93" s="495">
        <v>0</v>
      </c>
      <c r="AC93" s="495">
        <v>0</v>
      </c>
      <c r="AD93" s="495">
        <f>SUM(Z93:AC93)</f>
        <v>0</v>
      </c>
      <c r="AE93" s="495">
        <v>0</v>
      </c>
      <c r="AF93" s="495">
        <v>0</v>
      </c>
      <c r="AG93" s="495">
        <v>0</v>
      </c>
      <c r="AH93" s="495">
        <v>0</v>
      </c>
      <c r="AI93" s="495">
        <f>SUM(AE93:AH93)</f>
        <v>0</v>
      </c>
      <c r="AJ93" s="495">
        <v>0</v>
      </c>
      <c r="AK93" s="495">
        <v>0</v>
      </c>
      <c r="AL93" s="495">
        <v>0</v>
      </c>
      <c r="AM93" s="495">
        <v>0</v>
      </c>
      <c r="AN93" s="495">
        <f>SUM(AJ93:AM93)</f>
        <v>0</v>
      </c>
      <c r="AO93" s="495">
        <v>0</v>
      </c>
      <c r="AP93" s="495">
        <v>0</v>
      </c>
      <c r="AQ93" s="495">
        <v>0</v>
      </c>
      <c r="AR93" s="495">
        <v>0</v>
      </c>
      <c r="AS93" s="495">
        <f>SUM(AO93:AR93)</f>
        <v>0</v>
      </c>
      <c r="AT93" s="495">
        <v>0</v>
      </c>
      <c r="AU93" s="495">
        <v>0</v>
      </c>
      <c r="AV93" s="495">
        <v>0</v>
      </c>
      <c r="AW93" s="495">
        <v>0</v>
      </c>
      <c r="AX93" s="495">
        <f>SUM(AT93:AW93)</f>
        <v>0</v>
      </c>
      <c r="AY93" s="495">
        <v>0</v>
      </c>
      <c r="AZ93" s="495">
        <v>0</v>
      </c>
      <c r="BA93" s="495">
        <v>0</v>
      </c>
      <c r="BB93" s="495">
        <v>0</v>
      </c>
      <c r="BC93" s="495">
        <f>SUM(AY93:BB93)</f>
        <v>0</v>
      </c>
      <c r="BD93" s="495">
        <v>0</v>
      </c>
      <c r="BE93" s="495">
        <v>0</v>
      </c>
      <c r="BF93" s="495">
        <v>0</v>
      </c>
      <c r="BG93" s="495">
        <v>0</v>
      </c>
      <c r="BH93" s="495">
        <f>SUM(BD93:BG93)</f>
        <v>0</v>
      </c>
    </row>
    <row r="94" spans="2:60" ht="9" customHeight="1" x14ac:dyDescent="0.15">
      <c r="B94" s="717">
        <v>3.8</v>
      </c>
      <c r="C94" s="764" t="s">
        <v>113</v>
      </c>
      <c r="D94" s="721" t="s">
        <v>6</v>
      </c>
      <c r="E94" s="723">
        <v>1</v>
      </c>
      <c r="F94" s="725">
        <f>แผนการก่อสร้าง!G99</f>
        <v>0.32947000000000004</v>
      </c>
      <c r="G94" s="727">
        <f>แผนการก่อสร้าง!H99</f>
        <v>32.947000000000003</v>
      </c>
      <c r="H94" s="729">
        <v>26163587</v>
      </c>
      <c r="I94" s="731">
        <v>26163587</v>
      </c>
      <c r="J94" s="733">
        <v>10.970279009786122</v>
      </c>
      <c r="L94" s="495">
        <f t="shared" si="2"/>
        <v>0</v>
      </c>
      <c r="M94" s="495">
        <f t="shared" si="3"/>
        <v>0</v>
      </c>
      <c r="O94" s="764" t="s">
        <v>113</v>
      </c>
      <c r="P94" s="499"/>
      <c r="Q94" s="499"/>
      <c r="R94" s="499"/>
      <c r="S94" s="499"/>
      <c r="T94" s="500"/>
      <c r="U94" s="499"/>
      <c r="V94" s="499"/>
      <c r="W94" s="499"/>
      <c r="X94" s="499"/>
      <c r="Y94" s="500"/>
      <c r="Z94" s="499"/>
      <c r="AA94" s="499"/>
      <c r="AB94" s="499"/>
      <c r="AC94" s="499"/>
      <c r="AD94" s="500"/>
      <c r="AE94" s="499"/>
      <c r="AF94" s="499"/>
      <c r="AG94" s="499"/>
      <c r="AH94" s="499"/>
      <c r="AI94" s="500"/>
      <c r="AJ94" s="499"/>
      <c r="AK94" s="499"/>
      <c r="AL94" s="499"/>
      <c r="AM94" s="499"/>
      <c r="AN94" s="500"/>
      <c r="AO94" s="499"/>
      <c r="AP94" s="499"/>
      <c r="AQ94" s="499"/>
      <c r="AR94" s="499"/>
      <c r="AS94" s="500"/>
      <c r="AT94" s="499"/>
      <c r="AU94" s="499"/>
      <c r="AV94" s="499"/>
      <c r="AW94" s="499"/>
      <c r="AX94" s="500"/>
      <c r="AY94" s="499"/>
      <c r="AZ94" s="499"/>
      <c r="BA94" s="499"/>
      <c r="BB94" s="499"/>
      <c r="BC94" s="500"/>
      <c r="BD94" s="499"/>
      <c r="BE94" s="499"/>
      <c r="BF94" s="499"/>
      <c r="BG94" s="499"/>
      <c r="BH94" s="500"/>
    </row>
    <row r="95" spans="2:60" ht="9" customHeight="1" x14ac:dyDescent="0.15">
      <c r="B95" s="718"/>
      <c r="C95" s="765"/>
      <c r="D95" s="722"/>
      <c r="E95" s="724"/>
      <c r="F95" s="726"/>
      <c r="G95" s="728"/>
      <c r="H95" s="730"/>
      <c r="I95" s="732"/>
      <c r="J95" s="734"/>
      <c r="L95" s="495">
        <f t="shared" si="2"/>
        <v>8620000</v>
      </c>
      <c r="M95" s="495">
        <f t="shared" si="3"/>
        <v>8620000</v>
      </c>
      <c r="O95" s="765"/>
      <c r="P95" s="495">
        <v>0</v>
      </c>
      <c r="Q95" s="495">
        <v>0</v>
      </c>
      <c r="R95" s="495">
        <v>0</v>
      </c>
      <c r="S95" s="495">
        <v>0</v>
      </c>
      <c r="T95" s="495">
        <f>SUM(P95:S95)</f>
        <v>0</v>
      </c>
      <c r="U95" s="495">
        <v>0</v>
      </c>
      <c r="V95" s="495">
        <v>0</v>
      </c>
      <c r="W95" s="495">
        <v>8620000</v>
      </c>
      <c r="X95" s="495">
        <v>0</v>
      </c>
      <c r="Y95" s="495">
        <f>SUM(U95:X95)</f>
        <v>8620000</v>
      </c>
      <c r="Z95" s="495">
        <v>0</v>
      </c>
      <c r="AA95" s="495">
        <v>0</v>
      </c>
      <c r="AB95" s="495">
        <v>0</v>
      </c>
      <c r="AC95" s="495">
        <v>0</v>
      </c>
      <c r="AD95" s="495">
        <f>SUM(Z95:AC95)</f>
        <v>0</v>
      </c>
      <c r="AE95" s="495">
        <v>0</v>
      </c>
      <c r="AF95" s="495">
        <v>0</v>
      </c>
      <c r="AG95" s="495">
        <v>0</v>
      </c>
      <c r="AH95" s="495">
        <v>0</v>
      </c>
      <c r="AI95" s="495">
        <f>SUM(AE95:AH95)</f>
        <v>0</v>
      </c>
      <c r="AJ95" s="495">
        <v>0</v>
      </c>
      <c r="AK95" s="495">
        <v>0</v>
      </c>
      <c r="AL95" s="495">
        <v>0</v>
      </c>
      <c r="AM95" s="495">
        <v>0</v>
      </c>
      <c r="AN95" s="495">
        <f>SUM(AJ95:AM95)</f>
        <v>0</v>
      </c>
      <c r="AO95" s="495">
        <v>0</v>
      </c>
      <c r="AP95" s="495">
        <v>0</v>
      </c>
      <c r="AQ95" s="495">
        <v>0</v>
      </c>
      <c r="AR95" s="495">
        <v>0</v>
      </c>
      <c r="AS95" s="495">
        <f>SUM(AO95:AR95)</f>
        <v>0</v>
      </c>
      <c r="AT95" s="495">
        <v>0</v>
      </c>
      <c r="AU95" s="495">
        <v>0</v>
      </c>
      <c r="AV95" s="495">
        <v>0</v>
      </c>
      <c r="AW95" s="495">
        <v>0</v>
      </c>
      <c r="AX95" s="495">
        <f>SUM(AT95:AW95)</f>
        <v>0</v>
      </c>
      <c r="AY95" s="495">
        <v>0</v>
      </c>
      <c r="AZ95" s="495">
        <v>0</v>
      </c>
      <c r="BA95" s="495">
        <v>0</v>
      </c>
      <c r="BB95" s="495">
        <v>0</v>
      </c>
      <c r="BC95" s="495">
        <f>SUM(AY95:BB95)</f>
        <v>0</v>
      </c>
      <c r="BD95" s="495">
        <v>0</v>
      </c>
      <c r="BE95" s="495">
        <v>0</v>
      </c>
      <c r="BF95" s="495">
        <v>0</v>
      </c>
      <c r="BG95" s="495">
        <v>0</v>
      </c>
      <c r="BH95" s="495">
        <f>SUM(BD95:BG95)</f>
        <v>0</v>
      </c>
    </row>
    <row r="96" spans="2:60" ht="9" customHeight="1" x14ac:dyDescent="0.15">
      <c r="B96" s="717">
        <v>3.9</v>
      </c>
      <c r="C96" s="764" t="s">
        <v>123</v>
      </c>
      <c r="D96" s="721" t="s">
        <v>6</v>
      </c>
      <c r="E96" s="723">
        <v>1</v>
      </c>
      <c r="F96" s="725">
        <f>แผนการก่อสร้าง!G101</f>
        <v>0</v>
      </c>
      <c r="G96" s="727">
        <f>แผนการก่อสร้าง!H101</f>
        <v>0</v>
      </c>
      <c r="H96" s="729">
        <v>1519335</v>
      </c>
      <c r="I96" s="731">
        <v>1519335</v>
      </c>
      <c r="J96" s="733">
        <v>0.63705060240147493</v>
      </c>
      <c r="L96" s="495">
        <f t="shared" si="2"/>
        <v>0</v>
      </c>
      <c r="M96" s="495">
        <f t="shared" si="3"/>
        <v>0</v>
      </c>
      <c r="O96" s="764" t="s">
        <v>123</v>
      </c>
      <c r="P96" s="499"/>
      <c r="Q96" s="499"/>
      <c r="R96" s="499"/>
      <c r="S96" s="499"/>
      <c r="T96" s="500"/>
      <c r="U96" s="499"/>
      <c r="V96" s="499"/>
      <c r="W96" s="499"/>
      <c r="X96" s="499"/>
      <c r="Y96" s="500"/>
      <c r="Z96" s="499"/>
      <c r="AA96" s="499"/>
      <c r="AB96" s="499"/>
      <c r="AC96" s="499"/>
      <c r="AD96" s="500"/>
      <c r="AE96" s="499"/>
      <c r="AF96" s="499"/>
      <c r="AG96" s="499"/>
      <c r="AH96" s="499"/>
      <c r="AI96" s="500"/>
      <c r="AJ96" s="499"/>
      <c r="AK96" s="499"/>
      <c r="AL96" s="499"/>
      <c r="AM96" s="499"/>
      <c r="AN96" s="500"/>
      <c r="AO96" s="499"/>
      <c r="AP96" s="499"/>
      <c r="AQ96" s="499"/>
      <c r="AR96" s="499"/>
      <c r="AS96" s="500"/>
      <c r="AT96" s="499"/>
      <c r="AU96" s="499"/>
      <c r="AV96" s="499"/>
      <c r="AW96" s="499"/>
      <c r="AX96" s="500"/>
      <c r="AY96" s="499"/>
      <c r="AZ96" s="499"/>
      <c r="BA96" s="499"/>
      <c r="BB96" s="499"/>
      <c r="BC96" s="500"/>
      <c r="BD96" s="499"/>
      <c r="BE96" s="499"/>
      <c r="BF96" s="499"/>
      <c r="BG96" s="499"/>
      <c r="BH96" s="500"/>
    </row>
    <row r="97" spans="2:60" ht="9" customHeight="1" x14ac:dyDescent="0.15">
      <c r="B97" s="718"/>
      <c r="C97" s="765"/>
      <c r="D97" s="722"/>
      <c r="E97" s="724"/>
      <c r="F97" s="726"/>
      <c r="G97" s="728"/>
      <c r="H97" s="730"/>
      <c r="I97" s="732"/>
      <c r="J97" s="734"/>
      <c r="L97" s="495">
        <f t="shared" si="2"/>
        <v>0</v>
      </c>
      <c r="M97" s="495">
        <f t="shared" si="3"/>
        <v>0</v>
      </c>
      <c r="O97" s="765"/>
      <c r="P97" s="495">
        <v>0</v>
      </c>
      <c r="Q97" s="495">
        <v>0</v>
      </c>
      <c r="R97" s="495">
        <v>0</v>
      </c>
      <c r="S97" s="495">
        <v>0</v>
      </c>
      <c r="T97" s="495">
        <f>SUM(P97:S97)</f>
        <v>0</v>
      </c>
      <c r="U97" s="495">
        <v>0</v>
      </c>
      <c r="V97" s="495">
        <v>0</v>
      </c>
      <c r="W97" s="495">
        <v>0</v>
      </c>
      <c r="X97" s="495">
        <v>0</v>
      </c>
      <c r="Y97" s="495">
        <f>SUM(U97:X97)</f>
        <v>0</v>
      </c>
      <c r="Z97" s="495">
        <v>0</v>
      </c>
      <c r="AA97" s="495">
        <v>0</v>
      </c>
      <c r="AB97" s="495">
        <v>0</v>
      </c>
      <c r="AC97" s="495">
        <v>0</v>
      </c>
      <c r="AD97" s="495">
        <f>SUM(Z97:AC97)</f>
        <v>0</v>
      </c>
      <c r="AE97" s="495">
        <v>0</v>
      </c>
      <c r="AF97" s="495">
        <v>0</v>
      </c>
      <c r="AG97" s="495">
        <v>0</v>
      </c>
      <c r="AH97" s="495">
        <v>0</v>
      </c>
      <c r="AI97" s="495">
        <f>SUM(AE97:AH97)</f>
        <v>0</v>
      </c>
      <c r="AJ97" s="495">
        <v>0</v>
      </c>
      <c r="AK97" s="495">
        <v>0</v>
      </c>
      <c r="AL97" s="495">
        <v>0</v>
      </c>
      <c r="AM97" s="495">
        <v>0</v>
      </c>
      <c r="AN97" s="495">
        <f>SUM(AJ97:AM97)</f>
        <v>0</v>
      </c>
      <c r="AO97" s="495">
        <v>0</v>
      </c>
      <c r="AP97" s="495">
        <v>0</v>
      </c>
      <c r="AQ97" s="495">
        <v>0</v>
      </c>
      <c r="AR97" s="495">
        <v>0</v>
      </c>
      <c r="AS97" s="495">
        <f>SUM(AO97:AR97)</f>
        <v>0</v>
      </c>
      <c r="AT97" s="495">
        <v>0</v>
      </c>
      <c r="AU97" s="495">
        <v>0</v>
      </c>
      <c r="AV97" s="495">
        <v>0</v>
      </c>
      <c r="AW97" s="495">
        <v>0</v>
      </c>
      <c r="AX97" s="495">
        <f>SUM(AT97:AW97)</f>
        <v>0</v>
      </c>
      <c r="AY97" s="495">
        <v>0</v>
      </c>
      <c r="AZ97" s="495">
        <v>0</v>
      </c>
      <c r="BA97" s="495">
        <v>0</v>
      </c>
      <c r="BB97" s="495">
        <v>0</v>
      </c>
      <c r="BC97" s="495">
        <f>SUM(AY97:BB97)</f>
        <v>0</v>
      </c>
      <c r="BD97" s="495">
        <v>0</v>
      </c>
      <c r="BE97" s="495">
        <v>0</v>
      </c>
      <c r="BF97" s="495">
        <v>0</v>
      </c>
      <c r="BG97" s="495">
        <v>0</v>
      </c>
      <c r="BH97" s="495">
        <f>SUM(BD97:BG97)</f>
        <v>0</v>
      </c>
    </row>
    <row r="98" spans="2:60" ht="9" customHeight="1" x14ac:dyDescent="0.15">
      <c r="B98" s="752">
        <v>3.1</v>
      </c>
      <c r="C98" s="764" t="s">
        <v>124</v>
      </c>
      <c r="D98" s="721" t="s">
        <v>6</v>
      </c>
      <c r="E98" s="723">
        <v>1</v>
      </c>
      <c r="F98" s="725">
        <f>แผนการก่อสร้าง!G103</f>
        <v>0</v>
      </c>
      <c r="G98" s="727">
        <f>แผนการก่อสร้าง!H103</f>
        <v>0</v>
      </c>
      <c r="H98" s="729">
        <v>4431757</v>
      </c>
      <c r="I98" s="731">
        <v>4431757</v>
      </c>
      <c r="J98" s="733">
        <v>1.8582165661601644</v>
      </c>
      <c r="L98" s="495">
        <f t="shared" si="2"/>
        <v>0</v>
      </c>
      <c r="M98" s="495">
        <f t="shared" si="3"/>
        <v>0</v>
      </c>
      <c r="O98" s="764" t="s">
        <v>124</v>
      </c>
      <c r="P98" s="499"/>
      <c r="Q98" s="499"/>
      <c r="R98" s="499"/>
      <c r="S98" s="499"/>
      <c r="T98" s="500"/>
      <c r="U98" s="499"/>
      <c r="V98" s="499"/>
      <c r="W98" s="499"/>
      <c r="X98" s="499"/>
      <c r="Y98" s="500"/>
      <c r="Z98" s="499"/>
      <c r="AA98" s="499"/>
      <c r="AB98" s="499"/>
      <c r="AC98" s="499"/>
      <c r="AD98" s="500"/>
      <c r="AE98" s="499"/>
      <c r="AF98" s="499"/>
      <c r="AG98" s="499"/>
      <c r="AH98" s="499"/>
      <c r="AI98" s="500"/>
      <c r="AJ98" s="499"/>
      <c r="AK98" s="499"/>
      <c r="AL98" s="499"/>
      <c r="AM98" s="499"/>
      <c r="AN98" s="500"/>
      <c r="AO98" s="499"/>
      <c r="AP98" s="499"/>
      <c r="AQ98" s="499"/>
      <c r="AR98" s="499"/>
      <c r="AS98" s="500"/>
      <c r="AT98" s="499"/>
      <c r="AU98" s="499"/>
      <c r="AV98" s="499"/>
      <c r="AW98" s="499"/>
      <c r="AX98" s="500"/>
      <c r="AY98" s="499"/>
      <c r="AZ98" s="499"/>
      <c r="BA98" s="499"/>
      <c r="BB98" s="499"/>
      <c r="BC98" s="500"/>
      <c r="BD98" s="499"/>
      <c r="BE98" s="499"/>
      <c r="BF98" s="499"/>
      <c r="BG98" s="499"/>
      <c r="BH98" s="500"/>
    </row>
    <row r="99" spans="2:60" ht="9" customHeight="1" x14ac:dyDescent="0.15">
      <c r="B99" s="753"/>
      <c r="C99" s="765"/>
      <c r="D99" s="722"/>
      <c r="E99" s="724"/>
      <c r="F99" s="748"/>
      <c r="G99" s="749"/>
      <c r="H99" s="730"/>
      <c r="I99" s="732"/>
      <c r="J99" s="763"/>
      <c r="L99" s="495">
        <f t="shared" si="2"/>
        <v>0</v>
      </c>
      <c r="M99" s="495">
        <f t="shared" si="3"/>
        <v>0</v>
      </c>
      <c r="O99" s="765"/>
      <c r="P99" s="495">
        <v>0</v>
      </c>
      <c r="Q99" s="495">
        <v>0</v>
      </c>
      <c r="R99" s="495">
        <v>0</v>
      </c>
      <c r="S99" s="495">
        <v>0</v>
      </c>
      <c r="T99" s="495">
        <f>SUM(P99:S99)</f>
        <v>0</v>
      </c>
      <c r="U99" s="495">
        <v>0</v>
      </c>
      <c r="V99" s="495">
        <v>0</v>
      </c>
      <c r="W99" s="495">
        <v>0</v>
      </c>
      <c r="X99" s="495">
        <v>0</v>
      </c>
      <c r="Y99" s="495">
        <f>SUM(U99:X99)</f>
        <v>0</v>
      </c>
      <c r="Z99" s="495">
        <v>0</v>
      </c>
      <c r="AA99" s="495">
        <v>0</v>
      </c>
      <c r="AB99" s="495">
        <v>0</v>
      </c>
      <c r="AC99" s="495">
        <v>0</v>
      </c>
      <c r="AD99" s="495">
        <f>SUM(Z99:AC99)</f>
        <v>0</v>
      </c>
      <c r="AE99" s="495">
        <v>0</v>
      </c>
      <c r="AF99" s="495">
        <v>0</v>
      </c>
      <c r="AG99" s="495">
        <v>0</v>
      </c>
      <c r="AH99" s="495">
        <v>0</v>
      </c>
      <c r="AI99" s="495">
        <f>SUM(AE99:AH99)</f>
        <v>0</v>
      </c>
      <c r="AJ99" s="495">
        <v>0</v>
      </c>
      <c r="AK99" s="495">
        <v>0</v>
      </c>
      <c r="AL99" s="495">
        <v>0</v>
      </c>
      <c r="AM99" s="495">
        <v>0</v>
      </c>
      <c r="AN99" s="495">
        <f>SUM(AJ99:AM99)</f>
        <v>0</v>
      </c>
      <c r="AO99" s="495">
        <v>0</v>
      </c>
      <c r="AP99" s="495">
        <v>0</v>
      </c>
      <c r="AQ99" s="495">
        <v>0</v>
      </c>
      <c r="AR99" s="495">
        <v>0</v>
      </c>
      <c r="AS99" s="495">
        <f>SUM(AO99:AR99)</f>
        <v>0</v>
      </c>
      <c r="AT99" s="495">
        <v>0</v>
      </c>
      <c r="AU99" s="495">
        <v>0</v>
      </c>
      <c r="AV99" s="495">
        <v>0</v>
      </c>
      <c r="AW99" s="495">
        <v>0</v>
      </c>
      <c r="AX99" s="495">
        <f>SUM(AT99:AW99)</f>
        <v>0</v>
      </c>
      <c r="AY99" s="495">
        <v>0</v>
      </c>
      <c r="AZ99" s="495">
        <v>0</v>
      </c>
      <c r="BA99" s="495">
        <v>0</v>
      </c>
      <c r="BB99" s="495">
        <v>0</v>
      </c>
      <c r="BC99" s="495">
        <f>SUM(AY99:BB99)</f>
        <v>0</v>
      </c>
      <c r="BD99" s="495">
        <v>0</v>
      </c>
      <c r="BE99" s="495">
        <v>0</v>
      </c>
      <c r="BF99" s="495">
        <v>0</v>
      </c>
      <c r="BG99" s="495">
        <v>0</v>
      </c>
      <c r="BH99" s="495">
        <f>SUM(BD99:BG99)</f>
        <v>0</v>
      </c>
    </row>
    <row r="100" spans="2:60" ht="9" customHeight="1" x14ac:dyDescent="0.15">
      <c r="B100" s="754">
        <v>4</v>
      </c>
      <c r="C100" s="693" t="s">
        <v>125</v>
      </c>
      <c r="D100" s="757"/>
      <c r="E100" s="759"/>
      <c r="F100" s="486">
        <f>แผนการก่อสร้าง!G105</f>
        <v>0</v>
      </c>
      <c r="G100" s="487">
        <f>แผนการก่อสร้าง!H105</f>
        <v>0</v>
      </c>
      <c r="H100" s="759"/>
      <c r="I100" s="759"/>
      <c r="J100" s="761"/>
      <c r="L100" s="495">
        <f t="shared" si="2"/>
        <v>0</v>
      </c>
      <c r="M100" s="495">
        <f t="shared" si="3"/>
        <v>0</v>
      </c>
      <c r="O100" s="693" t="s">
        <v>125</v>
      </c>
      <c r="P100" s="499"/>
      <c r="Q100" s="499"/>
      <c r="R100" s="499"/>
      <c r="S100" s="499"/>
      <c r="T100" s="500"/>
      <c r="U100" s="499"/>
      <c r="V100" s="499"/>
      <c r="W100" s="499"/>
      <c r="X100" s="499"/>
      <c r="Y100" s="500"/>
      <c r="Z100" s="499"/>
      <c r="AA100" s="499"/>
      <c r="AB100" s="499"/>
      <c r="AC100" s="499"/>
      <c r="AD100" s="500"/>
      <c r="AE100" s="499"/>
      <c r="AF100" s="499"/>
      <c r="AG100" s="499"/>
      <c r="AH100" s="499"/>
      <c r="AI100" s="500"/>
      <c r="AJ100" s="499"/>
      <c r="AK100" s="499"/>
      <c r="AL100" s="499"/>
      <c r="AM100" s="499"/>
      <c r="AN100" s="500"/>
      <c r="AO100" s="499"/>
      <c r="AP100" s="499"/>
      <c r="AQ100" s="499"/>
      <c r="AR100" s="499"/>
      <c r="AS100" s="500"/>
      <c r="AT100" s="499"/>
      <c r="AU100" s="499"/>
      <c r="AV100" s="499"/>
      <c r="AW100" s="499"/>
      <c r="AX100" s="500"/>
      <c r="AY100" s="499"/>
      <c r="AZ100" s="499"/>
      <c r="BA100" s="499"/>
      <c r="BB100" s="499"/>
      <c r="BC100" s="500"/>
      <c r="BD100" s="499"/>
      <c r="BE100" s="499"/>
      <c r="BF100" s="499"/>
      <c r="BG100" s="499"/>
      <c r="BH100" s="500"/>
    </row>
    <row r="101" spans="2:60" ht="9" customHeight="1" x14ac:dyDescent="0.15">
      <c r="B101" s="755"/>
      <c r="C101" s="756"/>
      <c r="D101" s="758"/>
      <c r="E101" s="760"/>
      <c r="F101" s="488">
        <f>แผนการก่อสร้าง!G106</f>
        <v>0</v>
      </c>
      <c r="G101" s="489">
        <f>แผนการก่อสร้าง!H106</f>
        <v>0</v>
      </c>
      <c r="H101" s="760"/>
      <c r="I101" s="760"/>
      <c r="J101" s="762"/>
      <c r="L101" s="495">
        <f t="shared" si="2"/>
        <v>0</v>
      </c>
      <c r="M101" s="495">
        <f t="shared" si="3"/>
        <v>0</v>
      </c>
      <c r="O101" s="756"/>
      <c r="P101" s="499"/>
      <c r="Q101" s="499"/>
      <c r="R101" s="499"/>
      <c r="S101" s="499"/>
      <c r="T101" s="500"/>
      <c r="U101" s="499"/>
      <c r="V101" s="499"/>
      <c r="W101" s="499"/>
      <c r="X101" s="499"/>
      <c r="Y101" s="500"/>
      <c r="Z101" s="499"/>
      <c r="AA101" s="499"/>
      <c r="AB101" s="499"/>
      <c r="AC101" s="499"/>
      <c r="AD101" s="500"/>
      <c r="AE101" s="499"/>
      <c r="AF101" s="499"/>
      <c r="AG101" s="499"/>
      <c r="AH101" s="499"/>
      <c r="AI101" s="500"/>
      <c r="AJ101" s="499"/>
      <c r="AK101" s="499"/>
      <c r="AL101" s="499"/>
      <c r="AM101" s="499"/>
      <c r="AN101" s="500"/>
      <c r="AO101" s="499"/>
      <c r="AP101" s="499"/>
      <c r="AQ101" s="499"/>
      <c r="AR101" s="499"/>
      <c r="AS101" s="500"/>
      <c r="AT101" s="499"/>
      <c r="AU101" s="499"/>
      <c r="AV101" s="499"/>
      <c r="AW101" s="499"/>
      <c r="AX101" s="500"/>
      <c r="AY101" s="499"/>
      <c r="AZ101" s="499"/>
      <c r="BA101" s="499"/>
      <c r="BB101" s="499"/>
      <c r="BC101" s="500"/>
      <c r="BD101" s="499"/>
      <c r="BE101" s="499"/>
      <c r="BF101" s="499"/>
      <c r="BG101" s="499"/>
      <c r="BH101" s="500"/>
    </row>
    <row r="102" spans="2:60" ht="9" customHeight="1" x14ac:dyDescent="0.15">
      <c r="B102" s="717">
        <v>4.0999999999999996</v>
      </c>
      <c r="C102" s="764" t="s">
        <v>126</v>
      </c>
      <c r="D102" s="721" t="s">
        <v>6</v>
      </c>
      <c r="E102" s="723">
        <v>1</v>
      </c>
      <c r="F102" s="769">
        <f>แผนการก่อสร้าง!G107</f>
        <v>0</v>
      </c>
      <c r="G102" s="727">
        <f>แผนการก่อสร้าง!H107</f>
        <v>0</v>
      </c>
      <c r="H102" s="729">
        <v>4431757</v>
      </c>
      <c r="I102" s="731">
        <v>2540833</v>
      </c>
      <c r="J102" s="733">
        <v>1.0653603012183268</v>
      </c>
      <c r="L102" s="495">
        <f t="shared" si="2"/>
        <v>0</v>
      </c>
      <c r="M102" s="495">
        <f t="shared" si="3"/>
        <v>0</v>
      </c>
      <c r="O102" s="764" t="s">
        <v>126</v>
      </c>
      <c r="P102" s="499"/>
      <c r="Q102" s="499"/>
      <c r="R102" s="499"/>
      <c r="S102" s="499"/>
      <c r="T102" s="500"/>
      <c r="U102" s="499"/>
      <c r="V102" s="499"/>
      <c r="W102" s="499"/>
      <c r="X102" s="499"/>
      <c r="Y102" s="500"/>
      <c r="Z102" s="499"/>
      <c r="AA102" s="499"/>
      <c r="AB102" s="499"/>
      <c r="AC102" s="499"/>
      <c r="AD102" s="500"/>
      <c r="AE102" s="499"/>
      <c r="AF102" s="499"/>
      <c r="AG102" s="499"/>
      <c r="AH102" s="499"/>
      <c r="AI102" s="500"/>
      <c r="AJ102" s="499"/>
      <c r="AK102" s="499"/>
      <c r="AL102" s="499"/>
      <c r="AM102" s="499"/>
      <c r="AN102" s="500"/>
      <c r="AO102" s="499"/>
      <c r="AP102" s="499"/>
      <c r="AQ102" s="499"/>
      <c r="AR102" s="499"/>
      <c r="AS102" s="500"/>
      <c r="AT102" s="499"/>
      <c r="AU102" s="499"/>
      <c r="AV102" s="499"/>
      <c r="AW102" s="499"/>
      <c r="AX102" s="500"/>
      <c r="AY102" s="499"/>
      <c r="AZ102" s="499"/>
      <c r="BA102" s="499"/>
      <c r="BB102" s="499"/>
      <c r="BC102" s="500"/>
      <c r="BD102" s="499"/>
      <c r="BE102" s="499"/>
      <c r="BF102" s="499"/>
      <c r="BG102" s="499"/>
      <c r="BH102" s="500"/>
    </row>
    <row r="103" spans="2:60" ht="9" customHeight="1" x14ac:dyDescent="0.15">
      <c r="B103" s="718"/>
      <c r="C103" s="765"/>
      <c r="D103" s="722"/>
      <c r="E103" s="724"/>
      <c r="F103" s="770"/>
      <c r="G103" s="749"/>
      <c r="H103" s="730"/>
      <c r="I103" s="732"/>
      <c r="J103" s="763"/>
      <c r="L103" s="495">
        <f t="shared" si="2"/>
        <v>0</v>
      </c>
      <c r="M103" s="495">
        <f t="shared" si="3"/>
        <v>0</v>
      </c>
      <c r="O103" s="765"/>
      <c r="P103" s="495">
        <v>0</v>
      </c>
      <c r="Q103" s="495">
        <v>0</v>
      </c>
      <c r="R103" s="495">
        <v>0</v>
      </c>
      <c r="S103" s="495">
        <v>0</v>
      </c>
      <c r="T103" s="495">
        <f>SUM(P103:S103)</f>
        <v>0</v>
      </c>
      <c r="U103" s="495">
        <v>0</v>
      </c>
      <c r="V103" s="495">
        <v>0</v>
      </c>
      <c r="W103" s="495">
        <v>0</v>
      </c>
      <c r="X103" s="495">
        <v>0</v>
      </c>
      <c r="Y103" s="495">
        <f>SUM(U103:X103)</f>
        <v>0</v>
      </c>
      <c r="Z103" s="495">
        <v>0</v>
      </c>
      <c r="AA103" s="495">
        <v>0</v>
      </c>
      <c r="AB103" s="495">
        <v>0</v>
      </c>
      <c r="AC103" s="495">
        <v>0</v>
      </c>
      <c r="AD103" s="495">
        <f>SUM(Z103:AC103)</f>
        <v>0</v>
      </c>
      <c r="AE103" s="495">
        <v>0</v>
      </c>
      <c r="AF103" s="495">
        <v>0</v>
      </c>
      <c r="AG103" s="495">
        <v>0</v>
      </c>
      <c r="AH103" s="495">
        <v>0</v>
      </c>
      <c r="AI103" s="495">
        <f>SUM(AE103:AH103)</f>
        <v>0</v>
      </c>
      <c r="AJ103" s="495">
        <v>0</v>
      </c>
      <c r="AK103" s="495">
        <v>0</v>
      </c>
      <c r="AL103" s="495">
        <v>0</v>
      </c>
      <c r="AM103" s="495">
        <v>0</v>
      </c>
      <c r="AN103" s="495">
        <f>SUM(AJ103:AM103)</f>
        <v>0</v>
      </c>
      <c r="AO103" s="495">
        <v>0</v>
      </c>
      <c r="AP103" s="495">
        <v>0</v>
      </c>
      <c r="AQ103" s="495">
        <v>0</v>
      </c>
      <c r="AR103" s="495">
        <v>0</v>
      </c>
      <c r="AS103" s="495">
        <f>SUM(AO103:AR103)</f>
        <v>0</v>
      </c>
      <c r="AT103" s="495">
        <v>0</v>
      </c>
      <c r="AU103" s="495">
        <v>0</v>
      </c>
      <c r="AV103" s="495">
        <v>0</v>
      </c>
      <c r="AW103" s="495">
        <v>0</v>
      </c>
      <c r="AX103" s="495">
        <f>SUM(AT103:AW103)</f>
        <v>0</v>
      </c>
      <c r="AY103" s="495">
        <v>0</v>
      </c>
      <c r="AZ103" s="495">
        <v>0</v>
      </c>
      <c r="BA103" s="495">
        <v>0</v>
      </c>
      <c r="BB103" s="495">
        <v>0</v>
      </c>
      <c r="BC103" s="495">
        <f>SUM(AY103:BB103)</f>
        <v>0</v>
      </c>
      <c r="BD103" s="495">
        <v>0</v>
      </c>
      <c r="BE103" s="495">
        <v>0</v>
      </c>
      <c r="BF103" s="495">
        <v>0</v>
      </c>
      <c r="BG103" s="495">
        <v>0</v>
      </c>
      <c r="BH103" s="495">
        <f>SUM(BD103:BG103)</f>
        <v>0</v>
      </c>
    </row>
    <row r="104" spans="2:60" ht="9" customHeight="1" x14ac:dyDescent="0.15">
      <c r="B104" s="754">
        <v>5</v>
      </c>
      <c r="C104" s="693" t="s">
        <v>127</v>
      </c>
      <c r="D104" s="757"/>
      <c r="E104" s="759"/>
      <c r="F104" s="486">
        <f>แผนการก่อสร้าง!G109</f>
        <v>0</v>
      </c>
      <c r="G104" s="487">
        <f>แผนการก่อสร้าง!H109</f>
        <v>0</v>
      </c>
      <c r="H104" s="759"/>
      <c r="I104" s="759"/>
      <c r="J104" s="761"/>
      <c r="L104" s="495">
        <f t="shared" si="2"/>
        <v>0</v>
      </c>
      <c r="M104" s="495">
        <f t="shared" si="3"/>
        <v>0</v>
      </c>
      <c r="O104" s="693" t="s">
        <v>127</v>
      </c>
      <c r="P104" s="499"/>
      <c r="Q104" s="499"/>
      <c r="R104" s="499"/>
      <c r="S104" s="499"/>
      <c r="T104" s="500"/>
      <c r="U104" s="499"/>
      <c r="V104" s="499"/>
      <c r="W104" s="499"/>
      <c r="X104" s="499"/>
      <c r="Y104" s="500"/>
      <c r="Z104" s="499"/>
      <c r="AA104" s="499"/>
      <c r="AB104" s="499"/>
      <c r="AC104" s="499"/>
      <c r="AD104" s="500"/>
      <c r="AE104" s="499"/>
      <c r="AF104" s="499"/>
      <c r="AG104" s="499"/>
      <c r="AH104" s="499"/>
      <c r="AI104" s="500"/>
      <c r="AJ104" s="499"/>
      <c r="AK104" s="499"/>
      <c r="AL104" s="499"/>
      <c r="AM104" s="499"/>
      <c r="AN104" s="500"/>
      <c r="AO104" s="499"/>
      <c r="AP104" s="499"/>
      <c r="AQ104" s="499"/>
      <c r="AR104" s="499"/>
      <c r="AS104" s="500"/>
      <c r="AT104" s="499"/>
      <c r="AU104" s="499"/>
      <c r="AV104" s="499"/>
      <c r="AW104" s="499"/>
      <c r="AX104" s="500"/>
      <c r="AY104" s="499"/>
      <c r="AZ104" s="499"/>
      <c r="BA104" s="499"/>
      <c r="BB104" s="499"/>
      <c r="BC104" s="500"/>
      <c r="BD104" s="499"/>
      <c r="BE104" s="499"/>
      <c r="BF104" s="499"/>
      <c r="BG104" s="499"/>
      <c r="BH104" s="500"/>
    </row>
    <row r="105" spans="2:60" ht="9" customHeight="1" x14ac:dyDescent="0.15">
      <c r="B105" s="766"/>
      <c r="C105" s="694"/>
      <c r="D105" s="767"/>
      <c r="E105" s="768"/>
      <c r="F105" s="490">
        <f>แผนการก่อสร้าง!G110</f>
        <v>0</v>
      </c>
      <c r="G105" s="491">
        <f>แผนการก่อสร้าง!H110</f>
        <v>0</v>
      </c>
      <c r="H105" s="760"/>
      <c r="I105" s="760"/>
      <c r="J105" s="762"/>
      <c r="L105" s="495">
        <f t="shared" si="2"/>
        <v>0</v>
      </c>
      <c r="M105" s="495">
        <f t="shared" si="3"/>
        <v>0</v>
      </c>
      <c r="O105" s="694"/>
      <c r="P105" s="499"/>
      <c r="Q105" s="499"/>
      <c r="R105" s="499"/>
      <c r="S105" s="499"/>
      <c r="T105" s="500"/>
      <c r="U105" s="499"/>
      <c r="V105" s="499"/>
      <c r="W105" s="499"/>
      <c r="X105" s="499"/>
      <c r="Y105" s="500"/>
      <c r="Z105" s="499"/>
      <c r="AA105" s="499"/>
      <c r="AB105" s="499"/>
      <c r="AC105" s="499"/>
      <c r="AD105" s="500"/>
      <c r="AE105" s="499"/>
      <c r="AF105" s="499"/>
      <c r="AG105" s="499"/>
      <c r="AH105" s="499"/>
      <c r="AI105" s="500"/>
      <c r="AJ105" s="499"/>
      <c r="AK105" s="499"/>
      <c r="AL105" s="499"/>
      <c r="AM105" s="499"/>
      <c r="AN105" s="500"/>
      <c r="AO105" s="499"/>
      <c r="AP105" s="499"/>
      <c r="AQ105" s="499"/>
      <c r="AR105" s="499"/>
      <c r="AS105" s="500"/>
      <c r="AT105" s="499"/>
      <c r="AU105" s="499"/>
      <c r="AV105" s="499"/>
      <c r="AW105" s="499"/>
      <c r="AX105" s="500"/>
      <c r="AY105" s="499"/>
      <c r="AZ105" s="499"/>
      <c r="BA105" s="499"/>
      <c r="BB105" s="499"/>
      <c r="BC105" s="500"/>
      <c r="BD105" s="499"/>
      <c r="BE105" s="499"/>
      <c r="BF105" s="499"/>
      <c r="BG105" s="499"/>
      <c r="BH105" s="500"/>
    </row>
    <row r="106" spans="2:60" ht="9" customHeight="1" x14ac:dyDescent="0.15">
      <c r="B106" s="717">
        <v>5.0999999999999996</v>
      </c>
      <c r="C106" s="764" t="s">
        <v>127</v>
      </c>
      <c r="D106" s="721" t="s">
        <v>6</v>
      </c>
      <c r="E106" s="723">
        <v>1</v>
      </c>
      <c r="F106" s="725">
        <f>แผนการก่อสร้าง!G111</f>
        <v>0</v>
      </c>
      <c r="G106" s="727">
        <f>แผนการก่อสร้าง!H111</f>
        <v>0</v>
      </c>
      <c r="H106" s="729">
        <v>574191</v>
      </c>
      <c r="I106" s="731">
        <v>574191</v>
      </c>
      <c r="J106" s="733">
        <v>0.24075580595688592</v>
      </c>
      <c r="L106" s="495">
        <f t="shared" si="2"/>
        <v>0</v>
      </c>
      <c r="M106" s="495">
        <f t="shared" si="3"/>
        <v>0</v>
      </c>
      <c r="O106" s="764" t="s">
        <v>127</v>
      </c>
      <c r="P106" s="499"/>
      <c r="Q106" s="499"/>
      <c r="R106" s="499"/>
      <c r="S106" s="499"/>
      <c r="T106" s="500"/>
      <c r="U106" s="499"/>
      <c r="V106" s="499"/>
      <c r="W106" s="499"/>
      <c r="X106" s="499"/>
      <c r="Y106" s="500"/>
      <c r="Z106" s="499"/>
      <c r="AA106" s="499"/>
      <c r="AB106" s="499"/>
      <c r="AC106" s="499"/>
      <c r="AD106" s="500"/>
      <c r="AE106" s="499"/>
      <c r="AF106" s="499"/>
      <c r="AG106" s="499"/>
      <c r="AH106" s="499"/>
      <c r="AI106" s="500"/>
      <c r="AJ106" s="499"/>
      <c r="AK106" s="499"/>
      <c r="AL106" s="499"/>
      <c r="AM106" s="499"/>
      <c r="AN106" s="500"/>
      <c r="AO106" s="499"/>
      <c r="AP106" s="499"/>
      <c r="AQ106" s="499"/>
      <c r="AR106" s="499"/>
      <c r="AS106" s="500"/>
      <c r="AT106" s="499"/>
      <c r="AU106" s="499"/>
      <c r="AV106" s="499"/>
      <c r="AW106" s="499"/>
      <c r="AX106" s="500"/>
      <c r="AY106" s="499"/>
      <c r="AZ106" s="499"/>
      <c r="BA106" s="499"/>
      <c r="BB106" s="499"/>
      <c r="BC106" s="500"/>
      <c r="BD106" s="499"/>
      <c r="BE106" s="499"/>
      <c r="BF106" s="499"/>
      <c r="BG106" s="499"/>
      <c r="BH106" s="500"/>
    </row>
    <row r="107" spans="2:60" ht="9" customHeight="1" x14ac:dyDescent="0.2">
      <c r="B107" s="718"/>
      <c r="C107" s="765"/>
      <c r="D107" s="722"/>
      <c r="E107" s="724"/>
      <c r="F107" s="748"/>
      <c r="G107" s="749"/>
      <c r="H107" s="730"/>
      <c r="I107" s="732"/>
      <c r="J107" s="789"/>
      <c r="K107" s="513"/>
      <c r="L107" s="495">
        <f t="shared" si="2"/>
        <v>0</v>
      </c>
      <c r="M107" s="495">
        <f t="shared" si="3"/>
        <v>0</v>
      </c>
      <c r="O107" s="765"/>
      <c r="P107" s="495">
        <v>0</v>
      </c>
      <c r="Q107" s="495">
        <v>0</v>
      </c>
      <c r="R107" s="495">
        <v>0</v>
      </c>
      <c r="S107" s="495">
        <v>0</v>
      </c>
      <c r="T107" s="495">
        <f>SUM(P107:S107)</f>
        <v>0</v>
      </c>
      <c r="U107" s="495">
        <v>0</v>
      </c>
      <c r="V107" s="495">
        <v>0</v>
      </c>
      <c r="W107" s="495">
        <v>0</v>
      </c>
      <c r="X107" s="495">
        <v>0</v>
      </c>
      <c r="Y107" s="495">
        <f>SUM(U107:X107)</f>
        <v>0</v>
      </c>
      <c r="Z107" s="495">
        <v>0</v>
      </c>
      <c r="AA107" s="495">
        <v>0</v>
      </c>
      <c r="AB107" s="495">
        <v>0</v>
      </c>
      <c r="AC107" s="495">
        <v>0</v>
      </c>
      <c r="AD107" s="495">
        <f>SUM(Z107:AC107)</f>
        <v>0</v>
      </c>
      <c r="AE107" s="495">
        <v>0</v>
      </c>
      <c r="AF107" s="495">
        <v>0</v>
      </c>
      <c r="AG107" s="495">
        <v>0</v>
      </c>
      <c r="AH107" s="495">
        <v>0</v>
      </c>
      <c r="AI107" s="495">
        <f>SUM(AE107:AH107)</f>
        <v>0</v>
      </c>
      <c r="AJ107" s="495">
        <v>0</v>
      </c>
      <c r="AK107" s="495">
        <v>0</v>
      </c>
      <c r="AL107" s="495">
        <v>0</v>
      </c>
      <c r="AM107" s="495">
        <v>0</v>
      </c>
      <c r="AN107" s="495">
        <f>SUM(AJ107:AM107)</f>
        <v>0</v>
      </c>
      <c r="AO107" s="495">
        <v>0</v>
      </c>
      <c r="AP107" s="495">
        <v>0</v>
      </c>
      <c r="AQ107" s="495">
        <v>0</v>
      </c>
      <c r="AR107" s="495">
        <v>0</v>
      </c>
      <c r="AS107" s="495">
        <f>SUM(AO107:AR107)</f>
        <v>0</v>
      </c>
      <c r="AT107" s="495">
        <v>0</v>
      </c>
      <c r="AU107" s="495">
        <v>0</v>
      </c>
      <c r="AV107" s="495">
        <v>0</v>
      </c>
      <c r="AW107" s="495">
        <v>0</v>
      </c>
      <c r="AX107" s="495">
        <f>SUM(AT107:AW107)</f>
        <v>0</v>
      </c>
      <c r="AY107" s="495">
        <v>0</v>
      </c>
      <c r="AZ107" s="495">
        <v>0</v>
      </c>
      <c r="BA107" s="495">
        <v>0</v>
      </c>
      <c r="BB107" s="495">
        <v>0</v>
      </c>
      <c r="BC107" s="495">
        <f>SUM(AY107:BB107)</f>
        <v>0</v>
      </c>
      <c r="BD107" s="495">
        <v>0</v>
      </c>
      <c r="BE107" s="495">
        <v>0</v>
      </c>
      <c r="BF107" s="495">
        <v>0</v>
      </c>
      <c r="BG107" s="495">
        <v>0</v>
      </c>
      <c r="BH107" s="495">
        <f>SUM(BD107:BG107)</f>
        <v>0</v>
      </c>
    </row>
    <row r="108" spans="2:60" ht="9" customHeight="1" x14ac:dyDescent="0.2">
      <c r="B108" s="790" t="s">
        <v>7</v>
      </c>
      <c r="C108" s="791"/>
      <c r="D108" s="791"/>
      <c r="E108" s="791"/>
      <c r="F108" s="791"/>
      <c r="G108" s="791"/>
      <c r="H108" s="792"/>
      <c r="I108" s="799">
        <f>SUM(I6:I107)</f>
        <v>238495183</v>
      </c>
      <c r="J108" s="739">
        <f>SUM(J6:J107)</f>
        <v>99.999999999999986</v>
      </c>
      <c r="K108" s="513" t="s">
        <v>859</v>
      </c>
      <c r="L108" s="521">
        <f>SUM(L6:L107)</f>
        <v>55199664</v>
      </c>
      <c r="M108" s="521">
        <f>SUM(M6:M107)</f>
        <v>55199664</v>
      </c>
      <c r="O108" s="480"/>
      <c r="P108" s="803" t="s">
        <v>859</v>
      </c>
      <c r="Q108" s="804"/>
      <c r="R108" s="804"/>
      <c r="S108" s="805"/>
      <c r="T108" s="497">
        <f>SUM(T6:T107)</f>
        <v>409664</v>
      </c>
      <c r="U108" s="803" t="s">
        <v>859</v>
      </c>
      <c r="V108" s="804"/>
      <c r="W108" s="804"/>
      <c r="X108" s="805"/>
      <c r="Y108" s="497">
        <f>SUM(Y6:Y107)</f>
        <v>31070000</v>
      </c>
      <c r="Z108" s="803" t="s">
        <v>859</v>
      </c>
      <c r="AA108" s="804"/>
      <c r="AB108" s="804"/>
      <c r="AC108" s="805"/>
      <c r="AD108" s="497">
        <f>SUM(AD6:AD107)</f>
        <v>15840000</v>
      </c>
      <c r="AE108" s="803" t="s">
        <v>859</v>
      </c>
      <c r="AF108" s="804"/>
      <c r="AG108" s="804"/>
      <c r="AH108" s="805"/>
      <c r="AI108" s="497">
        <f>SUM(AI6:AI107)</f>
        <v>0</v>
      </c>
      <c r="AJ108" s="803" t="s">
        <v>859</v>
      </c>
      <c r="AK108" s="804"/>
      <c r="AL108" s="804"/>
      <c r="AM108" s="805"/>
      <c r="AN108" s="497">
        <f>SUM(AN6:AN107)</f>
        <v>0</v>
      </c>
      <c r="AO108" s="803" t="s">
        <v>859</v>
      </c>
      <c r="AP108" s="804"/>
      <c r="AQ108" s="804"/>
      <c r="AR108" s="805"/>
      <c r="AS108" s="497">
        <f>SUM(AS6:AS107)</f>
        <v>0</v>
      </c>
      <c r="AT108" s="803" t="s">
        <v>859</v>
      </c>
      <c r="AU108" s="804"/>
      <c r="AV108" s="804"/>
      <c r="AW108" s="805"/>
      <c r="AX108" s="497">
        <f>SUM(AX6:AX107)</f>
        <v>0</v>
      </c>
      <c r="AY108" s="803" t="s">
        <v>859</v>
      </c>
      <c r="AZ108" s="804"/>
      <c r="BA108" s="804"/>
      <c r="BB108" s="805"/>
      <c r="BC108" s="497">
        <f>SUM(BC6:BC107)</f>
        <v>7880000</v>
      </c>
      <c r="BD108" s="803" t="s">
        <v>859</v>
      </c>
      <c r="BE108" s="804"/>
      <c r="BF108" s="804"/>
      <c r="BG108" s="805"/>
      <c r="BH108" s="497">
        <f>SUM(BH6:BH107)</f>
        <v>0</v>
      </c>
    </row>
    <row r="109" spans="2:60" ht="9" customHeight="1" x14ac:dyDescent="0.15">
      <c r="B109" s="793"/>
      <c r="C109" s="794"/>
      <c r="D109" s="794"/>
      <c r="E109" s="794"/>
      <c r="F109" s="794"/>
      <c r="G109" s="794"/>
      <c r="H109" s="795"/>
      <c r="I109" s="800"/>
      <c r="J109" s="802"/>
      <c r="O109" s="480"/>
      <c r="P109" s="501"/>
      <c r="Q109" s="501"/>
      <c r="R109" s="501"/>
      <c r="S109" s="501"/>
      <c r="T109" s="501"/>
      <c r="U109" s="838"/>
      <c r="V109" s="839"/>
      <c r="W109" s="839"/>
      <c r="X109" s="839"/>
      <c r="Y109" s="839"/>
      <c r="Z109" s="839"/>
      <c r="AA109" s="839"/>
      <c r="AB109" s="839"/>
      <c r="AC109" s="839"/>
      <c r="AD109" s="839"/>
      <c r="AE109" s="839"/>
      <c r="AF109" s="839"/>
      <c r="AG109" s="839"/>
      <c r="AH109" s="839"/>
      <c r="AI109" s="839"/>
      <c r="AJ109" s="839"/>
      <c r="AK109" s="839"/>
      <c r="AL109" s="839"/>
      <c r="AM109" s="839"/>
      <c r="AN109" s="839"/>
      <c r="AO109" s="839"/>
      <c r="AP109" s="839"/>
      <c r="AQ109" s="839"/>
      <c r="AR109" s="839"/>
      <c r="AS109" s="840"/>
      <c r="AT109" s="480"/>
      <c r="AU109" s="480"/>
      <c r="AV109" s="480"/>
      <c r="AW109" s="480"/>
      <c r="AX109" s="480"/>
      <c r="AY109" s="480"/>
      <c r="AZ109" s="480"/>
      <c r="BA109" s="480"/>
      <c r="BB109" s="480"/>
      <c r="BC109" s="480"/>
      <c r="BD109" s="480"/>
      <c r="BE109" s="480"/>
      <c r="BF109" s="480"/>
      <c r="BG109" s="480"/>
      <c r="BH109" s="480"/>
    </row>
    <row r="110" spans="2:60" ht="9" customHeight="1" x14ac:dyDescent="0.15">
      <c r="B110" s="796"/>
      <c r="C110" s="797"/>
      <c r="D110" s="797"/>
      <c r="E110" s="797"/>
      <c r="F110" s="797"/>
      <c r="G110" s="797"/>
      <c r="H110" s="798"/>
      <c r="I110" s="801"/>
      <c r="J110" s="740"/>
      <c r="O110" s="480"/>
      <c r="P110" s="501"/>
      <c r="Q110" s="501"/>
      <c r="R110" s="501"/>
      <c r="S110" s="501"/>
      <c r="T110" s="501"/>
      <c r="U110" s="841"/>
      <c r="V110" s="842"/>
      <c r="W110" s="842"/>
      <c r="X110" s="842"/>
      <c r="Y110" s="842"/>
      <c r="Z110" s="842"/>
      <c r="AA110" s="842"/>
      <c r="AB110" s="842"/>
      <c r="AC110" s="842"/>
      <c r="AD110" s="842"/>
      <c r="AE110" s="842"/>
      <c r="AF110" s="842"/>
      <c r="AG110" s="842"/>
      <c r="AH110" s="842"/>
      <c r="AI110" s="842"/>
      <c r="AJ110" s="842"/>
      <c r="AK110" s="842"/>
      <c r="AL110" s="842"/>
      <c r="AM110" s="842"/>
      <c r="AN110" s="842"/>
      <c r="AO110" s="842"/>
      <c r="AP110" s="842"/>
      <c r="AQ110" s="842"/>
      <c r="AR110" s="842"/>
      <c r="AS110" s="843"/>
      <c r="AT110" s="480"/>
      <c r="AU110" s="480"/>
      <c r="AV110" s="480"/>
      <c r="AW110" s="480"/>
      <c r="AX110" s="480"/>
      <c r="AY110" s="480"/>
      <c r="AZ110" s="480"/>
      <c r="BA110" s="480"/>
      <c r="BB110" s="480"/>
      <c r="BC110" s="480"/>
      <c r="BD110" s="480"/>
      <c r="BE110" s="480"/>
      <c r="BF110" s="480"/>
      <c r="BG110" s="480"/>
      <c r="BH110" s="480"/>
    </row>
    <row r="111" spans="2:60" ht="9" customHeight="1" x14ac:dyDescent="0.7">
      <c r="P111" s="501"/>
      <c r="Q111" s="501"/>
      <c r="R111" s="501"/>
      <c r="S111" s="501"/>
      <c r="T111" s="501"/>
      <c r="U111" s="844"/>
      <c r="V111" s="845"/>
      <c r="W111" s="845"/>
      <c r="X111" s="845"/>
      <c r="Y111" s="845"/>
      <c r="Z111" s="845"/>
      <c r="AA111" s="845"/>
      <c r="AB111" s="845"/>
      <c r="AC111" s="845"/>
      <c r="AD111" s="845"/>
      <c r="AE111" s="845"/>
      <c r="AF111" s="845"/>
      <c r="AG111" s="845"/>
      <c r="AH111" s="845"/>
      <c r="AI111" s="845"/>
      <c r="AJ111" s="845"/>
      <c r="AK111" s="845"/>
      <c r="AL111" s="845"/>
      <c r="AM111" s="845"/>
      <c r="AN111" s="845"/>
      <c r="AO111" s="845"/>
      <c r="AP111" s="845"/>
      <c r="AQ111" s="845"/>
      <c r="AR111" s="845"/>
      <c r="AS111" s="846"/>
      <c r="AT111" s="480"/>
      <c r="AU111" s="480"/>
      <c r="AV111" s="480"/>
      <c r="AW111" s="480"/>
      <c r="AX111" s="480"/>
      <c r="AY111" s="480"/>
      <c r="AZ111" s="480"/>
      <c r="BA111" s="480"/>
      <c r="BB111" s="480"/>
      <c r="BC111" s="480"/>
      <c r="BD111" s="480"/>
      <c r="BE111" s="480"/>
      <c r="BF111" s="480"/>
      <c r="BG111" s="480"/>
      <c r="BH111" s="480"/>
    </row>
    <row r="115" spans="1:60" ht="9" customHeight="1" x14ac:dyDescent="0.7">
      <c r="J115" s="538"/>
    </row>
    <row r="117" spans="1:60" ht="9" customHeight="1" x14ac:dyDescent="0.7">
      <c r="A117" s="481"/>
      <c r="B117" s="481"/>
      <c r="H117" s="480"/>
      <c r="I117" s="511"/>
      <c r="J117" s="511"/>
      <c r="L117" s="481"/>
      <c r="N117" s="498"/>
      <c r="O117" s="498"/>
      <c r="AQ117" s="480"/>
      <c r="AR117" s="480"/>
      <c r="AS117" s="480"/>
      <c r="AV117" s="480"/>
      <c r="AW117" s="480"/>
      <c r="AX117" s="480"/>
      <c r="BA117" s="480"/>
      <c r="BB117" s="480"/>
      <c r="BC117" s="480"/>
      <c r="BF117" s="480"/>
      <c r="BG117" s="480"/>
      <c r="BH117" s="480"/>
    </row>
    <row r="118" spans="1:60" ht="9" customHeight="1" x14ac:dyDescent="0.7">
      <c r="A118" s="481"/>
      <c r="B118" s="481"/>
      <c r="H118" s="480"/>
      <c r="I118" s="511"/>
      <c r="J118" s="511"/>
      <c r="L118" s="481"/>
      <c r="N118" s="498"/>
      <c r="O118" s="498"/>
      <c r="AQ118" s="480"/>
      <c r="AR118" s="480"/>
      <c r="AS118" s="480"/>
      <c r="AV118" s="480"/>
      <c r="AW118" s="480"/>
      <c r="AX118" s="480"/>
      <c r="BA118" s="480"/>
      <c r="BB118" s="480"/>
      <c r="BC118" s="480"/>
      <c r="BF118" s="480"/>
      <c r="BG118" s="480"/>
      <c r="BH118" s="480"/>
    </row>
    <row r="119" spans="1:60" ht="9" customHeight="1" x14ac:dyDescent="0.7">
      <c r="A119" s="481"/>
      <c r="B119" s="481"/>
      <c r="H119" s="480"/>
      <c r="I119" s="511"/>
      <c r="J119" s="511"/>
      <c r="L119" s="481"/>
      <c r="N119" s="498"/>
      <c r="O119" s="498"/>
      <c r="AQ119" s="480"/>
      <c r="AR119" s="480"/>
      <c r="AS119" s="480"/>
      <c r="AV119" s="480"/>
      <c r="AW119" s="480"/>
      <c r="AX119" s="480"/>
      <c r="BA119" s="480"/>
      <c r="BB119" s="480"/>
      <c r="BC119" s="480"/>
      <c r="BF119" s="480"/>
      <c r="BG119" s="480"/>
      <c r="BH119" s="480"/>
    </row>
    <row r="120" spans="1:60" s="510" customFormat="1" ht="9" customHeight="1" x14ac:dyDescent="0.4">
      <c r="A120" s="509"/>
      <c r="C120" s="511"/>
      <c r="D120" s="511"/>
      <c r="F120" s="509"/>
      <c r="G120" s="511"/>
      <c r="H120" s="511"/>
      <c r="I120" s="511"/>
      <c r="J120" s="511"/>
      <c r="K120" s="511"/>
      <c r="L120" s="511"/>
      <c r="M120" s="511"/>
      <c r="N120" s="511"/>
      <c r="O120" s="511"/>
      <c r="P120" s="511"/>
      <c r="Q120" s="511"/>
      <c r="R120" s="511"/>
      <c r="S120" s="511"/>
      <c r="T120" s="511"/>
      <c r="U120" s="511"/>
      <c r="V120" s="511"/>
      <c r="W120" s="511"/>
      <c r="X120" s="511"/>
      <c r="Y120" s="511"/>
      <c r="Z120" s="511"/>
      <c r="AA120" s="511"/>
      <c r="AB120" s="511"/>
      <c r="AC120" s="511"/>
      <c r="AD120" s="511"/>
      <c r="AE120" s="511"/>
      <c r="AF120" s="511"/>
      <c r="AG120" s="511"/>
      <c r="AH120" s="511"/>
      <c r="AI120" s="511"/>
      <c r="AJ120" s="511"/>
    </row>
    <row r="121" spans="1:60" s="510" customFormat="1" ht="9" customHeight="1" x14ac:dyDescent="0.4">
      <c r="A121" s="509"/>
      <c r="C121" s="511"/>
      <c r="D121" s="511"/>
      <c r="F121" s="509"/>
      <c r="G121" s="511"/>
      <c r="H121" s="511"/>
      <c r="I121" s="511"/>
      <c r="J121" s="511"/>
      <c r="K121" s="511"/>
      <c r="L121" s="511"/>
      <c r="M121" s="511"/>
      <c r="N121" s="511"/>
      <c r="O121" s="511"/>
      <c r="P121" s="511"/>
      <c r="Q121" s="511"/>
      <c r="R121" s="511"/>
      <c r="S121" s="511"/>
      <c r="T121" s="511"/>
      <c r="U121" s="511"/>
      <c r="V121" s="511"/>
      <c r="W121" s="511"/>
      <c r="X121" s="511"/>
      <c r="Y121" s="511"/>
      <c r="Z121" s="511"/>
      <c r="AA121" s="511"/>
      <c r="AB121" s="511"/>
      <c r="AC121" s="511"/>
      <c r="AD121" s="511"/>
      <c r="AE121" s="511"/>
      <c r="AF121" s="511"/>
      <c r="AG121" s="511"/>
      <c r="AH121" s="511"/>
      <c r="AI121" s="511"/>
      <c r="AJ121" s="511"/>
    </row>
    <row r="122" spans="1:60" s="510" customFormat="1" ht="9" customHeight="1" x14ac:dyDescent="0.4">
      <c r="A122" s="509"/>
      <c r="C122" s="511"/>
      <c r="D122" s="511"/>
      <c r="F122" s="509"/>
      <c r="G122" s="511"/>
      <c r="H122" s="511"/>
      <c r="I122" s="511"/>
      <c r="J122" s="511"/>
      <c r="K122" s="511"/>
      <c r="L122" s="511"/>
      <c r="M122" s="511"/>
      <c r="N122" s="511"/>
      <c r="O122" s="511"/>
      <c r="P122" s="511"/>
      <c r="Q122" s="511"/>
      <c r="R122" s="511"/>
      <c r="S122" s="511"/>
      <c r="T122" s="511"/>
      <c r="U122" s="511"/>
      <c r="V122" s="511"/>
      <c r="W122" s="511"/>
      <c r="X122" s="511"/>
      <c r="Y122" s="511"/>
      <c r="Z122" s="511"/>
      <c r="AA122" s="511"/>
      <c r="AB122" s="511"/>
      <c r="AC122" s="511"/>
      <c r="AD122" s="511"/>
      <c r="AE122" s="511"/>
      <c r="AF122" s="511"/>
      <c r="AG122" s="511"/>
      <c r="AH122" s="511"/>
      <c r="AI122" s="511"/>
      <c r="AJ122" s="511"/>
    </row>
    <row r="123" spans="1:60" s="510" customFormat="1" ht="9" customHeight="1" x14ac:dyDescent="0.4">
      <c r="A123" s="509"/>
      <c r="C123" s="511"/>
      <c r="D123" s="511"/>
      <c r="F123" s="509"/>
      <c r="G123" s="511"/>
      <c r="H123" s="511"/>
      <c r="I123" s="511"/>
      <c r="J123" s="511"/>
      <c r="K123" s="511"/>
      <c r="L123" s="511"/>
      <c r="M123" s="511"/>
      <c r="N123" s="511"/>
      <c r="O123" s="511"/>
      <c r="P123" s="511"/>
      <c r="Q123" s="511"/>
      <c r="R123" s="511"/>
      <c r="S123" s="511"/>
      <c r="T123" s="511"/>
      <c r="U123" s="511"/>
      <c r="V123" s="511"/>
      <c r="W123" s="511"/>
      <c r="X123" s="511"/>
      <c r="Y123" s="511"/>
      <c r="Z123" s="511"/>
      <c r="AA123" s="511"/>
      <c r="AB123" s="511"/>
      <c r="AC123" s="511"/>
      <c r="AD123" s="511"/>
      <c r="AE123" s="511"/>
      <c r="AF123" s="511"/>
      <c r="AG123" s="511"/>
      <c r="AH123" s="511"/>
      <c r="AI123" s="511"/>
      <c r="AJ123" s="511"/>
    </row>
    <row r="124" spans="1:60" s="510" customFormat="1" ht="9" customHeight="1" x14ac:dyDescent="0.4">
      <c r="A124" s="509"/>
      <c r="C124" s="511"/>
      <c r="D124" s="511"/>
      <c r="F124" s="509"/>
      <c r="G124" s="511"/>
      <c r="H124" s="511"/>
      <c r="I124" s="511"/>
      <c r="J124" s="511"/>
      <c r="K124" s="511"/>
      <c r="L124" s="511"/>
      <c r="M124" s="511"/>
      <c r="N124" s="511"/>
      <c r="O124" s="511"/>
      <c r="P124" s="511"/>
      <c r="Q124" s="511"/>
      <c r="R124" s="511"/>
      <c r="S124" s="511"/>
      <c r="T124" s="511"/>
      <c r="U124" s="511"/>
      <c r="V124" s="511"/>
      <c r="W124" s="511"/>
      <c r="X124" s="511"/>
      <c r="Y124" s="511"/>
      <c r="Z124" s="511"/>
      <c r="AA124" s="511"/>
      <c r="AB124" s="511"/>
      <c r="AC124" s="511"/>
      <c r="AD124" s="511"/>
      <c r="AE124" s="511"/>
      <c r="AF124" s="511"/>
      <c r="AG124" s="511"/>
      <c r="AH124" s="511"/>
      <c r="AI124" s="511"/>
      <c r="AJ124" s="511"/>
    </row>
    <row r="125" spans="1:60" s="510" customFormat="1" ht="9" customHeight="1" x14ac:dyDescent="0.4">
      <c r="A125" s="509"/>
      <c r="C125" s="498"/>
      <c r="D125" s="498"/>
      <c r="F125" s="509"/>
      <c r="G125" s="511"/>
      <c r="H125" s="511"/>
      <c r="I125" s="511"/>
      <c r="J125" s="511"/>
      <c r="K125" s="511"/>
      <c r="L125" s="511"/>
      <c r="M125" s="511"/>
      <c r="N125" s="511"/>
      <c r="O125" s="511"/>
      <c r="P125" s="511"/>
      <c r="Q125" s="511"/>
      <c r="R125" s="511"/>
      <c r="S125" s="511"/>
      <c r="T125" s="511"/>
      <c r="U125" s="511"/>
      <c r="V125" s="511"/>
      <c r="W125" s="511"/>
      <c r="X125" s="511"/>
      <c r="Y125" s="511"/>
      <c r="Z125" s="511"/>
      <c r="AA125" s="511"/>
      <c r="AB125" s="511"/>
      <c r="AC125" s="511"/>
      <c r="AD125" s="511"/>
      <c r="AE125" s="511"/>
      <c r="AF125" s="511"/>
      <c r="AG125" s="511"/>
      <c r="AH125" s="511"/>
      <c r="AI125" s="511"/>
      <c r="AJ125" s="511"/>
    </row>
    <row r="126" spans="1:60" s="510" customFormat="1" ht="9" customHeight="1" x14ac:dyDescent="0.4">
      <c r="A126" s="509"/>
      <c r="C126" s="498"/>
      <c r="D126" s="498"/>
      <c r="F126" s="509"/>
      <c r="G126" s="511"/>
      <c r="H126" s="511"/>
      <c r="I126" s="511"/>
      <c r="J126" s="511"/>
      <c r="K126" s="511"/>
      <c r="L126" s="511"/>
      <c r="M126" s="511"/>
      <c r="N126" s="511"/>
      <c r="O126" s="511"/>
      <c r="P126" s="511"/>
      <c r="Q126" s="511"/>
      <c r="R126" s="511"/>
      <c r="S126" s="511"/>
      <c r="T126" s="511"/>
      <c r="U126" s="511"/>
      <c r="V126" s="511"/>
      <c r="W126" s="511"/>
      <c r="X126" s="511"/>
      <c r="Y126" s="511"/>
      <c r="Z126" s="511"/>
      <c r="AA126" s="511"/>
      <c r="AB126" s="511"/>
      <c r="AC126" s="511"/>
      <c r="AD126" s="511"/>
      <c r="AE126" s="511"/>
      <c r="AF126" s="511"/>
      <c r="AG126" s="511"/>
      <c r="AH126" s="511"/>
      <c r="AI126" s="511"/>
      <c r="AJ126" s="511"/>
    </row>
    <row r="127" spans="1:60" s="510" customFormat="1" ht="9" customHeight="1" x14ac:dyDescent="0.4">
      <c r="A127" s="509"/>
      <c r="C127" s="498"/>
      <c r="D127" s="498"/>
      <c r="F127" s="509"/>
      <c r="G127" s="511"/>
      <c r="H127" s="511"/>
      <c r="I127" s="511"/>
      <c r="J127" s="511"/>
      <c r="K127" s="511"/>
      <c r="L127" s="511"/>
      <c r="M127" s="511"/>
      <c r="N127" s="511"/>
      <c r="O127" s="511"/>
      <c r="P127" s="511"/>
      <c r="Q127" s="511"/>
      <c r="R127" s="511"/>
      <c r="S127" s="511"/>
      <c r="T127" s="511"/>
      <c r="U127" s="511"/>
      <c r="V127" s="511"/>
      <c r="W127" s="511"/>
      <c r="X127" s="511"/>
      <c r="Y127" s="511"/>
      <c r="Z127" s="511"/>
      <c r="AA127" s="511"/>
      <c r="AB127" s="511"/>
      <c r="AC127" s="511"/>
      <c r="AD127" s="511"/>
      <c r="AE127" s="511"/>
      <c r="AF127" s="511"/>
      <c r="AG127" s="511"/>
      <c r="AH127" s="511"/>
      <c r="AI127" s="511"/>
      <c r="AJ127" s="511"/>
    </row>
    <row r="128" spans="1:60" ht="9" customHeight="1" x14ac:dyDescent="0.7">
      <c r="A128" s="481"/>
      <c r="B128" s="481"/>
      <c r="H128" s="480"/>
      <c r="I128" s="498"/>
      <c r="J128" s="498"/>
      <c r="L128" s="481"/>
      <c r="N128" s="498"/>
      <c r="O128" s="498"/>
      <c r="AQ128" s="480"/>
      <c r="AR128" s="480"/>
      <c r="AS128" s="480"/>
      <c r="AV128" s="480"/>
      <c r="AW128" s="480"/>
      <c r="AX128" s="480"/>
      <c r="BA128" s="480"/>
      <c r="BB128" s="480"/>
      <c r="BC128" s="480"/>
      <c r="BF128" s="480"/>
      <c r="BG128" s="480"/>
      <c r="BH128" s="480"/>
    </row>
    <row r="129" spans="1:60" ht="9" customHeight="1" x14ac:dyDescent="0.7">
      <c r="A129" s="481"/>
      <c r="B129" s="481"/>
      <c r="H129" s="480"/>
      <c r="I129" s="498"/>
      <c r="J129" s="498"/>
      <c r="L129" s="481"/>
      <c r="N129" s="498"/>
      <c r="O129" s="498"/>
      <c r="AQ129" s="480"/>
      <c r="AR129" s="480"/>
      <c r="AS129" s="480"/>
      <c r="AV129" s="480"/>
      <c r="AW129" s="480"/>
      <c r="AX129" s="480"/>
      <c r="BA129" s="480"/>
      <c r="BB129" s="480"/>
      <c r="BC129" s="480"/>
      <c r="BF129" s="480"/>
      <c r="BG129" s="480"/>
      <c r="BH129" s="480"/>
    </row>
  </sheetData>
  <mergeCells count="591">
    <mergeCell ref="BD108:BG108"/>
    <mergeCell ref="AE108:AH108"/>
    <mergeCell ref="U108:X108"/>
    <mergeCell ref="U109:AS111"/>
    <mergeCell ref="P2:T2"/>
    <mergeCell ref="J106:J107"/>
    <mergeCell ref="O106:O107"/>
    <mergeCell ref="B108:H110"/>
    <mergeCell ref="I108:I110"/>
    <mergeCell ref="J108:J110"/>
    <mergeCell ref="P108:S108"/>
    <mergeCell ref="J104:J105"/>
    <mergeCell ref="O104:O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H102:H103"/>
    <mergeCell ref="I102:I103"/>
    <mergeCell ref="J102:J103"/>
    <mergeCell ref="O102:O103"/>
    <mergeCell ref="B104:B105"/>
    <mergeCell ref="C104:C105"/>
    <mergeCell ref="D104:D105"/>
    <mergeCell ref="E104:E105"/>
    <mergeCell ref="H104:H105"/>
    <mergeCell ref="I104:I105"/>
    <mergeCell ref="B102:B103"/>
    <mergeCell ref="C102:C103"/>
    <mergeCell ref="D102:D103"/>
    <mergeCell ref="E102:E103"/>
    <mergeCell ref="F102:F103"/>
    <mergeCell ref="G102:G103"/>
    <mergeCell ref="O98:O99"/>
    <mergeCell ref="B100:B101"/>
    <mergeCell ref="C100:C101"/>
    <mergeCell ref="D100:D101"/>
    <mergeCell ref="E100:E101"/>
    <mergeCell ref="H100:H101"/>
    <mergeCell ref="I100:I101"/>
    <mergeCell ref="J100:J101"/>
    <mergeCell ref="O100:O101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O94:O95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O96:O97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O90:O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O92:O93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O86:O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O88:O89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O82:O83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O84:O85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B78:B79"/>
    <mergeCell ref="C78:C79"/>
    <mergeCell ref="D78:D79"/>
    <mergeCell ref="E78:E79"/>
    <mergeCell ref="H78:H79"/>
    <mergeCell ref="I78:I79"/>
    <mergeCell ref="J78:J79"/>
    <mergeCell ref="O78:O79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O80:O81"/>
    <mergeCell ref="H74:H75"/>
    <mergeCell ref="I74:I75"/>
    <mergeCell ref="J74:J75"/>
    <mergeCell ref="O74:O75"/>
    <mergeCell ref="B76:B77"/>
    <mergeCell ref="C76:C77"/>
    <mergeCell ref="D76:D77"/>
    <mergeCell ref="E76:E77"/>
    <mergeCell ref="F76:F77"/>
    <mergeCell ref="G76:G77"/>
    <mergeCell ref="B74:B75"/>
    <mergeCell ref="C74:C75"/>
    <mergeCell ref="D74:D75"/>
    <mergeCell ref="E74:E75"/>
    <mergeCell ref="F74:F75"/>
    <mergeCell ref="G74:G75"/>
    <mergeCell ref="H76:H77"/>
    <mergeCell ref="I76:I77"/>
    <mergeCell ref="J76:J77"/>
    <mergeCell ref="O76:O77"/>
    <mergeCell ref="O70:O71"/>
    <mergeCell ref="B72:B73"/>
    <mergeCell ref="C72:C73"/>
    <mergeCell ref="D72:D73"/>
    <mergeCell ref="E72:E73"/>
    <mergeCell ref="H72:H73"/>
    <mergeCell ref="I72:I73"/>
    <mergeCell ref="J72:J73"/>
    <mergeCell ref="O72:O73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O66:O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O68:O69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O62:O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O64:O65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O58:O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O60:O61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O54:O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O56:O57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O50:O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O52:O53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O46:O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O48:O49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O42:O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O44:O45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O38:O39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O40:O41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O34:O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O36:O37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O30:O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O32:O33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O26:O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O28:O29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O22:O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O24:O25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O18:O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O20:O21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O14:O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O16:O17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O10:O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O12:O13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O8:O9"/>
    <mergeCell ref="L2:L5"/>
    <mergeCell ref="M2:M5"/>
    <mergeCell ref="U4:U5"/>
    <mergeCell ref="V4:V5"/>
    <mergeCell ref="W4:W5"/>
    <mergeCell ref="X4:X5"/>
    <mergeCell ref="Y4:Y5"/>
    <mergeCell ref="B6:B7"/>
    <mergeCell ref="C6:C7"/>
    <mergeCell ref="D6:D7"/>
    <mergeCell ref="E6:E7"/>
    <mergeCell ref="F6:F7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C2:C3"/>
    <mergeCell ref="D2:D3"/>
    <mergeCell ref="E2:E3"/>
    <mergeCell ref="Z4:Z5"/>
    <mergeCell ref="S4:S5"/>
    <mergeCell ref="T4:T5"/>
    <mergeCell ref="AA4:AA5"/>
    <mergeCell ref="F2:F3"/>
    <mergeCell ref="G2:G3"/>
    <mergeCell ref="J2:J3"/>
    <mergeCell ref="O4:O5"/>
    <mergeCell ref="P4:P5"/>
    <mergeCell ref="Q4:Q5"/>
    <mergeCell ref="R4:R5"/>
    <mergeCell ref="AG4:AG5"/>
    <mergeCell ref="AH4:AH5"/>
    <mergeCell ref="AI4:AI5"/>
    <mergeCell ref="AJ4:AJ5"/>
    <mergeCell ref="AK4:AK5"/>
    <mergeCell ref="AL4:AL5"/>
    <mergeCell ref="G6:G7"/>
    <mergeCell ref="H6:H7"/>
    <mergeCell ref="I6:I7"/>
    <mergeCell ref="J6:J7"/>
    <mergeCell ref="O6:O7"/>
    <mergeCell ref="AC4:AC5"/>
    <mergeCell ref="AD4:AD5"/>
    <mergeCell ref="AE4:AE5"/>
    <mergeCell ref="AF4:AF5"/>
    <mergeCell ref="AB4:AB5"/>
    <mergeCell ref="Z108:AC108"/>
    <mergeCell ref="AO3:AS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O2:O3"/>
    <mergeCell ref="U2:AN2"/>
    <mergeCell ref="P3:T3"/>
    <mergeCell ref="U3:Y3"/>
    <mergeCell ref="Z3:AD3"/>
    <mergeCell ref="AE3:AI3"/>
    <mergeCell ref="AJ3:AN3"/>
    <mergeCell ref="AS4:AS5"/>
    <mergeCell ref="AM4:AM5"/>
    <mergeCell ref="AN4:AN5"/>
    <mergeCell ref="AO4:AO5"/>
    <mergeCell ref="AP4:AP5"/>
    <mergeCell ref="AQ4:AQ5"/>
    <mergeCell ref="AJ108:AM108"/>
    <mergeCell ref="AO108:AR108"/>
    <mergeCell ref="AT108:AW108"/>
    <mergeCell ref="AY108:BB108"/>
    <mergeCell ref="AO2:BH2"/>
    <mergeCell ref="AT3:AX3"/>
    <mergeCell ref="AT4:AT5"/>
    <mergeCell ref="AU4:AU5"/>
    <mergeCell ref="AV4:AV5"/>
    <mergeCell ref="AW4:AW5"/>
    <mergeCell ref="AX4:AX5"/>
    <mergeCell ref="AY3:BC3"/>
    <mergeCell ref="AY4:AY5"/>
    <mergeCell ref="AZ4:AZ5"/>
    <mergeCell ref="BA4:BA5"/>
    <mergeCell ref="BB4:BB5"/>
    <mergeCell ref="BC4:BC5"/>
    <mergeCell ref="BD3:BH3"/>
    <mergeCell ref="BD4:BD5"/>
    <mergeCell ref="BE4:BE5"/>
    <mergeCell ref="BF4:BF5"/>
    <mergeCell ref="BG4:BG5"/>
    <mergeCell ref="BH4:BH5"/>
    <mergeCell ref="AR4:AR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7E15-2E37-4A5D-9CE1-4720D5F4D9F5}">
  <dimension ref="A1:AN641"/>
  <sheetViews>
    <sheetView topLeftCell="B1" zoomScale="70" zoomScaleNormal="70" workbookViewId="0">
      <pane ySplit="8" topLeftCell="A55" activePane="bottomLeft" state="frozen"/>
      <selection activeCell="B1" sqref="B1"/>
      <selection pane="bottomLeft" activeCell="AH74" sqref="AH74"/>
    </sheetView>
  </sheetViews>
  <sheetFormatPr defaultRowHeight="19.8" customHeight="1" x14ac:dyDescent="0.6"/>
  <cols>
    <col min="1" max="1" width="9.109375" style="255" hidden="1" customWidth="1"/>
    <col min="2" max="2" width="7.88671875" style="265" customWidth="1"/>
    <col min="3" max="3" width="56.21875" style="255" customWidth="1"/>
    <col min="4" max="4" width="8.6640625" style="278" customWidth="1"/>
    <col min="5" max="5" width="8.6640625" style="258" customWidth="1"/>
    <col min="6" max="6" width="14.109375" style="282" hidden="1" customWidth="1"/>
    <col min="7" max="7" width="14.109375" style="286" hidden="1" customWidth="1"/>
    <col min="8" max="8" width="7.21875" style="255" hidden="1" customWidth="1"/>
    <col min="9" max="9" width="12.109375" style="286" hidden="1" customWidth="1"/>
    <col min="10" max="10" width="12.44140625" style="255" hidden="1" customWidth="1"/>
    <col min="11" max="11" width="17.109375" style="274" hidden="1" customWidth="1"/>
    <col min="12" max="12" width="24.109375" style="255" customWidth="1"/>
    <col min="13" max="13" width="16.5546875" style="258" customWidth="1"/>
    <col min="14" max="14" width="16.5546875" style="286" customWidth="1"/>
    <col min="15" max="15" width="16.5546875" style="258" customWidth="1"/>
    <col min="16" max="16" width="16.5546875" style="286" customWidth="1"/>
    <col min="17" max="17" width="16.5546875" style="258" customWidth="1"/>
    <col min="18" max="18" width="16.5546875" style="286" customWidth="1"/>
    <col min="19" max="19" width="16.5546875" style="258" customWidth="1"/>
    <col min="20" max="20" width="16.5546875" style="286" customWidth="1"/>
    <col min="21" max="21" width="17.33203125" style="258" hidden="1" customWidth="1"/>
    <col min="22" max="22" width="18.6640625" style="286" hidden="1" customWidth="1"/>
    <col min="23" max="23" width="17.33203125" style="258" customWidth="1"/>
    <col min="24" max="24" width="18.6640625" style="286" customWidth="1"/>
    <col min="25" max="25" width="16.5546875" style="255" customWidth="1"/>
    <col min="26" max="26" width="16.5546875" style="286" customWidth="1"/>
    <col min="27" max="29" width="8.88671875" style="255"/>
    <col min="30" max="30" width="11" style="258" customWidth="1"/>
    <col min="31" max="31" width="46" style="255" customWidth="1"/>
    <col min="32" max="32" width="27.5546875" style="258" customWidth="1"/>
    <col min="33" max="33" width="20.21875" style="255" customWidth="1"/>
    <col min="34" max="34" width="22.109375" style="471" customWidth="1"/>
    <col min="35" max="16384" width="8.88671875" style="255"/>
  </cols>
  <sheetData>
    <row r="1" spans="2:40" ht="19.8" hidden="1" customHeight="1" x14ac:dyDescent="0.6"/>
    <row r="2" spans="2:40" ht="19.8" hidden="1" customHeight="1" x14ac:dyDescent="0.6"/>
    <row r="3" spans="2:40" ht="19.8" hidden="1" customHeight="1" x14ac:dyDescent="0.7">
      <c r="B3" s="806" t="s">
        <v>300</v>
      </c>
      <c r="C3" s="806"/>
      <c r="D3" s="806"/>
      <c r="E3" s="806"/>
      <c r="F3" s="806"/>
      <c r="G3" s="806"/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/>
      <c r="U3" s="806"/>
      <c r="V3" s="806"/>
      <c r="W3" s="806"/>
      <c r="X3" s="806"/>
      <c r="Y3" s="806"/>
      <c r="Z3" s="806"/>
      <c r="AA3" s="806"/>
    </row>
    <row r="4" spans="2:40" ht="19.8" hidden="1" customHeight="1" x14ac:dyDescent="0.7">
      <c r="B4" s="806" t="s">
        <v>170</v>
      </c>
      <c r="C4" s="806"/>
      <c r="D4" s="806"/>
      <c r="E4" s="806"/>
      <c r="F4" s="806"/>
      <c r="G4" s="806"/>
      <c r="H4" s="806"/>
      <c r="I4" s="806"/>
      <c r="J4" s="806"/>
      <c r="K4" s="806"/>
      <c r="L4" s="806"/>
      <c r="M4" s="806"/>
      <c r="N4" s="806"/>
      <c r="O4" s="806"/>
      <c r="P4" s="806"/>
      <c r="Q4" s="806"/>
      <c r="R4" s="806"/>
      <c r="S4" s="806"/>
      <c r="T4" s="806"/>
      <c r="U4" s="806"/>
      <c r="V4" s="806"/>
      <c r="W4" s="806"/>
      <c r="X4" s="806"/>
      <c r="Y4" s="806"/>
      <c r="Z4" s="806"/>
      <c r="AA4" s="806"/>
    </row>
    <row r="5" spans="2:40" ht="19.8" hidden="1" customHeight="1" x14ac:dyDescent="0.6">
      <c r="B5" s="305" t="s">
        <v>41</v>
      </c>
    </row>
    <row r="6" spans="2:40" ht="19.8" customHeight="1" x14ac:dyDescent="0.6">
      <c r="B6" s="260" t="s">
        <v>42</v>
      </c>
      <c r="C6" s="260" t="s">
        <v>43</v>
      </c>
      <c r="D6" s="260" t="s">
        <v>44</v>
      </c>
      <c r="E6" s="260" t="s">
        <v>45</v>
      </c>
      <c r="F6" s="283" t="s">
        <v>46</v>
      </c>
      <c r="G6" s="287" t="s">
        <v>47</v>
      </c>
      <c r="H6" s="807" t="s">
        <v>304</v>
      </c>
      <c r="I6" s="808" t="s">
        <v>48</v>
      </c>
      <c r="J6" s="809"/>
      <c r="K6" s="810"/>
      <c r="L6" s="811" t="s">
        <v>49</v>
      </c>
      <c r="M6" s="812" t="s">
        <v>841</v>
      </c>
      <c r="N6" s="812"/>
      <c r="O6" s="813" t="s">
        <v>842</v>
      </c>
      <c r="P6" s="814"/>
      <c r="Q6" s="813" t="s">
        <v>885</v>
      </c>
      <c r="R6" s="814"/>
      <c r="S6" s="813" t="s">
        <v>909</v>
      </c>
      <c r="T6" s="814"/>
      <c r="U6" s="850" t="s">
        <v>840</v>
      </c>
      <c r="V6" s="850"/>
      <c r="W6" s="850" t="s">
        <v>912</v>
      </c>
      <c r="X6" s="850"/>
      <c r="Y6" s="857" t="s">
        <v>830</v>
      </c>
      <c r="Z6" s="857"/>
      <c r="AA6" s="258"/>
    </row>
    <row r="7" spans="2:40" ht="19.8" customHeight="1" x14ac:dyDescent="0.6">
      <c r="B7" s="811" t="s">
        <v>51</v>
      </c>
      <c r="C7" s="811" t="s">
        <v>0</v>
      </c>
      <c r="D7" s="807" t="s">
        <v>301</v>
      </c>
      <c r="E7" s="811" t="s">
        <v>1</v>
      </c>
      <c r="F7" s="819" t="s">
        <v>302</v>
      </c>
      <c r="G7" s="820" t="s">
        <v>303</v>
      </c>
      <c r="H7" s="807"/>
      <c r="I7" s="821" t="s">
        <v>50</v>
      </c>
      <c r="J7" s="822"/>
      <c r="K7" s="823"/>
      <c r="L7" s="811"/>
      <c r="M7" s="812"/>
      <c r="N7" s="812"/>
      <c r="O7" s="815"/>
      <c r="P7" s="816"/>
      <c r="Q7" s="815"/>
      <c r="R7" s="816"/>
      <c r="S7" s="815"/>
      <c r="T7" s="816"/>
      <c r="U7" s="850"/>
      <c r="V7" s="850"/>
      <c r="W7" s="850"/>
      <c r="X7" s="850"/>
      <c r="Y7" s="857"/>
      <c r="Z7" s="857"/>
      <c r="AA7" s="258"/>
      <c r="AG7" s="853" t="s">
        <v>830</v>
      </c>
      <c r="AH7" s="855"/>
      <c r="AI7" s="856"/>
    </row>
    <row r="8" spans="2:40" ht="40.799999999999997" customHeight="1" x14ac:dyDescent="0.6">
      <c r="B8" s="811"/>
      <c r="C8" s="811"/>
      <c r="D8" s="807"/>
      <c r="E8" s="811"/>
      <c r="F8" s="819"/>
      <c r="G8" s="820"/>
      <c r="H8" s="807"/>
      <c r="I8" s="288" t="s">
        <v>175</v>
      </c>
      <c r="J8" s="256" t="s">
        <v>406</v>
      </c>
      <c r="K8" s="256" t="s">
        <v>305</v>
      </c>
      <c r="L8" s="811"/>
      <c r="M8" s="449" t="s">
        <v>143</v>
      </c>
      <c r="N8" s="450" t="s">
        <v>829</v>
      </c>
      <c r="O8" s="449" t="s">
        <v>143</v>
      </c>
      <c r="P8" s="450" t="s">
        <v>829</v>
      </c>
      <c r="Q8" s="449" t="s">
        <v>143</v>
      </c>
      <c r="R8" s="450" t="s">
        <v>829</v>
      </c>
      <c r="S8" s="449" t="s">
        <v>143</v>
      </c>
      <c r="T8" s="450" t="s">
        <v>829</v>
      </c>
      <c r="U8" s="447" t="s">
        <v>143</v>
      </c>
      <c r="V8" s="448" t="s">
        <v>829</v>
      </c>
      <c r="W8" s="447" t="s">
        <v>143</v>
      </c>
      <c r="X8" s="448" t="s">
        <v>829</v>
      </c>
      <c r="Y8" s="451" t="s">
        <v>831</v>
      </c>
      <c r="Z8" s="452" t="s">
        <v>829</v>
      </c>
      <c r="AA8" s="258"/>
      <c r="AD8" s="260" t="s">
        <v>24</v>
      </c>
      <c r="AE8" s="260" t="s">
        <v>171</v>
      </c>
      <c r="AF8" s="325" t="s">
        <v>822</v>
      </c>
      <c r="AG8" s="459" t="s">
        <v>832</v>
      </c>
      <c r="AH8" s="472" t="s">
        <v>833</v>
      </c>
      <c r="AI8" s="462"/>
    </row>
    <row r="9" spans="2:40" ht="19.8" customHeight="1" x14ac:dyDescent="0.6">
      <c r="B9" s="266">
        <v>1</v>
      </c>
      <c r="C9" s="270" t="s">
        <v>33</v>
      </c>
      <c r="D9" s="279"/>
      <c r="E9" s="275"/>
      <c r="F9" s="284"/>
      <c r="G9" s="289"/>
      <c r="H9" s="263"/>
      <c r="I9" s="289"/>
      <c r="J9" s="263"/>
      <c r="K9" s="314"/>
      <c r="L9" s="454"/>
      <c r="M9" s="275"/>
      <c r="N9" s="289"/>
      <c r="O9" s="275"/>
      <c r="P9" s="289"/>
      <c r="Q9" s="275"/>
      <c r="R9" s="289"/>
      <c r="S9" s="275"/>
      <c r="T9" s="289"/>
      <c r="U9" s="275"/>
      <c r="V9" s="289"/>
      <c r="W9" s="275"/>
      <c r="X9" s="289"/>
      <c r="Y9" s="270"/>
      <c r="Z9" s="289"/>
      <c r="AD9" s="260">
        <v>1</v>
      </c>
      <c r="AE9" s="324" t="s">
        <v>33</v>
      </c>
      <c r="AF9" s="257"/>
      <c r="AG9" s="262"/>
      <c r="AH9" s="473"/>
      <c r="AI9" s="463"/>
    </row>
    <row r="10" spans="2:40" ht="19.8" customHeight="1" x14ac:dyDescent="0.6">
      <c r="B10" s="267">
        <v>1.2</v>
      </c>
      <c r="C10" s="271" t="s">
        <v>34</v>
      </c>
      <c r="D10" s="280"/>
      <c r="E10" s="276"/>
      <c r="G10" s="290"/>
      <c r="I10" s="290"/>
      <c r="K10" s="315"/>
      <c r="L10" s="455"/>
      <c r="M10" s="276"/>
      <c r="N10" s="290"/>
      <c r="O10" s="276"/>
      <c r="P10" s="290"/>
      <c r="Q10" s="276"/>
      <c r="R10" s="290"/>
      <c r="S10" s="276"/>
      <c r="T10" s="290"/>
      <c r="U10" s="276"/>
      <c r="V10" s="290"/>
      <c r="W10" s="276"/>
      <c r="X10" s="290"/>
      <c r="Y10" s="271"/>
      <c r="Z10" s="290"/>
      <c r="AD10" s="260">
        <v>1.1000000000000001</v>
      </c>
      <c r="AE10" s="440" t="s">
        <v>34</v>
      </c>
      <c r="AF10" s="429">
        <f>SUM(K13:K21,K52,K54)</f>
        <v>5090507</v>
      </c>
      <c r="AG10" s="421">
        <f>SUM(Z13:Z21,Z52,Z54)</f>
        <v>367394</v>
      </c>
      <c r="AH10" s="470">
        <f>AG10*100/$AF$69</f>
        <v>0.15404671716157889</v>
      </c>
      <c r="AI10" s="463"/>
      <c r="AN10" s="460"/>
    </row>
    <row r="11" spans="2:40" ht="19.8" customHeight="1" x14ac:dyDescent="0.6">
      <c r="B11" s="267"/>
      <c r="C11" s="271" t="s">
        <v>306</v>
      </c>
      <c r="D11" s="280"/>
      <c r="E11" s="276"/>
      <c r="G11" s="290"/>
      <c r="I11" s="290"/>
      <c r="K11" s="315"/>
      <c r="L11" s="271"/>
      <c r="M11" s="276"/>
      <c r="N11" s="290"/>
      <c r="O11" s="276"/>
      <c r="P11" s="290"/>
      <c r="Q11" s="276"/>
      <c r="R11" s="290"/>
      <c r="S11" s="276"/>
      <c r="T11" s="290"/>
      <c r="U11" s="276"/>
      <c r="V11" s="290"/>
      <c r="W11" s="276"/>
      <c r="X11" s="290"/>
      <c r="Y11" s="271"/>
      <c r="Z11" s="290"/>
      <c r="AD11" s="322">
        <v>1</v>
      </c>
      <c r="AE11" s="262" t="s">
        <v>35</v>
      </c>
      <c r="AF11" s="326">
        <f>SUM(K22:K29)</f>
        <v>2151709</v>
      </c>
      <c r="AG11" s="421">
        <f>SUM(Z22:Z29)</f>
        <v>0</v>
      </c>
      <c r="AH11" s="470">
        <f t="shared" ref="AH11:AH66" si="0">AG11*100/$AF$69</f>
        <v>0</v>
      </c>
      <c r="AI11" s="463"/>
    </row>
    <row r="12" spans="2:40" ht="19.8" customHeight="1" x14ac:dyDescent="0.6">
      <c r="B12" s="267"/>
      <c r="C12" s="271" t="s">
        <v>307</v>
      </c>
      <c r="D12" s="280"/>
      <c r="E12" s="276"/>
      <c r="G12" s="290"/>
      <c r="I12" s="290"/>
      <c r="K12" s="315"/>
      <c r="L12" s="271"/>
      <c r="M12" s="276"/>
      <c r="N12" s="290"/>
      <c r="O12" s="276"/>
      <c r="P12" s="290"/>
      <c r="Q12" s="276"/>
      <c r="R12" s="290"/>
      <c r="S12" s="276"/>
      <c r="T12" s="290"/>
      <c r="U12" s="276"/>
      <c r="V12" s="290"/>
      <c r="W12" s="276"/>
      <c r="X12" s="290"/>
      <c r="Y12" s="271"/>
      <c r="Z12" s="290"/>
      <c r="AD12" s="322">
        <v>2</v>
      </c>
      <c r="AE12" s="262" t="s">
        <v>36</v>
      </c>
      <c r="AF12" s="326">
        <f>SUM(K30:K36)</f>
        <v>906762</v>
      </c>
      <c r="AG12" s="421">
        <f>SUM(Z30:Z36)</f>
        <v>0</v>
      </c>
      <c r="AH12" s="470">
        <f t="shared" si="0"/>
        <v>0</v>
      </c>
      <c r="AI12" s="463"/>
    </row>
    <row r="13" spans="2:40" ht="19.8" customHeight="1" x14ac:dyDescent="0.6">
      <c r="B13" s="268">
        <v>1</v>
      </c>
      <c r="C13" s="271" t="s">
        <v>194</v>
      </c>
      <c r="D13" s="280">
        <v>1</v>
      </c>
      <c r="E13" s="276" t="s">
        <v>78</v>
      </c>
      <c r="F13" s="282" t="s">
        <v>346</v>
      </c>
      <c r="G13" s="290">
        <f>F13*D13</f>
        <v>15000</v>
      </c>
      <c r="H13" s="255">
        <v>1.1596</v>
      </c>
      <c r="I13" s="290">
        <f>H13*F13</f>
        <v>17394</v>
      </c>
      <c r="J13" s="298">
        <f>IF(G13="-","-",IF(D13&gt;0,ROUNDDOWN(I13*D13,0),""))</f>
        <v>17394</v>
      </c>
      <c r="K13" s="316">
        <v>17394</v>
      </c>
      <c r="L13" s="271"/>
      <c r="M13" s="276">
        <v>1</v>
      </c>
      <c r="N13" s="290">
        <f>ROUNDDOWN(M13*$I13,0)</f>
        <v>17394</v>
      </c>
      <c r="O13" s="276"/>
      <c r="P13" s="290">
        <f>ROUNDDOWN(O13*$I13,0)</f>
        <v>0</v>
      </c>
      <c r="Q13" s="276"/>
      <c r="R13" s="290"/>
      <c r="S13" s="276"/>
      <c r="T13" s="290"/>
      <c r="U13" s="276">
        <f>M13+O13</f>
        <v>1</v>
      </c>
      <c r="V13" s="290">
        <f>ROUNDDOWN(U13*$I13,0)</f>
        <v>17394</v>
      </c>
      <c r="W13" s="276">
        <f>O13+Q13</f>
        <v>0</v>
      </c>
      <c r="X13" s="290">
        <f>ROUNDDOWN(W13*$I13,0)</f>
        <v>0</v>
      </c>
      <c r="Y13" s="271">
        <f t="shared" ref="Y13:Y76" si="1">M13+O13</f>
        <v>1</v>
      </c>
      <c r="Z13" s="290">
        <f t="shared" ref="Z13:Z76" si="2">N13+P13</f>
        <v>17394</v>
      </c>
      <c r="AD13" s="322">
        <v>3</v>
      </c>
      <c r="AE13" s="262" t="s">
        <v>37</v>
      </c>
      <c r="AF13" s="326">
        <f>SUM(K37:K39)</f>
        <v>1372327</v>
      </c>
      <c r="AG13" s="421">
        <f>SUM(Z37:Z39)</f>
        <v>0</v>
      </c>
      <c r="AH13" s="470">
        <f t="shared" si="0"/>
        <v>0</v>
      </c>
      <c r="AI13" s="463"/>
    </row>
    <row r="14" spans="2:40" ht="19.8" customHeight="1" x14ac:dyDescent="0.6">
      <c r="B14" s="268">
        <v>2</v>
      </c>
      <c r="C14" s="271" t="s">
        <v>195</v>
      </c>
      <c r="D14" s="280" t="s">
        <v>322</v>
      </c>
      <c r="E14" s="276" t="s">
        <v>55</v>
      </c>
      <c r="F14" s="282">
        <v>33.15</v>
      </c>
      <c r="G14" s="290">
        <f>IF(D14="-","-",ROUNDDOWN(F14*D14,0))</f>
        <v>50056</v>
      </c>
      <c r="H14" s="255">
        <v>1.1596</v>
      </c>
      <c r="I14" s="290">
        <f t="shared" ref="I14:I15" si="3">H14*F14</f>
        <v>38.440739999999998</v>
      </c>
      <c r="J14" s="298">
        <f t="shared" ref="J14:J54" si="4">IF(G14="-","-",IF(D14&gt;0,ROUNDDOWN(I14*D14,0),""))</f>
        <v>58045</v>
      </c>
      <c r="K14" s="316">
        <v>58044</v>
      </c>
      <c r="L14" s="271"/>
      <c r="M14" s="276"/>
      <c r="N14" s="290">
        <f>ROUNDDOWN(M14*$I14,0)</f>
        <v>0</v>
      </c>
      <c r="O14" s="276"/>
      <c r="P14" s="290">
        <f>ROUNDDOWN(O14*$I14,0)</f>
        <v>0</v>
      </c>
      <c r="Q14" s="276"/>
      <c r="R14" s="290"/>
      <c r="S14" s="276"/>
      <c r="T14" s="290"/>
      <c r="U14" s="276"/>
      <c r="V14" s="290">
        <f>ROUNDDOWN(U14*$I14,0)</f>
        <v>0</v>
      </c>
      <c r="W14" s="276"/>
      <c r="X14" s="290">
        <f>ROUNDDOWN(W14*$I14,0)</f>
        <v>0</v>
      </c>
      <c r="Y14" s="271">
        <f t="shared" si="1"/>
        <v>0</v>
      </c>
      <c r="Z14" s="290">
        <f t="shared" si="2"/>
        <v>0</v>
      </c>
      <c r="AD14" s="322">
        <v>4</v>
      </c>
      <c r="AE14" s="262" t="s">
        <v>39</v>
      </c>
      <c r="AF14" s="326">
        <f>SUM(K42,K43,K45,K46,K47,K49,K50)</f>
        <v>789372</v>
      </c>
      <c r="AG14" s="421">
        <f>SUM(Z42,Z43,Z45,Z46,Z47,Z49,Z50)</f>
        <v>0</v>
      </c>
      <c r="AH14" s="470">
        <f t="shared" si="0"/>
        <v>0</v>
      </c>
      <c r="AI14" s="463"/>
    </row>
    <row r="15" spans="2:40" ht="19.8" customHeight="1" x14ac:dyDescent="0.6">
      <c r="B15" s="268">
        <v>3</v>
      </c>
      <c r="C15" s="271" t="s">
        <v>308</v>
      </c>
      <c r="D15" s="280" t="s">
        <v>176</v>
      </c>
      <c r="E15" s="276" t="s">
        <v>61</v>
      </c>
      <c r="F15" s="282" t="s">
        <v>347</v>
      </c>
      <c r="G15" s="300" t="str">
        <f>IF(D15="-","-",F15*D15)</f>
        <v>-</v>
      </c>
      <c r="H15" s="255">
        <v>1.1409</v>
      </c>
      <c r="I15" s="290">
        <f t="shared" si="3"/>
        <v>17978.302200000002</v>
      </c>
      <c r="J15" s="298" t="str">
        <f t="shared" si="4"/>
        <v>-</v>
      </c>
      <c r="K15" s="317" t="s">
        <v>176</v>
      </c>
      <c r="L15" s="271"/>
      <c r="M15" s="276"/>
      <c r="N15" s="290"/>
      <c r="O15" s="276"/>
      <c r="P15" s="290"/>
      <c r="Q15" s="276"/>
      <c r="R15" s="290"/>
      <c r="S15" s="276"/>
      <c r="T15" s="290"/>
      <c r="U15" s="276"/>
      <c r="V15" s="290"/>
      <c r="W15" s="276"/>
      <c r="X15" s="290"/>
      <c r="Y15" s="271">
        <f t="shared" si="1"/>
        <v>0</v>
      </c>
      <c r="Z15" s="290">
        <f t="shared" si="2"/>
        <v>0</v>
      </c>
      <c r="AD15" s="851" t="s">
        <v>823</v>
      </c>
      <c r="AE15" s="852"/>
      <c r="AF15" s="326">
        <f>SUM(AF10:AF14)</f>
        <v>10310677</v>
      </c>
      <c r="AG15" s="287">
        <f>SUM(AG10:AG14)</f>
        <v>367394</v>
      </c>
      <c r="AH15" s="474">
        <f>SUM(AH10:AH14)</f>
        <v>0.15404671716157889</v>
      </c>
      <c r="AI15" s="463"/>
    </row>
    <row r="16" spans="2:40" ht="19.8" customHeight="1" x14ac:dyDescent="0.6">
      <c r="B16" s="268"/>
      <c r="C16" s="271" t="s">
        <v>52</v>
      </c>
      <c r="D16" s="280"/>
      <c r="E16" s="276"/>
      <c r="G16" s="290"/>
      <c r="I16" s="290"/>
      <c r="J16" s="298" t="str">
        <f t="shared" si="4"/>
        <v/>
      </c>
      <c r="K16" s="315"/>
      <c r="L16" s="271"/>
      <c r="M16" s="276"/>
      <c r="N16" s="290"/>
      <c r="O16" s="276"/>
      <c r="P16" s="290"/>
      <c r="Q16" s="276"/>
      <c r="R16" s="290"/>
      <c r="S16" s="276"/>
      <c r="T16" s="290"/>
      <c r="U16" s="276"/>
      <c r="V16" s="290"/>
      <c r="W16" s="276"/>
      <c r="X16" s="290"/>
      <c r="Y16" s="271">
        <f t="shared" si="1"/>
        <v>0</v>
      </c>
      <c r="Z16" s="290">
        <f t="shared" si="2"/>
        <v>0</v>
      </c>
      <c r="AD16" s="323">
        <v>1.2</v>
      </c>
      <c r="AE16" s="324" t="s">
        <v>40</v>
      </c>
      <c r="AF16" s="326">
        <f>SUM(K60,K61,K62,K63,K65,K67,K69,K70,K75)</f>
        <v>5004503</v>
      </c>
      <c r="AG16" s="422">
        <f>SUM(Z60,Z61,Z62,Z63,Z65,Z67,Z69,Z70,Z75)</f>
        <v>17394</v>
      </c>
      <c r="AH16" s="470">
        <f t="shared" si="0"/>
        <v>7.2932290628276546E-3</v>
      </c>
      <c r="AI16" s="463"/>
    </row>
    <row r="17" spans="2:35" ht="19.8" customHeight="1" x14ac:dyDescent="0.6">
      <c r="B17" s="268">
        <v>4</v>
      </c>
      <c r="C17" s="271" t="s">
        <v>309</v>
      </c>
      <c r="D17" s="280" t="s">
        <v>176</v>
      </c>
      <c r="E17" s="276" t="s">
        <v>61</v>
      </c>
      <c r="F17" s="282" t="s">
        <v>348</v>
      </c>
      <c r="G17" s="300" t="str">
        <f>IF(D17="-","-",F17*D17)</f>
        <v>-</v>
      </c>
      <c r="H17" s="255">
        <v>1.1409</v>
      </c>
      <c r="I17" s="290">
        <f>H17*F17</f>
        <v>15663.4161</v>
      </c>
      <c r="J17" s="298" t="str">
        <f t="shared" si="4"/>
        <v>-</v>
      </c>
      <c r="K17" s="317" t="s">
        <v>176</v>
      </c>
      <c r="L17" s="271"/>
      <c r="M17" s="276"/>
      <c r="N17" s="290"/>
      <c r="O17" s="276"/>
      <c r="P17" s="290"/>
      <c r="Q17" s="276"/>
      <c r="R17" s="290"/>
      <c r="S17" s="276"/>
      <c r="T17" s="290"/>
      <c r="U17" s="276"/>
      <c r="V17" s="290"/>
      <c r="W17" s="276"/>
      <c r="X17" s="290"/>
      <c r="Y17" s="271">
        <f t="shared" si="1"/>
        <v>0</v>
      </c>
      <c r="Z17" s="290">
        <f t="shared" si="2"/>
        <v>0</v>
      </c>
      <c r="AD17" s="322">
        <v>1</v>
      </c>
      <c r="AE17" s="262" t="s">
        <v>35</v>
      </c>
      <c r="AF17" s="326">
        <f>SUM(K71)</f>
        <v>1136018</v>
      </c>
      <c r="AG17" s="423">
        <f>SUM(Z71)</f>
        <v>0</v>
      </c>
      <c r="AH17" s="470">
        <f t="shared" si="0"/>
        <v>0</v>
      </c>
      <c r="AI17" s="463"/>
    </row>
    <row r="18" spans="2:35" ht="19.8" customHeight="1" x14ac:dyDescent="0.6">
      <c r="B18" s="268"/>
      <c r="C18" s="271" t="s">
        <v>52</v>
      </c>
      <c r="D18" s="280"/>
      <c r="E18" s="276"/>
      <c r="G18" s="290"/>
      <c r="I18" s="290"/>
      <c r="J18" s="298" t="str">
        <f t="shared" si="4"/>
        <v/>
      </c>
      <c r="K18" s="315"/>
      <c r="L18" s="271"/>
      <c r="M18" s="276"/>
      <c r="N18" s="290"/>
      <c r="O18" s="276"/>
      <c r="P18" s="290"/>
      <c r="Q18" s="276"/>
      <c r="R18" s="290"/>
      <c r="S18" s="276"/>
      <c r="T18" s="290"/>
      <c r="U18" s="276"/>
      <c r="V18" s="290"/>
      <c r="W18" s="276"/>
      <c r="X18" s="290"/>
      <c r="Y18" s="271">
        <f t="shared" si="1"/>
        <v>0</v>
      </c>
      <c r="Z18" s="290">
        <f t="shared" si="2"/>
        <v>0</v>
      </c>
      <c r="AD18" s="322">
        <v>2</v>
      </c>
      <c r="AE18" s="262" t="s">
        <v>37</v>
      </c>
      <c r="AF18" s="326">
        <f>SUM(K68)</f>
        <v>528774</v>
      </c>
      <c r="AG18" s="423">
        <f>SUM(Z68)</f>
        <v>0</v>
      </c>
      <c r="AH18" s="470">
        <f t="shared" si="0"/>
        <v>0</v>
      </c>
      <c r="AI18" s="463"/>
    </row>
    <row r="19" spans="2:35" ht="19.8" customHeight="1" x14ac:dyDescent="0.6">
      <c r="B19" s="268">
        <v>5</v>
      </c>
      <c r="C19" s="271" t="s">
        <v>196</v>
      </c>
      <c r="D19" s="280" t="s">
        <v>323</v>
      </c>
      <c r="E19" s="276" t="s">
        <v>61</v>
      </c>
      <c r="F19" s="282" t="s">
        <v>349</v>
      </c>
      <c r="G19" s="290">
        <f t="shared" ref="G19:G30" si="5">IF(D19="-","-",F19*D19)</f>
        <v>2100</v>
      </c>
      <c r="H19" s="255">
        <v>1.1596</v>
      </c>
      <c r="I19" s="290">
        <f t="shared" ref="I19:I34" si="6">H19*F19</f>
        <v>811.72</v>
      </c>
      <c r="J19" s="298">
        <f t="shared" si="4"/>
        <v>2435</v>
      </c>
      <c r="K19" s="316">
        <v>2435</v>
      </c>
      <c r="L19" s="271"/>
      <c r="M19" s="276"/>
      <c r="N19" s="290">
        <f t="shared" ref="N19:P34" si="7">ROUNDDOWN(M19*$I19,0)</f>
        <v>0</v>
      </c>
      <c r="O19" s="276"/>
      <c r="P19" s="290">
        <f t="shared" si="7"/>
        <v>0</v>
      </c>
      <c r="Q19" s="276"/>
      <c r="R19" s="290"/>
      <c r="S19" s="276"/>
      <c r="T19" s="290"/>
      <c r="U19" s="276"/>
      <c r="V19" s="290">
        <f t="shared" ref="V19:V38" si="8">ROUNDDOWN(U19*$I19,0)</f>
        <v>0</v>
      </c>
      <c r="W19" s="276"/>
      <c r="X19" s="290">
        <f t="shared" ref="X19:X34" si="9">ROUNDDOWN(W19*$I19,0)</f>
        <v>0</v>
      </c>
      <c r="Y19" s="271">
        <f t="shared" si="1"/>
        <v>0</v>
      </c>
      <c r="Z19" s="290">
        <f t="shared" si="2"/>
        <v>0</v>
      </c>
      <c r="AD19" s="322">
        <v>3</v>
      </c>
      <c r="AE19" s="262" t="s">
        <v>56</v>
      </c>
      <c r="AF19" s="326">
        <f>SUM(K73,K74)</f>
        <v>160623</v>
      </c>
      <c r="AG19" s="423">
        <f>SUM(Z73,Z74)</f>
        <v>0</v>
      </c>
      <c r="AH19" s="470">
        <f t="shared" si="0"/>
        <v>0</v>
      </c>
      <c r="AI19" s="463"/>
    </row>
    <row r="20" spans="2:35" ht="19.8" customHeight="1" x14ac:dyDescent="0.6">
      <c r="B20" s="268">
        <v>6</v>
      </c>
      <c r="C20" s="271" t="s">
        <v>197</v>
      </c>
      <c r="D20" s="280" t="s">
        <v>324</v>
      </c>
      <c r="E20" s="276" t="s">
        <v>54</v>
      </c>
      <c r="F20" s="282" t="s">
        <v>350</v>
      </c>
      <c r="G20" s="290">
        <f>IF(D20="-","-",ROUNDDOWN(F20*D20,0))</f>
        <v>121228</v>
      </c>
      <c r="H20" s="255">
        <v>1.1596</v>
      </c>
      <c r="I20" s="290">
        <f t="shared" si="6"/>
        <v>104.59592000000001</v>
      </c>
      <c r="J20" s="298">
        <f t="shared" si="4"/>
        <v>140576</v>
      </c>
      <c r="K20" s="316">
        <v>140582</v>
      </c>
      <c r="L20" s="271"/>
      <c r="M20" s="276"/>
      <c r="N20" s="290">
        <f t="shared" si="7"/>
        <v>0</v>
      </c>
      <c r="O20" s="276"/>
      <c r="P20" s="290">
        <f t="shared" si="7"/>
        <v>0</v>
      </c>
      <c r="Q20" s="276"/>
      <c r="R20" s="290"/>
      <c r="S20" s="276"/>
      <c r="T20" s="290"/>
      <c r="U20" s="276"/>
      <c r="V20" s="290">
        <f t="shared" si="8"/>
        <v>0</v>
      </c>
      <c r="W20" s="276"/>
      <c r="X20" s="290">
        <f t="shared" si="9"/>
        <v>0</v>
      </c>
      <c r="Y20" s="271">
        <f t="shared" si="1"/>
        <v>0</v>
      </c>
      <c r="Z20" s="290">
        <f t="shared" si="2"/>
        <v>0</v>
      </c>
      <c r="AD20" s="851" t="s">
        <v>823</v>
      </c>
      <c r="AE20" s="852"/>
      <c r="AF20" s="326">
        <f>SUM(AF16:AF19)</f>
        <v>6829918</v>
      </c>
      <c r="AG20" s="430">
        <f>SUM(AG16:AG19)</f>
        <v>17394</v>
      </c>
      <c r="AH20" s="474">
        <f>SUM(AH16:AH19)</f>
        <v>7.2932290628276546E-3</v>
      </c>
      <c r="AI20" s="463"/>
    </row>
    <row r="21" spans="2:35" ht="19.8" customHeight="1" x14ac:dyDescent="0.6">
      <c r="B21" s="268">
        <v>7</v>
      </c>
      <c r="C21" s="271" t="s">
        <v>310</v>
      </c>
      <c r="D21" s="280" t="s">
        <v>325</v>
      </c>
      <c r="E21" s="276" t="s">
        <v>55</v>
      </c>
      <c r="F21" s="282" t="s">
        <v>376</v>
      </c>
      <c r="G21" s="290">
        <f>IF(D21="-","-",ROUNDDOWN(F21*D21,0))</f>
        <v>578730</v>
      </c>
      <c r="H21" s="255">
        <v>1.1596</v>
      </c>
      <c r="I21" s="290">
        <f t="shared" si="6"/>
        <v>2252.0011799999997</v>
      </c>
      <c r="J21" s="298">
        <f t="shared" si="4"/>
        <v>671096</v>
      </c>
      <c r="K21" s="316">
        <v>671096</v>
      </c>
      <c r="L21" s="271"/>
      <c r="M21" s="276"/>
      <c r="N21" s="290">
        <f t="shared" si="7"/>
        <v>0</v>
      </c>
      <c r="O21" s="276"/>
      <c r="P21" s="290">
        <f t="shared" si="7"/>
        <v>0</v>
      </c>
      <c r="Q21" s="276"/>
      <c r="R21" s="290"/>
      <c r="S21" s="276"/>
      <c r="T21" s="290"/>
      <c r="U21" s="276"/>
      <c r="V21" s="290">
        <f t="shared" si="8"/>
        <v>0</v>
      </c>
      <c r="W21" s="276"/>
      <c r="X21" s="290">
        <f t="shared" si="9"/>
        <v>0</v>
      </c>
      <c r="Y21" s="271">
        <f t="shared" si="1"/>
        <v>0</v>
      </c>
      <c r="Z21" s="290">
        <f t="shared" si="2"/>
        <v>0</v>
      </c>
      <c r="AD21" s="323" t="s">
        <v>809</v>
      </c>
      <c r="AE21" s="324" t="s">
        <v>34</v>
      </c>
      <c r="AF21" s="426">
        <f>SUM(K81:K85,K116:K118)</f>
        <v>4270013</v>
      </c>
      <c r="AG21" s="427">
        <f>SUM(Z81:Z85,Z116:Z118)</f>
        <v>2767394</v>
      </c>
      <c r="AH21" s="470">
        <f>AG21*100/$AF$69</f>
        <v>1.1603563498387304</v>
      </c>
      <c r="AI21" s="463"/>
    </row>
    <row r="22" spans="2:35" ht="19.8" customHeight="1" x14ac:dyDescent="0.6">
      <c r="B22" s="268">
        <v>8</v>
      </c>
      <c r="C22" s="271" t="s">
        <v>198</v>
      </c>
      <c r="D22" s="280" t="s">
        <v>326</v>
      </c>
      <c r="E22" s="276" t="s">
        <v>57</v>
      </c>
      <c r="F22" s="282" t="s">
        <v>351</v>
      </c>
      <c r="G22" s="290">
        <f t="shared" si="5"/>
        <v>246344</v>
      </c>
      <c r="H22" s="255">
        <v>1.1409</v>
      </c>
      <c r="I22" s="290">
        <f t="shared" si="6"/>
        <v>1693.0956000000001</v>
      </c>
      <c r="J22" s="298">
        <f t="shared" si="4"/>
        <v>281053</v>
      </c>
      <c r="K22" s="316">
        <v>281054</v>
      </c>
      <c r="L22" s="271"/>
      <c r="M22" s="276"/>
      <c r="N22" s="290">
        <f t="shared" si="7"/>
        <v>0</v>
      </c>
      <c r="O22" s="276"/>
      <c r="P22" s="290">
        <f t="shared" si="7"/>
        <v>0</v>
      </c>
      <c r="Q22" s="276"/>
      <c r="R22" s="290"/>
      <c r="S22" s="276"/>
      <c r="T22" s="290"/>
      <c r="U22" s="276"/>
      <c r="V22" s="290">
        <f t="shared" si="8"/>
        <v>0</v>
      </c>
      <c r="W22" s="276"/>
      <c r="X22" s="290">
        <f t="shared" si="9"/>
        <v>0</v>
      </c>
      <c r="Y22" s="271">
        <f t="shared" si="1"/>
        <v>0</v>
      </c>
      <c r="Z22" s="290">
        <f t="shared" si="2"/>
        <v>0</v>
      </c>
      <c r="AD22" s="322">
        <v>1</v>
      </c>
      <c r="AE22" s="262" t="s">
        <v>35</v>
      </c>
      <c r="AF22" s="426">
        <f>SUM(K86:K93)</f>
        <v>2092762</v>
      </c>
      <c r="AG22" s="421">
        <f>SUM(Z86:Z93)</f>
        <v>0</v>
      </c>
      <c r="AH22" s="470">
        <f t="shared" si="0"/>
        <v>0</v>
      </c>
      <c r="AI22" s="463"/>
    </row>
    <row r="23" spans="2:35" ht="19.8" customHeight="1" x14ac:dyDescent="0.6">
      <c r="B23" s="268">
        <v>9</v>
      </c>
      <c r="C23" s="271" t="s">
        <v>199</v>
      </c>
      <c r="D23" s="280" t="s">
        <v>326</v>
      </c>
      <c r="E23" s="276" t="s">
        <v>57</v>
      </c>
      <c r="F23" s="282" t="s">
        <v>352</v>
      </c>
      <c r="G23" s="290">
        <f t="shared" si="5"/>
        <v>485218</v>
      </c>
      <c r="H23" s="255">
        <v>1.1409</v>
      </c>
      <c r="I23" s="290">
        <f t="shared" si="6"/>
        <v>3334.8507</v>
      </c>
      <c r="J23" s="298">
        <f t="shared" si="4"/>
        <v>553585</v>
      </c>
      <c r="K23" s="316">
        <v>553585</v>
      </c>
      <c r="L23" s="271"/>
      <c r="M23" s="276"/>
      <c r="N23" s="290">
        <f t="shared" si="7"/>
        <v>0</v>
      </c>
      <c r="O23" s="276"/>
      <c r="P23" s="290">
        <f t="shared" si="7"/>
        <v>0</v>
      </c>
      <c r="Q23" s="276"/>
      <c r="R23" s="290"/>
      <c r="S23" s="276"/>
      <c r="T23" s="290"/>
      <c r="U23" s="276"/>
      <c r="V23" s="290">
        <f t="shared" si="8"/>
        <v>0</v>
      </c>
      <c r="W23" s="276"/>
      <c r="X23" s="290">
        <f t="shared" si="9"/>
        <v>0</v>
      </c>
      <c r="Y23" s="271">
        <f t="shared" si="1"/>
        <v>0</v>
      </c>
      <c r="Z23" s="290">
        <f t="shared" si="2"/>
        <v>0</v>
      </c>
      <c r="AD23" s="322">
        <v>2</v>
      </c>
      <c r="AE23" s="262" t="s">
        <v>36</v>
      </c>
      <c r="AF23" s="426">
        <f>SUM(K94:K100)</f>
        <v>883548</v>
      </c>
      <c r="AG23" s="421">
        <f>SUM(Z94:Z100)</f>
        <v>0</v>
      </c>
      <c r="AH23" s="470">
        <f t="shared" si="0"/>
        <v>0</v>
      </c>
      <c r="AI23" s="463"/>
    </row>
    <row r="24" spans="2:35" ht="19.8" customHeight="1" x14ac:dyDescent="0.6">
      <c r="B24" s="268">
        <v>10</v>
      </c>
      <c r="C24" s="271" t="s">
        <v>200</v>
      </c>
      <c r="D24" s="280" t="s">
        <v>326</v>
      </c>
      <c r="E24" s="276" t="s">
        <v>57</v>
      </c>
      <c r="F24" s="282" t="s">
        <v>353</v>
      </c>
      <c r="G24" s="290">
        <f t="shared" si="5"/>
        <v>759616</v>
      </c>
      <c r="H24" s="255">
        <v>1.1409</v>
      </c>
      <c r="I24" s="290">
        <f t="shared" si="6"/>
        <v>5220.7583999999997</v>
      </c>
      <c r="J24" s="298">
        <f t="shared" si="4"/>
        <v>866645</v>
      </c>
      <c r="K24" s="316">
        <v>866646</v>
      </c>
      <c r="L24" s="271"/>
      <c r="M24" s="276"/>
      <c r="N24" s="290">
        <f t="shared" si="7"/>
        <v>0</v>
      </c>
      <c r="O24" s="276"/>
      <c r="P24" s="290">
        <f t="shared" si="7"/>
        <v>0</v>
      </c>
      <c r="Q24" s="276"/>
      <c r="R24" s="290"/>
      <c r="S24" s="276"/>
      <c r="T24" s="290"/>
      <c r="U24" s="276"/>
      <c r="V24" s="290">
        <f t="shared" si="8"/>
        <v>0</v>
      </c>
      <c r="W24" s="276"/>
      <c r="X24" s="290">
        <f t="shared" si="9"/>
        <v>0</v>
      </c>
      <c r="Y24" s="271">
        <f t="shared" si="1"/>
        <v>0</v>
      </c>
      <c r="Z24" s="290">
        <f t="shared" si="2"/>
        <v>0</v>
      </c>
      <c r="AD24" s="322">
        <v>3</v>
      </c>
      <c r="AE24" s="262" t="s">
        <v>37</v>
      </c>
      <c r="AF24" s="426">
        <f>SUM(K101:K103)</f>
        <v>1344618</v>
      </c>
      <c r="AG24" s="421">
        <f>SUM(Z101:Z103)</f>
        <v>0</v>
      </c>
      <c r="AH24" s="470">
        <f t="shared" si="0"/>
        <v>0</v>
      </c>
      <c r="AI24" s="463"/>
    </row>
    <row r="25" spans="2:35" ht="19.8" customHeight="1" x14ac:dyDescent="0.6">
      <c r="B25" s="268">
        <v>11</v>
      </c>
      <c r="C25" s="271" t="s">
        <v>201</v>
      </c>
      <c r="D25" s="280" t="s">
        <v>327</v>
      </c>
      <c r="E25" s="276" t="s">
        <v>57</v>
      </c>
      <c r="F25" s="282" t="s">
        <v>354</v>
      </c>
      <c r="G25" s="290">
        <f t="shared" si="5"/>
        <v>226872</v>
      </c>
      <c r="H25" s="255">
        <v>1.1409</v>
      </c>
      <c r="I25" s="290">
        <f t="shared" si="6"/>
        <v>1250.4264000000001</v>
      </c>
      <c r="J25" s="298">
        <f t="shared" si="4"/>
        <v>258838</v>
      </c>
      <c r="K25" s="316">
        <v>258839</v>
      </c>
      <c r="L25" s="271"/>
      <c r="M25" s="276"/>
      <c r="N25" s="290">
        <f t="shared" si="7"/>
        <v>0</v>
      </c>
      <c r="O25" s="276"/>
      <c r="P25" s="290">
        <f t="shared" si="7"/>
        <v>0</v>
      </c>
      <c r="Q25" s="276"/>
      <c r="R25" s="290"/>
      <c r="S25" s="276"/>
      <c r="T25" s="290"/>
      <c r="U25" s="276"/>
      <c r="V25" s="290">
        <f t="shared" si="8"/>
        <v>0</v>
      </c>
      <c r="W25" s="276"/>
      <c r="X25" s="290">
        <f t="shared" si="9"/>
        <v>0</v>
      </c>
      <c r="Y25" s="271">
        <f t="shared" si="1"/>
        <v>0</v>
      </c>
      <c r="Z25" s="290">
        <f t="shared" si="2"/>
        <v>0</v>
      </c>
      <c r="AD25" s="322">
        <v>4</v>
      </c>
      <c r="AE25" s="262" t="s">
        <v>39</v>
      </c>
      <c r="AF25" s="426">
        <f>SUM(K106:K114)</f>
        <v>1048108</v>
      </c>
      <c r="AG25" s="429">
        <f>SUM(Z106:Z114)</f>
        <v>0</v>
      </c>
      <c r="AH25" s="470">
        <f t="shared" si="0"/>
        <v>0</v>
      </c>
      <c r="AI25" s="463"/>
    </row>
    <row r="26" spans="2:35" ht="19.8" customHeight="1" x14ac:dyDescent="0.6">
      <c r="B26" s="268">
        <v>12</v>
      </c>
      <c r="C26" s="271" t="s">
        <v>202</v>
      </c>
      <c r="D26" s="280" t="s">
        <v>328</v>
      </c>
      <c r="E26" s="276" t="s">
        <v>57</v>
      </c>
      <c r="F26" s="282" t="s">
        <v>355</v>
      </c>
      <c r="G26" s="290">
        <f>IF(D26="-","-",ROUNDDOWN(F26*D26,0))</f>
        <v>14658</v>
      </c>
      <c r="H26" s="255">
        <v>1.1409</v>
      </c>
      <c r="I26" s="290">
        <f t="shared" si="6"/>
        <v>913.86090000000002</v>
      </c>
      <c r="J26" s="298">
        <f t="shared" si="4"/>
        <v>16723</v>
      </c>
      <c r="K26" s="316">
        <v>16723</v>
      </c>
      <c r="L26" s="271"/>
      <c r="M26" s="276"/>
      <c r="N26" s="290">
        <f t="shared" si="7"/>
        <v>0</v>
      </c>
      <c r="O26" s="276"/>
      <c r="P26" s="290">
        <f t="shared" si="7"/>
        <v>0</v>
      </c>
      <c r="Q26" s="276"/>
      <c r="R26" s="290"/>
      <c r="S26" s="276"/>
      <c r="T26" s="290"/>
      <c r="U26" s="276"/>
      <c r="V26" s="290">
        <f t="shared" si="8"/>
        <v>0</v>
      </c>
      <c r="W26" s="276"/>
      <c r="X26" s="290">
        <f t="shared" si="9"/>
        <v>0</v>
      </c>
      <c r="Y26" s="271">
        <f t="shared" si="1"/>
        <v>0</v>
      </c>
      <c r="Z26" s="290">
        <f t="shared" si="2"/>
        <v>0</v>
      </c>
      <c r="AD26" s="851" t="s">
        <v>823</v>
      </c>
      <c r="AE26" s="852"/>
      <c r="AF26" s="326">
        <f>SUM(AF21:AF25)</f>
        <v>9639049</v>
      </c>
      <c r="AG26" s="428">
        <f>SUM(AG21:AG25)</f>
        <v>2767394</v>
      </c>
      <c r="AH26" s="474">
        <f>SUM(AH21:AH25)</f>
        <v>1.1603563498387304</v>
      </c>
      <c r="AI26" s="463"/>
    </row>
    <row r="27" spans="2:35" ht="19.8" customHeight="1" x14ac:dyDescent="0.6">
      <c r="B27" s="268">
        <v>13</v>
      </c>
      <c r="C27" s="271" t="s">
        <v>203</v>
      </c>
      <c r="D27" s="280" t="s">
        <v>329</v>
      </c>
      <c r="E27" s="276" t="s">
        <v>57</v>
      </c>
      <c r="F27" s="282" t="s">
        <v>356</v>
      </c>
      <c r="G27" s="290">
        <f t="shared" si="5"/>
        <v>15408</v>
      </c>
      <c r="H27" s="255">
        <v>1.1409</v>
      </c>
      <c r="I27" s="290">
        <f t="shared" si="6"/>
        <v>976.61040000000003</v>
      </c>
      <c r="J27" s="298">
        <f t="shared" si="4"/>
        <v>17578</v>
      </c>
      <c r="K27" s="316">
        <v>17578</v>
      </c>
      <c r="L27" s="271"/>
      <c r="M27" s="276"/>
      <c r="N27" s="290">
        <f t="shared" si="7"/>
        <v>0</v>
      </c>
      <c r="O27" s="276"/>
      <c r="P27" s="290">
        <f t="shared" si="7"/>
        <v>0</v>
      </c>
      <c r="Q27" s="276"/>
      <c r="R27" s="290"/>
      <c r="S27" s="276"/>
      <c r="T27" s="290"/>
      <c r="U27" s="276"/>
      <c r="V27" s="290">
        <f t="shared" si="8"/>
        <v>0</v>
      </c>
      <c r="W27" s="276"/>
      <c r="X27" s="290">
        <f t="shared" si="9"/>
        <v>0</v>
      </c>
      <c r="Y27" s="271">
        <f t="shared" si="1"/>
        <v>0</v>
      </c>
      <c r="Z27" s="290">
        <f t="shared" si="2"/>
        <v>0</v>
      </c>
      <c r="AD27" s="323" t="s">
        <v>810</v>
      </c>
      <c r="AE27" s="324" t="s">
        <v>118</v>
      </c>
      <c r="AF27" s="326">
        <f>SUM(K125:K131,K139,K141)</f>
        <v>2827285</v>
      </c>
      <c r="AG27" s="421">
        <f>SUM(Z125:Z131,Z139,Z141)</f>
        <v>1517394</v>
      </c>
      <c r="AH27" s="470">
        <f t="shared" si="0"/>
        <v>0.63623674948604725</v>
      </c>
      <c r="AI27" s="463"/>
    </row>
    <row r="28" spans="2:35" ht="19.8" customHeight="1" x14ac:dyDescent="0.6">
      <c r="B28" s="268">
        <v>14</v>
      </c>
      <c r="C28" s="271" t="s">
        <v>204</v>
      </c>
      <c r="D28" s="280" t="s">
        <v>330</v>
      </c>
      <c r="E28" s="276" t="s">
        <v>57</v>
      </c>
      <c r="F28" s="282" t="s">
        <v>357</v>
      </c>
      <c r="G28" s="290">
        <f t="shared" si="5"/>
        <v>24360</v>
      </c>
      <c r="H28" s="255">
        <v>1.1409</v>
      </c>
      <c r="I28" s="290">
        <f t="shared" si="6"/>
        <v>926.41079999999999</v>
      </c>
      <c r="J28" s="298">
        <f t="shared" si="4"/>
        <v>27792</v>
      </c>
      <c r="K28" s="316">
        <v>27792</v>
      </c>
      <c r="L28" s="271"/>
      <c r="M28" s="276"/>
      <c r="N28" s="290">
        <f t="shared" si="7"/>
        <v>0</v>
      </c>
      <c r="O28" s="276"/>
      <c r="P28" s="290">
        <f t="shared" si="7"/>
        <v>0</v>
      </c>
      <c r="Q28" s="276"/>
      <c r="R28" s="290"/>
      <c r="S28" s="276"/>
      <c r="T28" s="290"/>
      <c r="U28" s="276"/>
      <c r="V28" s="290">
        <f t="shared" si="8"/>
        <v>0</v>
      </c>
      <c r="W28" s="276"/>
      <c r="X28" s="290">
        <f t="shared" si="9"/>
        <v>0</v>
      </c>
      <c r="Y28" s="271">
        <f t="shared" si="1"/>
        <v>0</v>
      </c>
      <c r="Z28" s="290">
        <f t="shared" si="2"/>
        <v>0</v>
      </c>
      <c r="AD28" s="322">
        <v>1</v>
      </c>
      <c r="AE28" s="262" t="s">
        <v>35</v>
      </c>
      <c r="AF28" s="326">
        <f>SUM(K132,K133)</f>
        <v>317663</v>
      </c>
      <c r="AG28" s="421">
        <f>SUM(Z132,Z133)</f>
        <v>0</v>
      </c>
      <c r="AH28" s="470">
        <f t="shared" si="0"/>
        <v>0</v>
      </c>
      <c r="AI28" s="463"/>
    </row>
    <row r="29" spans="2:35" ht="19.8" customHeight="1" x14ac:dyDescent="0.6">
      <c r="B29" s="268">
        <v>15</v>
      </c>
      <c r="C29" s="271" t="s">
        <v>205</v>
      </c>
      <c r="D29" s="280" t="s">
        <v>331</v>
      </c>
      <c r="E29" s="276" t="s">
        <v>57</v>
      </c>
      <c r="F29" s="282" t="s">
        <v>358</v>
      </c>
      <c r="G29" s="290">
        <f t="shared" si="5"/>
        <v>113500</v>
      </c>
      <c r="H29" s="255">
        <v>1.1409</v>
      </c>
      <c r="I29" s="290">
        <f t="shared" si="6"/>
        <v>2589.8429999999998</v>
      </c>
      <c r="J29" s="298">
        <f t="shared" si="4"/>
        <v>129492</v>
      </c>
      <c r="K29" s="316">
        <v>129492</v>
      </c>
      <c r="L29" s="271"/>
      <c r="M29" s="276"/>
      <c r="N29" s="290">
        <f t="shared" si="7"/>
        <v>0</v>
      </c>
      <c r="O29" s="276"/>
      <c r="P29" s="290">
        <f t="shared" si="7"/>
        <v>0</v>
      </c>
      <c r="Q29" s="276"/>
      <c r="R29" s="290"/>
      <c r="S29" s="276"/>
      <c r="T29" s="290"/>
      <c r="U29" s="276"/>
      <c r="V29" s="290">
        <f t="shared" si="8"/>
        <v>0</v>
      </c>
      <c r="W29" s="276"/>
      <c r="X29" s="290">
        <f t="shared" si="9"/>
        <v>0</v>
      </c>
      <c r="Y29" s="271">
        <f t="shared" si="1"/>
        <v>0</v>
      </c>
      <c r="Z29" s="290">
        <f t="shared" si="2"/>
        <v>0</v>
      </c>
      <c r="AD29" s="322">
        <v>2</v>
      </c>
      <c r="AE29" s="262" t="s">
        <v>121</v>
      </c>
      <c r="AF29" s="326">
        <f>SUM(K134:K137)</f>
        <v>262286</v>
      </c>
      <c r="AG29" s="421">
        <f>SUM(Z134:Z137)</f>
        <v>0</v>
      </c>
      <c r="AH29" s="470">
        <f t="shared" si="0"/>
        <v>0</v>
      </c>
      <c r="AI29" s="463"/>
    </row>
    <row r="30" spans="2:35" ht="19.8" customHeight="1" x14ac:dyDescent="0.6">
      <c r="B30" s="268">
        <v>16</v>
      </c>
      <c r="C30" s="271" t="s">
        <v>206</v>
      </c>
      <c r="D30" s="280" t="s">
        <v>332</v>
      </c>
      <c r="E30" s="276" t="s">
        <v>57</v>
      </c>
      <c r="F30" s="282" t="s">
        <v>359</v>
      </c>
      <c r="G30" s="290">
        <f t="shared" si="5"/>
        <v>17190</v>
      </c>
      <c r="H30" s="255">
        <v>1.1409</v>
      </c>
      <c r="I30" s="290">
        <f t="shared" si="6"/>
        <v>2179.1190000000001</v>
      </c>
      <c r="J30" s="298">
        <f t="shared" si="4"/>
        <v>19612</v>
      </c>
      <c r="K30" s="316">
        <v>19612</v>
      </c>
      <c r="L30" s="271"/>
      <c r="M30" s="276"/>
      <c r="N30" s="290">
        <f t="shared" si="7"/>
        <v>0</v>
      </c>
      <c r="O30" s="276"/>
      <c r="P30" s="290">
        <f t="shared" si="7"/>
        <v>0</v>
      </c>
      <c r="Q30" s="276"/>
      <c r="R30" s="290"/>
      <c r="S30" s="276"/>
      <c r="T30" s="290"/>
      <c r="U30" s="276"/>
      <c r="V30" s="290">
        <f t="shared" si="8"/>
        <v>0</v>
      </c>
      <c r="W30" s="276"/>
      <c r="X30" s="290">
        <f t="shared" si="9"/>
        <v>0</v>
      </c>
      <c r="Y30" s="271">
        <f t="shared" si="1"/>
        <v>0</v>
      </c>
      <c r="Z30" s="290">
        <f t="shared" si="2"/>
        <v>0</v>
      </c>
      <c r="AD30" s="851" t="s">
        <v>823</v>
      </c>
      <c r="AE30" s="852"/>
      <c r="AF30" s="326">
        <f>SUM(AF27:AF29)</f>
        <v>3407234</v>
      </c>
      <c r="AG30" s="287">
        <f>SUM(AG27:AG29)</f>
        <v>1517394</v>
      </c>
      <c r="AH30" s="474">
        <f>SUM(AH27:AH29)</f>
        <v>0.63623674948604725</v>
      </c>
      <c r="AI30" s="463"/>
    </row>
    <row r="31" spans="2:35" ht="19.8" customHeight="1" x14ac:dyDescent="0.6">
      <c r="B31" s="268">
        <v>17</v>
      </c>
      <c r="C31" s="271" t="s">
        <v>207</v>
      </c>
      <c r="D31" s="280" t="s">
        <v>333</v>
      </c>
      <c r="E31" s="276" t="s">
        <v>214</v>
      </c>
      <c r="F31" s="282" t="s">
        <v>360</v>
      </c>
      <c r="G31" s="290">
        <f>IF(D31="-","-",ROUNDDOWN(F31*D31,0))</f>
        <v>221080</v>
      </c>
      <c r="H31" s="255">
        <v>1.1409</v>
      </c>
      <c r="I31" s="290">
        <f t="shared" si="6"/>
        <v>50446.034400000004</v>
      </c>
      <c r="J31" s="298">
        <f t="shared" si="4"/>
        <v>252230</v>
      </c>
      <c r="K31" s="316">
        <v>252230</v>
      </c>
      <c r="L31" s="271"/>
      <c r="M31" s="276"/>
      <c r="N31" s="290">
        <f t="shared" si="7"/>
        <v>0</v>
      </c>
      <c r="O31" s="276"/>
      <c r="P31" s="290">
        <f t="shared" si="7"/>
        <v>0</v>
      </c>
      <c r="Q31" s="276"/>
      <c r="R31" s="290"/>
      <c r="S31" s="276"/>
      <c r="T31" s="290"/>
      <c r="U31" s="276"/>
      <c r="V31" s="290">
        <f t="shared" si="8"/>
        <v>0</v>
      </c>
      <c r="W31" s="276"/>
      <c r="X31" s="290">
        <f t="shared" si="9"/>
        <v>0</v>
      </c>
      <c r="Y31" s="271">
        <f t="shared" si="1"/>
        <v>0</v>
      </c>
      <c r="Z31" s="290">
        <f t="shared" si="2"/>
        <v>0</v>
      </c>
      <c r="AD31" s="323" t="s">
        <v>811</v>
      </c>
      <c r="AE31" s="324" t="s">
        <v>119</v>
      </c>
      <c r="AF31" s="326">
        <f>SUM(K148:K155,K163,K165)</f>
        <v>3175884</v>
      </c>
      <c r="AG31" s="421">
        <f>SUM(Z148:Z155,Z163,Z165)</f>
        <v>1727394</v>
      </c>
      <c r="AH31" s="470">
        <f t="shared" si="0"/>
        <v>0.724288842345298</v>
      </c>
      <c r="AI31" s="463"/>
    </row>
    <row r="32" spans="2:35" ht="19.8" customHeight="1" x14ac:dyDescent="0.6">
      <c r="B32" s="268">
        <v>18</v>
      </c>
      <c r="C32" s="271" t="s">
        <v>311</v>
      </c>
      <c r="D32" s="280" t="s">
        <v>323</v>
      </c>
      <c r="E32" s="276" t="s">
        <v>214</v>
      </c>
      <c r="F32" s="282" t="s">
        <v>361</v>
      </c>
      <c r="G32" s="290">
        <f t="shared" ref="G32:G34" si="10">IF(D32="-","-",ROUNDDOWN(F32*D32,0))</f>
        <v>14673</v>
      </c>
      <c r="H32" s="255">
        <v>1.1409</v>
      </c>
      <c r="I32" s="290">
        <f t="shared" si="6"/>
        <v>5580.1419000000005</v>
      </c>
      <c r="J32" s="298">
        <f t="shared" si="4"/>
        <v>16740</v>
      </c>
      <c r="K32" s="316">
        <v>16740</v>
      </c>
      <c r="L32" s="271"/>
      <c r="M32" s="276"/>
      <c r="N32" s="290">
        <f t="shared" si="7"/>
        <v>0</v>
      </c>
      <c r="O32" s="276"/>
      <c r="P32" s="290">
        <f t="shared" si="7"/>
        <v>0</v>
      </c>
      <c r="Q32" s="276"/>
      <c r="R32" s="290"/>
      <c r="S32" s="276"/>
      <c r="T32" s="290"/>
      <c r="U32" s="276"/>
      <c r="V32" s="290">
        <f t="shared" si="8"/>
        <v>0</v>
      </c>
      <c r="W32" s="276"/>
      <c r="X32" s="290">
        <f t="shared" si="9"/>
        <v>0</v>
      </c>
      <c r="Y32" s="271">
        <f t="shared" si="1"/>
        <v>0</v>
      </c>
      <c r="Z32" s="290">
        <f t="shared" si="2"/>
        <v>0</v>
      </c>
      <c r="AD32" s="322">
        <v>1</v>
      </c>
      <c r="AE32" s="262" t="s">
        <v>35</v>
      </c>
      <c r="AF32" s="326">
        <f>SUM(K156:K157)</f>
        <v>358105</v>
      </c>
      <c r="AG32" s="421">
        <f>SUM(Z156:Z157)</f>
        <v>0</v>
      </c>
      <c r="AH32" s="470">
        <f t="shared" si="0"/>
        <v>0</v>
      </c>
      <c r="AI32" s="463"/>
    </row>
    <row r="33" spans="2:35" ht="19.8" customHeight="1" x14ac:dyDescent="0.6">
      <c r="B33" s="268">
        <v>19</v>
      </c>
      <c r="C33" s="271" t="s">
        <v>312</v>
      </c>
      <c r="D33" s="280" t="s">
        <v>334</v>
      </c>
      <c r="E33" s="276" t="s">
        <v>54</v>
      </c>
      <c r="F33" s="282" t="s">
        <v>362</v>
      </c>
      <c r="G33" s="290">
        <f t="shared" si="10"/>
        <v>366000</v>
      </c>
      <c r="H33" s="255">
        <v>1.1409</v>
      </c>
      <c r="I33" s="290">
        <f t="shared" si="6"/>
        <v>427.83750000000003</v>
      </c>
      <c r="J33" s="298">
        <f t="shared" si="4"/>
        <v>417569</v>
      </c>
      <c r="K33" s="316">
        <v>417571</v>
      </c>
      <c r="L33" s="271"/>
      <c r="M33" s="276"/>
      <c r="N33" s="290">
        <f t="shared" si="7"/>
        <v>0</v>
      </c>
      <c r="O33" s="276"/>
      <c r="P33" s="290">
        <f t="shared" si="7"/>
        <v>0</v>
      </c>
      <c r="Q33" s="276"/>
      <c r="R33" s="290"/>
      <c r="S33" s="276"/>
      <c r="T33" s="290"/>
      <c r="U33" s="276"/>
      <c r="V33" s="290">
        <f t="shared" si="8"/>
        <v>0</v>
      </c>
      <c r="W33" s="276"/>
      <c r="X33" s="290">
        <f t="shared" si="9"/>
        <v>0</v>
      </c>
      <c r="Y33" s="271">
        <f t="shared" si="1"/>
        <v>0</v>
      </c>
      <c r="Z33" s="290">
        <f t="shared" si="2"/>
        <v>0</v>
      </c>
      <c r="AD33" s="322">
        <v>2</v>
      </c>
      <c r="AE33" s="262" t="s">
        <v>121</v>
      </c>
      <c r="AF33" s="326">
        <f>SUM(K158:K161)</f>
        <v>295042</v>
      </c>
      <c r="AG33" s="421">
        <f>SUM(Z158:Z161)</f>
        <v>0</v>
      </c>
      <c r="AH33" s="470">
        <f t="shared" si="0"/>
        <v>0</v>
      </c>
      <c r="AI33" s="463"/>
    </row>
    <row r="34" spans="2:35" ht="19.8" customHeight="1" x14ac:dyDescent="0.6">
      <c r="B34" s="268">
        <v>20</v>
      </c>
      <c r="C34" s="271" t="s">
        <v>208</v>
      </c>
      <c r="D34" s="280" t="s">
        <v>334</v>
      </c>
      <c r="E34" s="276" t="s">
        <v>54</v>
      </c>
      <c r="F34" s="282" t="s">
        <v>342</v>
      </c>
      <c r="G34" s="290">
        <f t="shared" si="10"/>
        <v>155184</v>
      </c>
      <c r="H34" s="255">
        <v>1.1409</v>
      </c>
      <c r="I34" s="290">
        <f t="shared" si="6"/>
        <v>181.40309999999999</v>
      </c>
      <c r="J34" s="298">
        <f t="shared" si="4"/>
        <v>177049</v>
      </c>
      <c r="K34" s="316">
        <v>177046</v>
      </c>
      <c r="L34" s="271"/>
      <c r="M34" s="276"/>
      <c r="N34" s="290">
        <f t="shared" si="7"/>
        <v>0</v>
      </c>
      <c r="O34" s="276"/>
      <c r="P34" s="290">
        <f t="shared" si="7"/>
        <v>0</v>
      </c>
      <c r="Q34" s="276"/>
      <c r="R34" s="290"/>
      <c r="S34" s="276"/>
      <c r="T34" s="290"/>
      <c r="U34" s="276"/>
      <c r="V34" s="290">
        <f t="shared" si="8"/>
        <v>0</v>
      </c>
      <c r="W34" s="276"/>
      <c r="X34" s="290">
        <f t="shared" si="9"/>
        <v>0</v>
      </c>
      <c r="Y34" s="271">
        <f t="shared" si="1"/>
        <v>0</v>
      </c>
      <c r="Z34" s="290">
        <f t="shared" si="2"/>
        <v>0</v>
      </c>
      <c r="AD34" s="851" t="s">
        <v>823</v>
      </c>
      <c r="AE34" s="852"/>
      <c r="AF34" s="326">
        <f>SUM(AF31:AF33)</f>
        <v>3829031</v>
      </c>
      <c r="AG34" s="287">
        <f>SUM(AG31:AG33)</f>
        <v>1727394</v>
      </c>
      <c r="AH34" s="474">
        <f>SUM(AH31:AH33)</f>
        <v>0.724288842345298</v>
      </c>
      <c r="AI34" s="463"/>
    </row>
    <row r="35" spans="2:35" ht="19.8" customHeight="1" x14ac:dyDescent="0.6">
      <c r="B35" s="267"/>
      <c r="C35" s="271" t="s">
        <v>209</v>
      </c>
      <c r="D35" s="280"/>
      <c r="E35" s="276"/>
      <c r="G35" s="290"/>
      <c r="I35" s="290"/>
      <c r="J35" s="298" t="str">
        <f t="shared" si="4"/>
        <v/>
      </c>
      <c r="K35" s="315"/>
      <c r="L35" s="271"/>
      <c r="M35" s="276"/>
      <c r="N35" s="290"/>
      <c r="O35" s="276"/>
      <c r="P35" s="290"/>
      <c r="Q35" s="276"/>
      <c r="R35" s="290"/>
      <c r="S35" s="276"/>
      <c r="T35" s="290"/>
      <c r="U35" s="276"/>
      <c r="V35" s="290"/>
      <c r="W35" s="276"/>
      <c r="X35" s="290"/>
      <c r="Y35" s="271">
        <f t="shared" si="1"/>
        <v>0</v>
      </c>
      <c r="Z35" s="290">
        <f t="shared" si="2"/>
        <v>0</v>
      </c>
      <c r="AD35" s="323" t="s">
        <v>476</v>
      </c>
      <c r="AE35" s="324" t="s">
        <v>120</v>
      </c>
      <c r="AF35" s="326">
        <f>SUM(K172:K178,K186,K188)</f>
        <v>3323085</v>
      </c>
      <c r="AG35" s="421">
        <f>SUM(Z172:Z178,Z186,Z188)</f>
        <v>2737394</v>
      </c>
      <c r="AH35" s="470">
        <f t="shared" si="0"/>
        <v>1.147777479430266</v>
      </c>
      <c r="AI35" s="463"/>
    </row>
    <row r="36" spans="2:35" ht="19.8" customHeight="1" x14ac:dyDescent="0.6">
      <c r="B36" s="268">
        <v>21</v>
      </c>
      <c r="C36" s="271" t="s">
        <v>210</v>
      </c>
      <c r="D36" s="280" t="s">
        <v>335</v>
      </c>
      <c r="E36" s="276" t="s">
        <v>54</v>
      </c>
      <c r="F36" s="282" t="s">
        <v>363</v>
      </c>
      <c r="G36" s="290">
        <f t="shared" ref="G36:G39" si="11">IF(D36="-","-",ROUNDDOWN(F36*D36,0))</f>
        <v>20653</v>
      </c>
      <c r="H36" s="255">
        <v>1.1409</v>
      </c>
      <c r="I36" s="290">
        <f t="shared" ref="I36:I39" si="12">H36*F36</f>
        <v>1240.1583000000001</v>
      </c>
      <c r="J36" s="298">
        <f t="shared" si="4"/>
        <v>23563</v>
      </c>
      <c r="K36" s="316">
        <v>23563</v>
      </c>
      <c r="L36" s="271"/>
      <c r="M36" s="276"/>
      <c r="N36" s="290">
        <f t="shared" ref="N36:P39" si="13">ROUNDDOWN(M36*$I36,0)</f>
        <v>0</v>
      </c>
      <c r="O36" s="276"/>
      <c r="P36" s="290">
        <f t="shared" si="13"/>
        <v>0</v>
      </c>
      <c r="Q36" s="276"/>
      <c r="R36" s="290"/>
      <c r="S36" s="276"/>
      <c r="T36" s="290"/>
      <c r="U36" s="276"/>
      <c r="V36" s="290">
        <f t="shared" si="8"/>
        <v>0</v>
      </c>
      <c r="W36" s="276"/>
      <c r="X36" s="290">
        <f t="shared" ref="X36:X38" si="14">ROUNDDOWN(W36*$I36,0)</f>
        <v>0</v>
      </c>
      <c r="Y36" s="271">
        <f t="shared" si="1"/>
        <v>0</v>
      </c>
      <c r="Z36" s="290">
        <f t="shared" si="2"/>
        <v>0</v>
      </c>
      <c r="AD36" s="322">
        <v>1</v>
      </c>
      <c r="AE36" s="262" t="s">
        <v>35</v>
      </c>
      <c r="AF36" s="326">
        <f>SUM(K179:K180)</f>
        <v>358105</v>
      </c>
      <c r="AG36" s="421">
        <f>SUM(Z179:Z180)</f>
        <v>0</v>
      </c>
      <c r="AH36" s="470">
        <f t="shared" si="0"/>
        <v>0</v>
      </c>
      <c r="AI36" s="463"/>
    </row>
    <row r="37" spans="2:35" ht="19.8" customHeight="1" x14ac:dyDescent="0.6">
      <c r="B37" s="268">
        <v>22</v>
      </c>
      <c r="C37" s="271" t="s">
        <v>211</v>
      </c>
      <c r="D37" s="280" t="s">
        <v>336</v>
      </c>
      <c r="E37" s="276" t="s">
        <v>57</v>
      </c>
      <c r="F37" s="282" t="s">
        <v>364</v>
      </c>
      <c r="G37" s="290">
        <f t="shared" si="11"/>
        <v>418400</v>
      </c>
      <c r="H37" s="255">
        <v>1.1596</v>
      </c>
      <c r="I37" s="290">
        <f t="shared" si="12"/>
        <v>3032.3539999999998</v>
      </c>
      <c r="J37" s="298">
        <f t="shared" si="4"/>
        <v>485176</v>
      </c>
      <c r="K37" s="316">
        <v>485176</v>
      </c>
      <c r="L37" s="271"/>
      <c r="M37" s="276"/>
      <c r="N37" s="290">
        <f t="shared" si="13"/>
        <v>0</v>
      </c>
      <c r="O37" s="276"/>
      <c r="P37" s="290">
        <f t="shared" si="13"/>
        <v>0</v>
      </c>
      <c r="Q37" s="276"/>
      <c r="R37" s="290"/>
      <c r="S37" s="276"/>
      <c r="T37" s="290"/>
      <c r="U37" s="276"/>
      <c r="V37" s="290">
        <f t="shared" si="8"/>
        <v>0</v>
      </c>
      <c r="W37" s="276"/>
      <c r="X37" s="290">
        <f t="shared" si="14"/>
        <v>0</v>
      </c>
      <c r="Y37" s="271">
        <f t="shared" si="1"/>
        <v>0</v>
      </c>
      <c r="Z37" s="290">
        <f t="shared" si="2"/>
        <v>0</v>
      </c>
      <c r="AD37" s="322">
        <v>2</v>
      </c>
      <c r="AE37" s="262" t="s">
        <v>121</v>
      </c>
      <c r="AF37" s="326">
        <f>SUM(K181:K184)</f>
        <v>295042</v>
      </c>
      <c r="AG37" s="421">
        <f>SUM(Z181:Z184)</f>
        <v>0</v>
      </c>
      <c r="AH37" s="470">
        <f t="shared" si="0"/>
        <v>0</v>
      </c>
      <c r="AI37" s="463"/>
    </row>
    <row r="38" spans="2:35" ht="19.8" customHeight="1" x14ac:dyDescent="0.6">
      <c r="B38" s="268">
        <v>23</v>
      </c>
      <c r="C38" s="271" t="s">
        <v>212</v>
      </c>
      <c r="D38" s="280" t="s">
        <v>336</v>
      </c>
      <c r="E38" s="276" t="s">
        <v>57</v>
      </c>
      <c r="F38" s="282" t="s">
        <v>365</v>
      </c>
      <c r="G38" s="290">
        <f t="shared" si="11"/>
        <v>428000</v>
      </c>
      <c r="H38" s="255">
        <v>1.1596</v>
      </c>
      <c r="I38" s="290">
        <f t="shared" si="12"/>
        <v>3101.93</v>
      </c>
      <c r="J38" s="298">
        <f t="shared" si="4"/>
        <v>496308</v>
      </c>
      <c r="K38" s="316">
        <v>496308</v>
      </c>
      <c r="L38" s="271"/>
      <c r="M38" s="276"/>
      <c r="N38" s="290">
        <f t="shared" si="13"/>
        <v>0</v>
      </c>
      <c r="O38" s="276"/>
      <c r="P38" s="290">
        <f t="shared" si="13"/>
        <v>0</v>
      </c>
      <c r="Q38" s="276"/>
      <c r="R38" s="290"/>
      <c r="S38" s="276"/>
      <c r="T38" s="290"/>
      <c r="U38" s="276"/>
      <c r="V38" s="290">
        <f t="shared" si="8"/>
        <v>0</v>
      </c>
      <c r="W38" s="276"/>
      <c r="X38" s="290">
        <f t="shared" si="14"/>
        <v>0</v>
      </c>
      <c r="Y38" s="271">
        <f t="shared" si="1"/>
        <v>0</v>
      </c>
      <c r="Z38" s="290">
        <f t="shared" si="2"/>
        <v>0</v>
      </c>
      <c r="AD38" s="851" t="s">
        <v>823</v>
      </c>
      <c r="AE38" s="852"/>
      <c r="AF38" s="326">
        <f>SUM(AF35:AF37)</f>
        <v>3976232</v>
      </c>
      <c r="AG38" s="287">
        <f>SUM(AG35:AG37)</f>
        <v>2737394</v>
      </c>
      <c r="AH38" s="475">
        <f>SUM(AH35:AH37)</f>
        <v>1.147777479430266</v>
      </c>
      <c r="AI38" s="463"/>
    </row>
    <row r="39" spans="2:35" ht="19.8" customHeight="1" x14ac:dyDescent="0.6">
      <c r="B39" s="268">
        <v>24</v>
      </c>
      <c r="C39" s="271" t="s">
        <v>213</v>
      </c>
      <c r="D39" s="280" t="s">
        <v>337</v>
      </c>
      <c r="E39" s="276" t="s">
        <v>57</v>
      </c>
      <c r="F39" s="282" t="s">
        <v>365</v>
      </c>
      <c r="G39" s="290">
        <f t="shared" si="11"/>
        <v>337050</v>
      </c>
      <c r="H39" s="255">
        <v>1.1596</v>
      </c>
      <c r="I39" s="290">
        <f t="shared" si="12"/>
        <v>3101.93</v>
      </c>
      <c r="J39" s="298">
        <f t="shared" si="4"/>
        <v>390843</v>
      </c>
      <c r="K39" s="316">
        <v>390843</v>
      </c>
      <c r="L39" s="271"/>
      <c r="M39" s="276"/>
      <c r="N39" s="290">
        <f t="shared" si="13"/>
        <v>0</v>
      </c>
      <c r="O39" s="276"/>
      <c r="P39" s="290">
        <f t="shared" si="13"/>
        <v>0</v>
      </c>
      <c r="Q39" s="276"/>
      <c r="R39" s="290"/>
      <c r="S39" s="276"/>
      <c r="T39" s="290"/>
      <c r="U39" s="276"/>
      <c r="V39" s="290">
        <f>ROUNDDOWN(U39*$I39,0)</f>
        <v>0</v>
      </c>
      <c r="W39" s="276"/>
      <c r="X39" s="290">
        <f>ROUNDDOWN(W39*$I39,0)</f>
        <v>0</v>
      </c>
      <c r="Y39" s="271">
        <f t="shared" si="1"/>
        <v>0</v>
      </c>
      <c r="Z39" s="290">
        <f t="shared" si="2"/>
        <v>0</v>
      </c>
      <c r="AD39" s="323" t="s">
        <v>812</v>
      </c>
      <c r="AE39" s="324" t="s">
        <v>65</v>
      </c>
      <c r="AF39" s="326">
        <f>SUM(K195:K202,K210,K212)</f>
        <v>14559639</v>
      </c>
      <c r="AG39" s="421">
        <f>SUM(Z195:Z202,Z210,Z212)</f>
        <v>6254788</v>
      </c>
      <c r="AH39" s="470">
        <f t="shared" si="0"/>
        <v>2.6226055894806062</v>
      </c>
      <c r="AI39" s="463"/>
    </row>
    <row r="40" spans="2:35" ht="19.8" customHeight="1" x14ac:dyDescent="0.6">
      <c r="B40" s="268">
        <v>25</v>
      </c>
      <c r="C40" s="271" t="s">
        <v>38</v>
      </c>
      <c r="D40" s="280"/>
      <c r="E40" s="276"/>
      <c r="G40" s="290"/>
      <c r="I40" s="290"/>
      <c r="J40" s="298" t="str">
        <f t="shared" si="4"/>
        <v/>
      </c>
      <c r="K40" s="315"/>
      <c r="L40" s="271"/>
      <c r="M40" s="276"/>
      <c r="N40" s="290"/>
      <c r="O40" s="276"/>
      <c r="P40" s="290"/>
      <c r="Q40" s="276"/>
      <c r="R40" s="290"/>
      <c r="S40" s="276"/>
      <c r="T40" s="290"/>
      <c r="U40" s="276"/>
      <c r="V40" s="290"/>
      <c r="W40" s="276"/>
      <c r="X40" s="290"/>
      <c r="Y40" s="271">
        <f t="shared" si="1"/>
        <v>0</v>
      </c>
      <c r="Z40" s="290">
        <f t="shared" si="2"/>
        <v>0</v>
      </c>
      <c r="AD40" s="322">
        <v>1</v>
      </c>
      <c r="AE40" s="262" t="s">
        <v>35</v>
      </c>
      <c r="AF40" s="326">
        <f>SUM(K203,K204)</f>
        <v>1620450</v>
      </c>
      <c r="AG40" s="421">
        <f>SUM(Z203,Z204)</f>
        <v>0</v>
      </c>
      <c r="AH40" s="470">
        <f t="shared" si="0"/>
        <v>0</v>
      </c>
      <c r="AI40" s="463"/>
    </row>
    <row r="41" spans="2:35" ht="19.8" customHeight="1" x14ac:dyDescent="0.6">
      <c r="B41" s="267"/>
      <c r="C41" s="272" t="s">
        <v>313</v>
      </c>
      <c r="D41" s="280" t="s">
        <v>176</v>
      </c>
      <c r="E41" s="276" t="s">
        <v>54</v>
      </c>
      <c r="F41" s="282" t="s">
        <v>366</v>
      </c>
      <c r="G41" s="290" t="str">
        <f t="shared" ref="G41" si="15">IF(D41="-","-",F41*D41)</f>
        <v>-</v>
      </c>
      <c r="H41" s="255">
        <v>1.1596</v>
      </c>
      <c r="I41" s="290">
        <f t="shared" ref="I41:I43" si="16">H41*F41</f>
        <v>1391.52</v>
      </c>
      <c r="J41" s="298" t="str">
        <f t="shared" si="4"/>
        <v>-</v>
      </c>
      <c r="K41" s="316"/>
      <c r="L41" s="271"/>
      <c r="M41" s="276"/>
      <c r="N41" s="290"/>
      <c r="O41" s="276"/>
      <c r="P41" s="290"/>
      <c r="Q41" s="276"/>
      <c r="R41" s="290"/>
      <c r="S41" s="276"/>
      <c r="T41" s="290"/>
      <c r="U41" s="276"/>
      <c r="V41" s="290"/>
      <c r="W41" s="276"/>
      <c r="X41" s="290"/>
      <c r="Y41" s="271">
        <f t="shared" si="1"/>
        <v>0</v>
      </c>
      <c r="Z41" s="290">
        <f t="shared" si="2"/>
        <v>0</v>
      </c>
      <c r="AD41" s="322">
        <v>2</v>
      </c>
      <c r="AE41" s="262" t="s">
        <v>121</v>
      </c>
      <c r="AF41" s="326">
        <f>SUM(K205,K207,K208)</f>
        <v>1340232</v>
      </c>
      <c r="AG41" s="421">
        <f>SUM(Z205,Z207,Z208)</f>
        <v>0</v>
      </c>
      <c r="AH41" s="470">
        <f t="shared" si="0"/>
        <v>0</v>
      </c>
      <c r="AI41" s="463"/>
    </row>
    <row r="42" spans="2:35" ht="19.8" customHeight="1" x14ac:dyDescent="0.6">
      <c r="B42" s="267"/>
      <c r="C42" s="272" t="s">
        <v>314</v>
      </c>
      <c r="D42" s="280" t="s">
        <v>338</v>
      </c>
      <c r="E42" s="276" t="s">
        <v>54</v>
      </c>
      <c r="F42" s="282" t="s">
        <v>367</v>
      </c>
      <c r="G42" s="290">
        <f t="shared" ref="G42:G43" si="17">IF(D42="-","-",ROUNDDOWN(F42*D42,0))</f>
        <v>104499</v>
      </c>
      <c r="H42" s="255">
        <v>1.1596</v>
      </c>
      <c r="I42" s="290">
        <f t="shared" si="16"/>
        <v>2376.0203999999999</v>
      </c>
      <c r="J42" s="298">
        <f t="shared" si="4"/>
        <v>121177</v>
      </c>
      <c r="K42" s="316">
        <v>121177</v>
      </c>
      <c r="L42" s="271"/>
      <c r="M42" s="276"/>
      <c r="N42" s="290">
        <f t="shared" ref="N42:P43" si="18">ROUNDDOWN(M42*$I42,0)</f>
        <v>0</v>
      </c>
      <c r="O42" s="276"/>
      <c r="P42" s="290">
        <f t="shared" si="18"/>
        <v>0</v>
      </c>
      <c r="Q42" s="276"/>
      <c r="R42" s="290"/>
      <c r="S42" s="276"/>
      <c r="T42" s="290"/>
      <c r="U42" s="276"/>
      <c r="V42" s="290">
        <f t="shared" ref="V42:V43" si="19">ROUNDDOWN(U42*$I42,0)</f>
        <v>0</v>
      </c>
      <c r="W42" s="276"/>
      <c r="X42" s="290">
        <f t="shared" ref="X42:X43" si="20">ROUNDDOWN(W42*$I42,0)</f>
        <v>0</v>
      </c>
      <c r="Y42" s="271">
        <f t="shared" si="1"/>
        <v>0</v>
      </c>
      <c r="Z42" s="290">
        <f t="shared" si="2"/>
        <v>0</v>
      </c>
      <c r="AD42" s="851" t="s">
        <v>823</v>
      </c>
      <c r="AE42" s="852"/>
      <c r="AF42" s="326">
        <f>SUM(AF39:AF41)</f>
        <v>17520321</v>
      </c>
      <c r="AG42" s="287">
        <f>SUM(AG39:AG41)</f>
        <v>6254788</v>
      </c>
      <c r="AH42" s="475">
        <f>SUM(AH39:AH41)</f>
        <v>2.6226055894806062</v>
      </c>
      <c r="AI42" s="463"/>
    </row>
    <row r="43" spans="2:35" ht="19.8" customHeight="1" x14ac:dyDescent="0.6">
      <c r="B43" s="268">
        <v>26</v>
      </c>
      <c r="C43" s="271" t="s">
        <v>315</v>
      </c>
      <c r="D43" s="280" t="s">
        <v>339</v>
      </c>
      <c r="E43" s="276" t="s">
        <v>54</v>
      </c>
      <c r="F43" s="282" t="s">
        <v>368</v>
      </c>
      <c r="G43" s="290">
        <f t="shared" si="17"/>
        <v>152874</v>
      </c>
      <c r="H43" s="255">
        <v>1.1525000000000001</v>
      </c>
      <c r="I43" s="290">
        <f t="shared" si="16"/>
        <v>1182.4650000000001</v>
      </c>
      <c r="J43" s="298">
        <f t="shared" si="4"/>
        <v>176187</v>
      </c>
      <c r="K43" s="316">
        <v>176188</v>
      </c>
      <c r="L43" s="271"/>
      <c r="M43" s="276"/>
      <c r="N43" s="290">
        <f t="shared" si="18"/>
        <v>0</v>
      </c>
      <c r="O43" s="276"/>
      <c r="P43" s="290">
        <f t="shared" si="18"/>
        <v>0</v>
      </c>
      <c r="Q43" s="276"/>
      <c r="R43" s="290"/>
      <c r="S43" s="276"/>
      <c r="T43" s="290"/>
      <c r="U43" s="276"/>
      <c r="V43" s="290">
        <f t="shared" si="19"/>
        <v>0</v>
      </c>
      <c r="W43" s="276"/>
      <c r="X43" s="290">
        <f t="shared" si="20"/>
        <v>0</v>
      </c>
      <c r="Y43" s="271">
        <f t="shared" si="1"/>
        <v>0</v>
      </c>
      <c r="Z43" s="290">
        <f t="shared" si="2"/>
        <v>0</v>
      </c>
      <c r="AD43" s="323" t="s">
        <v>813</v>
      </c>
      <c r="AE43" s="324" t="s">
        <v>142</v>
      </c>
      <c r="AF43" s="326">
        <f>SUM(K219:K226,K235,K237)</f>
        <v>16172985</v>
      </c>
      <c r="AG43" s="421">
        <f>SUM(Z219:Z226,Z235,Z237)</f>
        <v>3224788</v>
      </c>
      <c r="AH43" s="470">
        <f t="shared" si="0"/>
        <v>1.3521396782257025</v>
      </c>
      <c r="AI43" s="463"/>
    </row>
    <row r="44" spans="2:35" ht="19.8" customHeight="1" x14ac:dyDescent="0.6">
      <c r="B44" s="268">
        <v>27</v>
      </c>
      <c r="C44" s="271" t="s">
        <v>53</v>
      </c>
      <c r="D44" s="280"/>
      <c r="E44" s="276"/>
      <c r="G44" s="290"/>
      <c r="I44" s="290"/>
      <c r="J44" s="298" t="str">
        <f t="shared" si="4"/>
        <v/>
      </c>
      <c r="K44" s="315"/>
      <c r="L44" s="271"/>
      <c r="M44" s="276"/>
      <c r="N44" s="290"/>
      <c r="O44" s="276"/>
      <c r="P44" s="290"/>
      <c r="Q44" s="276"/>
      <c r="R44" s="290"/>
      <c r="S44" s="276"/>
      <c r="T44" s="290"/>
      <c r="U44" s="276"/>
      <c r="V44" s="290"/>
      <c r="W44" s="276"/>
      <c r="X44" s="290"/>
      <c r="Y44" s="271">
        <f t="shared" si="1"/>
        <v>0</v>
      </c>
      <c r="Z44" s="290">
        <f t="shared" si="2"/>
        <v>0</v>
      </c>
      <c r="AD44" s="322">
        <v>1</v>
      </c>
      <c r="AE44" s="262" t="s">
        <v>35</v>
      </c>
      <c r="AF44" s="326">
        <f>SUM(K227,K228)</f>
        <v>1828365</v>
      </c>
      <c r="AG44" s="421">
        <f>SUM(Z227,Z228)</f>
        <v>0</v>
      </c>
      <c r="AH44" s="470">
        <f t="shared" si="0"/>
        <v>0</v>
      </c>
      <c r="AI44" s="463"/>
    </row>
    <row r="45" spans="2:35" ht="19.8" customHeight="1" x14ac:dyDescent="0.6">
      <c r="B45" s="268"/>
      <c r="C45" s="272" t="s">
        <v>316</v>
      </c>
      <c r="D45" s="280" t="s">
        <v>340</v>
      </c>
      <c r="E45" s="276" t="s">
        <v>54</v>
      </c>
      <c r="F45" s="282" t="s">
        <v>369</v>
      </c>
      <c r="G45" s="290">
        <f t="shared" ref="G45:G46" si="21">IF(D45="-","-",ROUNDDOWN(F45*D45,0))</f>
        <v>111672</v>
      </c>
      <c r="H45" s="255">
        <v>1.1596</v>
      </c>
      <c r="I45" s="290">
        <f t="shared" ref="I45:I47" si="22">H45*F45</f>
        <v>981.02159999999992</v>
      </c>
      <c r="J45" s="298">
        <f t="shared" si="4"/>
        <v>129494</v>
      </c>
      <c r="K45" s="316">
        <v>129494</v>
      </c>
      <c r="L45" s="271"/>
      <c r="M45" s="276"/>
      <c r="N45" s="290">
        <f t="shared" ref="N45:P47" si="23">ROUNDDOWN(M45*$I45,0)</f>
        <v>0</v>
      </c>
      <c r="O45" s="276"/>
      <c r="P45" s="290">
        <f t="shared" si="23"/>
        <v>0</v>
      </c>
      <c r="Q45" s="276"/>
      <c r="R45" s="290"/>
      <c r="S45" s="276"/>
      <c r="T45" s="290"/>
      <c r="U45" s="276"/>
      <c r="V45" s="290">
        <f t="shared" ref="V45:V47" si="24">ROUNDDOWN(U45*$I45,0)</f>
        <v>0</v>
      </c>
      <c r="W45" s="276"/>
      <c r="X45" s="290">
        <f t="shared" ref="X45:X47" si="25">ROUNDDOWN(W45*$I45,0)</f>
        <v>0</v>
      </c>
      <c r="Y45" s="271">
        <f t="shared" si="1"/>
        <v>0</v>
      </c>
      <c r="Z45" s="290">
        <f t="shared" si="2"/>
        <v>0</v>
      </c>
      <c r="AD45" s="322">
        <v>2</v>
      </c>
      <c r="AE45" s="262" t="s">
        <v>121</v>
      </c>
      <c r="AF45" s="326">
        <f>SUM(K231:K233,K229)</f>
        <v>2138194</v>
      </c>
      <c r="AG45" s="421">
        <f>SUM(Z231:Z233,Z229)</f>
        <v>0</v>
      </c>
      <c r="AH45" s="470">
        <f t="shared" si="0"/>
        <v>0</v>
      </c>
      <c r="AI45" s="463"/>
    </row>
    <row r="46" spans="2:35" ht="19.8" customHeight="1" x14ac:dyDescent="0.6">
      <c r="B46" s="267"/>
      <c r="C46" s="272" t="s">
        <v>317</v>
      </c>
      <c r="D46" s="280" t="s">
        <v>338</v>
      </c>
      <c r="E46" s="276" t="s">
        <v>54</v>
      </c>
      <c r="F46" s="282" t="s">
        <v>370</v>
      </c>
      <c r="G46" s="290">
        <f t="shared" si="21"/>
        <v>110670</v>
      </c>
      <c r="H46" s="255">
        <v>1.1596</v>
      </c>
      <c r="I46" s="290">
        <f t="shared" si="22"/>
        <v>2516.3319999999999</v>
      </c>
      <c r="J46" s="298">
        <f t="shared" si="4"/>
        <v>128332</v>
      </c>
      <c r="K46" s="316">
        <v>128332</v>
      </c>
      <c r="L46" s="271"/>
      <c r="M46" s="276"/>
      <c r="N46" s="290">
        <f t="shared" si="23"/>
        <v>0</v>
      </c>
      <c r="O46" s="276"/>
      <c r="P46" s="290">
        <f t="shared" si="23"/>
        <v>0</v>
      </c>
      <c r="Q46" s="276"/>
      <c r="R46" s="290"/>
      <c r="S46" s="276"/>
      <c r="T46" s="290"/>
      <c r="U46" s="276"/>
      <c r="V46" s="290">
        <f t="shared" si="24"/>
        <v>0</v>
      </c>
      <c r="W46" s="276"/>
      <c r="X46" s="290">
        <f t="shared" si="25"/>
        <v>0</v>
      </c>
      <c r="Y46" s="271">
        <f t="shared" si="1"/>
        <v>0</v>
      </c>
      <c r="Z46" s="290">
        <f t="shared" si="2"/>
        <v>0</v>
      </c>
      <c r="AD46" s="851" t="s">
        <v>823</v>
      </c>
      <c r="AE46" s="852"/>
      <c r="AF46" s="326">
        <f>SUM(AF43:AF45)</f>
        <v>20139544</v>
      </c>
      <c r="AG46" s="467">
        <f>SUM(AG43:AG45)</f>
        <v>3224788</v>
      </c>
      <c r="AH46" s="476">
        <f>SUM(AH43:AH45)</f>
        <v>1.3521396782257025</v>
      </c>
      <c r="AI46" s="463"/>
    </row>
    <row r="47" spans="2:35" ht="19.8" customHeight="1" x14ac:dyDescent="0.6">
      <c r="B47" s="268">
        <v>28</v>
      </c>
      <c r="C47" s="271" t="s">
        <v>215</v>
      </c>
      <c r="D47" s="280" t="s">
        <v>341</v>
      </c>
      <c r="E47" s="276" t="s">
        <v>55</v>
      </c>
      <c r="F47" s="282" t="s">
        <v>371</v>
      </c>
      <c r="G47" s="290">
        <f>IF(D47="-","-",ROUNDDOWN(F47*D47,0))</f>
        <v>61358</v>
      </c>
      <c r="H47" s="255">
        <v>1.1596</v>
      </c>
      <c r="I47" s="290">
        <f t="shared" si="22"/>
        <v>330.938244</v>
      </c>
      <c r="J47" s="298">
        <f t="shared" si="4"/>
        <v>71151</v>
      </c>
      <c r="K47" s="316">
        <v>71152</v>
      </c>
      <c r="L47" s="271"/>
      <c r="M47" s="276"/>
      <c r="N47" s="290">
        <f t="shared" si="23"/>
        <v>0</v>
      </c>
      <c r="O47" s="276"/>
      <c r="P47" s="290">
        <f t="shared" si="23"/>
        <v>0</v>
      </c>
      <c r="Q47" s="276"/>
      <c r="R47" s="290"/>
      <c r="S47" s="276"/>
      <c r="T47" s="290"/>
      <c r="U47" s="276"/>
      <c r="V47" s="290">
        <f t="shared" si="24"/>
        <v>0</v>
      </c>
      <c r="W47" s="276"/>
      <c r="X47" s="290">
        <f t="shared" si="25"/>
        <v>0</v>
      </c>
      <c r="Y47" s="271">
        <f t="shared" si="1"/>
        <v>0</v>
      </c>
      <c r="Z47" s="290">
        <f t="shared" si="2"/>
        <v>0</v>
      </c>
      <c r="AD47" s="323" t="s">
        <v>814</v>
      </c>
      <c r="AE47" s="324" t="s">
        <v>66</v>
      </c>
      <c r="AF47" s="326">
        <f>SUM(K244:K261)</f>
        <v>344287</v>
      </c>
      <c r="AG47" s="467">
        <f>SUM(Z244:Z261)</f>
        <v>0</v>
      </c>
      <c r="AH47" s="479">
        <f t="shared" si="0"/>
        <v>0</v>
      </c>
      <c r="AI47" s="463"/>
    </row>
    <row r="48" spans="2:35" ht="19.8" customHeight="1" x14ac:dyDescent="0.6">
      <c r="B48" s="268">
        <v>29</v>
      </c>
      <c r="C48" s="271" t="s">
        <v>56</v>
      </c>
      <c r="D48" s="280"/>
      <c r="E48" s="276"/>
      <c r="G48" s="290"/>
      <c r="I48" s="290"/>
      <c r="J48" s="298" t="str">
        <f t="shared" si="4"/>
        <v/>
      </c>
      <c r="K48" s="315"/>
      <c r="L48" s="271"/>
      <c r="M48" s="276"/>
      <c r="N48" s="290"/>
      <c r="O48" s="276"/>
      <c r="P48" s="290"/>
      <c r="Q48" s="276"/>
      <c r="R48" s="290"/>
      <c r="S48" s="276"/>
      <c r="T48" s="290"/>
      <c r="U48" s="276"/>
      <c r="V48" s="290"/>
      <c r="W48" s="276"/>
      <c r="X48" s="290"/>
      <c r="Y48" s="271">
        <f t="shared" si="1"/>
        <v>0</v>
      </c>
      <c r="Z48" s="290">
        <f t="shared" si="2"/>
        <v>0</v>
      </c>
      <c r="AD48" s="323" t="s">
        <v>534</v>
      </c>
      <c r="AE48" s="324" t="s">
        <v>67</v>
      </c>
      <c r="AF48" s="326">
        <f>SUM(K268:K287)</f>
        <v>1601756</v>
      </c>
      <c r="AG48" s="467">
        <f>SUM(Z268:Z287)</f>
        <v>0</v>
      </c>
      <c r="AH48" s="479">
        <f t="shared" si="0"/>
        <v>0</v>
      </c>
      <c r="AI48" s="463"/>
    </row>
    <row r="49" spans="2:35" ht="19.8" customHeight="1" x14ac:dyDescent="0.6">
      <c r="B49" s="267"/>
      <c r="C49" s="272" t="s">
        <v>318</v>
      </c>
      <c r="D49" s="280" t="s">
        <v>342</v>
      </c>
      <c r="E49" s="276" t="s">
        <v>57</v>
      </c>
      <c r="F49" s="282" t="s">
        <v>372</v>
      </c>
      <c r="G49" s="290">
        <f t="shared" ref="G49:G50" si="26">IF(D49="-","-",ROUNDDOWN(F49*D49,0))</f>
        <v>111777</v>
      </c>
      <c r="H49" s="255">
        <v>1.1409</v>
      </c>
      <c r="I49" s="290">
        <f t="shared" ref="I49:I50" si="27">H49*F49</f>
        <v>802.05270000000007</v>
      </c>
      <c r="J49" s="298">
        <f t="shared" si="4"/>
        <v>127526</v>
      </c>
      <c r="K49" s="316">
        <v>127525</v>
      </c>
      <c r="L49" s="271"/>
      <c r="M49" s="276"/>
      <c r="N49" s="290">
        <f t="shared" ref="N49:P50" si="28">ROUNDDOWN(M49*$I49,0)</f>
        <v>0</v>
      </c>
      <c r="O49" s="276"/>
      <c r="P49" s="290">
        <f t="shared" si="28"/>
        <v>0</v>
      </c>
      <c r="Q49" s="276"/>
      <c r="R49" s="290"/>
      <c r="S49" s="276"/>
      <c r="T49" s="290"/>
      <c r="U49" s="276"/>
      <c r="V49" s="290">
        <f t="shared" ref="V49:V50" si="29">ROUNDDOWN(U49*$I49,0)</f>
        <v>0</v>
      </c>
      <c r="W49" s="276"/>
      <c r="X49" s="290">
        <f t="shared" ref="X49:X50" si="30">ROUNDDOWN(W49*$I49,0)</f>
        <v>0</v>
      </c>
      <c r="Y49" s="271">
        <f t="shared" si="1"/>
        <v>0</v>
      </c>
      <c r="Z49" s="290">
        <f t="shared" si="2"/>
        <v>0</v>
      </c>
      <c r="AD49" s="323" t="s">
        <v>815</v>
      </c>
      <c r="AE49" s="324" t="s">
        <v>69</v>
      </c>
      <c r="AF49" s="326">
        <f>SUM(K294:K312)</f>
        <v>333944</v>
      </c>
      <c r="AG49" s="467">
        <f>SUM(Z294:Z312)</f>
        <v>0</v>
      </c>
      <c r="AH49" s="479">
        <f t="shared" si="0"/>
        <v>0</v>
      </c>
      <c r="AI49" s="463"/>
    </row>
    <row r="50" spans="2:35" ht="19.8" customHeight="1" x14ac:dyDescent="0.6">
      <c r="B50" s="267"/>
      <c r="C50" s="272" t="s">
        <v>319</v>
      </c>
      <c r="D50" s="280" t="s">
        <v>343</v>
      </c>
      <c r="E50" s="276" t="s">
        <v>58</v>
      </c>
      <c r="F50" s="282" t="s">
        <v>373</v>
      </c>
      <c r="G50" s="290">
        <f t="shared" si="26"/>
        <v>31120</v>
      </c>
      <c r="H50" s="255">
        <v>1.1409</v>
      </c>
      <c r="I50" s="290">
        <f t="shared" si="27"/>
        <v>4438.1009999999997</v>
      </c>
      <c r="J50" s="298">
        <f t="shared" si="4"/>
        <v>35504</v>
      </c>
      <c r="K50" s="316">
        <v>35504</v>
      </c>
      <c r="L50" s="271"/>
      <c r="M50" s="276"/>
      <c r="N50" s="290">
        <f t="shared" si="28"/>
        <v>0</v>
      </c>
      <c r="O50" s="276"/>
      <c r="P50" s="290">
        <f t="shared" si="28"/>
        <v>0</v>
      </c>
      <c r="Q50" s="276"/>
      <c r="R50" s="290"/>
      <c r="S50" s="276"/>
      <c r="T50" s="290"/>
      <c r="U50" s="276"/>
      <c r="V50" s="290">
        <f t="shared" si="29"/>
        <v>0</v>
      </c>
      <c r="W50" s="276"/>
      <c r="X50" s="290">
        <f t="shared" si="30"/>
        <v>0</v>
      </c>
      <c r="Y50" s="271">
        <f t="shared" si="1"/>
        <v>0</v>
      </c>
      <c r="Z50" s="290">
        <f t="shared" si="2"/>
        <v>0</v>
      </c>
      <c r="AD50" s="323" t="s">
        <v>816</v>
      </c>
      <c r="AE50" s="324" t="s">
        <v>70</v>
      </c>
      <c r="AF50" s="326">
        <f>SUM(K318:K333)</f>
        <v>1597253</v>
      </c>
      <c r="AG50" s="467">
        <f>SUM(Z318:Z333)</f>
        <v>0</v>
      </c>
      <c r="AH50" s="479">
        <f t="shared" si="0"/>
        <v>0</v>
      </c>
      <c r="AI50" s="463"/>
    </row>
    <row r="51" spans="2:35" ht="19.8" customHeight="1" x14ac:dyDescent="0.6">
      <c r="B51" s="268">
        <v>30</v>
      </c>
      <c r="C51" s="271" t="s">
        <v>59</v>
      </c>
      <c r="D51" s="280"/>
      <c r="E51" s="276"/>
      <c r="G51" s="290"/>
      <c r="I51" s="290"/>
      <c r="J51" s="298" t="str">
        <f t="shared" si="4"/>
        <v/>
      </c>
      <c r="K51" s="315"/>
      <c r="L51" s="271"/>
      <c r="M51" s="276"/>
      <c r="N51" s="290"/>
      <c r="O51" s="276"/>
      <c r="P51" s="290"/>
      <c r="Q51" s="276"/>
      <c r="R51" s="290"/>
      <c r="S51" s="276"/>
      <c r="T51" s="290"/>
      <c r="U51" s="276"/>
      <c r="V51" s="290"/>
      <c r="W51" s="276"/>
      <c r="X51" s="290"/>
      <c r="Y51" s="271">
        <f t="shared" si="1"/>
        <v>0</v>
      </c>
      <c r="Z51" s="290">
        <f t="shared" si="2"/>
        <v>0</v>
      </c>
      <c r="AD51" s="323" t="s">
        <v>410</v>
      </c>
      <c r="AE51" s="324" t="s">
        <v>71</v>
      </c>
      <c r="AF51" s="257"/>
      <c r="AG51" s="461"/>
      <c r="AH51" s="477"/>
      <c r="AI51" s="463"/>
    </row>
    <row r="52" spans="2:35" ht="19.8" customHeight="1" x14ac:dyDescent="0.6">
      <c r="B52" s="268">
        <v>25</v>
      </c>
      <c r="C52" s="271" t="s">
        <v>320</v>
      </c>
      <c r="D52" s="280" t="s">
        <v>344</v>
      </c>
      <c r="E52" s="276" t="s">
        <v>61</v>
      </c>
      <c r="F52" s="282" t="s">
        <v>374</v>
      </c>
      <c r="G52" s="290">
        <f>IF(D52="-","-",ROUNDDOWN(F52*D52,0))</f>
        <v>3525678</v>
      </c>
      <c r="H52" s="255">
        <v>1.1409</v>
      </c>
      <c r="I52" s="290">
        <f>H52*F52</f>
        <v>11900.7279</v>
      </c>
      <c r="J52" s="298">
        <f t="shared" si="4"/>
        <v>4022446</v>
      </c>
      <c r="K52" s="316">
        <v>4022446</v>
      </c>
      <c r="L52" s="271" t="s">
        <v>896</v>
      </c>
      <c r="M52" s="276"/>
      <c r="N52" s="290">
        <f>ROUNDDOWN(M52*$I52,0)+200000</f>
        <v>200000</v>
      </c>
      <c r="O52" s="276"/>
      <c r="P52" s="290">
        <v>150000</v>
      </c>
      <c r="Q52" s="276"/>
      <c r="R52" s="290"/>
      <c r="S52" s="276"/>
      <c r="T52" s="290"/>
      <c r="U52" s="276"/>
      <c r="V52" s="290">
        <f>ROUNDDOWN(U52*I52,0) + 200000</f>
        <v>200000</v>
      </c>
      <c r="W52" s="276"/>
      <c r="X52" s="290">
        <f>ROUNDDOWN(W52*K52,0) + 200000</f>
        <v>200000</v>
      </c>
      <c r="Y52" s="271">
        <f t="shared" si="1"/>
        <v>0</v>
      </c>
      <c r="Z52" s="290">
        <f t="shared" si="2"/>
        <v>350000</v>
      </c>
      <c r="AD52" s="292" t="s">
        <v>571</v>
      </c>
      <c r="AE52" s="327" t="s">
        <v>72</v>
      </c>
      <c r="AF52" s="326">
        <f>SUM(K339:K352)</f>
        <v>3297434</v>
      </c>
      <c r="AG52" s="467">
        <f>SUM(Z339:Z352)</f>
        <v>0</v>
      </c>
      <c r="AH52" s="479">
        <f t="shared" si="0"/>
        <v>0</v>
      </c>
      <c r="AI52" s="463"/>
    </row>
    <row r="53" spans="2:35" ht="19.8" customHeight="1" x14ac:dyDescent="0.6">
      <c r="B53" s="268"/>
      <c r="C53" s="271" t="s">
        <v>52</v>
      </c>
      <c r="D53" s="280"/>
      <c r="E53" s="276"/>
      <c r="G53" s="290"/>
      <c r="I53" s="290"/>
      <c r="J53" s="298" t="str">
        <f t="shared" si="4"/>
        <v/>
      </c>
      <c r="K53" s="315"/>
      <c r="L53" s="271"/>
      <c r="M53" s="276"/>
      <c r="N53" s="290"/>
      <c r="O53" s="276"/>
      <c r="P53" s="290"/>
      <c r="Q53" s="276"/>
      <c r="R53" s="290"/>
      <c r="S53" s="276"/>
      <c r="T53" s="290"/>
      <c r="U53" s="276"/>
      <c r="V53" s="290"/>
      <c r="W53" s="276"/>
      <c r="X53" s="290"/>
      <c r="Y53" s="271">
        <f t="shared" si="1"/>
        <v>0</v>
      </c>
      <c r="Z53" s="290">
        <f t="shared" si="2"/>
        <v>0</v>
      </c>
      <c r="AD53" s="292" t="s">
        <v>817</v>
      </c>
      <c r="AE53" s="327" t="s">
        <v>122</v>
      </c>
      <c r="AF53" s="326">
        <f>SUM(K358:K386)</f>
        <v>22731675</v>
      </c>
      <c r="AG53" s="467">
        <f>SUM(Z358:Z386)</f>
        <v>35724</v>
      </c>
      <c r="AH53" s="470">
        <f t="shared" si="0"/>
        <v>1.4978918882399399E-2</v>
      </c>
      <c r="AI53" s="463"/>
    </row>
    <row r="54" spans="2:35" ht="19.8" customHeight="1" x14ac:dyDescent="0.6">
      <c r="B54" s="268">
        <v>26</v>
      </c>
      <c r="C54" s="271" t="s">
        <v>321</v>
      </c>
      <c r="D54" s="280" t="s">
        <v>345</v>
      </c>
      <c r="E54" s="276" t="s">
        <v>61</v>
      </c>
      <c r="F54" s="282" t="s">
        <v>374</v>
      </c>
      <c r="G54" s="290">
        <f>IF(D54="-","-",ROUNDDOWN(F54*D54,0))</f>
        <v>156465</v>
      </c>
      <c r="H54" s="255">
        <v>1.1409</v>
      </c>
      <c r="I54" s="290">
        <f>H54*F54</f>
        <v>11900.7279</v>
      </c>
      <c r="J54" s="298">
        <f t="shared" si="4"/>
        <v>178510</v>
      </c>
      <c r="K54" s="316">
        <v>178510</v>
      </c>
      <c r="L54" s="271"/>
      <c r="M54" s="276"/>
      <c r="N54" s="290">
        <f t="shared" ref="N54:P54" si="31">ROUNDDOWN(M54*$I54,0)</f>
        <v>0</v>
      </c>
      <c r="O54" s="276"/>
      <c r="P54" s="290">
        <f t="shared" si="31"/>
        <v>0</v>
      </c>
      <c r="Q54" s="276"/>
      <c r="R54" s="290"/>
      <c r="S54" s="276"/>
      <c r="T54" s="290"/>
      <c r="U54" s="276"/>
      <c r="V54" s="290">
        <f t="shared" ref="V54" si="32">ROUNDDOWN(U54*$I54,0)</f>
        <v>0</v>
      </c>
      <c r="W54" s="276"/>
      <c r="X54" s="290">
        <f t="shared" ref="X54" si="33">ROUNDDOWN(W54*$I54,0)</f>
        <v>0</v>
      </c>
      <c r="Y54" s="271">
        <f t="shared" si="1"/>
        <v>0</v>
      </c>
      <c r="Z54" s="290">
        <f t="shared" si="2"/>
        <v>0</v>
      </c>
      <c r="AD54" s="323" t="s">
        <v>323</v>
      </c>
      <c r="AE54" s="324" t="s">
        <v>29</v>
      </c>
      <c r="AF54" s="257"/>
      <c r="AG54" s="461"/>
      <c r="AH54" s="477"/>
      <c r="AI54" s="463"/>
    </row>
    <row r="55" spans="2:35" ht="19.8" customHeight="1" x14ac:dyDescent="0.6">
      <c r="B55" s="269"/>
      <c r="C55" s="273" t="s">
        <v>52</v>
      </c>
      <c r="D55" s="281"/>
      <c r="E55" s="277"/>
      <c r="F55" s="285"/>
      <c r="G55" s="291"/>
      <c r="H55" s="264"/>
      <c r="I55" s="291"/>
      <c r="J55" s="298" t="str">
        <f t="shared" ref="J55" si="34">IF(G55="-","-",IF(D55&gt;0,ROUNDDOWN(I55*D55,2),""))</f>
        <v/>
      </c>
      <c r="K55" s="318"/>
      <c r="L55" s="273"/>
      <c r="M55" s="276"/>
      <c r="N55" s="290"/>
      <c r="O55" s="276"/>
      <c r="P55" s="290"/>
      <c r="Q55" s="276"/>
      <c r="R55" s="290"/>
      <c r="S55" s="276"/>
      <c r="T55" s="290"/>
      <c r="U55" s="276"/>
      <c r="V55" s="290"/>
      <c r="W55" s="276"/>
      <c r="X55" s="290"/>
      <c r="Y55" s="271">
        <f t="shared" si="1"/>
        <v>0</v>
      </c>
      <c r="Z55" s="290">
        <f t="shared" si="2"/>
        <v>0</v>
      </c>
      <c r="AD55" s="292" t="s">
        <v>601</v>
      </c>
      <c r="AE55" s="262" t="s">
        <v>105</v>
      </c>
      <c r="AF55" s="326">
        <f>K431</f>
        <v>20579504</v>
      </c>
      <c r="AG55" s="467">
        <f>Z431</f>
        <v>3340000</v>
      </c>
      <c r="AH55" s="479">
        <f>AG55*100/$AF$69</f>
        <v>1.400447572142369</v>
      </c>
      <c r="AI55" s="463"/>
    </row>
    <row r="56" spans="2:35" ht="19.8" customHeight="1" x14ac:dyDescent="0.6">
      <c r="B56" s="828" t="s">
        <v>375</v>
      </c>
      <c r="C56" s="828"/>
      <c r="D56" s="294" t="s">
        <v>326</v>
      </c>
      <c r="E56" s="257" t="s">
        <v>57</v>
      </c>
      <c r="F56" s="292"/>
      <c r="G56" s="293">
        <f>SUM(G13:G55)</f>
        <v>8997433</v>
      </c>
      <c r="H56" s="262"/>
      <c r="I56" s="293"/>
      <c r="J56" s="299">
        <f>SUM(J13:J55)</f>
        <v>10310669</v>
      </c>
      <c r="K56" s="319">
        <f>SUM(K13:K55)</f>
        <v>10310677</v>
      </c>
      <c r="L56" s="262"/>
      <c r="M56" s="453">
        <f>N56/$K56</f>
        <v>2.1084357506301478E-2</v>
      </c>
      <c r="N56" s="293">
        <f>SUM(N13:N54)</f>
        <v>217394</v>
      </c>
      <c r="O56" s="453">
        <f>P56/$K56</f>
        <v>1.45480262838221E-2</v>
      </c>
      <c r="P56" s="293">
        <f>SUM(P13:P54)</f>
        <v>150000</v>
      </c>
      <c r="Q56" s="453">
        <f>R56/$K56</f>
        <v>0</v>
      </c>
      <c r="R56" s="293">
        <f>SUM(R13:R54)</f>
        <v>0</v>
      </c>
      <c r="S56" s="453">
        <f>T56/$K56</f>
        <v>0</v>
      </c>
      <c r="T56" s="293">
        <f>SUM(T13:T54)</f>
        <v>0</v>
      </c>
      <c r="U56" s="453">
        <f>V56/$K56</f>
        <v>2.1084357506301478E-2</v>
      </c>
      <c r="V56" s="293">
        <f>SUM(V13:V54)</f>
        <v>217394</v>
      </c>
      <c r="W56" s="453">
        <f>X56/$K56</f>
        <v>1.9397368378429466E-2</v>
      </c>
      <c r="X56" s="293">
        <f>SUM(X13:X54)</f>
        <v>200000</v>
      </c>
      <c r="Y56" s="262">
        <f t="shared" si="1"/>
        <v>3.5632383790123581E-2</v>
      </c>
      <c r="Z56" s="293">
        <f>N56+P56+R56</f>
        <v>367394</v>
      </c>
      <c r="AD56" s="292" t="s">
        <v>653</v>
      </c>
      <c r="AE56" s="262" t="s">
        <v>107</v>
      </c>
      <c r="AF56" s="326">
        <f>SUM(K462)</f>
        <v>17824270</v>
      </c>
      <c r="AG56" s="467">
        <f>SUM(Z462)</f>
        <v>4810000</v>
      </c>
      <c r="AH56" s="479">
        <f t="shared" si="0"/>
        <v>2.0168122221571241</v>
      </c>
      <c r="AI56" s="463"/>
    </row>
    <row r="57" spans="2:35" ht="19.8" customHeight="1" x14ac:dyDescent="0.6">
      <c r="B57" s="267">
        <v>1.2</v>
      </c>
      <c r="C57" s="271" t="s">
        <v>40</v>
      </c>
      <c r="D57" s="280"/>
      <c r="E57" s="276"/>
      <c r="G57" s="290"/>
      <c r="I57" s="290"/>
      <c r="K57" s="315"/>
      <c r="L57" s="271"/>
      <c r="M57" s="276"/>
      <c r="N57" s="290"/>
      <c r="O57" s="276"/>
      <c r="P57" s="290"/>
      <c r="Q57" s="276"/>
      <c r="R57" s="290"/>
      <c r="S57" s="276"/>
      <c r="T57" s="290"/>
      <c r="U57" s="276"/>
      <c r="V57" s="290"/>
      <c r="W57" s="276"/>
      <c r="X57" s="290"/>
      <c r="Y57" s="271">
        <f t="shared" si="1"/>
        <v>0</v>
      </c>
      <c r="Z57" s="290">
        <f t="shared" si="2"/>
        <v>0</v>
      </c>
      <c r="AD57" s="292" t="s">
        <v>676</v>
      </c>
      <c r="AE57" s="262" t="s">
        <v>108</v>
      </c>
      <c r="AF57" s="326">
        <f>SUM(K493)</f>
        <v>24768803</v>
      </c>
      <c r="AG57" s="467">
        <f>SUM(Z493)</f>
        <v>5340000</v>
      </c>
      <c r="AH57" s="479">
        <f t="shared" si="0"/>
        <v>2.239038932706662</v>
      </c>
      <c r="AI57" s="463"/>
    </row>
    <row r="58" spans="2:35" ht="19.8" customHeight="1" x14ac:dyDescent="0.6">
      <c r="B58" s="267"/>
      <c r="C58" s="271" t="s">
        <v>306</v>
      </c>
      <c r="D58" s="280"/>
      <c r="E58" s="276"/>
      <c r="G58" s="290"/>
      <c r="I58" s="290"/>
      <c r="K58" s="315"/>
      <c r="L58" s="271"/>
      <c r="M58" s="276"/>
      <c r="N58" s="290"/>
      <c r="O58" s="276"/>
      <c r="P58" s="290"/>
      <c r="Q58" s="276"/>
      <c r="R58" s="290"/>
      <c r="S58" s="276"/>
      <c r="T58" s="290"/>
      <c r="U58" s="276"/>
      <c r="V58" s="290"/>
      <c r="W58" s="276"/>
      <c r="X58" s="290"/>
      <c r="Y58" s="271">
        <f t="shared" si="1"/>
        <v>0</v>
      </c>
      <c r="Z58" s="290">
        <f t="shared" si="2"/>
        <v>0</v>
      </c>
      <c r="AD58" s="292" t="s">
        <v>699</v>
      </c>
      <c r="AE58" s="262" t="s">
        <v>109</v>
      </c>
      <c r="AF58" s="326">
        <f>K507</f>
        <v>2252864</v>
      </c>
      <c r="AG58" s="467">
        <f>Z507</f>
        <v>0</v>
      </c>
      <c r="AH58" s="479">
        <f t="shared" si="0"/>
        <v>0</v>
      </c>
      <c r="AI58" s="463"/>
    </row>
    <row r="59" spans="2:35" ht="19.8" customHeight="1" x14ac:dyDescent="0.6">
      <c r="B59" s="267"/>
      <c r="C59" s="271" t="s">
        <v>307</v>
      </c>
      <c r="D59" s="280"/>
      <c r="E59" s="276"/>
      <c r="G59" s="290"/>
      <c r="I59" s="290"/>
      <c r="K59" s="315"/>
      <c r="L59" s="271"/>
      <c r="M59" s="276"/>
      <c r="N59" s="290"/>
      <c r="O59" s="276"/>
      <c r="P59" s="290"/>
      <c r="Q59" s="276"/>
      <c r="R59" s="290"/>
      <c r="S59" s="276"/>
      <c r="T59" s="290"/>
      <c r="U59" s="276"/>
      <c r="V59" s="290"/>
      <c r="W59" s="276"/>
      <c r="X59" s="290"/>
      <c r="Y59" s="271">
        <f t="shared" si="1"/>
        <v>0</v>
      </c>
      <c r="Z59" s="290">
        <f t="shared" si="2"/>
        <v>0</v>
      </c>
      <c r="AD59" s="292" t="s">
        <v>711</v>
      </c>
      <c r="AE59" s="262" t="s">
        <v>110</v>
      </c>
      <c r="AF59" s="326">
        <f>K524</f>
        <v>1866144</v>
      </c>
      <c r="AG59" s="467">
        <f>Z524</f>
        <v>0</v>
      </c>
      <c r="AH59" s="479">
        <f t="shared" si="0"/>
        <v>0</v>
      </c>
      <c r="AI59" s="463"/>
    </row>
    <row r="60" spans="2:35" ht="19.8" customHeight="1" x14ac:dyDescent="0.6">
      <c r="B60" s="268">
        <v>25</v>
      </c>
      <c r="C60" s="271" t="s">
        <v>194</v>
      </c>
      <c r="D60" s="280">
        <v>1</v>
      </c>
      <c r="E60" s="276" t="s">
        <v>78</v>
      </c>
      <c r="F60" s="282" t="s">
        <v>346</v>
      </c>
      <c r="G60" s="290">
        <f>ROUNDDOWN(F60*D60,0)</f>
        <v>15000</v>
      </c>
      <c r="H60" s="255">
        <v>1.1596</v>
      </c>
      <c r="I60" s="290">
        <f>H60*F60</f>
        <v>17394</v>
      </c>
      <c r="J60" s="298">
        <f>IF(G60="-","-",IF(D60&gt;0,ROUNDDOWN(I60*D60,0),""))</f>
        <v>17394</v>
      </c>
      <c r="K60" s="316">
        <v>17394</v>
      </c>
      <c r="L60" s="271"/>
      <c r="M60" s="276">
        <v>1</v>
      </c>
      <c r="N60" s="290">
        <f t="shared" ref="N60:P63" si="35">ROUNDDOWN(M60*$I60,0)</f>
        <v>17394</v>
      </c>
      <c r="O60" s="276"/>
      <c r="P60" s="290">
        <f t="shared" si="35"/>
        <v>0</v>
      </c>
      <c r="Q60" s="276"/>
      <c r="R60" s="290"/>
      <c r="S60" s="276"/>
      <c r="T60" s="290"/>
      <c r="U60" s="276">
        <v>1</v>
      </c>
      <c r="V60" s="290">
        <f t="shared" ref="V60:V63" si="36">ROUNDDOWN(U60*$I60,0)</f>
        <v>17394</v>
      </c>
      <c r="W60" s="276">
        <v>1</v>
      </c>
      <c r="X60" s="290">
        <f t="shared" ref="X60:X63" si="37">ROUNDDOWN(W60*$I60,0)</f>
        <v>17394</v>
      </c>
      <c r="Y60" s="271">
        <f t="shared" si="1"/>
        <v>1</v>
      </c>
      <c r="Z60" s="290">
        <f>N60+P60</f>
        <v>17394</v>
      </c>
      <c r="AD60" s="292" t="s">
        <v>728</v>
      </c>
      <c r="AE60" s="262" t="s">
        <v>111</v>
      </c>
      <c r="AF60" s="326">
        <f>K549</f>
        <v>15408281</v>
      </c>
      <c r="AG60" s="467">
        <f>Z549</f>
        <v>11930000</v>
      </c>
      <c r="AH60" s="479">
        <f t="shared" si="0"/>
        <v>5.0021974657660069</v>
      </c>
      <c r="AI60" s="463"/>
    </row>
    <row r="61" spans="2:35" ht="19.8" customHeight="1" x14ac:dyDescent="0.6">
      <c r="B61" s="268">
        <v>26</v>
      </c>
      <c r="C61" s="271" t="s">
        <v>195</v>
      </c>
      <c r="D61" s="280" t="s">
        <v>377</v>
      </c>
      <c r="E61" s="276" t="s">
        <v>55</v>
      </c>
      <c r="F61" s="282" t="s">
        <v>378</v>
      </c>
      <c r="G61" s="290">
        <f t="shared" ref="G61:G63" si="38">ROUNDDOWN(F61*D61,0)</f>
        <v>6033</v>
      </c>
      <c r="H61" s="255">
        <v>1.1596</v>
      </c>
      <c r="I61" s="290">
        <f t="shared" ref="I61:I63" si="39">H61*F61</f>
        <v>38.440739999999998</v>
      </c>
      <c r="J61" s="298">
        <f t="shared" ref="J61:J75" si="40">IF(G61="-","-",IF(D61&gt;0,ROUNDDOWN(I61*D61,0),""))</f>
        <v>6996</v>
      </c>
      <c r="K61" s="316">
        <v>6996</v>
      </c>
      <c r="L61" s="271"/>
      <c r="M61" s="276"/>
      <c r="N61" s="290">
        <f t="shared" si="35"/>
        <v>0</v>
      </c>
      <c r="O61" s="276"/>
      <c r="P61" s="290">
        <f t="shared" si="35"/>
        <v>0</v>
      </c>
      <c r="Q61" s="276"/>
      <c r="R61" s="290"/>
      <c r="S61" s="276"/>
      <c r="T61" s="290"/>
      <c r="U61" s="276"/>
      <c r="V61" s="290">
        <f t="shared" si="36"/>
        <v>0</v>
      </c>
      <c r="W61" s="276"/>
      <c r="X61" s="290">
        <f t="shared" si="37"/>
        <v>0</v>
      </c>
      <c r="Y61" s="271">
        <f t="shared" si="1"/>
        <v>0</v>
      </c>
      <c r="Z61" s="290">
        <f t="shared" si="2"/>
        <v>0</v>
      </c>
      <c r="AD61" s="292" t="s">
        <v>742</v>
      </c>
      <c r="AE61" s="262" t="s">
        <v>112</v>
      </c>
      <c r="AF61" s="326">
        <f>K580</f>
        <v>15007259</v>
      </c>
      <c r="AG61" s="467">
        <f>Z580</f>
        <v>2510000</v>
      </c>
      <c r="AH61" s="479">
        <f t="shared" si="0"/>
        <v>1.0524321575081874</v>
      </c>
      <c r="AI61" s="463"/>
    </row>
    <row r="62" spans="2:35" ht="19.8" customHeight="1" x14ac:dyDescent="0.6">
      <c r="B62" s="268">
        <v>27</v>
      </c>
      <c r="C62" s="271" t="s">
        <v>196</v>
      </c>
      <c r="D62" s="280" t="s">
        <v>389</v>
      </c>
      <c r="E62" s="276" t="s">
        <v>61</v>
      </c>
      <c r="F62" s="282" t="s">
        <v>390</v>
      </c>
      <c r="G62" s="290">
        <f t="shared" si="38"/>
        <v>700</v>
      </c>
      <c r="H62" s="255">
        <v>1.1596</v>
      </c>
      <c r="I62" s="290">
        <f t="shared" si="39"/>
        <v>811.72</v>
      </c>
      <c r="J62" s="298">
        <f t="shared" si="40"/>
        <v>811</v>
      </c>
      <c r="K62" s="316">
        <v>811</v>
      </c>
      <c r="L62" s="271"/>
      <c r="M62" s="276"/>
      <c r="N62" s="290">
        <f t="shared" si="35"/>
        <v>0</v>
      </c>
      <c r="O62" s="276"/>
      <c r="P62" s="290">
        <f t="shared" si="35"/>
        <v>0</v>
      </c>
      <c r="Q62" s="276"/>
      <c r="R62" s="290"/>
      <c r="S62" s="276"/>
      <c r="T62" s="290"/>
      <c r="U62" s="276"/>
      <c r="V62" s="290">
        <f t="shared" si="36"/>
        <v>0</v>
      </c>
      <c r="W62" s="276"/>
      <c r="X62" s="290">
        <f t="shared" si="37"/>
        <v>0</v>
      </c>
      <c r="Y62" s="271">
        <f t="shared" si="1"/>
        <v>0</v>
      </c>
      <c r="Z62" s="290">
        <f t="shared" si="2"/>
        <v>0</v>
      </c>
      <c r="AD62" s="292" t="s">
        <v>818</v>
      </c>
      <c r="AE62" s="262" t="s">
        <v>113</v>
      </c>
      <c r="AF62" s="326">
        <f>K612</f>
        <v>26163587</v>
      </c>
      <c r="AG62" s="467">
        <f>Z612</f>
        <v>8620000</v>
      </c>
      <c r="AH62" s="479">
        <f t="shared" si="0"/>
        <v>3.614328764032102</v>
      </c>
      <c r="AI62" s="463"/>
    </row>
    <row r="63" spans="2:35" ht="19.8" customHeight="1" x14ac:dyDescent="0.6">
      <c r="B63" s="268">
        <v>28</v>
      </c>
      <c r="C63" s="271" t="s">
        <v>379</v>
      </c>
      <c r="D63" s="280" t="s">
        <v>380</v>
      </c>
      <c r="E63" s="276" t="s">
        <v>61</v>
      </c>
      <c r="F63" s="282" t="s">
        <v>391</v>
      </c>
      <c r="G63" s="290">
        <f t="shared" si="38"/>
        <v>2788212</v>
      </c>
      <c r="H63" s="255">
        <v>1.1409</v>
      </c>
      <c r="I63" s="290">
        <f t="shared" si="39"/>
        <v>23917.827600000001</v>
      </c>
      <c r="J63" s="298">
        <f t="shared" si="40"/>
        <v>3181071</v>
      </c>
      <c r="K63" s="316">
        <v>3181071</v>
      </c>
      <c r="L63" s="271"/>
      <c r="M63" s="276"/>
      <c r="N63" s="290">
        <f t="shared" si="35"/>
        <v>0</v>
      </c>
      <c r="O63" s="276"/>
      <c r="P63" s="290">
        <f t="shared" si="35"/>
        <v>0</v>
      </c>
      <c r="Q63" s="276"/>
      <c r="R63" s="290"/>
      <c r="S63" s="276"/>
      <c r="T63" s="290"/>
      <c r="U63" s="276"/>
      <c r="V63" s="290">
        <f t="shared" si="36"/>
        <v>0</v>
      </c>
      <c r="W63" s="276"/>
      <c r="X63" s="290">
        <f t="shared" si="37"/>
        <v>0</v>
      </c>
      <c r="Y63" s="271">
        <f t="shared" si="1"/>
        <v>0</v>
      </c>
      <c r="Z63" s="290">
        <f t="shared" si="2"/>
        <v>0</v>
      </c>
      <c r="AD63" s="292" t="s">
        <v>819</v>
      </c>
      <c r="AE63" s="262" t="s">
        <v>123</v>
      </c>
      <c r="AF63" s="326">
        <f>K622</f>
        <v>1519335</v>
      </c>
      <c r="AG63" s="467">
        <f>Z622</f>
        <v>0</v>
      </c>
      <c r="AH63" s="479">
        <f t="shared" si="0"/>
        <v>0</v>
      </c>
      <c r="AI63" s="463"/>
    </row>
    <row r="64" spans="2:35" ht="19.8" customHeight="1" x14ac:dyDescent="0.6">
      <c r="B64" s="268"/>
      <c r="C64" s="271" t="s">
        <v>52</v>
      </c>
      <c r="D64" s="280"/>
      <c r="E64" s="276"/>
      <c r="G64" s="290"/>
      <c r="I64" s="290"/>
      <c r="J64" s="298" t="str">
        <f t="shared" si="40"/>
        <v/>
      </c>
      <c r="K64" s="316"/>
      <c r="L64" s="271"/>
      <c r="M64" s="276"/>
      <c r="N64" s="290"/>
      <c r="O64" s="276"/>
      <c r="P64" s="290"/>
      <c r="Q64" s="276"/>
      <c r="R64" s="290"/>
      <c r="S64" s="276"/>
      <c r="T64" s="290"/>
      <c r="U64" s="276"/>
      <c r="V64" s="290"/>
      <c r="W64" s="276"/>
      <c r="X64" s="290"/>
      <c r="Y64" s="271">
        <f t="shared" si="1"/>
        <v>0</v>
      </c>
      <c r="Z64" s="290">
        <f t="shared" si="2"/>
        <v>0</v>
      </c>
      <c r="AD64" s="292" t="s">
        <v>804</v>
      </c>
      <c r="AE64" s="262" t="s">
        <v>124</v>
      </c>
      <c r="AF64" s="326">
        <f>K624</f>
        <v>4431757</v>
      </c>
      <c r="AG64" s="467">
        <f>Z624</f>
        <v>0</v>
      </c>
      <c r="AH64" s="479">
        <f t="shared" si="0"/>
        <v>0</v>
      </c>
      <c r="AI64" s="463"/>
    </row>
    <row r="65" spans="2:35" ht="19.8" customHeight="1" x14ac:dyDescent="0.6">
      <c r="B65" s="268">
        <v>29</v>
      </c>
      <c r="C65" s="271" t="s">
        <v>381</v>
      </c>
      <c r="D65" s="280" t="s">
        <v>382</v>
      </c>
      <c r="E65" s="276" t="s">
        <v>61</v>
      </c>
      <c r="F65" s="282" t="s">
        <v>392</v>
      </c>
      <c r="G65" s="290">
        <f>ROUNDDOWN(F65*D65,0)</f>
        <v>511870</v>
      </c>
      <c r="H65" s="255">
        <v>1.1409</v>
      </c>
      <c r="I65" s="290">
        <f t="shared" ref="I65" si="41">H65*F65</f>
        <v>17176.249500000002</v>
      </c>
      <c r="J65" s="298">
        <f t="shared" si="40"/>
        <v>583992</v>
      </c>
      <c r="K65" s="316">
        <v>583992</v>
      </c>
      <c r="L65" s="271"/>
      <c r="M65" s="276"/>
      <c r="N65" s="290">
        <f t="shared" ref="N65:P65" si="42">ROUNDDOWN(M65*$I65,0)</f>
        <v>0</v>
      </c>
      <c r="O65" s="276"/>
      <c r="P65" s="290">
        <f t="shared" si="42"/>
        <v>0</v>
      </c>
      <c r="Q65" s="276"/>
      <c r="R65" s="290"/>
      <c r="S65" s="276"/>
      <c r="T65" s="290"/>
      <c r="U65" s="276"/>
      <c r="V65" s="290">
        <f t="shared" ref="V65" si="43">ROUNDDOWN(U65*$I65,0)</f>
        <v>0</v>
      </c>
      <c r="W65" s="276"/>
      <c r="X65" s="290">
        <f t="shared" ref="X65" si="44">ROUNDDOWN(W65*$I65,0)</f>
        <v>0</v>
      </c>
      <c r="Y65" s="271">
        <f t="shared" si="1"/>
        <v>0</v>
      </c>
      <c r="Z65" s="290">
        <f t="shared" si="2"/>
        <v>0</v>
      </c>
      <c r="AD65" s="323" t="s">
        <v>529</v>
      </c>
      <c r="AE65" s="324" t="s">
        <v>125</v>
      </c>
      <c r="AF65" s="257"/>
      <c r="AG65" s="461"/>
      <c r="AH65" s="477"/>
      <c r="AI65" s="463"/>
    </row>
    <row r="66" spans="2:35" ht="19.8" customHeight="1" x14ac:dyDescent="0.6">
      <c r="B66" s="268"/>
      <c r="C66" s="271" t="s">
        <v>52</v>
      </c>
      <c r="D66" s="280"/>
      <c r="E66" s="276"/>
      <c r="G66" s="290"/>
      <c r="I66" s="290"/>
      <c r="J66" s="298" t="str">
        <f t="shared" si="40"/>
        <v/>
      </c>
      <c r="K66" s="316"/>
      <c r="L66" s="271"/>
      <c r="M66" s="276"/>
      <c r="N66" s="290"/>
      <c r="O66" s="276"/>
      <c r="P66" s="290"/>
      <c r="Q66" s="276"/>
      <c r="R66" s="290"/>
      <c r="S66" s="276"/>
      <c r="T66" s="290"/>
      <c r="U66" s="276"/>
      <c r="V66" s="290"/>
      <c r="W66" s="276"/>
      <c r="X66" s="290"/>
      <c r="Y66" s="271">
        <f t="shared" si="1"/>
        <v>0</v>
      </c>
      <c r="Z66" s="290">
        <f t="shared" si="2"/>
        <v>0</v>
      </c>
      <c r="AD66" s="292" t="s">
        <v>820</v>
      </c>
      <c r="AE66" s="262" t="s">
        <v>126</v>
      </c>
      <c r="AF66" s="326">
        <f>K631</f>
        <v>2540833</v>
      </c>
      <c r="AG66" s="467">
        <f>Z631</f>
        <v>0</v>
      </c>
      <c r="AH66" s="470">
        <f t="shared" si="0"/>
        <v>0</v>
      </c>
      <c r="AI66" s="463"/>
    </row>
    <row r="67" spans="2:35" ht="19.8" customHeight="1" x14ac:dyDescent="0.6">
      <c r="B67" s="268">
        <v>30</v>
      </c>
      <c r="C67" s="271" t="s">
        <v>383</v>
      </c>
      <c r="D67" s="280" t="s">
        <v>340</v>
      </c>
      <c r="E67" s="276" t="s">
        <v>54</v>
      </c>
      <c r="F67" s="282" t="s">
        <v>393</v>
      </c>
      <c r="G67" s="290">
        <f t="shared" ref="G67:G75" si="45">ROUNDDOWN(F67*D67,0)</f>
        <v>194832</v>
      </c>
      <c r="H67" s="255">
        <v>1.1908000000000001</v>
      </c>
      <c r="I67" s="290">
        <f t="shared" ref="I67:I75" si="46">H67*F67</f>
        <v>1757.6208000000001</v>
      </c>
      <c r="J67" s="298">
        <f t="shared" si="40"/>
        <v>232005</v>
      </c>
      <c r="K67" s="316">
        <v>232005</v>
      </c>
      <c r="L67" s="271"/>
      <c r="M67" s="276"/>
      <c r="N67" s="290">
        <f t="shared" ref="N67:P71" si="47">ROUNDDOWN(M67*$I67,0)</f>
        <v>0</v>
      </c>
      <c r="O67" s="276"/>
      <c r="P67" s="290">
        <f t="shared" si="47"/>
        <v>0</v>
      </c>
      <c r="Q67" s="276"/>
      <c r="R67" s="290"/>
      <c r="S67" s="276"/>
      <c r="T67" s="290"/>
      <c r="U67" s="276"/>
      <c r="V67" s="290">
        <f t="shared" ref="V67:V71" si="48">ROUNDDOWN(U67*$I67,0)</f>
        <v>0</v>
      </c>
      <c r="W67" s="276"/>
      <c r="X67" s="290">
        <f t="shared" ref="X67:X71" si="49">ROUNDDOWN(W67*$I67,0)</f>
        <v>0</v>
      </c>
      <c r="Y67" s="271">
        <f t="shared" si="1"/>
        <v>0</v>
      </c>
      <c r="Z67" s="290">
        <f t="shared" si="2"/>
        <v>0</v>
      </c>
      <c r="AD67" s="323" t="s">
        <v>333</v>
      </c>
      <c r="AE67" s="324" t="s">
        <v>127</v>
      </c>
      <c r="AF67" s="257"/>
      <c r="AG67" s="461"/>
      <c r="AH67" s="477"/>
      <c r="AI67" s="463"/>
    </row>
    <row r="68" spans="2:35" ht="19.8" customHeight="1" x14ac:dyDescent="0.6">
      <c r="B68" s="268">
        <v>31</v>
      </c>
      <c r="C68" s="271" t="s">
        <v>384</v>
      </c>
      <c r="D68" s="280" t="s">
        <v>326</v>
      </c>
      <c r="E68" s="276" t="s">
        <v>57</v>
      </c>
      <c r="F68" s="282" t="s">
        <v>365</v>
      </c>
      <c r="G68" s="290">
        <f t="shared" si="45"/>
        <v>444050</v>
      </c>
      <c r="H68" s="255">
        <v>1.1908000000000001</v>
      </c>
      <c r="I68" s="290">
        <f t="shared" si="46"/>
        <v>3185.3900000000003</v>
      </c>
      <c r="J68" s="298">
        <f t="shared" si="40"/>
        <v>528774</v>
      </c>
      <c r="K68" s="316">
        <v>528774</v>
      </c>
      <c r="L68" s="271"/>
      <c r="M68" s="276"/>
      <c r="N68" s="290">
        <f t="shared" si="47"/>
        <v>0</v>
      </c>
      <c r="O68" s="276"/>
      <c r="P68" s="290">
        <f t="shared" si="47"/>
        <v>0</v>
      </c>
      <c r="Q68" s="276"/>
      <c r="R68" s="290"/>
      <c r="S68" s="276"/>
      <c r="T68" s="290"/>
      <c r="U68" s="276"/>
      <c r="V68" s="290">
        <f t="shared" si="48"/>
        <v>0</v>
      </c>
      <c r="W68" s="276"/>
      <c r="X68" s="290">
        <f t="shared" si="49"/>
        <v>0</v>
      </c>
      <c r="Y68" s="271">
        <f t="shared" si="1"/>
        <v>0</v>
      </c>
      <c r="Z68" s="290">
        <f t="shared" si="2"/>
        <v>0</v>
      </c>
      <c r="AD68" s="464" t="s">
        <v>821</v>
      </c>
      <c r="AE68" s="270" t="s">
        <v>127</v>
      </c>
      <c r="AF68" s="427">
        <v>574191</v>
      </c>
      <c r="AG68" s="465"/>
      <c r="AH68" s="477"/>
      <c r="AI68" s="463"/>
    </row>
    <row r="69" spans="2:35" ht="19.8" customHeight="1" x14ac:dyDescent="0.6">
      <c r="B69" s="268">
        <v>32</v>
      </c>
      <c r="C69" s="271" t="s">
        <v>385</v>
      </c>
      <c r="D69" s="280" t="s">
        <v>386</v>
      </c>
      <c r="E69" s="276" t="s">
        <v>55</v>
      </c>
      <c r="F69" s="282" t="s">
        <v>394</v>
      </c>
      <c r="G69" s="290">
        <f t="shared" si="45"/>
        <v>19242</v>
      </c>
      <c r="H69" s="255">
        <v>1.1596</v>
      </c>
      <c r="I69" s="290">
        <f t="shared" si="46"/>
        <v>29.245111999999999</v>
      </c>
      <c r="J69" s="298">
        <f t="shared" si="40"/>
        <v>22314</v>
      </c>
      <c r="K69" s="316">
        <v>22317</v>
      </c>
      <c r="L69" s="271"/>
      <c r="M69" s="276"/>
      <c r="N69" s="290">
        <f t="shared" si="47"/>
        <v>0</v>
      </c>
      <c r="O69" s="276"/>
      <c r="P69" s="290">
        <f t="shared" si="47"/>
        <v>0</v>
      </c>
      <c r="Q69" s="276"/>
      <c r="R69" s="290"/>
      <c r="S69" s="276"/>
      <c r="T69" s="290"/>
      <c r="U69" s="276"/>
      <c r="V69" s="290">
        <f t="shared" si="48"/>
        <v>0</v>
      </c>
      <c r="W69" s="276"/>
      <c r="X69" s="290">
        <f t="shared" si="49"/>
        <v>0</v>
      </c>
      <c r="Y69" s="271">
        <f t="shared" si="1"/>
        <v>0</v>
      </c>
      <c r="Z69" s="290">
        <f t="shared" si="2"/>
        <v>0</v>
      </c>
      <c r="AD69" s="853" t="s">
        <v>7</v>
      </c>
      <c r="AE69" s="854"/>
      <c r="AF69" s="469">
        <f>SUM(AF15,AF20,AF26,AF30,AF34,AF38,AF42,AF46,AF47,AF48,AF49,AF50,AF52,AF53,AF55,AF56,AF57,AF58,AF59,AF60,AF61,AF62,AF63,AF64,AF66,AF68)</f>
        <v>238495183</v>
      </c>
      <c r="AG69" s="468">
        <f>SUM(AG66+AG64+AG63+AG62+AG61+AG60+AG59+AG58+AG57+AG56+AG55+AG53+AG52+AG50+AG49+AG48+AG47+AG46+AG42+AG38+AG34+AG30+AG26+AG20+AG15)</f>
        <v>55199664</v>
      </c>
      <c r="AH69" s="478">
        <f>AG69*100/AF69</f>
        <v>23.144980668225909</v>
      </c>
      <c r="AI69" s="466"/>
    </row>
    <row r="70" spans="2:35" ht="19.8" customHeight="1" x14ac:dyDescent="0.6">
      <c r="B70" s="268">
        <v>33</v>
      </c>
      <c r="C70" s="271" t="s">
        <v>387</v>
      </c>
      <c r="D70" s="280" t="s">
        <v>388</v>
      </c>
      <c r="E70" s="276" t="s">
        <v>55</v>
      </c>
      <c r="F70" s="282" t="s">
        <v>395</v>
      </c>
      <c r="G70" s="290">
        <f t="shared" si="45"/>
        <v>507280</v>
      </c>
      <c r="H70" s="255">
        <v>1.1596</v>
      </c>
      <c r="I70" s="290">
        <f t="shared" si="46"/>
        <v>865.0616</v>
      </c>
      <c r="J70" s="298">
        <f t="shared" si="40"/>
        <v>588241</v>
      </c>
      <c r="K70" s="316">
        <v>588240</v>
      </c>
      <c r="L70" s="271"/>
      <c r="M70" s="276"/>
      <c r="N70" s="290">
        <f t="shared" si="47"/>
        <v>0</v>
      </c>
      <c r="O70" s="276"/>
      <c r="P70" s="290">
        <f t="shared" si="47"/>
        <v>0</v>
      </c>
      <c r="Q70" s="276"/>
      <c r="R70" s="290"/>
      <c r="S70" s="276"/>
      <c r="T70" s="290"/>
      <c r="U70" s="276"/>
      <c r="V70" s="290">
        <f t="shared" si="48"/>
        <v>0</v>
      </c>
      <c r="W70" s="276"/>
      <c r="X70" s="290">
        <f t="shared" si="49"/>
        <v>0</v>
      </c>
      <c r="Y70" s="271">
        <f t="shared" si="1"/>
        <v>0</v>
      </c>
      <c r="Z70" s="290">
        <f t="shared" si="2"/>
        <v>0</v>
      </c>
    </row>
    <row r="71" spans="2:35" ht="19.8" customHeight="1" x14ac:dyDescent="0.6">
      <c r="B71" s="268">
        <v>34</v>
      </c>
      <c r="C71" s="271" t="s">
        <v>396</v>
      </c>
      <c r="D71" s="280" t="s">
        <v>400</v>
      </c>
      <c r="E71" s="276" t="s">
        <v>57</v>
      </c>
      <c r="F71" s="282" t="s">
        <v>404</v>
      </c>
      <c r="G71" s="290">
        <f t="shared" si="45"/>
        <v>996943</v>
      </c>
      <c r="H71" s="255">
        <v>1.1409</v>
      </c>
      <c r="I71" s="290">
        <f t="shared" si="46"/>
        <v>3168.2793000000001</v>
      </c>
      <c r="J71" s="298">
        <f t="shared" si="40"/>
        <v>1137412</v>
      </c>
      <c r="K71" s="316">
        <v>1136018</v>
      </c>
      <c r="L71" s="271"/>
      <c r="M71" s="276"/>
      <c r="N71" s="290">
        <f t="shared" si="47"/>
        <v>0</v>
      </c>
      <c r="O71" s="276"/>
      <c r="P71" s="290">
        <f t="shared" si="47"/>
        <v>0</v>
      </c>
      <c r="Q71" s="276"/>
      <c r="R71" s="290"/>
      <c r="S71" s="276"/>
      <c r="T71" s="290"/>
      <c r="U71" s="276"/>
      <c r="V71" s="290">
        <f t="shared" si="48"/>
        <v>0</v>
      </c>
      <c r="W71" s="276"/>
      <c r="X71" s="290">
        <f t="shared" si="49"/>
        <v>0</v>
      </c>
      <c r="Y71" s="271">
        <f t="shared" si="1"/>
        <v>0</v>
      </c>
      <c r="Z71" s="290">
        <f t="shared" si="2"/>
        <v>0</v>
      </c>
      <c r="AF71" s="458">
        <f>SUM(AF68,AF66,AF64,AF63,AF62,AF61,AF60,AF59,AF58,AF57,AF56,AF55,AF53,AF52,AF50,AF49,AF48,AF47,AF46,AF42,AF38,AF34,AF30,AF26,AF20,AF15)</f>
        <v>238495183</v>
      </c>
    </row>
    <row r="72" spans="2:35" ht="19.8" customHeight="1" x14ac:dyDescent="0.6">
      <c r="B72" s="268">
        <v>35</v>
      </c>
      <c r="C72" s="271" t="s">
        <v>56</v>
      </c>
      <c r="D72" s="280"/>
      <c r="E72" s="276"/>
      <c r="G72" s="290"/>
      <c r="I72" s="290"/>
      <c r="J72" s="298" t="str">
        <f t="shared" si="40"/>
        <v/>
      </c>
      <c r="K72" s="316"/>
      <c r="L72" s="271"/>
      <c r="M72" s="276"/>
      <c r="N72" s="290"/>
      <c r="O72" s="276"/>
      <c r="P72" s="290"/>
      <c r="Q72" s="276"/>
      <c r="R72" s="290"/>
      <c r="S72" s="276"/>
      <c r="T72" s="290"/>
      <c r="U72" s="276"/>
      <c r="V72" s="290"/>
      <c r="W72" s="276"/>
      <c r="X72" s="290"/>
      <c r="Y72" s="271">
        <f t="shared" si="1"/>
        <v>0</v>
      </c>
      <c r="Z72" s="290">
        <f t="shared" si="2"/>
        <v>0</v>
      </c>
    </row>
    <row r="73" spans="2:35" ht="19.8" customHeight="1" x14ac:dyDescent="0.6">
      <c r="B73" s="268"/>
      <c r="C73" s="272" t="s">
        <v>397</v>
      </c>
      <c r="D73" s="280" t="s">
        <v>401</v>
      </c>
      <c r="E73" s="276" t="s">
        <v>57</v>
      </c>
      <c r="F73" s="282" t="s">
        <v>372</v>
      </c>
      <c r="G73" s="290">
        <f t="shared" si="45"/>
        <v>109668</v>
      </c>
      <c r="H73" s="255">
        <v>1.1409</v>
      </c>
      <c r="I73" s="290">
        <f t="shared" si="46"/>
        <v>802.05270000000007</v>
      </c>
      <c r="J73" s="298">
        <f t="shared" si="40"/>
        <v>125120</v>
      </c>
      <c r="K73" s="316">
        <v>125119</v>
      </c>
      <c r="L73" s="271"/>
      <c r="M73" s="276"/>
      <c r="N73" s="290">
        <f t="shared" ref="N73:P75" si="50">ROUNDDOWN(M73*$I73,0)</f>
        <v>0</v>
      </c>
      <c r="O73" s="276"/>
      <c r="P73" s="290">
        <f t="shared" si="50"/>
        <v>0</v>
      </c>
      <c r="Q73" s="276"/>
      <c r="R73" s="290"/>
      <c r="S73" s="276"/>
      <c r="T73" s="290"/>
      <c r="U73" s="276"/>
      <c r="V73" s="290">
        <f t="shared" ref="V73:V75" si="51">ROUNDDOWN(U73*$I73,0)</f>
        <v>0</v>
      </c>
      <c r="W73" s="276"/>
      <c r="X73" s="290">
        <f t="shared" ref="X73:X75" si="52">ROUNDDOWN(W73*$I73,0)</f>
        <v>0</v>
      </c>
      <c r="Y73" s="271">
        <f t="shared" si="1"/>
        <v>0</v>
      </c>
      <c r="Z73" s="290">
        <f t="shared" si="2"/>
        <v>0</v>
      </c>
    </row>
    <row r="74" spans="2:35" ht="19.8" customHeight="1" x14ac:dyDescent="0.6">
      <c r="B74" s="268"/>
      <c r="C74" s="272" t="s">
        <v>398</v>
      </c>
      <c r="D74" s="280" t="s">
        <v>343</v>
      </c>
      <c r="E74" s="276" t="s">
        <v>58</v>
      </c>
      <c r="F74" s="282" t="s">
        <v>373</v>
      </c>
      <c r="G74" s="290">
        <f t="shared" si="45"/>
        <v>31120</v>
      </c>
      <c r="H74" s="255">
        <v>1.1409</v>
      </c>
      <c r="I74" s="290">
        <f t="shared" si="46"/>
        <v>4438.1009999999997</v>
      </c>
      <c r="J74" s="298">
        <f t="shared" si="40"/>
        <v>35504</v>
      </c>
      <c r="K74" s="316">
        <v>35504</v>
      </c>
      <c r="L74" s="271"/>
      <c r="M74" s="276"/>
      <c r="N74" s="290">
        <f t="shared" si="50"/>
        <v>0</v>
      </c>
      <c r="O74" s="276"/>
      <c r="P74" s="290">
        <f t="shared" si="50"/>
        <v>0</v>
      </c>
      <c r="Q74" s="276"/>
      <c r="R74" s="290"/>
      <c r="S74" s="276"/>
      <c r="T74" s="290"/>
      <c r="U74" s="276"/>
      <c r="V74" s="290">
        <f t="shared" si="51"/>
        <v>0</v>
      </c>
      <c r="W74" s="276"/>
      <c r="X74" s="290">
        <f t="shared" si="52"/>
        <v>0</v>
      </c>
      <c r="Y74" s="271">
        <f t="shared" si="1"/>
        <v>0</v>
      </c>
      <c r="Z74" s="290">
        <f t="shared" si="2"/>
        <v>0</v>
      </c>
    </row>
    <row r="75" spans="2:35" ht="19.8" customHeight="1" x14ac:dyDescent="0.6">
      <c r="B75" s="268">
        <v>36</v>
      </c>
      <c r="C75" s="271" t="s">
        <v>399</v>
      </c>
      <c r="D75" s="280" t="s">
        <v>402</v>
      </c>
      <c r="E75" s="276" t="s">
        <v>62</v>
      </c>
      <c r="F75" s="282" t="s">
        <v>405</v>
      </c>
      <c r="G75" s="290">
        <f t="shared" si="45"/>
        <v>325776</v>
      </c>
      <c r="H75" s="255">
        <v>1.1409</v>
      </c>
      <c r="I75" s="290">
        <f t="shared" si="46"/>
        <v>1407.8706</v>
      </c>
      <c r="J75" s="298">
        <f t="shared" si="40"/>
        <v>371677</v>
      </c>
      <c r="K75" s="316">
        <v>371677</v>
      </c>
      <c r="L75" s="271"/>
      <c r="M75" s="276"/>
      <c r="N75" s="290">
        <f t="shared" si="50"/>
        <v>0</v>
      </c>
      <c r="O75" s="276"/>
      <c r="P75" s="290">
        <f t="shared" si="50"/>
        <v>0</v>
      </c>
      <c r="Q75" s="276"/>
      <c r="R75" s="290"/>
      <c r="S75" s="276"/>
      <c r="T75" s="290"/>
      <c r="U75" s="276"/>
      <c r="V75" s="290">
        <f t="shared" si="51"/>
        <v>0</v>
      </c>
      <c r="W75" s="276"/>
      <c r="X75" s="290">
        <f t="shared" si="52"/>
        <v>0</v>
      </c>
      <c r="Y75" s="271">
        <f t="shared" si="1"/>
        <v>0</v>
      </c>
      <c r="Z75" s="290">
        <f t="shared" si="2"/>
        <v>0</v>
      </c>
    </row>
    <row r="76" spans="2:35" ht="19.8" customHeight="1" x14ac:dyDescent="0.6">
      <c r="B76" s="268"/>
      <c r="C76" s="271"/>
      <c r="D76" s="280"/>
      <c r="E76" s="276"/>
      <c r="G76" s="290"/>
      <c r="I76" s="290"/>
      <c r="J76" s="298"/>
      <c r="K76" s="316"/>
      <c r="L76" s="271"/>
      <c r="M76" s="276"/>
      <c r="N76" s="290"/>
      <c r="O76" s="276"/>
      <c r="P76" s="290"/>
      <c r="Q76" s="276"/>
      <c r="R76" s="290"/>
      <c r="S76" s="276"/>
      <c r="T76" s="290"/>
      <c r="U76" s="276"/>
      <c r="V76" s="290"/>
      <c r="W76" s="276"/>
      <c r="X76" s="290"/>
      <c r="Y76" s="271">
        <f t="shared" si="1"/>
        <v>0</v>
      </c>
      <c r="Z76" s="290">
        <f t="shared" si="2"/>
        <v>0</v>
      </c>
    </row>
    <row r="77" spans="2:35" ht="19.8" customHeight="1" x14ac:dyDescent="0.6">
      <c r="B77" s="817" t="s">
        <v>403</v>
      </c>
      <c r="C77" s="818"/>
      <c r="D77" s="295" t="s">
        <v>326</v>
      </c>
      <c r="E77" s="257" t="s">
        <v>57</v>
      </c>
      <c r="F77" s="296"/>
      <c r="G77" s="293">
        <f>SUM(G60:G76)</f>
        <v>5950726</v>
      </c>
      <c r="H77" s="297"/>
      <c r="I77" s="293"/>
      <c r="J77" s="299">
        <f>SUM(J60:J76)</f>
        <v>6831311</v>
      </c>
      <c r="K77" s="319">
        <f>SUM(K60:K76)</f>
        <v>6829918</v>
      </c>
      <c r="L77" s="302"/>
      <c r="M77" s="257"/>
      <c r="N77" s="293">
        <f>SUM(N60:N75)</f>
        <v>17394</v>
      </c>
      <c r="O77" s="453">
        <f>P77/K77</f>
        <v>0</v>
      </c>
      <c r="P77" s="293">
        <f>SUM(P60:P75)</f>
        <v>0</v>
      </c>
      <c r="Q77" s="453" t="e">
        <f>R77/M77</f>
        <v>#DIV/0!</v>
      </c>
      <c r="R77" s="293">
        <f>SUM(R60:R75)</f>
        <v>0</v>
      </c>
      <c r="S77" s="453" t="e">
        <f>T77/O77</f>
        <v>#DIV/0!</v>
      </c>
      <c r="T77" s="293">
        <f>SUM(T60:T75)</f>
        <v>0</v>
      </c>
      <c r="U77" s="257"/>
      <c r="V77" s="293">
        <f>SUM(V60:V75)</f>
        <v>17394</v>
      </c>
      <c r="W77" s="257"/>
      <c r="X77" s="293">
        <f>SUM(X60:X75)</f>
        <v>17394</v>
      </c>
      <c r="Y77" s="262">
        <f t="shared" ref="Y77:Y140" si="53">M77+O77</f>
        <v>0</v>
      </c>
      <c r="Z77" s="293">
        <f>N77+P77+R77</f>
        <v>17394</v>
      </c>
    </row>
    <row r="78" spans="2:35" ht="19.8" customHeight="1" x14ac:dyDescent="0.6">
      <c r="B78" s="267">
        <v>1.3</v>
      </c>
      <c r="C78" s="271" t="s">
        <v>34</v>
      </c>
      <c r="D78" s="280"/>
      <c r="E78" s="276"/>
      <c r="G78" s="290"/>
      <c r="I78" s="290"/>
      <c r="K78" s="315"/>
      <c r="L78" s="271"/>
      <c r="M78" s="276"/>
      <c r="N78" s="290"/>
      <c r="O78" s="276"/>
      <c r="P78" s="290"/>
      <c r="Q78" s="276"/>
      <c r="R78" s="290"/>
      <c r="S78" s="276"/>
      <c r="T78" s="290"/>
      <c r="U78" s="276"/>
      <c r="V78" s="290"/>
      <c r="W78" s="276"/>
      <c r="X78" s="290"/>
      <c r="Y78" s="271">
        <f t="shared" si="53"/>
        <v>0</v>
      </c>
      <c r="Z78" s="290">
        <f t="shared" ref="Z78:Z140" si="54">N78+P78</f>
        <v>0</v>
      </c>
    </row>
    <row r="79" spans="2:35" ht="19.8" customHeight="1" x14ac:dyDescent="0.6">
      <c r="B79" s="267"/>
      <c r="C79" s="271" t="s">
        <v>407</v>
      </c>
      <c r="D79" s="280"/>
      <c r="E79" s="276"/>
      <c r="G79" s="290"/>
      <c r="I79" s="290"/>
      <c r="K79" s="315"/>
      <c r="L79" s="271"/>
      <c r="M79" s="276"/>
      <c r="N79" s="290"/>
      <c r="O79" s="276"/>
      <c r="P79" s="290"/>
      <c r="Q79" s="276"/>
      <c r="R79" s="290"/>
      <c r="S79" s="276"/>
      <c r="T79" s="290"/>
      <c r="U79" s="276"/>
      <c r="V79" s="290"/>
      <c r="W79" s="276"/>
      <c r="X79" s="290"/>
      <c r="Y79" s="271">
        <f t="shared" si="53"/>
        <v>0</v>
      </c>
      <c r="Z79" s="290">
        <f t="shared" si="54"/>
        <v>0</v>
      </c>
    </row>
    <row r="80" spans="2:35" ht="19.8" customHeight="1" x14ac:dyDescent="0.6">
      <c r="B80" s="267"/>
      <c r="C80" s="271" t="s">
        <v>408</v>
      </c>
      <c r="D80" s="280"/>
      <c r="E80" s="276"/>
      <c r="G80" s="290"/>
      <c r="I80" s="290"/>
      <c r="K80" s="315"/>
      <c r="L80" s="271"/>
      <c r="M80" s="276"/>
      <c r="N80" s="290"/>
      <c r="O80" s="276"/>
      <c r="P80" s="290"/>
      <c r="Q80" s="276"/>
      <c r="R80" s="290"/>
      <c r="S80" s="276"/>
      <c r="T80" s="290"/>
      <c r="U80" s="276"/>
      <c r="V80" s="290"/>
      <c r="W80" s="276"/>
      <c r="X80" s="290"/>
      <c r="Y80" s="271">
        <f t="shared" si="53"/>
        <v>0</v>
      </c>
      <c r="Z80" s="290">
        <f t="shared" si="54"/>
        <v>0</v>
      </c>
    </row>
    <row r="81" spans="2:26" ht="19.8" customHeight="1" x14ac:dyDescent="0.6">
      <c r="B81" s="268">
        <v>1</v>
      </c>
      <c r="C81" s="271" t="s">
        <v>194</v>
      </c>
      <c r="D81" s="280">
        <v>1</v>
      </c>
      <c r="E81" s="276" t="s">
        <v>78</v>
      </c>
      <c r="G81" s="290"/>
      <c r="I81" s="290">
        <v>17394</v>
      </c>
      <c r="J81" s="298">
        <f t="shared" ref="J81:J98" si="55">IF(G81="-","-",IF(D81&gt;0,ROUNDDOWN(I81*D81,0),""))</f>
        <v>17394</v>
      </c>
      <c r="K81" s="316">
        <v>17394</v>
      </c>
      <c r="L81" s="271"/>
      <c r="M81" s="276">
        <v>1</v>
      </c>
      <c r="N81" s="290">
        <f t="shared" ref="N81:P98" si="56">ROUNDDOWN(M81*$I81,0)</f>
        <v>17394</v>
      </c>
      <c r="O81" s="276"/>
      <c r="P81" s="290">
        <f t="shared" si="56"/>
        <v>0</v>
      </c>
      <c r="Q81" s="276"/>
      <c r="R81" s="290"/>
      <c r="S81" s="276"/>
      <c r="T81" s="290"/>
      <c r="U81" s="276">
        <v>1</v>
      </c>
      <c r="V81" s="290">
        <f t="shared" ref="V81:V98" si="57">ROUNDDOWN(U81*$I81,0)</f>
        <v>17394</v>
      </c>
      <c r="W81" s="276">
        <v>1</v>
      </c>
      <c r="X81" s="290">
        <f t="shared" ref="X81:X98" si="58">ROUNDDOWN(W81*$I81,0)</f>
        <v>17394</v>
      </c>
      <c r="Y81" s="271">
        <f t="shared" si="53"/>
        <v>1</v>
      </c>
      <c r="Z81" s="290">
        <f t="shared" si="54"/>
        <v>17394</v>
      </c>
    </row>
    <row r="82" spans="2:26" ht="19.8" customHeight="1" x14ac:dyDescent="0.6">
      <c r="B82" s="268">
        <v>2</v>
      </c>
      <c r="C82" s="271" t="s">
        <v>195</v>
      </c>
      <c r="D82" s="280" t="s">
        <v>409</v>
      </c>
      <c r="E82" s="276" t="s">
        <v>55</v>
      </c>
      <c r="G82" s="290"/>
      <c r="I82" s="290">
        <v>38.44</v>
      </c>
      <c r="J82" s="298">
        <f t="shared" si="55"/>
        <v>85183</v>
      </c>
      <c r="K82" s="316">
        <v>85183</v>
      </c>
      <c r="L82" s="271"/>
      <c r="M82" s="276"/>
      <c r="N82" s="290">
        <f t="shared" si="56"/>
        <v>0</v>
      </c>
      <c r="O82" s="276"/>
      <c r="P82" s="290">
        <f t="shared" si="56"/>
        <v>0</v>
      </c>
      <c r="Q82" s="276"/>
      <c r="R82" s="290"/>
      <c r="S82" s="276"/>
      <c r="T82" s="290"/>
      <c r="U82" s="276"/>
      <c r="V82" s="290">
        <f t="shared" si="57"/>
        <v>0</v>
      </c>
      <c r="W82" s="276"/>
      <c r="X82" s="290">
        <f t="shared" si="58"/>
        <v>0</v>
      </c>
      <c r="Y82" s="271">
        <f t="shared" si="53"/>
        <v>0</v>
      </c>
      <c r="Z82" s="290">
        <f t="shared" si="54"/>
        <v>0</v>
      </c>
    </row>
    <row r="83" spans="2:26" ht="19.8" customHeight="1" x14ac:dyDescent="0.6">
      <c r="B83" s="268">
        <v>5</v>
      </c>
      <c r="C83" s="271" t="s">
        <v>196</v>
      </c>
      <c r="D83" s="280" t="s">
        <v>410</v>
      </c>
      <c r="E83" s="276" t="s">
        <v>61</v>
      </c>
      <c r="G83" s="290"/>
      <c r="I83" s="290">
        <v>811.72</v>
      </c>
      <c r="J83" s="298">
        <f t="shared" si="55"/>
        <v>1623</v>
      </c>
      <c r="K83" s="316">
        <v>1623</v>
      </c>
      <c r="L83" s="271"/>
      <c r="M83" s="276"/>
      <c r="N83" s="290">
        <f t="shared" si="56"/>
        <v>0</v>
      </c>
      <c r="O83" s="276"/>
      <c r="P83" s="290">
        <f t="shared" si="56"/>
        <v>0</v>
      </c>
      <c r="Q83" s="276"/>
      <c r="R83" s="290"/>
      <c r="S83" s="276"/>
      <c r="T83" s="290"/>
      <c r="U83" s="276"/>
      <c r="V83" s="290">
        <f t="shared" si="57"/>
        <v>0</v>
      </c>
      <c r="W83" s="276"/>
      <c r="X83" s="290">
        <f t="shared" si="58"/>
        <v>0</v>
      </c>
      <c r="Y83" s="271">
        <f t="shared" si="53"/>
        <v>0</v>
      </c>
      <c r="Z83" s="290">
        <f t="shared" si="54"/>
        <v>0</v>
      </c>
    </row>
    <row r="84" spans="2:26" ht="19.8" customHeight="1" x14ac:dyDescent="0.6">
      <c r="B84" s="268">
        <v>6</v>
      </c>
      <c r="C84" s="271" t="s">
        <v>197</v>
      </c>
      <c r="D84" s="280" t="s">
        <v>411</v>
      </c>
      <c r="E84" s="276" t="s">
        <v>54</v>
      </c>
      <c r="G84" s="290"/>
      <c r="I84" s="290">
        <v>104.6</v>
      </c>
      <c r="J84" s="298">
        <f t="shared" si="55"/>
        <v>138072</v>
      </c>
      <c r="K84" s="316">
        <v>138072</v>
      </c>
      <c r="L84" s="271"/>
      <c r="M84" s="276"/>
      <c r="N84" s="290">
        <f t="shared" si="56"/>
        <v>0</v>
      </c>
      <c r="O84" s="276"/>
      <c r="P84" s="290">
        <f t="shared" si="56"/>
        <v>0</v>
      </c>
      <c r="Q84" s="276"/>
      <c r="R84" s="290"/>
      <c r="S84" s="276"/>
      <c r="T84" s="290"/>
      <c r="U84" s="276"/>
      <c r="V84" s="290">
        <f t="shared" si="57"/>
        <v>0</v>
      </c>
      <c r="W84" s="276"/>
      <c r="X84" s="290">
        <f t="shared" si="58"/>
        <v>0</v>
      </c>
      <c r="Y84" s="271">
        <f t="shared" si="53"/>
        <v>0</v>
      </c>
      <c r="Z84" s="290">
        <f t="shared" si="54"/>
        <v>0</v>
      </c>
    </row>
    <row r="85" spans="2:26" ht="19.8" customHeight="1" x14ac:dyDescent="0.6">
      <c r="B85" s="268">
        <v>7</v>
      </c>
      <c r="C85" s="271" t="s">
        <v>310</v>
      </c>
      <c r="D85" s="280" t="s">
        <v>412</v>
      </c>
      <c r="E85" s="276" t="s">
        <v>55</v>
      </c>
      <c r="G85" s="290"/>
      <c r="I85" s="290">
        <v>2252</v>
      </c>
      <c r="J85" s="298">
        <f t="shared" si="55"/>
        <v>659836</v>
      </c>
      <c r="K85" s="316">
        <v>659836</v>
      </c>
      <c r="L85" s="271"/>
      <c r="M85" s="276"/>
      <c r="N85" s="290">
        <f t="shared" si="56"/>
        <v>0</v>
      </c>
      <c r="O85" s="276"/>
      <c r="P85" s="290">
        <f t="shared" si="56"/>
        <v>0</v>
      </c>
      <c r="Q85" s="276"/>
      <c r="R85" s="290"/>
      <c r="S85" s="276"/>
      <c r="T85" s="290"/>
      <c r="U85" s="276"/>
      <c r="V85" s="290">
        <f t="shared" si="57"/>
        <v>0</v>
      </c>
      <c r="W85" s="276"/>
      <c r="X85" s="290">
        <f t="shared" si="58"/>
        <v>0</v>
      </c>
      <c r="Y85" s="271">
        <f t="shared" si="53"/>
        <v>0</v>
      </c>
      <c r="Z85" s="290">
        <f t="shared" si="54"/>
        <v>0</v>
      </c>
    </row>
    <row r="86" spans="2:26" ht="19.8" customHeight="1" x14ac:dyDescent="0.6">
      <c r="B86" s="268">
        <v>8</v>
      </c>
      <c r="C86" s="271" t="s">
        <v>198</v>
      </c>
      <c r="D86" s="280" t="s">
        <v>413</v>
      </c>
      <c r="E86" s="276" t="s">
        <v>57</v>
      </c>
      <c r="G86" s="290"/>
      <c r="I86" s="290">
        <v>1693.1</v>
      </c>
      <c r="J86" s="298">
        <f t="shared" si="55"/>
        <v>275975</v>
      </c>
      <c r="K86" s="316">
        <v>275975</v>
      </c>
      <c r="L86" s="271"/>
      <c r="M86" s="276"/>
      <c r="N86" s="290">
        <f t="shared" si="56"/>
        <v>0</v>
      </c>
      <c r="O86" s="276"/>
      <c r="P86" s="290">
        <f t="shared" si="56"/>
        <v>0</v>
      </c>
      <c r="Q86" s="276"/>
      <c r="R86" s="290"/>
      <c r="S86" s="276"/>
      <c r="T86" s="290"/>
      <c r="U86" s="276"/>
      <c r="V86" s="290">
        <f t="shared" si="57"/>
        <v>0</v>
      </c>
      <c r="W86" s="276"/>
      <c r="X86" s="290">
        <f t="shared" si="58"/>
        <v>0</v>
      </c>
      <c r="Y86" s="271">
        <f t="shared" si="53"/>
        <v>0</v>
      </c>
      <c r="Z86" s="290">
        <f t="shared" si="54"/>
        <v>0</v>
      </c>
    </row>
    <row r="87" spans="2:26" ht="19.8" customHeight="1" x14ac:dyDescent="0.6">
      <c r="B87" s="268">
        <v>9</v>
      </c>
      <c r="C87" s="271" t="s">
        <v>199</v>
      </c>
      <c r="D87" s="280" t="s">
        <v>413</v>
      </c>
      <c r="E87" s="276" t="s">
        <v>57</v>
      </c>
      <c r="G87" s="290"/>
      <c r="I87" s="290">
        <v>3334.85</v>
      </c>
      <c r="J87" s="298">
        <f t="shared" si="55"/>
        <v>543580</v>
      </c>
      <c r="K87" s="316">
        <v>543580</v>
      </c>
      <c r="L87" s="271"/>
      <c r="M87" s="276"/>
      <c r="N87" s="290">
        <f t="shared" si="56"/>
        <v>0</v>
      </c>
      <c r="O87" s="276"/>
      <c r="P87" s="290">
        <f t="shared" si="56"/>
        <v>0</v>
      </c>
      <c r="Q87" s="276"/>
      <c r="R87" s="290"/>
      <c r="S87" s="276"/>
      <c r="T87" s="290"/>
      <c r="U87" s="276"/>
      <c r="V87" s="290">
        <f t="shared" si="57"/>
        <v>0</v>
      </c>
      <c r="W87" s="276"/>
      <c r="X87" s="290">
        <f t="shared" si="58"/>
        <v>0</v>
      </c>
      <c r="Y87" s="271">
        <f t="shared" si="53"/>
        <v>0</v>
      </c>
      <c r="Z87" s="290">
        <f t="shared" si="54"/>
        <v>0</v>
      </c>
    </row>
    <row r="88" spans="2:26" ht="19.8" customHeight="1" x14ac:dyDescent="0.6">
      <c r="B88" s="268">
        <v>10</v>
      </c>
      <c r="C88" s="271" t="s">
        <v>200</v>
      </c>
      <c r="D88" s="280" t="s">
        <v>413</v>
      </c>
      <c r="E88" s="276" t="s">
        <v>57</v>
      </c>
      <c r="G88" s="290"/>
      <c r="I88" s="290">
        <v>5220.76</v>
      </c>
      <c r="J88" s="298">
        <f t="shared" si="55"/>
        <v>850983</v>
      </c>
      <c r="K88" s="316">
        <v>850983</v>
      </c>
      <c r="L88" s="271"/>
      <c r="M88" s="276"/>
      <c r="N88" s="290">
        <f t="shared" si="56"/>
        <v>0</v>
      </c>
      <c r="O88" s="276"/>
      <c r="P88" s="290">
        <f t="shared" si="56"/>
        <v>0</v>
      </c>
      <c r="Q88" s="276"/>
      <c r="R88" s="290"/>
      <c r="S88" s="276"/>
      <c r="T88" s="290"/>
      <c r="U88" s="276"/>
      <c r="V88" s="290">
        <f t="shared" si="57"/>
        <v>0</v>
      </c>
      <c r="W88" s="276"/>
      <c r="X88" s="290">
        <f t="shared" si="58"/>
        <v>0</v>
      </c>
      <c r="Y88" s="271">
        <f t="shared" si="53"/>
        <v>0</v>
      </c>
      <c r="Z88" s="290">
        <f t="shared" si="54"/>
        <v>0</v>
      </c>
    </row>
    <row r="89" spans="2:26" ht="19.8" customHeight="1" x14ac:dyDescent="0.6">
      <c r="B89" s="268">
        <v>11</v>
      </c>
      <c r="C89" s="271" t="s">
        <v>201</v>
      </c>
      <c r="D89" s="280" t="s">
        <v>418</v>
      </c>
      <c r="E89" s="276" t="s">
        <v>57</v>
      </c>
      <c r="G89" s="290"/>
      <c r="I89" s="290">
        <v>1250.43</v>
      </c>
      <c r="J89" s="298">
        <f t="shared" si="55"/>
        <v>251336</v>
      </c>
      <c r="K89" s="316">
        <v>251336</v>
      </c>
      <c r="L89" s="271"/>
      <c r="M89" s="276"/>
      <c r="N89" s="290">
        <f t="shared" si="56"/>
        <v>0</v>
      </c>
      <c r="O89" s="276"/>
      <c r="P89" s="290">
        <f t="shared" si="56"/>
        <v>0</v>
      </c>
      <c r="Q89" s="276"/>
      <c r="R89" s="290"/>
      <c r="S89" s="276"/>
      <c r="T89" s="290"/>
      <c r="U89" s="276"/>
      <c r="V89" s="290">
        <f t="shared" si="57"/>
        <v>0</v>
      </c>
      <c r="W89" s="276"/>
      <c r="X89" s="290">
        <f t="shared" si="58"/>
        <v>0</v>
      </c>
      <c r="Y89" s="271">
        <f t="shared" si="53"/>
        <v>0</v>
      </c>
      <c r="Z89" s="290">
        <f t="shared" si="54"/>
        <v>0</v>
      </c>
    </row>
    <row r="90" spans="2:26" ht="19.8" customHeight="1" x14ac:dyDescent="0.6">
      <c r="B90" s="268">
        <v>12</v>
      </c>
      <c r="C90" s="272" t="s">
        <v>202</v>
      </c>
      <c r="D90" s="280" t="s">
        <v>419</v>
      </c>
      <c r="E90" s="276" t="s">
        <v>57</v>
      </c>
      <c r="G90" s="290"/>
      <c r="I90" s="290">
        <v>913.86</v>
      </c>
      <c r="J90" s="298">
        <f t="shared" si="55"/>
        <v>11149</v>
      </c>
      <c r="K90" s="316">
        <v>11149</v>
      </c>
      <c r="L90" s="271"/>
      <c r="M90" s="276"/>
      <c r="N90" s="290">
        <f t="shared" si="56"/>
        <v>0</v>
      </c>
      <c r="O90" s="276"/>
      <c r="P90" s="290">
        <f t="shared" si="56"/>
        <v>0</v>
      </c>
      <c r="Q90" s="276"/>
      <c r="R90" s="290"/>
      <c r="S90" s="276"/>
      <c r="T90" s="290"/>
      <c r="U90" s="276"/>
      <c r="V90" s="290">
        <f t="shared" si="57"/>
        <v>0</v>
      </c>
      <c r="W90" s="276"/>
      <c r="X90" s="290">
        <f t="shared" si="58"/>
        <v>0</v>
      </c>
      <c r="Y90" s="271">
        <f t="shared" si="53"/>
        <v>0</v>
      </c>
      <c r="Z90" s="290">
        <f t="shared" si="54"/>
        <v>0</v>
      </c>
    </row>
    <row r="91" spans="2:26" ht="19.8" customHeight="1" x14ac:dyDescent="0.6">
      <c r="B91" s="268">
        <v>13</v>
      </c>
      <c r="C91" s="272" t="s">
        <v>203</v>
      </c>
      <c r="D91" s="280" t="s">
        <v>420</v>
      </c>
      <c r="E91" s="276" t="s">
        <v>57</v>
      </c>
      <c r="G91" s="290"/>
      <c r="I91" s="290">
        <v>976.61</v>
      </c>
      <c r="J91" s="298">
        <f t="shared" si="55"/>
        <v>11719</v>
      </c>
      <c r="K91" s="316">
        <v>11719</v>
      </c>
      <c r="L91" s="271"/>
      <c r="M91" s="276"/>
      <c r="N91" s="290">
        <f t="shared" si="56"/>
        <v>0</v>
      </c>
      <c r="O91" s="276"/>
      <c r="P91" s="290">
        <f t="shared" si="56"/>
        <v>0</v>
      </c>
      <c r="Q91" s="276"/>
      <c r="R91" s="290"/>
      <c r="S91" s="276"/>
      <c r="T91" s="290"/>
      <c r="U91" s="276"/>
      <c r="V91" s="290">
        <f t="shared" si="57"/>
        <v>0</v>
      </c>
      <c r="W91" s="276"/>
      <c r="X91" s="290">
        <f t="shared" si="58"/>
        <v>0</v>
      </c>
      <c r="Y91" s="271">
        <f t="shared" si="53"/>
        <v>0</v>
      </c>
      <c r="Z91" s="290">
        <f t="shared" si="54"/>
        <v>0</v>
      </c>
    </row>
    <row r="92" spans="2:26" ht="19.8" customHeight="1" x14ac:dyDescent="0.6">
      <c r="B92" s="268">
        <v>14</v>
      </c>
      <c r="C92" s="271" t="s">
        <v>204</v>
      </c>
      <c r="D92" s="280" t="s">
        <v>421</v>
      </c>
      <c r="E92" s="276" t="s">
        <v>57</v>
      </c>
      <c r="G92" s="290"/>
      <c r="I92" s="290">
        <v>926.41</v>
      </c>
      <c r="J92" s="298">
        <f t="shared" si="55"/>
        <v>18528</v>
      </c>
      <c r="K92" s="316">
        <v>18528</v>
      </c>
      <c r="L92" s="271"/>
      <c r="M92" s="276"/>
      <c r="N92" s="290">
        <f t="shared" si="56"/>
        <v>0</v>
      </c>
      <c r="O92" s="276"/>
      <c r="P92" s="290">
        <f t="shared" si="56"/>
        <v>0</v>
      </c>
      <c r="Q92" s="276"/>
      <c r="R92" s="290"/>
      <c r="S92" s="276"/>
      <c r="T92" s="290"/>
      <c r="U92" s="276"/>
      <c r="V92" s="290">
        <f t="shared" si="57"/>
        <v>0</v>
      </c>
      <c r="W92" s="276"/>
      <c r="X92" s="290">
        <f t="shared" si="58"/>
        <v>0</v>
      </c>
      <c r="Y92" s="271">
        <f t="shared" si="53"/>
        <v>0</v>
      </c>
      <c r="Z92" s="290">
        <f t="shared" si="54"/>
        <v>0</v>
      </c>
    </row>
    <row r="93" spans="2:26" ht="19.8" customHeight="1" x14ac:dyDescent="0.6">
      <c r="B93" s="268">
        <v>15</v>
      </c>
      <c r="C93" s="271" t="s">
        <v>205</v>
      </c>
      <c r="D93" s="280" t="s">
        <v>331</v>
      </c>
      <c r="E93" s="276" t="s">
        <v>57</v>
      </c>
      <c r="G93" s="290"/>
      <c r="I93" s="290">
        <v>2589.84</v>
      </c>
      <c r="J93" s="298">
        <f t="shared" si="55"/>
        <v>129492</v>
      </c>
      <c r="K93" s="316">
        <v>129492</v>
      </c>
      <c r="L93" s="271"/>
      <c r="M93" s="276"/>
      <c r="N93" s="290">
        <f t="shared" si="56"/>
        <v>0</v>
      </c>
      <c r="O93" s="276"/>
      <c r="P93" s="290">
        <f t="shared" si="56"/>
        <v>0</v>
      </c>
      <c r="Q93" s="276"/>
      <c r="R93" s="290"/>
      <c r="S93" s="276"/>
      <c r="T93" s="290"/>
      <c r="U93" s="276"/>
      <c r="V93" s="290">
        <f t="shared" si="57"/>
        <v>0</v>
      </c>
      <c r="W93" s="276"/>
      <c r="X93" s="290">
        <f t="shared" si="58"/>
        <v>0</v>
      </c>
      <c r="Y93" s="271">
        <f t="shared" si="53"/>
        <v>0</v>
      </c>
      <c r="Z93" s="290">
        <f t="shared" si="54"/>
        <v>0</v>
      </c>
    </row>
    <row r="94" spans="2:26" ht="19.8" customHeight="1" x14ac:dyDescent="0.6">
      <c r="B94" s="268">
        <v>16</v>
      </c>
      <c r="C94" s="271" t="s">
        <v>206</v>
      </c>
      <c r="D94" s="280" t="s">
        <v>422</v>
      </c>
      <c r="E94" s="276" t="s">
        <v>57</v>
      </c>
      <c r="G94" s="290"/>
      <c r="I94" s="290">
        <v>2179.12</v>
      </c>
      <c r="J94" s="298">
        <f t="shared" si="55"/>
        <v>13074</v>
      </c>
      <c r="K94" s="316">
        <v>13074</v>
      </c>
      <c r="L94" s="271"/>
      <c r="M94" s="276"/>
      <c r="N94" s="290">
        <f t="shared" si="56"/>
        <v>0</v>
      </c>
      <c r="O94" s="276"/>
      <c r="P94" s="290">
        <f t="shared" si="56"/>
        <v>0</v>
      </c>
      <c r="Q94" s="276"/>
      <c r="R94" s="290"/>
      <c r="S94" s="276"/>
      <c r="T94" s="290"/>
      <c r="U94" s="276"/>
      <c r="V94" s="290">
        <f t="shared" si="57"/>
        <v>0</v>
      </c>
      <c r="W94" s="276"/>
      <c r="X94" s="290">
        <f t="shared" si="58"/>
        <v>0</v>
      </c>
      <c r="Y94" s="271">
        <f t="shared" si="53"/>
        <v>0</v>
      </c>
      <c r="Z94" s="290">
        <f t="shared" si="54"/>
        <v>0</v>
      </c>
    </row>
    <row r="95" spans="2:26" ht="19.8" customHeight="1" x14ac:dyDescent="0.6">
      <c r="B95" s="268">
        <v>17</v>
      </c>
      <c r="C95" s="271" t="s">
        <v>207</v>
      </c>
      <c r="D95" s="280" t="s">
        <v>333</v>
      </c>
      <c r="E95" s="276" t="s">
        <v>214</v>
      </c>
      <c r="G95" s="290"/>
      <c r="I95" s="290">
        <v>50446.03</v>
      </c>
      <c r="J95" s="298">
        <f t="shared" si="55"/>
        <v>252230</v>
      </c>
      <c r="K95" s="316">
        <v>252230</v>
      </c>
      <c r="L95" s="271"/>
      <c r="M95" s="276"/>
      <c r="N95" s="290">
        <f t="shared" si="56"/>
        <v>0</v>
      </c>
      <c r="O95" s="276"/>
      <c r="P95" s="290">
        <f t="shared" si="56"/>
        <v>0</v>
      </c>
      <c r="Q95" s="276"/>
      <c r="R95" s="290"/>
      <c r="S95" s="276"/>
      <c r="T95" s="290"/>
      <c r="U95" s="276"/>
      <c r="V95" s="290">
        <f t="shared" si="57"/>
        <v>0</v>
      </c>
      <c r="W95" s="276"/>
      <c r="X95" s="290">
        <f t="shared" si="58"/>
        <v>0</v>
      </c>
      <c r="Y95" s="271">
        <f t="shared" si="53"/>
        <v>0</v>
      </c>
      <c r="Z95" s="290">
        <f t="shared" si="54"/>
        <v>0</v>
      </c>
    </row>
    <row r="96" spans="2:26" ht="19.8" customHeight="1" x14ac:dyDescent="0.6">
      <c r="B96" s="268">
        <v>18</v>
      </c>
      <c r="C96" s="271" t="s">
        <v>414</v>
      </c>
      <c r="D96" s="280" t="s">
        <v>410</v>
      </c>
      <c r="E96" s="276" t="s">
        <v>214</v>
      </c>
      <c r="G96" s="290"/>
      <c r="I96" s="290">
        <v>5580.14</v>
      </c>
      <c r="J96" s="298">
        <f t="shared" si="55"/>
        <v>11160</v>
      </c>
      <c r="K96" s="316">
        <v>11160</v>
      </c>
      <c r="L96" s="271"/>
      <c r="M96" s="276"/>
      <c r="N96" s="290">
        <f t="shared" si="56"/>
        <v>0</v>
      </c>
      <c r="O96" s="276"/>
      <c r="P96" s="290">
        <f t="shared" si="56"/>
        <v>0</v>
      </c>
      <c r="Q96" s="276"/>
      <c r="R96" s="290"/>
      <c r="S96" s="276"/>
      <c r="T96" s="290"/>
      <c r="U96" s="276"/>
      <c r="V96" s="290">
        <f t="shared" si="57"/>
        <v>0</v>
      </c>
      <c r="W96" s="276"/>
      <c r="X96" s="290">
        <f t="shared" si="58"/>
        <v>0</v>
      </c>
      <c r="Y96" s="271">
        <f t="shared" si="53"/>
        <v>0</v>
      </c>
      <c r="Z96" s="290">
        <f t="shared" si="54"/>
        <v>0</v>
      </c>
    </row>
    <row r="97" spans="2:26" ht="19.8" customHeight="1" x14ac:dyDescent="0.6">
      <c r="B97" s="268">
        <v>19</v>
      </c>
      <c r="C97" s="271" t="s">
        <v>415</v>
      </c>
      <c r="D97" s="280" t="s">
        <v>423</v>
      </c>
      <c r="E97" s="276" t="s">
        <v>54</v>
      </c>
      <c r="G97" s="290"/>
      <c r="I97" s="290">
        <v>427.84</v>
      </c>
      <c r="J97" s="298">
        <f t="shared" si="55"/>
        <v>415004</v>
      </c>
      <c r="K97" s="316">
        <v>415004</v>
      </c>
      <c r="L97" s="271"/>
      <c r="M97" s="276"/>
      <c r="N97" s="290">
        <f t="shared" si="56"/>
        <v>0</v>
      </c>
      <c r="O97" s="276"/>
      <c r="P97" s="290">
        <f t="shared" si="56"/>
        <v>0</v>
      </c>
      <c r="Q97" s="276"/>
      <c r="R97" s="290"/>
      <c r="S97" s="276"/>
      <c r="T97" s="290"/>
      <c r="U97" s="276"/>
      <c r="V97" s="290">
        <f t="shared" si="57"/>
        <v>0</v>
      </c>
      <c r="W97" s="276"/>
      <c r="X97" s="290">
        <f t="shared" si="58"/>
        <v>0</v>
      </c>
      <c r="Y97" s="271">
        <f t="shared" si="53"/>
        <v>0</v>
      </c>
      <c r="Z97" s="290">
        <f t="shared" si="54"/>
        <v>0</v>
      </c>
    </row>
    <row r="98" spans="2:26" ht="19.8" customHeight="1" x14ac:dyDescent="0.6">
      <c r="B98" s="268">
        <v>20</v>
      </c>
      <c r="C98" s="271" t="s">
        <v>416</v>
      </c>
      <c r="D98" s="280" t="s">
        <v>423</v>
      </c>
      <c r="E98" s="276" t="s">
        <v>54</v>
      </c>
      <c r="G98" s="290"/>
      <c r="I98" s="290">
        <v>181.4</v>
      </c>
      <c r="J98" s="298">
        <f t="shared" si="55"/>
        <v>175958</v>
      </c>
      <c r="K98" s="316">
        <v>175958</v>
      </c>
      <c r="L98" s="271"/>
      <c r="M98" s="276"/>
      <c r="N98" s="290">
        <f t="shared" si="56"/>
        <v>0</v>
      </c>
      <c r="O98" s="276"/>
      <c r="P98" s="290">
        <f t="shared" si="56"/>
        <v>0</v>
      </c>
      <c r="Q98" s="276"/>
      <c r="R98" s="290"/>
      <c r="S98" s="276"/>
      <c r="T98" s="290"/>
      <c r="U98" s="276"/>
      <c r="V98" s="290">
        <f t="shared" si="57"/>
        <v>0</v>
      </c>
      <c r="W98" s="276"/>
      <c r="X98" s="290">
        <f t="shared" si="58"/>
        <v>0</v>
      </c>
      <c r="Y98" s="271">
        <f t="shared" si="53"/>
        <v>0</v>
      </c>
      <c r="Z98" s="290">
        <f t="shared" si="54"/>
        <v>0</v>
      </c>
    </row>
    <row r="99" spans="2:26" ht="19.8" customHeight="1" x14ac:dyDescent="0.6">
      <c r="B99" s="268"/>
      <c r="C99" s="255" t="s">
        <v>417</v>
      </c>
      <c r="D99" s="303"/>
      <c r="E99" s="276"/>
      <c r="G99" s="290"/>
      <c r="I99" s="290"/>
      <c r="J99" s="298"/>
      <c r="K99" s="316"/>
      <c r="L99" s="271"/>
      <c r="M99" s="276"/>
      <c r="N99" s="290"/>
      <c r="O99" s="276"/>
      <c r="P99" s="290"/>
      <c r="Q99" s="276"/>
      <c r="R99" s="290"/>
      <c r="S99" s="276"/>
      <c r="T99" s="290"/>
      <c r="U99" s="276"/>
      <c r="V99" s="290"/>
      <c r="W99" s="276"/>
      <c r="X99" s="290"/>
      <c r="Y99" s="271">
        <f t="shared" si="53"/>
        <v>0</v>
      </c>
      <c r="Z99" s="290">
        <f t="shared" si="54"/>
        <v>0</v>
      </c>
    </row>
    <row r="100" spans="2:26" ht="19.8" customHeight="1" x14ac:dyDescent="0.6">
      <c r="B100" s="268">
        <v>21</v>
      </c>
      <c r="C100" s="255" t="s">
        <v>210</v>
      </c>
      <c r="D100" s="303" t="s">
        <v>424</v>
      </c>
      <c r="E100" s="276" t="s">
        <v>54</v>
      </c>
      <c r="G100" s="290"/>
      <c r="I100" s="290">
        <v>1240.1600000000001</v>
      </c>
      <c r="J100" s="298">
        <f t="shared" ref="J100:J103" si="59">IF(G100="-","-",IF(D100&gt;0,ROUNDDOWN(I100*D100,0),""))</f>
        <v>16122</v>
      </c>
      <c r="K100" s="316">
        <v>16122</v>
      </c>
      <c r="L100" s="271"/>
      <c r="M100" s="276"/>
      <c r="N100" s="290">
        <f t="shared" ref="N100:P103" si="60">ROUNDDOWN(M100*$I100,0)</f>
        <v>0</v>
      </c>
      <c r="O100" s="276"/>
      <c r="P100" s="290">
        <f t="shared" si="60"/>
        <v>0</v>
      </c>
      <c r="Q100" s="276"/>
      <c r="R100" s="290"/>
      <c r="S100" s="276"/>
      <c r="T100" s="290"/>
      <c r="U100" s="276"/>
      <c r="V100" s="290">
        <f t="shared" ref="V100:V103" si="61">ROUNDDOWN(U100*$I100,0)</f>
        <v>0</v>
      </c>
      <c r="W100" s="276"/>
      <c r="X100" s="290">
        <f t="shared" ref="X100:X103" si="62">ROUNDDOWN(W100*$I100,0)</f>
        <v>0</v>
      </c>
      <c r="Y100" s="271">
        <f t="shared" si="53"/>
        <v>0</v>
      </c>
      <c r="Z100" s="290">
        <f t="shared" si="54"/>
        <v>0</v>
      </c>
    </row>
    <row r="101" spans="2:26" ht="19.8" customHeight="1" x14ac:dyDescent="0.6">
      <c r="B101" s="268">
        <v>22</v>
      </c>
      <c r="C101" s="255" t="s">
        <v>211</v>
      </c>
      <c r="D101" s="303" t="s">
        <v>425</v>
      </c>
      <c r="E101" s="276" t="s">
        <v>57</v>
      </c>
      <c r="G101" s="290"/>
      <c r="I101" s="290">
        <v>3032.35</v>
      </c>
      <c r="J101" s="298">
        <f t="shared" si="59"/>
        <v>476078</v>
      </c>
      <c r="K101" s="316">
        <v>476078</v>
      </c>
      <c r="L101" s="271"/>
      <c r="M101" s="276"/>
      <c r="N101" s="290">
        <f t="shared" si="60"/>
        <v>0</v>
      </c>
      <c r="O101" s="276"/>
      <c r="P101" s="290">
        <f t="shared" si="60"/>
        <v>0</v>
      </c>
      <c r="Q101" s="276"/>
      <c r="R101" s="290"/>
      <c r="S101" s="276"/>
      <c r="T101" s="290"/>
      <c r="U101" s="276"/>
      <c r="V101" s="290">
        <f t="shared" si="61"/>
        <v>0</v>
      </c>
      <c r="W101" s="276"/>
      <c r="X101" s="290">
        <f t="shared" si="62"/>
        <v>0</v>
      </c>
      <c r="Y101" s="271">
        <f t="shared" si="53"/>
        <v>0</v>
      </c>
      <c r="Z101" s="290">
        <f t="shared" si="54"/>
        <v>0</v>
      </c>
    </row>
    <row r="102" spans="2:26" ht="19.8" customHeight="1" x14ac:dyDescent="0.6">
      <c r="B102" s="268">
        <v>23</v>
      </c>
      <c r="C102" s="255" t="s">
        <v>212</v>
      </c>
      <c r="D102" s="303" t="s">
        <v>425</v>
      </c>
      <c r="E102" s="276" t="s">
        <v>57</v>
      </c>
      <c r="G102" s="290"/>
      <c r="I102" s="290">
        <v>3101.93</v>
      </c>
      <c r="J102" s="298">
        <f t="shared" si="59"/>
        <v>487003</v>
      </c>
      <c r="K102" s="316">
        <v>487003</v>
      </c>
      <c r="L102" s="271"/>
      <c r="M102" s="276"/>
      <c r="N102" s="290">
        <f t="shared" si="60"/>
        <v>0</v>
      </c>
      <c r="O102" s="276"/>
      <c r="P102" s="290">
        <f t="shared" si="60"/>
        <v>0</v>
      </c>
      <c r="Q102" s="276"/>
      <c r="R102" s="290"/>
      <c r="S102" s="276"/>
      <c r="T102" s="290"/>
      <c r="U102" s="276"/>
      <c r="V102" s="290">
        <f t="shared" si="61"/>
        <v>0</v>
      </c>
      <c r="W102" s="276"/>
      <c r="X102" s="290">
        <f t="shared" si="62"/>
        <v>0</v>
      </c>
      <c r="Y102" s="271">
        <f t="shared" si="53"/>
        <v>0</v>
      </c>
      <c r="Z102" s="290">
        <f t="shared" si="54"/>
        <v>0</v>
      </c>
    </row>
    <row r="103" spans="2:26" ht="19.8" customHeight="1" x14ac:dyDescent="0.6">
      <c r="B103" s="268">
        <v>24</v>
      </c>
      <c r="C103" s="255" t="s">
        <v>213</v>
      </c>
      <c r="D103" s="303" t="s">
        <v>426</v>
      </c>
      <c r="E103" s="276" t="s">
        <v>57</v>
      </c>
      <c r="G103" s="290"/>
      <c r="I103" s="290">
        <v>3101.93</v>
      </c>
      <c r="J103" s="298">
        <f t="shared" si="59"/>
        <v>381537</v>
      </c>
      <c r="K103" s="316">
        <v>381537</v>
      </c>
      <c r="L103" s="271"/>
      <c r="M103" s="276"/>
      <c r="N103" s="290">
        <f t="shared" si="60"/>
        <v>0</v>
      </c>
      <c r="O103" s="276"/>
      <c r="P103" s="290">
        <f t="shared" si="60"/>
        <v>0</v>
      </c>
      <c r="Q103" s="276"/>
      <c r="R103" s="290"/>
      <c r="S103" s="276"/>
      <c r="T103" s="290"/>
      <c r="U103" s="276"/>
      <c r="V103" s="290">
        <f t="shared" si="61"/>
        <v>0</v>
      </c>
      <c r="W103" s="276"/>
      <c r="X103" s="290">
        <f t="shared" si="62"/>
        <v>0</v>
      </c>
      <c r="Y103" s="271">
        <f t="shared" si="53"/>
        <v>0</v>
      </c>
      <c r="Z103" s="290">
        <f t="shared" si="54"/>
        <v>0</v>
      </c>
    </row>
    <row r="104" spans="2:26" ht="19.8" customHeight="1" x14ac:dyDescent="0.6">
      <c r="B104" s="268">
        <v>25</v>
      </c>
      <c r="C104" s="255" t="s">
        <v>38</v>
      </c>
      <c r="D104" s="303"/>
      <c r="E104" s="276"/>
      <c r="G104" s="290"/>
      <c r="I104" s="290"/>
      <c r="J104" s="298"/>
      <c r="K104" s="316"/>
      <c r="L104" s="271"/>
      <c r="M104" s="276"/>
      <c r="N104" s="290"/>
      <c r="O104" s="276"/>
      <c r="P104" s="290"/>
      <c r="Q104" s="276"/>
      <c r="R104" s="290"/>
      <c r="S104" s="276"/>
      <c r="T104" s="290"/>
      <c r="U104" s="276"/>
      <c r="V104" s="290"/>
      <c r="W104" s="276"/>
      <c r="X104" s="290"/>
      <c r="Y104" s="271">
        <f t="shared" si="53"/>
        <v>0</v>
      </c>
      <c r="Z104" s="290">
        <f t="shared" si="54"/>
        <v>0</v>
      </c>
    </row>
    <row r="105" spans="2:26" ht="19.8" customHeight="1" x14ac:dyDescent="0.6">
      <c r="B105" s="268"/>
      <c r="C105" s="261" t="s">
        <v>427</v>
      </c>
      <c r="D105" s="304" t="s">
        <v>838</v>
      </c>
      <c r="E105" s="276"/>
      <c r="G105" s="290"/>
      <c r="I105" s="290">
        <v>1391.52</v>
      </c>
      <c r="J105" s="298">
        <f t="shared" ref="J105:J107" si="63">IF(G105="-","-",IF(D105&gt;0,ROUNDDOWN(I105*D105,0),""))</f>
        <v>0</v>
      </c>
      <c r="K105" s="316"/>
      <c r="L105" s="271"/>
      <c r="M105" s="276"/>
      <c r="N105" s="290"/>
      <c r="O105" s="276"/>
      <c r="P105" s="290"/>
      <c r="Q105" s="276"/>
      <c r="R105" s="290"/>
      <c r="S105" s="276"/>
      <c r="T105" s="290"/>
      <c r="U105" s="276"/>
      <c r="V105" s="290"/>
      <c r="W105" s="276"/>
      <c r="X105" s="290"/>
      <c r="Y105" s="271">
        <f t="shared" si="53"/>
        <v>0</v>
      </c>
      <c r="Z105" s="290">
        <f t="shared" si="54"/>
        <v>0</v>
      </c>
    </row>
    <row r="106" spans="2:26" ht="19.8" customHeight="1" x14ac:dyDescent="0.6">
      <c r="B106" s="268"/>
      <c r="C106" s="261" t="s">
        <v>428</v>
      </c>
      <c r="D106" s="303" t="s">
        <v>432</v>
      </c>
      <c r="E106" s="276" t="s">
        <v>54</v>
      </c>
      <c r="G106" s="290"/>
      <c r="I106" s="290">
        <v>2376.02</v>
      </c>
      <c r="J106" s="298">
        <f t="shared" si="63"/>
        <v>427683</v>
      </c>
      <c r="K106" s="316">
        <v>427683</v>
      </c>
      <c r="L106" s="271"/>
      <c r="M106" s="276"/>
      <c r="N106" s="290">
        <f t="shared" ref="N106:P107" si="64">ROUNDDOWN(M106*$I106,0)</f>
        <v>0</v>
      </c>
      <c r="O106" s="276"/>
      <c r="P106" s="290">
        <f t="shared" si="64"/>
        <v>0</v>
      </c>
      <c r="Q106" s="276"/>
      <c r="R106" s="290"/>
      <c r="S106" s="276"/>
      <c r="T106" s="290"/>
      <c r="U106" s="276"/>
      <c r="V106" s="290">
        <f t="shared" ref="V106:V107" si="65">ROUNDDOWN(U106*$I106,0)</f>
        <v>0</v>
      </c>
      <c r="W106" s="276"/>
      <c r="X106" s="290">
        <f t="shared" ref="X106:X107" si="66">ROUNDDOWN(W106*$I106,0)</f>
        <v>0</v>
      </c>
      <c r="Y106" s="271">
        <f t="shared" si="53"/>
        <v>0</v>
      </c>
      <c r="Z106" s="290">
        <f t="shared" si="54"/>
        <v>0</v>
      </c>
    </row>
    <row r="107" spans="2:26" ht="19.8" customHeight="1" x14ac:dyDescent="0.6">
      <c r="B107" s="268"/>
      <c r="C107" s="261" t="s">
        <v>429</v>
      </c>
      <c r="D107" s="303" t="s">
        <v>433</v>
      </c>
      <c r="E107" s="276" t="s">
        <v>54</v>
      </c>
      <c r="G107" s="290"/>
      <c r="I107" s="290">
        <v>935.8</v>
      </c>
      <c r="J107" s="298">
        <f t="shared" si="63"/>
        <v>136626</v>
      </c>
      <c r="K107" s="316">
        <v>136626</v>
      </c>
      <c r="L107" s="271"/>
      <c r="M107" s="276"/>
      <c r="N107" s="290">
        <f t="shared" si="64"/>
        <v>0</v>
      </c>
      <c r="O107" s="276"/>
      <c r="P107" s="290">
        <f t="shared" si="64"/>
        <v>0</v>
      </c>
      <c r="Q107" s="276"/>
      <c r="R107" s="290"/>
      <c r="S107" s="276"/>
      <c r="T107" s="290"/>
      <c r="U107" s="276"/>
      <c r="V107" s="290">
        <f t="shared" si="65"/>
        <v>0</v>
      </c>
      <c r="W107" s="276"/>
      <c r="X107" s="290">
        <f t="shared" si="66"/>
        <v>0</v>
      </c>
      <c r="Y107" s="271">
        <f t="shared" si="53"/>
        <v>0</v>
      </c>
      <c r="Z107" s="290">
        <f t="shared" si="54"/>
        <v>0</v>
      </c>
    </row>
    <row r="108" spans="2:26" ht="19.8" customHeight="1" x14ac:dyDescent="0.6">
      <c r="B108" s="268">
        <v>26</v>
      </c>
      <c r="C108" s="261" t="s">
        <v>53</v>
      </c>
      <c r="D108" s="303"/>
      <c r="E108" s="276"/>
      <c r="G108" s="290"/>
      <c r="I108" s="290"/>
      <c r="J108" s="298"/>
      <c r="K108" s="316"/>
      <c r="L108" s="271"/>
      <c r="M108" s="276"/>
      <c r="N108" s="290"/>
      <c r="O108" s="276"/>
      <c r="P108" s="290"/>
      <c r="Q108" s="276"/>
      <c r="R108" s="290"/>
      <c r="S108" s="276"/>
      <c r="T108" s="290"/>
      <c r="U108" s="276"/>
      <c r="V108" s="290"/>
      <c r="W108" s="276"/>
      <c r="X108" s="290"/>
      <c r="Y108" s="271">
        <f t="shared" si="53"/>
        <v>0</v>
      </c>
      <c r="Z108" s="290">
        <f t="shared" si="54"/>
        <v>0</v>
      </c>
    </row>
    <row r="109" spans="2:26" ht="19.8" customHeight="1" x14ac:dyDescent="0.6">
      <c r="B109" s="268"/>
      <c r="C109" s="261" t="s">
        <v>316</v>
      </c>
      <c r="D109" s="303" t="s">
        <v>824</v>
      </c>
      <c r="E109" s="276" t="s">
        <v>54</v>
      </c>
      <c r="G109" s="290"/>
      <c r="I109" s="290">
        <v>981.02</v>
      </c>
      <c r="J109" s="298">
        <f t="shared" ref="J109:J111" si="67">IF(G109="-","-",IF(D109&gt;0,ROUNDDOWN(I109*D109,0),""))</f>
        <v>127532</v>
      </c>
      <c r="K109" s="316">
        <v>127532</v>
      </c>
      <c r="L109" s="271"/>
      <c r="M109" s="276"/>
      <c r="N109" s="290">
        <f t="shared" ref="N109:P111" si="68">ROUNDDOWN(M109*$I109,0)</f>
        <v>0</v>
      </c>
      <c r="O109" s="276"/>
      <c r="P109" s="290">
        <f t="shared" si="68"/>
        <v>0</v>
      </c>
      <c r="Q109" s="276"/>
      <c r="R109" s="290"/>
      <c r="S109" s="276"/>
      <c r="T109" s="290"/>
      <c r="U109" s="276"/>
      <c r="V109" s="290">
        <f t="shared" ref="V109:V111" si="69">ROUNDDOWN(U109*$I109,0)</f>
        <v>0</v>
      </c>
      <c r="W109" s="276"/>
      <c r="X109" s="290">
        <f t="shared" ref="X109:X111" si="70">ROUNDDOWN(W109*$I109,0)</f>
        <v>0</v>
      </c>
      <c r="Y109" s="271">
        <f t="shared" si="53"/>
        <v>0</v>
      </c>
      <c r="Z109" s="290">
        <f t="shared" si="54"/>
        <v>0</v>
      </c>
    </row>
    <row r="110" spans="2:26" ht="19.8" customHeight="1" x14ac:dyDescent="0.6">
      <c r="B110" s="268"/>
      <c r="C110" s="261" t="s">
        <v>317</v>
      </c>
      <c r="D110" s="303" t="s">
        <v>331</v>
      </c>
      <c r="E110" s="276" t="s">
        <v>54</v>
      </c>
      <c r="G110" s="290"/>
      <c r="I110" s="290">
        <v>2516.33</v>
      </c>
      <c r="J110" s="298">
        <f t="shared" si="67"/>
        <v>125816</v>
      </c>
      <c r="K110" s="316">
        <v>125816</v>
      </c>
      <c r="L110" s="271"/>
      <c r="M110" s="276"/>
      <c r="N110" s="290">
        <f t="shared" si="68"/>
        <v>0</v>
      </c>
      <c r="O110" s="276"/>
      <c r="P110" s="290">
        <f t="shared" si="68"/>
        <v>0</v>
      </c>
      <c r="Q110" s="276"/>
      <c r="R110" s="290"/>
      <c r="S110" s="276"/>
      <c r="T110" s="290"/>
      <c r="U110" s="276"/>
      <c r="V110" s="290">
        <f t="shared" si="69"/>
        <v>0</v>
      </c>
      <c r="W110" s="276"/>
      <c r="X110" s="290">
        <f t="shared" si="70"/>
        <v>0</v>
      </c>
      <c r="Y110" s="271">
        <f t="shared" si="53"/>
        <v>0</v>
      </c>
      <c r="Z110" s="290">
        <f t="shared" si="54"/>
        <v>0</v>
      </c>
    </row>
    <row r="111" spans="2:26" ht="19.8" customHeight="1" x14ac:dyDescent="0.6">
      <c r="B111" s="268">
        <v>27</v>
      </c>
      <c r="C111" s="255" t="s">
        <v>215</v>
      </c>
      <c r="D111" s="303" t="s">
        <v>434</v>
      </c>
      <c r="E111" s="276" t="s">
        <v>55</v>
      </c>
      <c r="G111" s="290"/>
      <c r="I111" s="290">
        <v>330.94</v>
      </c>
      <c r="J111" s="298">
        <f t="shared" si="67"/>
        <v>69828</v>
      </c>
      <c r="K111" s="316">
        <v>69828</v>
      </c>
      <c r="L111" s="271"/>
      <c r="M111" s="276"/>
      <c r="N111" s="290">
        <f t="shared" si="68"/>
        <v>0</v>
      </c>
      <c r="O111" s="276"/>
      <c r="P111" s="290">
        <f t="shared" si="68"/>
        <v>0</v>
      </c>
      <c r="Q111" s="276"/>
      <c r="R111" s="290"/>
      <c r="S111" s="276"/>
      <c r="T111" s="290"/>
      <c r="U111" s="276"/>
      <c r="V111" s="290">
        <f t="shared" si="69"/>
        <v>0</v>
      </c>
      <c r="W111" s="276"/>
      <c r="X111" s="290">
        <f t="shared" si="70"/>
        <v>0</v>
      </c>
      <c r="Y111" s="271">
        <f t="shared" si="53"/>
        <v>0</v>
      </c>
      <c r="Z111" s="290">
        <f t="shared" si="54"/>
        <v>0</v>
      </c>
    </row>
    <row r="112" spans="2:26" ht="19.8" customHeight="1" x14ac:dyDescent="0.6">
      <c r="B112" s="268">
        <v>28</v>
      </c>
      <c r="C112" s="255" t="s">
        <v>56</v>
      </c>
      <c r="D112" s="303"/>
      <c r="E112" s="276"/>
      <c r="G112" s="290"/>
      <c r="I112" s="290"/>
      <c r="J112" s="298"/>
      <c r="K112" s="316"/>
      <c r="L112" s="271"/>
      <c r="M112" s="276"/>
      <c r="N112" s="290"/>
      <c r="O112" s="276"/>
      <c r="P112" s="290"/>
      <c r="Q112" s="276"/>
      <c r="R112" s="290"/>
      <c r="S112" s="276"/>
      <c r="T112" s="290"/>
      <c r="U112" s="276"/>
      <c r="V112" s="290"/>
      <c r="W112" s="276"/>
      <c r="X112" s="290"/>
      <c r="Y112" s="271">
        <f t="shared" si="53"/>
        <v>0</v>
      </c>
      <c r="Z112" s="290">
        <f t="shared" si="54"/>
        <v>0</v>
      </c>
    </row>
    <row r="113" spans="2:26" ht="19.8" customHeight="1" x14ac:dyDescent="0.6">
      <c r="B113" s="268"/>
      <c r="C113" s="261" t="s">
        <v>397</v>
      </c>
      <c r="D113" s="303" t="s">
        <v>435</v>
      </c>
      <c r="E113" s="276" t="s">
        <v>57</v>
      </c>
      <c r="G113" s="290"/>
      <c r="I113" s="290">
        <v>802.05</v>
      </c>
      <c r="J113" s="298">
        <f t="shared" ref="J113:J114" si="71">IF(G113="-","-",IF(D113&gt;0,ROUNDDOWN(I113*D113,0),""))</f>
        <v>125119</v>
      </c>
      <c r="K113" s="316">
        <v>125119</v>
      </c>
      <c r="L113" s="271"/>
      <c r="M113" s="276"/>
      <c r="N113" s="290">
        <f t="shared" ref="N113:P114" si="72">ROUNDDOWN(M113*$I113,0)</f>
        <v>0</v>
      </c>
      <c r="O113" s="276"/>
      <c r="P113" s="290">
        <f t="shared" si="72"/>
        <v>0</v>
      </c>
      <c r="Q113" s="276"/>
      <c r="R113" s="290"/>
      <c r="S113" s="276"/>
      <c r="T113" s="290"/>
      <c r="U113" s="276"/>
      <c r="V113" s="290">
        <f t="shared" ref="V113:V114" si="73">ROUNDDOWN(U113*$I113,0)</f>
        <v>0</v>
      </c>
      <c r="W113" s="276"/>
      <c r="X113" s="290">
        <f t="shared" ref="X113:X114" si="74">ROUNDDOWN(W113*$I113,0)</f>
        <v>0</v>
      </c>
      <c r="Y113" s="271">
        <f t="shared" si="53"/>
        <v>0</v>
      </c>
      <c r="Z113" s="290">
        <f t="shared" si="54"/>
        <v>0</v>
      </c>
    </row>
    <row r="114" spans="2:26" ht="19.8" customHeight="1" x14ac:dyDescent="0.6">
      <c r="B114" s="268"/>
      <c r="C114" s="261" t="s">
        <v>430</v>
      </c>
      <c r="D114" s="303" t="s">
        <v>343</v>
      </c>
      <c r="E114" s="276" t="s">
        <v>58</v>
      </c>
      <c r="G114" s="290"/>
      <c r="I114" s="290">
        <v>4438.1000000000004</v>
      </c>
      <c r="J114" s="298">
        <f t="shared" si="71"/>
        <v>35504</v>
      </c>
      <c r="K114" s="316">
        <v>35504</v>
      </c>
      <c r="L114" s="271"/>
      <c r="M114" s="276"/>
      <c r="N114" s="290">
        <f t="shared" si="72"/>
        <v>0</v>
      </c>
      <c r="O114" s="276"/>
      <c r="P114" s="290">
        <f t="shared" si="72"/>
        <v>0</v>
      </c>
      <c r="Q114" s="276"/>
      <c r="R114" s="290"/>
      <c r="S114" s="276"/>
      <c r="T114" s="290"/>
      <c r="U114" s="276"/>
      <c r="V114" s="290">
        <f t="shared" si="73"/>
        <v>0</v>
      </c>
      <c r="W114" s="276"/>
      <c r="X114" s="290">
        <f t="shared" si="74"/>
        <v>0</v>
      </c>
      <c r="Y114" s="271">
        <f t="shared" si="53"/>
        <v>0</v>
      </c>
      <c r="Z114" s="290">
        <f t="shared" si="54"/>
        <v>0</v>
      </c>
    </row>
    <row r="115" spans="2:26" ht="19.8" customHeight="1" x14ac:dyDescent="0.6">
      <c r="B115" s="268">
        <v>29</v>
      </c>
      <c r="C115" s="255" t="s">
        <v>431</v>
      </c>
      <c r="D115" s="303"/>
      <c r="E115" s="276"/>
      <c r="G115" s="290"/>
      <c r="I115" s="290"/>
      <c r="J115" s="298"/>
      <c r="K115" s="316"/>
      <c r="L115" s="271"/>
      <c r="M115" s="276"/>
      <c r="N115" s="290"/>
      <c r="O115" s="276"/>
      <c r="P115" s="290"/>
      <c r="Q115" s="276"/>
      <c r="R115" s="290"/>
      <c r="S115" s="276"/>
      <c r="T115" s="290"/>
      <c r="U115" s="276"/>
      <c r="V115" s="290"/>
      <c r="W115" s="276"/>
      <c r="X115" s="290"/>
      <c r="Y115" s="271">
        <f t="shared" si="53"/>
        <v>0</v>
      </c>
      <c r="Z115" s="290">
        <f t="shared" si="54"/>
        <v>0</v>
      </c>
    </row>
    <row r="116" spans="2:26" ht="19.8" customHeight="1" x14ac:dyDescent="0.6">
      <c r="B116" s="268">
        <v>30</v>
      </c>
      <c r="C116" s="255" t="s">
        <v>320</v>
      </c>
      <c r="D116" s="303" t="s">
        <v>436</v>
      </c>
      <c r="E116" s="276" t="s">
        <v>61</v>
      </c>
      <c r="G116" s="290"/>
      <c r="I116" s="290">
        <v>11900.73</v>
      </c>
      <c r="J116" s="298">
        <f t="shared" ref="J116" si="75">IF(G116="-","-",IF(D116&gt;0,ROUNDDOWN(I116*D116,0),""))</f>
        <v>3189395</v>
      </c>
      <c r="K116" s="316">
        <v>3189395</v>
      </c>
      <c r="L116" s="271" t="s">
        <v>916</v>
      </c>
      <c r="M116" s="276"/>
      <c r="N116" s="290">
        <f t="shared" ref="N116:P116" si="76">ROUNDDOWN(M116*$I116,0)</f>
        <v>0</v>
      </c>
      <c r="O116" s="276"/>
      <c r="P116" s="290">
        <f t="shared" si="76"/>
        <v>0</v>
      </c>
      <c r="Q116" s="276">
        <v>0</v>
      </c>
      <c r="R116" s="290">
        <v>0</v>
      </c>
      <c r="S116" s="276">
        <v>150</v>
      </c>
      <c r="T116" s="290">
        <f>1240000+980000+530000</f>
        <v>2750000</v>
      </c>
      <c r="U116" s="276"/>
      <c r="V116" s="290">
        <f t="shared" ref="V116" si="77">ROUNDDOWN(U116*$I116,0)</f>
        <v>0</v>
      </c>
      <c r="W116" s="276">
        <f>S116</f>
        <v>150</v>
      </c>
      <c r="X116" s="290">
        <f>T116</f>
        <v>2750000</v>
      </c>
      <c r="Y116" s="271">
        <v>150</v>
      </c>
      <c r="Z116" s="290">
        <f>N116+P116+R116+T116</f>
        <v>2750000</v>
      </c>
    </row>
    <row r="117" spans="2:26" ht="19.8" customHeight="1" x14ac:dyDescent="0.6">
      <c r="B117" s="268"/>
      <c r="C117" s="255" t="s">
        <v>52</v>
      </c>
      <c r="D117" s="303"/>
      <c r="E117" s="276"/>
      <c r="G117" s="290"/>
      <c r="I117" s="290"/>
      <c r="J117" s="298"/>
      <c r="K117" s="316"/>
      <c r="L117" s="271"/>
      <c r="M117" s="276"/>
      <c r="N117" s="290"/>
      <c r="O117" s="276"/>
      <c r="P117" s="290"/>
      <c r="Q117" s="276"/>
      <c r="R117" s="290"/>
      <c r="S117" s="276"/>
      <c r="T117" s="290"/>
      <c r="U117" s="276"/>
      <c r="V117" s="290"/>
      <c r="W117" s="276"/>
      <c r="X117" s="290"/>
      <c r="Y117" s="271">
        <f t="shared" si="53"/>
        <v>0</v>
      </c>
      <c r="Z117" s="290">
        <f t="shared" si="54"/>
        <v>0</v>
      </c>
    </row>
    <row r="118" spans="2:26" ht="19.8" customHeight="1" x14ac:dyDescent="0.6">
      <c r="B118" s="268">
        <v>31</v>
      </c>
      <c r="C118" s="255" t="s">
        <v>321</v>
      </c>
      <c r="D118" s="303" t="s">
        <v>345</v>
      </c>
      <c r="E118" s="276" t="s">
        <v>61</v>
      </c>
      <c r="G118" s="290"/>
      <c r="I118" s="290">
        <v>11900.73</v>
      </c>
      <c r="J118" s="298">
        <f t="shared" ref="J118" si="78">IF(G118="-","-",IF(D118&gt;0,ROUNDDOWN(I118*D118,0),""))</f>
        <v>178510</v>
      </c>
      <c r="K118" s="316">
        <v>178510</v>
      </c>
      <c r="L118" s="271"/>
      <c r="M118" s="276"/>
      <c r="N118" s="290">
        <f t="shared" ref="N118:P118" si="79">ROUNDDOWN(M118*$I118,0)</f>
        <v>0</v>
      </c>
      <c r="O118" s="276"/>
      <c r="P118" s="290">
        <f t="shared" si="79"/>
        <v>0</v>
      </c>
      <c r="Q118" s="276"/>
      <c r="R118" s="290"/>
      <c r="S118" s="276"/>
      <c r="T118" s="290"/>
      <c r="U118" s="276"/>
      <c r="V118" s="290">
        <f t="shared" ref="V118" si="80">ROUNDDOWN(U118*$I118,0)</f>
        <v>0</v>
      </c>
      <c r="W118" s="276"/>
      <c r="X118" s="290">
        <f t="shared" ref="X118" si="81">ROUNDDOWN(W118*$I118,0)</f>
        <v>0</v>
      </c>
      <c r="Y118" s="271">
        <f t="shared" si="53"/>
        <v>0</v>
      </c>
      <c r="Z118" s="290">
        <f t="shared" si="54"/>
        <v>0</v>
      </c>
    </row>
    <row r="119" spans="2:26" ht="19.8" customHeight="1" x14ac:dyDescent="0.6">
      <c r="B119" s="268"/>
      <c r="C119" s="255" t="s">
        <v>52</v>
      </c>
      <c r="D119" s="303"/>
      <c r="E119" s="276"/>
      <c r="G119" s="290"/>
      <c r="I119" s="290"/>
      <c r="J119" s="298"/>
      <c r="K119" s="316"/>
      <c r="L119" s="271"/>
      <c r="M119" s="276"/>
      <c r="N119" s="290"/>
      <c r="O119" s="276"/>
      <c r="P119" s="290"/>
      <c r="Q119" s="276"/>
      <c r="R119" s="290"/>
      <c r="S119" s="276"/>
      <c r="T119" s="290"/>
      <c r="U119" s="276"/>
      <c r="V119" s="290"/>
      <c r="W119" s="276"/>
      <c r="X119" s="290"/>
      <c r="Y119" s="271">
        <f t="shared" si="53"/>
        <v>0</v>
      </c>
      <c r="Z119" s="290">
        <f t="shared" si="54"/>
        <v>0</v>
      </c>
    </row>
    <row r="120" spans="2:26" ht="19.8" customHeight="1" x14ac:dyDescent="0.6">
      <c r="B120" s="268"/>
      <c r="D120" s="303"/>
      <c r="E120" s="276"/>
      <c r="G120" s="290"/>
      <c r="I120" s="290"/>
      <c r="J120" s="298"/>
      <c r="K120" s="316"/>
      <c r="L120" s="271"/>
      <c r="M120" s="276"/>
      <c r="N120" s="290"/>
      <c r="O120" s="276"/>
      <c r="P120" s="290"/>
      <c r="Q120" s="276"/>
      <c r="R120" s="290"/>
      <c r="S120" s="276"/>
      <c r="T120" s="290"/>
      <c r="U120" s="276"/>
      <c r="V120" s="290"/>
      <c r="W120" s="276"/>
      <c r="X120" s="290"/>
      <c r="Y120" s="271">
        <f t="shared" si="53"/>
        <v>0</v>
      </c>
      <c r="Z120" s="290">
        <f t="shared" si="54"/>
        <v>0</v>
      </c>
    </row>
    <row r="121" spans="2:26" ht="19.8" customHeight="1" x14ac:dyDescent="0.6">
      <c r="B121" s="826" t="s">
        <v>437</v>
      </c>
      <c r="C121" s="827"/>
      <c r="D121" s="294" t="s">
        <v>413</v>
      </c>
      <c r="E121" s="257" t="s">
        <v>57</v>
      </c>
      <c r="F121" s="296"/>
      <c r="G121" s="293"/>
      <c r="H121" s="297"/>
      <c r="I121" s="293"/>
      <c r="J121" s="299">
        <f>SUM(J81:J118)</f>
        <v>9639049</v>
      </c>
      <c r="K121" s="319">
        <f>SUM(K78:K120)</f>
        <v>9639049</v>
      </c>
      <c r="L121" s="301"/>
      <c r="M121" s="257"/>
      <c r="N121" s="293">
        <f>SUM(N78:N120)</f>
        <v>17394</v>
      </c>
      <c r="O121" s="257"/>
      <c r="P121" s="293">
        <f>SUM(P78:P120)</f>
        <v>0</v>
      </c>
      <c r="Q121" s="257"/>
      <c r="R121" s="293">
        <f>SUM(R78:R120)</f>
        <v>0</v>
      </c>
      <c r="S121" s="257"/>
      <c r="T121" s="293">
        <f>SUM(T78:T120)</f>
        <v>2750000</v>
      </c>
      <c r="U121" s="257"/>
      <c r="V121" s="293">
        <f>SUM(V78:V120)</f>
        <v>17394</v>
      </c>
      <c r="W121" s="257"/>
      <c r="X121" s="293">
        <f>SUM(X78:X120)</f>
        <v>2767394</v>
      </c>
      <c r="Y121" s="262">
        <f t="shared" si="53"/>
        <v>0</v>
      </c>
      <c r="Z121" s="293">
        <f>N121+P121+R121+T121</f>
        <v>2767394</v>
      </c>
    </row>
    <row r="122" spans="2:26" ht="19.8" customHeight="1" x14ac:dyDescent="0.6">
      <c r="B122" s="306">
        <v>1.4</v>
      </c>
      <c r="C122" s="255" t="s">
        <v>60</v>
      </c>
      <c r="D122" s="303"/>
      <c r="E122" s="276"/>
      <c r="G122" s="290"/>
      <c r="I122" s="290"/>
      <c r="J122" s="298"/>
      <c r="K122" s="316"/>
      <c r="L122" s="271"/>
      <c r="M122" s="276"/>
      <c r="N122" s="290"/>
      <c r="O122" s="276"/>
      <c r="P122" s="290"/>
      <c r="Q122" s="276"/>
      <c r="R122" s="290"/>
      <c r="S122" s="276"/>
      <c r="T122" s="290"/>
      <c r="U122" s="276"/>
      <c r="V122" s="290"/>
      <c r="W122" s="276"/>
      <c r="X122" s="290"/>
      <c r="Y122" s="271">
        <f t="shared" si="53"/>
        <v>0</v>
      </c>
      <c r="Z122" s="290">
        <f t="shared" si="54"/>
        <v>0</v>
      </c>
    </row>
    <row r="123" spans="2:26" ht="19.8" customHeight="1" x14ac:dyDescent="0.6">
      <c r="B123" s="268"/>
      <c r="C123" s="255" t="s">
        <v>438</v>
      </c>
      <c r="D123" s="303"/>
      <c r="E123" s="276"/>
      <c r="G123" s="290"/>
      <c r="I123" s="290"/>
      <c r="J123" s="298"/>
      <c r="K123" s="316"/>
      <c r="L123" s="271"/>
      <c r="M123" s="276"/>
      <c r="N123" s="290"/>
      <c r="O123" s="276"/>
      <c r="P123" s="290"/>
      <c r="Q123" s="276"/>
      <c r="R123" s="290"/>
      <c r="S123" s="276"/>
      <c r="T123" s="290"/>
      <c r="U123" s="276"/>
      <c r="V123" s="290"/>
      <c r="W123" s="276"/>
      <c r="X123" s="290"/>
      <c r="Y123" s="271">
        <f t="shared" si="53"/>
        <v>0</v>
      </c>
      <c r="Z123" s="290">
        <f t="shared" si="54"/>
        <v>0</v>
      </c>
    </row>
    <row r="124" spans="2:26" ht="19.8" customHeight="1" x14ac:dyDescent="0.6">
      <c r="B124" s="268"/>
      <c r="C124" s="255" t="s">
        <v>439</v>
      </c>
      <c r="D124" s="303"/>
      <c r="E124" s="276"/>
      <c r="G124" s="290"/>
      <c r="I124" s="290"/>
      <c r="J124" s="298"/>
      <c r="K124" s="316"/>
      <c r="L124" s="271"/>
      <c r="M124" s="276"/>
      <c r="N124" s="290"/>
      <c r="O124" s="276"/>
      <c r="P124" s="290"/>
      <c r="Q124" s="276"/>
      <c r="R124" s="290"/>
      <c r="S124" s="276"/>
      <c r="T124" s="290"/>
      <c r="U124" s="276"/>
      <c r="V124" s="290"/>
      <c r="W124" s="276"/>
      <c r="X124" s="290"/>
      <c r="Y124" s="271">
        <f t="shared" si="53"/>
        <v>0</v>
      </c>
      <c r="Z124" s="290">
        <f t="shared" si="54"/>
        <v>0</v>
      </c>
    </row>
    <row r="125" spans="2:26" ht="19.8" customHeight="1" x14ac:dyDescent="0.6">
      <c r="B125" s="268">
        <v>1</v>
      </c>
      <c r="C125" s="255" t="s">
        <v>194</v>
      </c>
      <c r="D125" s="303" t="s">
        <v>389</v>
      </c>
      <c r="E125" s="276" t="s">
        <v>78</v>
      </c>
      <c r="G125" s="290"/>
      <c r="I125" s="290">
        <v>17394</v>
      </c>
      <c r="J125" s="298">
        <f t="shared" ref="J125:J134" si="82">IF(G125="-","-",IF(D125&gt;0,ROUNDDOWN(I125*D125,0),""))</f>
        <v>17394</v>
      </c>
      <c r="K125" s="316">
        <v>17394</v>
      </c>
      <c r="L125" s="271"/>
      <c r="M125" s="276">
        <v>1</v>
      </c>
      <c r="N125" s="290">
        <f t="shared" ref="N125:P134" si="83">ROUNDDOWN(M125*$I125,0)</f>
        <v>17394</v>
      </c>
      <c r="O125" s="276"/>
      <c r="P125" s="290">
        <f t="shared" si="83"/>
        <v>0</v>
      </c>
      <c r="Q125" s="276"/>
      <c r="R125" s="290"/>
      <c r="S125" s="276"/>
      <c r="T125" s="290"/>
      <c r="U125" s="276">
        <v>1</v>
      </c>
      <c r="V125" s="290">
        <f t="shared" ref="V125:V134" si="84">ROUNDDOWN(U125*$I125,0)</f>
        <v>17394</v>
      </c>
      <c r="W125" s="276">
        <v>1</v>
      </c>
      <c r="X125" s="290">
        <f t="shared" ref="X125:X134" si="85">ROUNDDOWN(W125*$I125,0)</f>
        <v>17394</v>
      </c>
      <c r="Y125" s="271">
        <f t="shared" si="53"/>
        <v>1</v>
      </c>
      <c r="Z125" s="290">
        <f t="shared" si="54"/>
        <v>17394</v>
      </c>
    </row>
    <row r="126" spans="2:26" ht="19.8" customHeight="1" x14ac:dyDescent="0.6">
      <c r="B126" s="268">
        <v>2</v>
      </c>
      <c r="C126" s="255" t="s">
        <v>195</v>
      </c>
      <c r="D126" s="303" t="s">
        <v>443</v>
      </c>
      <c r="E126" s="276" t="s">
        <v>55</v>
      </c>
      <c r="G126" s="290"/>
      <c r="I126" s="290">
        <v>38.44</v>
      </c>
      <c r="J126" s="298">
        <f t="shared" si="82"/>
        <v>48434</v>
      </c>
      <c r="K126" s="316">
        <v>48434</v>
      </c>
      <c r="L126" s="271"/>
      <c r="M126" s="276"/>
      <c r="N126" s="290">
        <f t="shared" si="83"/>
        <v>0</v>
      </c>
      <c r="O126" s="276"/>
      <c r="P126" s="290">
        <f t="shared" si="83"/>
        <v>0</v>
      </c>
      <c r="Q126" s="276"/>
      <c r="R126" s="290"/>
      <c r="S126" s="276"/>
      <c r="T126" s="290"/>
      <c r="U126" s="276"/>
      <c r="V126" s="290">
        <f t="shared" si="84"/>
        <v>0</v>
      </c>
      <c r="W126" s="276"/>
      <c r="X126" s="290">
        <f t="shared" si="85"/>
        <v>0</v>
      </c>
      <c r="Y126" s="271">
        <f t="shared" si="53"/>
        <v>0</v>
      </c>
      <c r="Z126" s="290">
        <f t="shared" si="54"/>
        <v>0</v>
      </c>
    </row>
    <row r="127" spans="2:26" ht="19.8" customHeight="1" x14ac:dyDescent="0.6">
      <c r="B127" s="268">
        <v>5</v>
      </c>
      <c r="C127" s="255" t="s">
        <v>196</v>
      </c>
      <c r="D127" s="303" t="s">
        <v>389</v>
      </c>
      <c r="E127" s="276" t="s">
        <v>61</v>
      </c>
      <c r="G127" s="290"/>
      <c r="I127" s="290">
        <v>811.72</v>
      </c>
      <c r="J127" s="298">
        <f t="shared" si="82"/>
        <v>811</v>
      </c>
      <c r="K127" s="316">
        <v>811</v>
      </c>
      <c r="L127" s="271"/>
      <c r="M127" s="276"/>
      <c r="N127" s="290">
        <f t="shared" si="83"/>
        <v>0</v>
      </c>
      <c r="O127" s="276"/>
      <c r="P127" s="290">
        <f t="shared" si="83"/>
        <v>0</v>
      </c>
      <c r="Q127" s="276"/>
      <c r="R127" s="290"/>
      <c r="S127" s="276"/>
      <c r="T127" s="290"/>
      <c r="U127" s="276"/>
      <c r="V127" s="290">
        <f t="shared" si="84"/>
        <v>0</v>
      </c>
      <c r="W127" s="276"/>
      <c r="X127" s="290">
        <f t="shared" si="85"/>
        <v>0</v>
      </c>
      <c r="Y127" s="271">
        <f t="shared" si="53"/>
        <v>0</v>
      </c>
      <c r="Z127" s="290">
        <f t="shared" si="54"/>
        <v>0</v>
      </c>
    </row>
    <row r="128" spans="2:26" ht="19.8" customHeight="1" x14ac:dyDescent="0.6">
      <c r="B128" s="268">
        <v>6</v>
      </c>
      <c r="C128" s="255" t="s">
        <v>440</v>
      </c>
      <c r="D128" s="303" t="s">
        <v>444</v>
      </c>
      <c r="E128" s="276" t="s">
        <v>62</v>
      </c>
      <c r="G128" s="290"/>
      <c r="I128" s="290">
        <v>721.05</v>
      </c>
      <c r="J128" s="298">
        <f t="shared" si="82"/>
        <v>140604</v>
      </c>
      <c r="K128" s="316">
        <v>140604</v>
      </c>
      <c r="L128" s="271"/>
      <c r="M128" s="276"/>
      <c r="N128" s="290">
        <f t="shared" si="83"/>
        <v>0</v>
      </c>
      <c r="O128" s="276"/>
      <c r="P128" s="290">
        <f t="shared" si="83"/>
        <v>0</v>
      </c>
      <c r="Q128" s="276"/>
      <c r="R128" s="290"/>
      <c r="S128" s="276"/>
      <c r="T128" s="290"/>
      <c r="U128" s="276"/>
      <c r="V128" s="290">
        <f t="shared" si="84"/>
        <v>0</v>
      </c>
      <c r="W128" s="276"/>
      <c r="X128" s="290">
        <f t="shared" si="85"/>
        <v>0</v>
      </c>
      <c r="Y128" s="271">
        <f t="shared" si="53"/>
        <v>0</v>
      </c>
      <c r="Z128" s="290">
        <f t="shared" si="54"/>
        <v>0</v>
      </c>
    </row>
    <row r="129" spans="2:26" ht="19.8" customHeight="1" x14ac:dyDescent="0.6">
      <c r="B129" s="268">
        <v>7</v>
      </c>
      <c r="C129" s="255" t="s">
        <v>387</v>
      </c>
      <c r="D129" s="303" t="s">
        <v>445</v>
      </c>
      <c r="E129" s="276" t="s">
        <v>55</v>
      </c>
      <c r="G129" s="290"/>
      <c r="I129" s="290">
        <v>865.06</v>
      </c>
      <c r="J129" s="298">
        <f t="shared" si="82"/>
        <v>277684</v>
      </c>
      <c r="K129" s="316">
        <v>277684</v>
      </c>
      <c r="L129" s="271"/>
      <c r="M129" s="276"/>
      <c r="N129" s="290">
        <f t="shared" si="83"/>
        <v>0</v>
      </c>
      <c r="O129" s="276"/>
      <c r="P129" s="290">
        <f t="shared" si="83"/>
        <v>0</v>
      </c>
      <c r="Q129" s="276"/>
      <c r="R129" s="290"/>
      <c r="S129" s="276"/>
      <c r="T129" s="290"/>
      <c r="U129" s="276"/>
      <c r="V129" s="290">
        <f t="shared" si="84"/>
        <v>0</v>
      </c>
      <c r="W129" s="276"/>
      <c r="X129" s="290">
        <f t="shared" si="85"/>
        <v>0</v>
      </c>
      <c r="Y129" s="271">
        <f t="shared" si="53"/>
        <v>0</v>
      </c>
      <c r="Z129" s="290">
        <f t="shared" si="54"/>
        <v>0</v>
      </c>
    </row>
    <row r="130" spans="2:26" ht="19.8" customHeight="1" x14ac:dyDescent="0.6">
      <c r="B130" s="268">
        <v>8</v>
      </c>
      <c r="C130" s="255" t="s">
        <v>197</v>
      </c>
      <c r="D130" s="303" t="s">
        <v>446</v>
      </c>
      <c r="E130" s="276" t="s">
        <v>54</v>
      </c>
      <c r="G130" s="290"/>
      <c r="I130" s="290">
        <v>104.6</v>
      </c>
      <c r="J130" s="298">
        <f t="shared" si="82"/>
        <v>31798</v>
      </c>
      <c r="K130" s="316">
        <v>31798</v>
      </c>
      <c r="L130" s="271"/>
      <c r="M130" s="276"/>
      <c r="N130" s="290">
        <f t="shared" si="83"/>
        <v>0</v>
      </c>
      <c r="O130" s="276"/>
      <c r="P130" s="290">
        <f t="shared" si="83"/>
        <v>0</v>
      </c>
      <c r="Q130" s="276"/>
      <c r="R130" s="290"/>
      <c r="S130" s="276"/>
      <c r="T130" s="290"/>
      <c r="U130" s="276"/>
      <c r="V130" s="290">
        <f t="shared" si="84"/>
        <v>0</v>
      </c>
      <c r="W130" s="276"/>
      <c r="X130" s="290">
        <f t="shared" si="85"/>
        <v>0</v>
      </c>
      <c r="Y130" s="271">
        <f t="shared" si="53"/>
        <v>0</v>
      </c>
      <c r="Z130" s="290">
        <f t="shared" si="54"/>
        <v>0</v>
      </c>
    </row>
    <row r="131" spans="2:26" ht="19.8" customHeight="1" x14ac:dyDescent="0.6">
      <c r="B131" s="268">
        <v>9</v>
      </c>
      <c r="C131" s="255" t="s">
        <v>215</v>
      </c>
      <c r="D131" s="303" t="s">
        <v>447</v>
      </c>
      <c r="E131" s="276" t="s">
        <v>55</v>
      </c>
      <c r="G131" s="290"/>
      <c r="I131" s="290">
        <v>330.94</v>
      </c>
      <c r="J131" s="298">
        <f t="shared" si="82"/>
        <v>147930</v>
      </c>
      <c r="K131" s="316">
        <v>147930</v>
      </c>
      <c r="L131" s="271"/>
      <c r="M131" s="276"/>
      <c r="N131" s="290">
        <f t="shared" si="83"/>
        <v>0</v>
      </c>
      <c r="O131" s="276"/>
      <c r="P131" s="290">
        <f t="shared" si="83"/>
        <v>0</v>
      </c>
      <c r="Q131" s="276"/>
      <c r="R131" s="290"/>
      <c r="S131" s="276"/>
      <c r="T131" s="290"/>
      <c r="U131" s="276"/>
      <c r="V131" s="290">
        <f t="shared" si="84"/>
        <v>0</v>
      </c>
      <c r="W131" s="276"/>
      <c r="X131" s="290">
        <f t="shared" si="85"/>
        <v>0</v>
      </c>
      <c r="Y131" s="271">
        <f t="shared" si="53"/>
        <v>0</v>
      </c>
      <c r="Z131" s="290">
        <f t="shared" si="54"/>
        <v>0</v>
      </c>
    </row>
    <row r="132" spans="2:26" ht="19.8" customHeight="1" x14ac:dyDescent="0.6">
      <c r="B132" s="268">
        <v>10</v>
      </c>
      <c r="C132" s="255" t="s">
        <v>448</v>
      </c>
      <c r="D132" s="303" t="s">
        <v>449</v>
      </c>
      <c r="E132" s="276" t="s">
        <v>57</v>
      </c>
      <c r="G132" s="290"/>
      <c r="I132" s="290">
        <v>4950.37</v>
      </c>
      <c r="J132" s="298">
        <f t="shared" si="82"/>
        <v>311873</v>
      </c>
      <c r="K132" s="316">
        <v>311873</v>
      </c>
      <c r="L132" s="271"/>
      <c r="M132" s="276"/>
      <c r="N132" s="290">
        <f t="shared" si="83"/>
        <v>0</v>
      </c>
      <c r="O132" s="276"/>
      <c r="P132" s="290">
        <f t="shared" si="83"/>
        <v>0</v>
      </c>
      <c r="Q132" s="276"/>
      <c r="R132" s="290"/>
      <c r="S132" s="276"/>
      <c r="T132" s="290"/>
      <c r="U132" s="276"/>
      <c r="V132" s="290">
        <f t="shared" si="84"/>
        <v>0</v>
      </c>
      <c r="W132" s="276"/>
      <c r="X132" s="290">
        <f t="shared" si="85"/>
        <v>0</v>
      </c>
      <c r="Y132" s="271">
        <f t="shared" si="53"/>
        <v>0</v>
      </c>
      <c r="Z132" s="290">
        <f t="shared" si="54"/>
        <v>0</v>
      </c>
    </row>
    <row r="133" spans="2:26" ht="19.8" customHeight="1" x14ac:dyDescent="0.6">
      <c r="B133" s="268">
        <v>11</v>
      </c>
      <c r="C133" s="255" t="s">
        <v>450</v>
      </c>
      <c r="D133" s="303" t="s">
        <v>451</v>
      </c>
      <c r="E133" s="276" t="s">
        <v>57</v>
      </c>
      <c r="G133" s="290"/>
      <c r="I133" s="290">
        <v>3308.61</v>
      </c>
      <c r="J133" s="298">
        <f t="shared" si="82"/>
        <v>5790</v>
      </c>
      <c r="K133" s="316">
        <v>5790</v>
      </c>
      <c r="L133" s="271"/>
      <c r="M133" s="276"/>
      <c r="N133" s="290">
        <f t="shared" si="83"/>
        <v>0</v>
      </c>
      <c r="O133" s="276"/>
      <c r="P133" s="290">
        <f t="shared" si="83"/>
        <v>0</v>
      </c>
      <c r="Q133" s="276"/>
      <c r="R133" s="290"/>
      <c r="S133" s="276"/>
      <c r="T133" s="290"/>
      <c r="U133" s="276"/>
      <c r="V133" s="290">
        <f t="shared" si="84"/>
        <v>0</v>
      </c>
      <c r="W133" s="276"/>
      <c r="X133" s="290">
        <f t="shared" si="85"/>
        <v>0</v>
      </c>
      <c r="Y133" s="271">
        <f t="shared" si="53"/>
        <v>0</v>
      </c>
      <c r="Z133" s="290">
        <f t="shared" si="54"/>
        <v>0</v>
      </c>
    </row>
    <row r="134" spans="2:26" ht="19.8" customHeight="1" x14ac:dyDescent="0.6">
      <c r="B134" s="268">
        <v>12</v>
      </c>
      <c r="C134" s="255" t="s">
        <v>212</v>
      </c>
      <c r="D134" s="303" t="s">
        <v>452</v>
      </c>
      <c r="E134" s="276" t="s">
        <v>57</v>
      </c>
      <c r="G134" s="290"/>
      <c r="I134" s="290">
        <v>3101.93</v>
      </c>
      <c r="J134" s="298">
        <f t="shared" si="82"/>
        <v>200849</v>
      </c>
      <c r="K134" s="316">
        <v>200849</v>
      </c>
      <c r="L134" s="271"/>
      <c r="M134" s="276"/>
      <c r="N134" s="290">
        <f t="shared" si="83"/>
        <v>0</v>
      </c>
      <c r="O134" s="276"/>
      <c r="P134" s="290">
        <f t="shared" si="83"/>
        <v>0</v>
      </c>
      <c r="Q134" s="276"/>
      <c r="R134" s="290"/>
      <c r="S134" s="276"/>
      <c r="T134" s="290"/>
      <c r="U134" s="276"/>
      <c r="V134" s="290">
        <f t="shared" si="84"/>
        <v>0</v>
      </c>
      <c r="W134" s="276"/>
      <c r="X134" s="290">
        <f t="shared" si="85"/>
        <v>0</v>
      </c>
      <c r="Y134" s="271">
        <f t="shared" si="53"/>
        <v>0</v>
      </c>
      <c r="Z134" s="290">
        <f t="shared" si="54"/>
        <v>0</v>
      </c>
    </row>
    <row r="135" spans="2:26" ht="19.8" customHeight="1" x14ac:dyDescent="0.6">
      <c r="B135" s="268">
        <v>13</v>
      </c>
      <c r="C135" s="255" t="s">
        <v>56</v>
      </c>
      <c r="D135" s="303"/>
      <c r="E135" s="276"/>
      <c r="G135" s="290"/>
      <c r="I135" s="290"/>
      <c r="J135" s="298"/>
      <c r="K135" s="316"/>
      <c r="L135" s="271"/>
      <c r="M135" s="276"/>
      <c r="N135" s="290"/>
      <c r="O135" s="276"/>
      <c r="P135" s="290"/>
      <c r="Q135" s="276"/>
      <c r="R135" s="290"/>
      <c r="S135" s="276"/>
      <c r="T135" s="290"/>
      <c r="U135" s="276"/>
      <c r="V135" s="290"/>
      <c r="W135" s="276"/>
      <c r="X135" s="290"/>
      <c r="Y135" s="271">
        <f t="shared" si="53"/>
        <v>0</v>
      </c>
      <c r="Z135" s="290">
        <f t="shared" si="54"/>
        <v>0</v>
      </c>
    </row>
    <row r="136" spans="2:26" ht="19.8" customHeight="1" x14ac:dyDescent="0.6">
      <c r="B136" s="268"/>
      <c r="C136" s="261" t="s">
        <v>397</v>
      </c>
      <c r="D136" s="303" t="s">
        <v>454</v>
      </c>
      <c r="E136" s="276" t="s">
        <v>57</v>
      </c>
      <c r="G136" s="290"/>
      <c r="I136" s="290">
        <v>802.05</v>
      </c>
      <c r="J136" s="298">
        <f t="shared" ref="J136:J137" si="86">IF(G136="-","-",IF(D136&gt;0,ROUNDDOWN(I136*D136,0),""))</f>
        <v>48123</v>
      </c>
      <c r="K136" s="316">
        <v>48123</v>
      </c>
      <c r="L136" s="271"/>
      <c r="M136" s="276"/>
      <c r="N136" s="290">
        <f t="shared" ref="N136:P137" si="87">ROUNDDOWN(M136*$I136,0)</f>
        <v>0</v>
      </c>
      <c r="O136" s="276"/>
      <c r="P136" s="290">
        <f t="shared" si="87"/>
        <v>0</v>
      </c>
      <c r="Q136" s="276"/>
      <c r="R136" s="290"/>
      <c r="S136" s="276"/>
      <c r="T136" s="290"/>
      <c r="U136" s="276"/>
      <c r="V136" s="290">
        <f t="shared" ref="V136:V137" si="88">ROUNDDOWN(U136*$I136,0)</f>
        <v>0</v>
      </c>
      <c r="W136" s="276"/>
      <c r="X136" s="290">
        <f t="shared" ref="X136:X137" si="89">ROUNDDOWN(W136*$I136,0)</f>
        <v>0</v>
      </c>
      <c r="Y136" s="271">
        <f t="shared" si="53"/>
        <v>0</v>
      </c>
      <c r="Z136" s="290">
        <f t="shared" si="54"/>
        <v>0</v>
      </c>
    </row>
    <row r="137" spans="2:26" ht="19.8" customHeight="1" x14ac:dyDescent="0.6">
      <c r="B137" s="268"/>
      <c r="C137" s="261" t="s">
        <v>430</v>
      </c>
      <c r="D137" s="303" t="s">
        <v>323</v>
      </c>
      <c r="E137" s="276" t="s">
        <v>58</v>
      </c>
      <c r="G137" s="290"/>
      <c r="I137" s="290">
        <v>4438.1000000000004</v>
      </c>
      <c r="J137" s="298">
        <f t="shared" si="86"/>
        <v>13314</v>
      </c>
      <c r="K137" s="316">
        <v>13314</v>
      </c>
      <c r="L137" s="271"/>
      <c r="M137" s="276"/>
      <c r="N137" s="290">
        <f t="shared" si="87"/>
        <v>0</v>
      </c>
      <c r="O137" s="276"/>
      <c r="P137" s="290">
        <f t="shared" si="87"/>
        <v>0</v>
      </c>
      <c r="Q137" s="276"/>
      <c r="R137" s="290"/>
      <c r="S137" s="276"/>
      <c r="T137" s="290"/>
      <c r="U137" s="276"/>
      <c r="V137" s="290">
        <f t="shared" si="88"/>
        <v>0</v>
      </c>
      <c r="W137" s="276"/>
      <c r="X137" s="290">
        <f t="shared" si="89"/>
        <v>0</v>
      </c>
      <c r="Y137" s="271">
        <f t="shared" si="53"/>
        <v>0</v>
      </c>
      <c r="Z137" s="290">
        <f t="shared" si="54"/>
        <v>0</v>
      </c>
    </row>
    <row r="138" spans="2:26" ht="19.8" customHeight="1" x14ac:dyDescent="0.6">
      <c r="B138" s="268">
        <v>14</v>
      </c>
      <c r="C138" s="255" t="s">
        <v>431</v>
      </c>
      <c r="D138" s="303"/>
      <c r="E138" s="276"/>
      <c r="G138" s="290"/>
      <c r="I138" s="290"/>
      <c r="J138" s="298"/>
      <c r="K138" s="316"/>
      <c r="L138" s="271"/>
      <c r="M138" s="276"/>
      <c r="N138" s="290"/>
      <c r="O138" s="276"/>
      <c r="P138" s="290"/>
      <c r="Q138" s="276"/>
      <c r="R138" s="290"/>
      <c r="S138" s="276"/>
      <c r="T138" s="290"/>
      <c r="U138" s="276"/>
      <c r="V138" s="290"/>
      <c r="W138" s="276"/>
      <c r="X138" s="290"/>
      <c r="Y138" s="271">
        <f t="shared" si="53"/>
        <v>0</v>
      </c>
      <c r="Z138" s="290">
        <f t="shared" si="54"/>
        <v>0</v>
      </c>
    </row>
    <row r="139" spans="2:26" ht="19.8" customHeight="1" x14ac:dyDescent="0.6">
      <c r="B139" s="268">
        <v>15</v>
      </c>
      <c r="C139" s="255" t="s">
        <v>455</v>
      </c>
      <c r="D139" s="303" t="s">
        <v>456</v>
      </c>
      <c r="E139" s="276" t="s">
        <v>61</v>
      </c>
      <c r="G139" s="290"/>
      <c r="I139" s="290">
        <v>21869.91</v>
      </c>
      <c r="J139" s="298">
        <f t="shared" ref="J139" si="90">IF(G139="-","-",IF(D139&gt;0,ROUNDDOWN(I139*D139,0),""))</f>
        <v>1465283</v>
      </c>
      <c r="K139" s="316">
        <v>1465283</v>
      </c>
      <c r="L139" s="271" t="s">
        <v>849</v>
      </c>
      <c r="M139" s="276"/>
      <c r="N139" s="290">
        <f t="shared" ref="N139" si="91">ROUNDDOWN(M139*$I139,0)</f>
        <v>0</v>
      </c>
      <c r="O139" s="276"/>
      <c r="P139" s="290">
        <v>1020000</v>
      </c>
      <c r="Q139" s="276"/>
      <c r="R139" s="290"/>
      <c r="S139" s="276"/>
      <c r="T139" s="290"/>
      <c r="U139" s="276"/>
      <c r="V139" s="290">
        <f>N139+P139</f>
        <v>1020000</v>
      </c>
      <c r="W139" s="276"/>
      <c r="X139" s="290">
        <f>P139+R139</f>
        <v>1020000</v>
      </c>
      <c r="Y139" s="271">
        <f t="shared" si="53"/>
        <v>0</v>
      </c>
      <c r="Z139" s="290">
        <f t="shared" si="54"/>
        <v>1020000</v>
      </c>
    </row>
    <row r="140" spans="2:26" ht="19.8" customHeight="1" x14ac:dyDescent="0.6">
      <c r="B140" s="268"/>
      <c r="C140" s="255" t="s">
        <v>52</v>
      </c>
      <c r="D140" s="303"/>
      <c r="E140" s="276"/>
      <c r="G140" s="290"/>
      <c r="I140" s="290"/>
      <c r="J140" s="298"/>
      <c r="K140" s="316"/>
      <c r="L140" s="271"/>
      <c r="M140" s="276"/>
      <c r="N140" s="290"/>
      <c r="O140" s="276"/>
      <c r="P140" s="290"/>
      <c r="Q140" s="276"/>
      <c r="R140" s="290"/>
      <c r="S140" s="276"/>
      <c r="T140" s="290"/>
      <c r="U140" s="276"/>
      <c r="V140" s="290"/>
      <c r="W140" s="276"/>
      <c r="X140" s="290"/>
      <c r="Y140" s="271">
        <f t="shared" si="53"/>
        <v>0</v>
      </c>
      <c r="Z140" s="290">
        <f t="shared" si="54"/>
        <v>0</v>
      </c>
    </row>
    <row r="141" spans="2:26" ht="19.8" customHeight="1" x14ac:dyDescent="0.6">
      <c r="B141" s="268">
        <v>16</v>
      </c>
      <c r="C141" s="255" t="s">
        <v>457</v>
      </c>
      <c r="D141" s="303" t="s">
        <v>458</v>
      </c>
      <c r="E141" s="276" t="s">
        <v>61</v>
      </c>
      <c r="G141" s="290"/>
      <c r="I141" s="290">
        <v>11069.01</v>
      </c>
      <c r="J141" s="298">
        <f t="shared" ref="J141" si="92">IF(G141="-","-",IF(D141&gt;0,ROUNDDOWN(I141*D141,0),""))</f>
        <v>697347</v>
      </c>
      <c r="K141" s="316">
        <v>697347</v>
      </c>
      <c r="L141" s="271" t="s">
        <v>889</v>
      </c>
      <c r="M141" s="276"/>
      <c r="N141" s="290">
        <f t="shared" ref="N141" si="93">ROUNDDOWN(M141*$I141,0)</f>
        <v>0</v>
      </c>
      <c r="O141" s="276"/>
      <c r="P141" s="290">
        <v>480000</v>
      </c>
      <c r="Q141" s="276"/>
      <c r="R141" s="290"/>
      <c r="S141" s="276"/>
      <c r="T141" s="290"/>
      <c r="U141" s="276"/>
      <c r="V141" s="290">
        <f>N141+P141</f>
        <v>480000</v>
      </c>
      <c r="W141" s="276"/>
      <c r="X141" s="290">
        <f>P141+R141</f>
        <v>480000</v>
      </c>
      <c r="Y141" s="271">
        <f t="shared" ref="Y141:Y204" si="94">M141+O141</f>
        <v>0</v>
      </c>
      <c r="Z141" s="290">
        <f t="shared" ref="Z141:Z204" si="95">N141+P141</f>
        <v>480000</v>
      </c>
    </row>
    <row r="142" spans="2:26" ht="19.8" customHeight="1" x14ac:dyDescent="0.6">
      <c r="B142" s="268"/>
      <c r="C142" s="255" t="s">
        <v>52</v>
      </c>
      <c r="D142" s="303"/>
      <c r="E142" s="276"/>
      <c r="G142" s="290"/>
      <c r="I142" s="290"/>
      <c r="J142" s="298"/>
      <c r="K142" s="316"/>
      <c r="L142" s="271"/>
      <c r="M142" s="276"/>
      <c r="N142" s="290"/>
      <c r="O142" s="276"/>
      <c r="P142" s="290"/>
      <c r="Q142" s="276"/>
      <c r="R142" s="290"/>
      <c r="S142" s="276"/>
      <c r="T142" s="290"/>
      <c r="U142" s="276"/>
      <c r="V142" s="290"/>
      <c r="W142" s="276"/>
      <c r="X142" s="290"/>
      <c r="Y142" s="271">
        <f t="shared" si="94"/>
        <v>0</v>
      </c>
      <c r="Z142" s="290">
        <f t="shared" si="95"/>
        <v>0</v>
      </c>
    </row>
    <row r="143" spans="2:26" ht="19.8" customHeight="1" x14ac:dyDescent="0.6">
      <c r="B143" s="268"/>
      <c r="D143" s="303"/>
      <c r="E143" s="276"/>
      <c r="G143" s="290"/>
      <c r="I143" s="290"/>
      <c r="J143" s="298"/>
      <c r="K143" s="316"/>
      <c r="L143" s="271"/>
      <c r="M143" s="276"/>
      <c r="N143" s="290"/>
      <c r="O143" s="276"/>
      <c r="P143" s="290"/>
      <c r="Q143" s="276"/>
      <c r="R143" s="290"/>
      <c r="S143" s="276"/>
      <c r="T143" s="290"/>
      <c r="U143" s="276"/>
      <c r="V143" s="290"/>
      <c r="W143" s="276"/>
      <c r="X143" s="290"/>
      <c r="Y143" s="271">
        <f t="shared" si="94"/>
        <v>0</v>
      </c>
      <c r="Z143" s="290">
        <f t="shared" si="95"/>
        <v>0</v>
      </c>
    </row>
    <row r="144" spans="2:26" ht="19.8" customHeight="1" x14ac:dyDescent="0.6">
      <c r="B144" s="826" t="s">
        <v>459</v>
      </c>
      <c r="C144" s="827"/>
      <c r="D144" s="294" t="s">
        <v>460</v>
      </c>
      <c r="E144" s="257" t="s">
        <v>57</v>
      </c>
      <c r="F144" s="296"/>
      <c r="G144" s="293"/>
      <c r="H144" s="297"/>
      <c r="I144" s="293"/>
      <c r="J144" s="299">
        <f>SUM(J122:J143)</f>
        <v>3407234</v>
      </c>
      <c r="K144" s="319">
        <v>3407234</v>
      </c>
      <c r="L144" s="262"/>
      <c r="M144" s="257"/>
      <c r="N144" s="293">
        <f>SUM(N122:N143)</f>
        <v>17394</v>
      </c>
      <c r="O144" s="257"/>
      <c r="P144" s="293">
        <f>SUM(P122:P143)</f>
        <v>1500000</v>
      </c>
      <c r="Q144" s="257"/>
      <c r="R144" s="293">
        <f>SUM(R122:R143)</f>
        <v>0</v>
      </c>
      <c r="S144" s="257"/>
      <c r="T144" s="293">
        <f>SUM(T122:T143)</f>
        <v>0</v>
      </c>
      <c r="U144" s="257"/>
      <c r="V144" s="293">
        <f>SUM(V122:V143)</f>
        <v>1517394</v>
      </c>
      <c r="W144" s="257"/>
      <c r="X144" s="293">
        <f>SUM(X122:X143)</f>
        <v>1517394</v>
      </c>
      <c r="Y144" s="262">
        <f t="shared" si="94"/>
        <v>0</v>
      </c>
      <c r="Z144" s="293">
        <f>N144+P144+R144</f>
        <v>1517394</v>
      </c>
    </row>
    <row r="145" spans="2:26" ht="19.8" customHeight="1" x14ac:dyDescent="0.6">
      <c r="B145" s="306">
        <v>1.5</v>
      </c>
      <c r="C145" s="255" t="s">
        <v>63</v>
      </c>
      <c r="D145" s="303"/>
      <c r="E145" s="276"/>
      <c r="G145" s="290"/>
      <c r="I145" s="290"/>
      <c r="J145" s="298"/>
      <c r="K145" s="316"/>
      <c r="L145" s="271"/>
      <c r="M145" s="276"/>
      <c r="N145" s="290"/>
      <c r="O145" s="276"/>
      <c r="P145" s="290"/>
      <c r="Q145" s="276"/>
      <c r="R145" s="290"/>
      <c r="S145" s="276"/>
      <c r="T145" s="290"/>
      <c r="U145" s="276"/>
      <c r="V145" s="290"/>
      <c r="W145" s="276"/>
      <c r="X145" s="290"/>
      <c r="Y145" s="271">
        <f t="shared" si="94"/>
        <v>0</v>
      </c>
      <c r="Z145" s="290">
        <f t="shared" si="95"/>
        <v>0</v>
      </c>
    </row>
    <row r="146" spans="2:26" ht="19.8" customHeight="1" x14ac:dyDescent="0.6">
      <c r="B146" s="268"/>
      <c r="C146" s="255" t="s">
        <v>461</v>
      </c>
      <c r="D146" s="303"/>
      <c r="E146" s="276"/>
      <c r="G146" s="290"/>
      <c r="I146" s="290"/>
      <c r="J146" s="298"/>
      <c r="K146" s="316"/>
      <c r="L146" s="271"/>
      <c r="M146" s="276"/>
      <c r="N146" s="290"/>
      <c r="O146" s="276"/>
      <c r="P146" s="290"/>
      <c r="Q146" s="276"/>
      <c r="R146" s="290"/>
      <c r="S146" s="276"/>
      <c r="T146" s="290"/>
      <c r="U146" s="276"/>
      <c r="V146" s="290"/>
      <c r="W146" s="276"/>
      <c r="X146" s="290"/>
      <c r="Y146" s="271">
        <f t="shared" si="94"/>
        <v>0</v>
      </c>
      <c r="Z146" s="290">
        <f t="shared" si="95"/>
        <v>0</v>
      </c>
    </row>
    <row r="147" spans="2:26" ht="19.8" customHeight="1" x14ac:dyDescent="0.6">
      <c r="B147" s="268"/>
      <c r="C147" s="255" t="s">
        <v>462</v>
      </c>
      <c r="D147" s="303"/>
      <c r="E147" s="276"/>
      <c r="G147" s="290"/>
      <c r="I147" s="290"/>
      <c r="J147" s="298"/>
      <c r="K147" s="316"/>
      <c r="L147" s="271"/>
      <c r="M147" s="276"/>
      <c r="N147" s="290"/>
      <c r="O147" s="276"/>
      <c r="P147" s="290"/>
      <c r="Q147" s="276"/>
      <c r="R147" s="290"/>
      <c r="S147" s="276"/>
      <c r="T147" s="290"/>
      <c r="U147" s="276"/>
      <c r="V147" s="290"/>
      <c r="W147" s="276"/>
      <c r="X147" s="290"/>
      <c r="Y147" s="271">
        <f t="shared" si="94"/>
        <v>0</v>
      </c>
      <c r="Z147" s="290">
        <f t="shared" si="95"/>
        <v>0</v>
      </c>
    </row>
    <row r="148" spans="2:26" ht="19.8" customHeight="1" x14ac:dyDescent="0.6">
      <c r="B148" s="268">
        <v>1</v>
      </c>
      <c r="C148" s="255" t="s">
        <v>194</v>
      </c>
      <c r="D148" s="303" t="s">
        <v>389</v>
      </c>
      <c r="E148" s="276" t="s">
        <v>78</v>
      </c>
      <c r="G148" s="290"/>
      <c r="I148" s="290">
        <v>17394</v>
      </c>
      <c r="J148" s="298">
        <f t="shared" ref="J148:J151" si="96">IF(G148="-","-",IF(D148&gt;0,ROUNDDOWN(I148*D148,0),""))</f>
        <v>17394</v>
      </c>
      <c r="K148" s="316">
        <v>17394</v>
      </c>
      <c r="L148" s="271"/>
      <c r="M148" s="276">
        <v>1</v>
      </c>
      <c r="N148" s="290">
        <f t="shared" ref="N148:P151" si="97">ROUNDDOWN(M148*$I148,0)</f>
        <v>17394</v>
      </c>
      <c r="O148" s="276"/>
      <c r="P148" s="290">
        <f t="shared" si="97"/>
        <v>0</v>
      </c>
      <c r="Q148" s="276"/>
      <c r="R148" s="290"/>
      <c r="S148" s="276"/>
      <c r="T148" s="290"/>
      <c r="U148" s="276">
        <v>1</v>
      </c>
      <c r="V148" s="290">
        <f t="shared" ref="V148:V151" si="98">ROUNDDOWN(U148*$I148,0)</f>
        <v>17394</v>
      </c>
      <c r="W148" s="276">
        <v>1</v>
      </c>
      <c r="X148" s="290">
        <f t="shared" ref="X148:X151" si="99">ROUNDDOWN(W148*$I148,0)</f>
        <v>17394</v>
      </c>
      <c r="Y148" s="271">
        <f t="shared" si="94"/>
        <v>1</v>
      </c>
      <c r="Z148" s="290">
        <f t="shared" si="95"/>
        <v>17394</v>
      </c>
    </row>
    <row r="149" spans="2:26" ht="19.8" customHeight="1" x14ac:dyDescent="0.6">
      <c r="B149" s="268">
        <v>2</v>
      </c>
      <c r="C149" s="255" t="s">
        <v>195</v>
      </c>
      <c r="D149" s="303" t="s">
        <v>463</v>
      </c>
      <c r="E149" s="276" t="s">
        <v>55</v>
      </c>
      <c r="G149" s="290"/>
      <c r="I149" s="290">
        <v>38.44</v>
      </c>
      <c r="J149" s="298">
        <f t="shared" si="96"/>
        <v>30136</v>
      </c>
      <c r="K149" s="316">
        <v>30136</v>
      </c>
      <c r="L149" s="271"/>
      <c r="M149" s="276"/>
      <c r="N149" s="290">
        <f t="shared" si="97"/>
        <v>0</v>
      </c>
      <c r="O149" s="276"/>
      <c r="P149" s="290">
        <f t="shared" si="97"/>
        <v>0</v>
      </c>
      <c r="Q149" s="276"/>
      <c r="R149" s="290"/>
      <c r="S149" s="276"/>
      <c r="T149" s="290"/>
      <c r="U149" s="276"/>
      <c r="V149" s="290">
        <f t="shared" si="98"/>
        <v>0</v>
      </c>
      <c r="W149" s="276"/>
      <c r="X149" s="290">
        <f t="shared" si="99"/>
        <v>0</v>
      </c>
      <c r="Y149" s="271">
        <f t="shared" si="94"/>
        <v>0</v>
      </c>
      <c r="Z149" s="290">
        <f t="shared" si="95"/>
        <v>0</v>
      </c>
    </row>
    <row r="150" spans="2:26" ht="19.8" customHeight="1" x14ac:dyDescent="0.6">
      <c r="B150" s="268">
        <v>5</v>
      </c>
      <c r="C150" s="255" t="s">
        <v>196</v>
      </c>
      <c r="D150" s="303" t="s">
        <v>389</v>
      </c>
      <c r="E150" s="276" t="s">
        <v>61</v>
      </c>
      <c r="G150" s="290"/>
      <c r="I150" s="290">
        <v>811.72</v>
      </c>
      <c r="J150" s="298">
        <f t="shared" si="96"/>
        <v>811</v>
      </c>
      <c r="K150" s="316">
        <v>811</v>
      </c>
      <c r="L150" s="271"/>
      <c r="M150" s="276"/>
      <c r="N150" s="290">
        <f t="shared" si="97"/>
        <v>0</v>
      </c>
      <c r="O150" s="276"/>
      <c r="P150" s="290">
        <f t="shared" si="97"/>
        <v>0</v>
      </c>
      <c r="Q150" s="276"/>
      <c r="R150" s="290"/>
      <c r="S150" s="276"/>
      <c r="T150" s="290"/>
      <c r="U150" s="276"/>
      <c r="V150" s="290">
        <f t="shared" si="98"/>
        <v>0</v>
      </c>
      <c r="W150" s="276"/>
      <c r="X150" s="290">
        <f t="shared" si="99"/>
        <v>0</v>
      </c>
      <c r="Y150" s="271">
        <f t="shared" si="94"/>
        <v>0</v>
      </c>
      <c r="Z150" s="290">
        <f t="shared" si="95"/>
        <v>0</v>
      </c>
    </row>
    <row r="151" spans="2:26" ht="19.8" customHeight="1" x14ac:dyDescent="0.6">
      <c r="B151" s="268">
        <v>5</v>
      </c>
      <c r="C151" s="255" t="s">
        <v>440</v>
      </c>
      <c r="D151" s="303" t="s">
        <v>464</v>
      </c>
      <c r="E151" s="276" t="s">
        <v>62</v>
      </c>
      <c r="G151" s="290"/>
      <c r="I151" s="290">
        <v>721.05</v>
      </c>
      <c r="J151" s="298">
        <f t="shared" si="96"/>
        <v>160073</v>
      </c>
      <c r="K151" s="316">
        <v>160073</v>
      </c>
      <c r="L151" s="271"/>
      <c r="M151" s="276"/>
      <c r="N151" s="290">
        <f t="shared" si="97"/>
        <v>0</v>
      </c>
      <c r="O151" s="276"/>
      <c r="P151" s="290">
        <f t="shared" si="97"/>
        <v>0</v>
      </c>
      <c r="Q151" s="276"/>
      <c r="R151" s="290"/>
      <c r="S151" s="276"/>
      <c r="T151" s="290"/>
      <c r="U151" s="276"/>
      <c r="V151" s="290">
        <f t="shared" si="98"/>
        <v>0</v>
      </c>
      <c r="W151" s="276"/>
      <c r="X151" s="290">
        <f t="shared" si="99"/>
        <v>0</v>
      </c>
      <c r="Y151" s="271">
        <f t="shared" si="94"/>
        <v>0</v>
      </c>
      <c r="Z151" s="290">
        <f t="shared" si="95"/>
        <v>0</v>
      </c>
    </row>
    <row r="152" spans="2:26" ht="19.8" customHeight="1" x14ac:dyDescent="0.6">
      <c r="B152" s="268"/>
      <c r="C152" s="255" t="s">
        <v>465</v>
      </c>
      <c r="D152" s="303"/>
      <c r="E152" s="276"/>
      <c r="G152" s="290"/>
      <c r="I152" s="290"/>
      <c r="J152" s="298"/>
      <c r="K152" s="316"/>
      <c r="L152" s="271"/>
      <c r="M152" s="276"/>
      <c r="N152" s="290"/>
      <c r="O152" s="276"/>
      <c r="P152" s="290"/>
      <c r="Q152" s="276"/>
      <c r="R152" s="290"/>
      <c r="S152" s="276"/>
      <c r="T152" s="290"/>
      <c r="U152" s="276"/>
      <c r="V152" s="290"/>
      <c r="W152" s="276"/>
      <c r="X152" s="290"/>
      <c r="Y152" s="271">
        <f t="shared" si="94"/>
        <v>0</v>
      </c>
      <c r="Z152" s="290">
        <f t="shared" si="95"/>
        <v>0</v>
      </c>
    </row>
    <row r="153" spans="2:26" ht="19.8" customHeight="1" x14ac:dyDescent="0.6">
      <c r="B153" s="268">
        <v>6</v>
      </c>
      <c r="C153" s="255" t="s">
        <v>387</v>
      </c>
      <c r="D153" s="303" t="s">
        <v>468</v>
      </c>
      <c r="E153" s="276" t="s">
        <v>55</v>
      </c>
      <c r="G153" s="290"/>
      <c r="I153" s="290">
        <v>865.06</v>
      </c>
      <c r="J153" s="298">
        <f t="shared" ref="J153:J158" si="100">IF(G153="-","-",IF(D153&gt;0,ROUNDDOWN(I153*D153,0),""))</f>
        <v>308826</v>
      </c>
      <c r="K153" s="316">
        <v>308826</v>
      </c>
      <c r="L153" s="271"/>
      <c r="M153" s="276"/>
      <c r="N153" s="290">
        <f t="shared" ref="N153:P158" si="101">ROUNDDOWN(M153*$I153,0)</f>
        <v>0</v>
      </c>
      <c r="O153" s="276"/>
      <c r="P153" s="290">
        <f t="shared" si="101"/>
        <v>0</v>
      </c>
      <c r="Q153" s="276"/>
      <c r="R153" s="290"/>
      <c r="S153" s="276"/>
      <c r="T153" s="290"/>
      <c r="U153" s="276"/>
      <c r="V153" s="290">
        <f t="shared" ref="V153:V158" si="102">ROUNDDOWN(U153*$I153,0)</f>
        <v>0</v>
      </c>
      <c r="W153" s="276"/>
      <c r="X153" s="290">
        <f t="shared" ref="X153:X158" si="103">ROUNDDOWN(W153*$I153,0)</f>
        <v>0</v>
      </c>
      <c r="Y153" s="271">
        <f t="shared" si="94"/>
        <v>0</v>
      </c>
      <c r="Z153" s="290">
        <f t="shared" si="95"/>
        <v>0</v>
      </c>
    </row>
    <row r="154" spans="2:26" ht="19.8" customHeight="1" x14ac:dyDescent="0.6">
      <c r="B154" s="268">
        <v>7</v>
      </c>
      <c r="C154" s="255" t="s">
        <v>197</v>
      </c>
      <c r="D154" s="303" t="s">
        <v>467</v>
      </c>
      <c r="E154" s="276" t="s">
        <v>54</v>
      </c>
      <c r="G154" s="290"/>
      <c r="I154" s="290">
        <v>104.6</v>
      </c>
      <c r="J154" s="298">
        <f t="shared" si="100"/>
        <v>35354</v>
      </c>
      <c r="K154" s="316">
        <v>35354</v>
      </c>
      <c r="L154" s="271"/>
      <c r="M154" s="276"/>
      <c r="N154" s="290">
        <f t="shared" si="101"/>
        <v>0</v>
      </c>
      <c r="O154" s="276"/>
      <c r="P154" s="290">
        <f t="shared" si="101"/>
        <v>0</v>
      </c>
      <c r="Q154" s="276"/>
      <c r="R154" s="290"/>
      <c r="S154" s="276"/>
      <c r="T154" s="290"/>
      <c r="U154" s="276"/>
      <c r="V154" s="290">
        <f t="shared" si="102"/>
        <v>0</v>
      </c>
      <c r="W154" s="276"/>
      <c r="X154" s="290">
        <f t="shared" si="103"/>
        <v>0</v>
      </c>
      <c r="Y154" s="271">
        <f t="shared" si="94"/>
        <v>0</v>
      </c>
      <c r="Z154" s="290">
        <f t="shared" si="95"/>
        <v>0</v>
      </c>
    </row>
    <row r="155" spans="2:26" ht="19.8" customHeight="1" x14ac:dyDescent="0.6">
      <c r="B155" s="268">
        <v>8</v>
      </c>
      <c r="C155" s="255" t="s">
        <v>215</v>
      </c>
      <c r="D155" s="303" t="s">
        <v>466</v>
      </c>
      <c r="E155" s="276" t="s">
        <v>55</v>
      </c>
      <c r="G155" s="290"/>
      <c r="I155" s="290">
        <v>330.94</v>
      </c>
      <c r="J155" s="298">
        <f t="shared" si="100"/>
        <v>164477</v>
      </c>
      <c r="K155" s="316">
        <v>164477</v>
      </c>
      <c r="L155" s="271"/>
      <c r="M155" s="276"/>
      <c r="N155" s="290">
        <f t="shared" si="101"/>
        <v>0</v>
      </c>
      <c r="O155" s="276"/>
      <c r="P155" s="290">
        <f t="shared" si="101"/>
        <v>0</v>
      </c>
      <c r="Q155" s="276"/>
      <c r="R155" s="290"/>
      <c r="S155" s="276"/>
      <c r="T155" s="290"/>
      <c r="U155" s="276"/>
      <c r="V155" s="290">
        <f t="shared" si="102"/>
        <v>0</v>
      </c>
      <c r="W155" s="276"/>
      <c r="X155" s="290">
        <f t="shared" si="103"/>
        <v>0</v>
      </c>
      <c r="Y155" s="271">
        <f t="shared" si="94"/>
        <v>0</v>
      </c>
      <c r="Z155" s="290">
        <f t="shared" si="95"/>
        <v>0</v>
      </c>
    </row>
    <row r="156" spans="2:26" ht="19.8" customHeight="1" x14ac:dyDescent="0.6">
      <c r="B156" s="268">
        <v>9</v>
      </c>
      <c r="C156" s="255" t="s">
        <v>448</v>
      </c>
      <c r="D156" s="303" t="s">
        <v>474</v>
      </c>
      <c r="E156" s="276" t="s">
        <v>57</v>
      </c>
      <c r="G156" s="290"/>
      <c r="I156" s="290">
        <v>4950.37</v>
      </c>
      <c r="J156" s="298">
        <f t="shared" si="100"/>
        <v>346525</v>
      </c>
      <c r="K156" s="316">
        <v>346525</v>
      </c>
      <c r="L156" s="271"/>
      <c r="M156" s="276"/>
      <c r="N156" s="290">
        <f t="shared" si="101"/>
        <v>0</v>
      </c>
      <c r="O156" s="276"/>
      <c r="P156" s="290">
        <f t="shared" si="101"/>
        <v>0</v>
      </c>
      <c r="Q156" s="276"/>
      <c r="R156" s="290"/>
      <c r="S156" s="276"/>
      <c r="T156" s="290"/>
      <c r="U156" s="276"/>
      <c r="V156" s="290">
        <f t="shared" si="102"/>
        <v>0</v>
      </c>
      <c r="W156" s="276"/>
      <c r="X156" s="290">
        <f t="shared" si="103"/>
        <v>0</v>
      </c>
      <c r="Y156" s="271">
        <f t="shared" si="94"/>
        <v>0</v>
      </c>
      <c r="Z156" s="290">
        <f t="shared" si="95"/>
        <v>0</v>
      </c>
    </row>
    <row r="157" spans="2:26" ht="19.8" customHeight="1" x14ac:dyDescent="0.6">
      <c r="B157" s="268">
        <v>10</v>
      </c>
      <c r="C157" s="255" t="s">
        <v>450</v>
      </c>
      <c r="D157" s="303" t="s">
        <v>473</v>
      </c>
      <c r="E157" s="276" t="s">
        <v>57</v>
      </c>
      <c r="G157" s="290"/>
      <c r="I157" s="290">
        <v>3308.61</v>
      </c>
      <c r="J157" s="298">
        <f t="shared" si="100"/>
        <v>11580</v>
      </c>
      <c r="K157" s="316">
        <v>11580</v>
      </c>
      <c r="L157" s="271"/>
      <c r="M157" s="276"/>
      <c r="N157" s="290">
        <f t="shared" si="101"/>
        <v>0</v>
      </c>
      <c r="O157" s="276"/>
      <c r="P157" s="290">
        <f t="shared" si="101"/>
        <v>0</v>
      </c>
      <c r="Q157" s="276"/>
      <c r="R157" s="290"/>
      <c r="S157" s="276"/>
      <c r="T157" s="290"/>
      <c r="U157" s="276"/>
      <c r="V157" s="290">
        <f t="shared" si="102"/>
        <v>0</v>
      </c>
      <c r="W157" s="276"/>
      <c r="X157" s="290">
        <f t="shared" si="103"/>
        <v>0</v>
      </c>
      <c r="Y157" s="271">
        <f t="shared" si="94"/>
        <v>0</v>
      </c>
      <c r="Z157" s="290">
        <f t="shared" si="95"/>
        <v>0</v>
      </c>
    </row>
    <row r="158" spans="2:26" ht="19.8" customHeight="1" x14ac:dyDescent="0.6">
      <c r="B158" s="268">
        <v>11</v>
      </c>
      <c r="C158" s="255" t="s">
        <v>212</v>
      </c>
      <c r="D158" s="303" t="s">
        <v>472</v>
      </c>
      <c r="E158" s="276" t="s">
        <v>57</v>
      </c>
      <c r="G158" s="290"/>
      <c r="I158" s="290">
        <v>3101.93</v>
      </c>
      <c r="J158" s="298">
        <f t="shared" si="100"/>
        <v>227991</v>
      </c>
      <c r="K158" s="316">
        <v>227991</v>
      </c>
      <c r="L158" s="271"/>
      <c r="M158" s="276"/>
      <c r="N158" s="290">
        <f t="shared" si="101"/>
        <v>0</v>
      </c>
      <c r="O158" s="276"/>
      <c r="P158" s="290">
        <f t="shared" si="101"/>
        <v>0</v>
      </c>
      <c r="Q158" s="276"/>
      <c r="R158" s="290"/>
      <c r="S158" s="276"/>
      <c r="T158" s="290"/>
      <c r="U158" s="276"/>
      <c r="V158" s="290">
        <f t="shared" si="102"/>
        <v>0</v>
      </c>
      <c r="W158" s="276"/>
      <c r="X158" s="290">
        <f t="shared" si="103"/>
        <v>0</v>
      </c>
      <c r="Y158" s="271">
        <f t="shared" si="94"/>
        <v>0</v>
      </c>
      <c r="Z158" s="290">
        <f t="shared" si="95"/>
        <v>0</v>
      </c>
    </row>
    <row r="159" spans="2:26" ht="19.8" customHeight="1" x14ac:dyDescent="0.6">
      <c r="B159" s="268">
        <v>12</v>
      </c>
      <c r="C159" s="255" t="s">
        <v>56</v>
      </c>
      <c r="D159" s="303"/>
      <c r="E159" s="276"/>
      <c r="G159" s="290"/>
      <c r="I159" s="290"/>
      <c r="J159" s="298"/>
      <c r="K159" s="316"/>
      <c r="L159" s="271"/>
      <c r="M159" s="276"/>
      <c r="N159" s="290"/>
      <c r="O159" s="276"/>
      <c r="P159" s="290"/>
      <c r="Q159" s="276"/>
      <c r="R159" s="290"/>
      <c r="S159" s="276"/>
      <c r="T159" s="290"/>
      <c r="U159" s="276"/>
      <c r="V159" s="290"/>
      <c r="W159" s="276"/>
      <c r="X159" s="290"/>
      <c r="Y159" s="271">
        <f t="shared" si="94"/>
        <v>0</v>
      </c>
      <c r="Z159" s="290">
        <f t="shared" si="95"/>
        <v>0</v>
      </c>
    </row>
    <row r="160" spans="2:26" ht="19.8" customHeight="1" x14ac:dyDescent="0.6">
      <c r="B160" s="268"/>
      <c r="C160" s="261" t="s">
        <v>397</v>
      </c>
      <c r="D160" s="303" t="s">
        <v>456</v>
      </c>
      <c r="E160" s="276" t="s">
        <v>57</v>
      </c>
      <c r="G160" s="290"/>
      <c r="I160" s="290">
        <v>802.05</v>
      </c>
      <c r="J160" s="298">
        <f t="shared" ref="J160:J161" si="104">IF(G160="-","-",IF(D160&gt;0,ROUNDDOWN(I160*D160,0),""))</f>
        <v>53737</v>
      </c>
      <c r="K160" s="316">
        <v>53737</v>
      </c>
      <c r="L160" s="271"/>
      <c r="M160" s="276"/>
      <c r="N160" s="290">
        <f t="shared" ref="N160:P161" si="105">ROUNDDOWN(M160*$I160,0)</f>
        <v>0</v>
      </c>
      <c r="O160" s="276"/>
      <c r="P160" s="290">
        <f t="shared" si="105"/>
        <v>0</v>
      </c>
      <c r="Q160" s="276"/>
      <c r="R160" s="290"/>
      <c r="S160" s="276"/>
      <c r="T160" s="290"/>
      <c r="U160" s="276"/>
      <c r="V160" s="290">
        <f t="shared" ref="V160:V161" si="106">ROUNDDOWN(U160*$I160,0)</f>
        <v>0</v>
      </c>
      <c r="W160" s="276"/>
      <c r="X160" s="290">
        <f t="shared" ref="X160:X161" si="107">ROUNDDOWN(W160*$I160,0)</f>
        <v>0</v>
      </c>
      <c r="Y160" s="271">
        <f t="shared" si="94"/>
        <v>0</v>
      </c>
      <c r="Z160" s="290">
        <f t="shared" si="95"/>
        <v>0</v>
      </c>
    </row>
    <row r="161" spans="2:26" ht="19.8" customHeight="1" x14ac:dyDescent="0.6">
      <c r="B161" s="268"/>
      <c r="C161" s="261" t="s">
        <v>430</v>
      </c>
      <c r="D161" s="303" t="s">
        <v>323</v>
      </c>
      <c r="E161" s="276" t="s">
        <v>58</v>
      </c>
      <c r="G161" s="290"/>
      <c r="I161" s="290">
        <v>4438.1000000000004</v>
      </c>
      <c r="J161" s="298">
        <f t="shared" si="104"/>
        <v>13314</v>
      </c>
      <c r="K161" s="316">
        <v>13314</v>
      </c>
      <c r="L161" s="271"/>
      <c r="M161" s="276"/>
      <c r="N161" s="290">
        <f t="shared" si="105"/>
        <v>0</v>
      </c>
      <c r="O161" s="276"/>
      <c r="P161" s="290">
        <f t="shared" si="105"/>
        <v>0</v>
      </c>
      <c r="Q161" s="276"/>
      <c r="R161" s="290"/>
      <c r="S161" s="276"/>
      <c r="T161" s="290"/>
      <c r="U161" s="276"/>
      <c r="V161" s="290">
        <f t="shared" si="106"/>
        <v>0</v>
      </c>
      <c r="W161" s="276"/>
      <c r="X161" s="290">
        <f t="shared" si="107"/>
        <v>0</v>
      </c>
      <c r="Y161" s="271">
        <f t="shared" si="94"/>
        <v>0</v>
      </c>
      <c r="Z161" s="290">
        <f t="shared" si="95"/>
        <v>0</v>
      </c>
    </row>
    <row r="162" spans="2:26" ht="19.8" customHeight="1" x14ac:dyDescent="0.6">
      <c r="B162" s="268">
        <v>13</v>
      </c>
      <c r="C162" s="255" t="s">
        <v>431</v>
      </c>
      <c r="D162" s="303"/>
      <c r="E162" s="276"/>
      <c r="G162" s="290"/>
      <c r="I162" s="290"/>
      <c r="J162" s="298"/>
      <c r="K162" s="316"/>
      <c r="L162" s="271"/>
      <c r="M162" s="276"/>
      <c r="N162" s="290"/>
      <c r="O162" s="276"/>
      <c r="P162" s="290"/>
      <c r="Q162" s="276"/>
      <c r="R162" s="290"/>
      <c r="S162" s="276"/>
      <c r="T162" s="290"/>
      <c r="U162" s="276"/>
      <c r="V162" s="290"/>
      <c r="W162" s="276"/>
      <c r="X162" s="290"/>
      <c r="Y162" s="271">
        <f t="shared" si="94"/>
        <v>0</v>
      </c>
      <c r="Z162" s="290">
        <f t="shared" si="95"/>
        <v>0</v>
      </c>
    </row>
    <row r="163" spans="2:26" ht="19.8" customHeight="1" x14ac:dyDescent="0.6">
      <c r="B163" s="268">
        <v>14</v>
      </c>
      <c r="C163" s="255" t="s">
        <v>455</v>
      </c>
      <c r="D163" s="303" t="s">
        <v>471</v>
      </c>
      <c r="E163" s="276" t="s">
        <v>61</v>
      </c>
      <c r="G163" s="290"/>
      <c r="I163" s="290">
        <v>21869.91</v>
      </c>
      <c r="J163" s="298">
        <f t="shared" ref="J163" si="108">IF(G163="-","-",IF(D163&gt;0,ROUNDDOWN(I163*D163,0),""))</f>
        <v>1683983</v>
      </c>
      <c r="K163" s="316">
        <v>1683983</v>
      </c>
      <c r="L163" s="271" t="s">
        <v>897</v>
      </c>
      <c r="M163" s="276"/>
      <c r="N163" s="290">
        <f t="shared" ref="N163:P163" si="109">ROUNDDOWN(M163*$I163,0)</f>
        <v>0</v>
      </c>
      <c r="O163" s="276"/>
      <c r="P163" s="290">
        <f t="shared" si="109"/>
        <v>0</v>
      </c>
      <c r="Q163" s="276">
        <v>77</v>
      </c>
      <c r="R163" s="290">
        <v>1170000</v>
      </c>
      <c r="S163" s="276">
        <v>77</v>
      </c>
      <c r="T163" s="290">
        <v>1170000</v>
      </c>
      <c r="U163" s="276"/>
      <c r="V163" s="290">
        <f t="shared" ref="V163" si="110">ROUNDDOWN(U163*$I163,0)</f>
        <v>0</v>
      </c>
      <c r="W163" s="276"/>
      <c r="X163" s="290">
        <f t="shared" ref="X163" si="111">ROUNDDOWN(W163*$I163,0)</f>
        <v>0</v>
      </c>
      <c r="Y163" s="271">
        <f>M163+O163+Q163</f>
        <v>77</v>
      </c>
      <c r="Z163" s="290">
        <f>N163+P163+R163</f>
        <v>1170000</v>
      </c>
    </row>
    <row r="164" spans="2:26" ht="19.8" customHeight="1" x14ac:dyDescent="0.6">
      <c r="B164" s="268"/>
      <c r="C164" s="255" t="s">
        <v>52</v>
      </c>
      <c r="D164" s="303"/>
      <c r="E164" s="276"/>
      <c r="G164" s="290"/>
      <c r="I164" s="290"/>
      <c r="J164" s="298"/>
      <c r="K164" s="316"/>
      <c r="L164" s="271"/>
      <c r="M164" s="276"/>
      <c r="N164" s="290"/>
      <c r="O164" s="276"/>
      <c r="P164" s="290"/>
      <c r="Q164" s="276"/>
      <c r="R164" s="290"/>
      <c r="S164" s="276"/>
      <c r="T164" s="290"/>
      <c r="U164" s="276"/>
      <c r="V164" s="290"/>
      <c r="W164" s="276"/>
      <c r="X164" s="290"/>
      <c r="Y164" s="271">
        <f t="shared" si="94"/>
        <v>0</v>
      </c>
      <c r="Z164" s="290">
        <f t="shared" si="95"/>
        <v>0</v>
      </c>
    </row>
    <row r="165" spans="2:26" ht="19.8" customHeight="1" x14ac:dyDescent="0.6">
      <c r="B165" s="268">
        <v>15</v>
      </c>
      <c r="C165" s="255" t="s">
        <v>469</v>
      </c>
      <c r="D165" s="303" t="s">
        <v>470</v>
      </c>
      <c r="E165" s="276" t="s">
        <v>61</v>
      </c>
      <c r="G165" s="290"/>
      <c r="I165" s="290">
        <v>11069.01</v>
      </c>
      <c r="J165" s="298">
        <f t="shared" ref="J165" si="112">IF(G165="-","-",IF(D165&gt;0,ROUNDDOWN(I165*D165,0),""))</f>
        <v>774830</v>
      </c>
      <c r="K165" s="316">
        <v>774830</v>
      </c>
      <c r="L165" s="271" t="s">
        <v>890</v>
      </c>
      <c r="M165" s="276"/>
      <c r="N165" s="290">
        <f t="shared" ref="N165" si="113">ROUNDDOWN(M165*$I165,0)</f>
        <v>0</v>
      </c>
      <c r="O165" s="276">
        <v>70</v>
      </c>
      <c r="P165" s="290">
        <v>540000</v>
      </c>
      <c r="Q165" s="276"/>
      <c r="R165" s="290"/>
      <c r="S165" s="276"/>
      <c r="T165" s="290"/>
      <c r="U165" s="276"/>
      <c r="V165" s="290">
        <f>N165+P165</f>
        <v>540000</v>
      </c>
      <c r="W165" s="276"/>
      <c r="X165" s="290">
        <f>P165+R165</f>
        <v>540000</v>
      </c>
      <c r="Y165" s="271">
        <f t="shared" si="94"/>
        <v>70</v>
      </c>
      <c r="Z165" s="290">
        <f>N165+P165</f>
        <v>540000</v>
      </c>
    </row>
    <row r="166" spans="2:26" ht="19.8" customHeight="1" x14ac:dyDescent="0.6">
      <c r="B166" s="268"/>
      <c r="C166" s="255" t="s">
        <v>52</v>
      </c>
      <c r="D166" s="303"/>
      <c r="E166" s="276"/>
      <c r="G166" s="290"/>
      <c r="I166" s="290"/>
      <c r="J166" s="298"/>
      <c r="K166" s="316"/>
      <c r="L166" s="271"/>
      <c r="M166" s="276"/>
      <c r="N166" s="290"/>
      <c r="O166" s="276"/>
      <c r="P166" s="290"/>
      <c r="Q166" s="276"/>
      <c r="R166" s="290"/>
      <c r="S166" s="276"/>
      <c r="T166" s="290"/>
      <c r="U166" s="276"/>
      <c r="V166" s="290"/>
      <c r="W166" s="276"/>
      <c r="X166" s="290"/>
      <c r="Y166" s="271">
        <f t="shared" si="94"/>
        <v>0</v>
      </c>
      <c r="Z166" s="290">
        <f t="shared" si="95"/>
        <v>0</v>
      </c>
    </row>
    <row r="167" spans="2:26" ht="19.8" customHeight="1" x14ac:dyDescent="0.6">
      <c r="B167" s="268"/>
      <c r="D167" s="303"/>
      <c r="E167" s="276"/>
      <c r="G167" s="290"/>
      <c r="I167" s="290"/>
      <c r="J167" s="298"/>
      <c r="K167" s="316"/>
      <c r="L167" s="271"/>
      <c r="M167" s="276"/>
      <c r="N167" s="290"/>
      <c r="O167" s="276"/>
      <c r="P167" s="290"/>
      <c r="Q167" s="276"/>
      <c r="R167" s="290"/>
      <c r="S167" s="276"/>
      <c r="T167" s="290"/>
      <c r="U167" s="276"/>
      <c r="V167" s="290"/>
      <c r="W167" s="276"/>
      <c r="X167" s="290"/>
      <c r="Y167" s="271">
        <f t="shared" si="94"/>
        <v>0</v>
      </c>
      <c r="Z167" s="290">
        <f t="shared" si="95"/>
        <v>0</v>
      </c>
    </row>
    <row r="168" spans="2:26" ht="19.8" customHeight="1" x14ac:dyDescent="0.6">
      <c r="B168" s="817" t="s">
        <v>475</v>
      </c>
      <c r="C168" s="818"/>
      <c r="D168" s="294" t="s">
        <v>474</v>
      </c>
      <c r="E168" s="257" t="s">
        <v>57</v>
      </c>
      <c r="F168" s="296"/>
      <c r="G168" s="293"/>
      <c r="H168" s="297"/>
      <c r="I168" s="299"/>
      <c r="J168" s="299">
        <f>SUM(J145:J167)</f>
        <v>3829031</v>
      </c>
      <c r="K168" s="319">
        <v>3829031</v>
      </c>
      <c r="L168" s="301"/>
      <c r="M168" s="257"/>
      <c r="N168" s="293">
        <f>SUM(N145:N167)</f>
        <v>17394</v>
      </c>
      <c r="O168" s="257"/>
      <c r="P168" s="293">
        <f>SUM(P145:P167)</f>
        <v>540000</v>
      </c>
      <c r="Q168" s="257"/>
      <c r="R168" s="293">
        <f>SUM(R145:R167)</f>
        <v>1170000</v>
      </c>
      <c r="S168" s="257"/>
      <c r="T168" s="293">
        <f>SUM(T145:T167)</f>
        <v>1170000</v>
      </c>
      <c r="U168" s="257"/>
      <c r="V168" s="293">
        <f>SUM(V145:V167)</f>
        <v>557394</v>
      </c>
      <c r="W168" s="257"/>
      <c r="X168" s="293">
        <f>SUM(X145:X167)</f>
        <v>557394</v>
      </c>
      <c r="Y168" s="262">
        <f t="shared" si="94"/>
        <v>0</v>
      </c>
      <c r="Z168" s="293">
        <f>N168+P168+R168</f>
        <v>1727394</v>
      </c>
    </row>
    <row r="169" spans="2:26" ht="19.8" customHeight="1" x14ac:dyDescent="0.6">
      <c r="B169" s="306" t="s">
        <v>476</v>
      </c>
      <c r="C169" s="255" t="s">
        <v>64</v>
      </c>
      <c r="D169" s="303"/>
      <c r="E169" s="276"/>
      <c r="G169" s="290"/>
      <c r="I169" s="290"/>
      <c r="J169" s="298"/>
      <c r="K169" s="316"/>
      <c r="L169" s="271"/>
      <c r="M169" s="276"/>
      <c r="N169" s="290"/>
      <c r="O169" s="276"/>
      <c r="P169" s="290"/>
      <c r="Q169" s="276"/>
      <c r="R169" s="290"/>
      <c r="S169" s="276"/>
      <c r="T169" s="290"/>
      <c r="U169" s="276"/>
      <c r="V169" s="290"/>
      <c r="W169" s="276"/>
      <c r="X169" s="290"/>
      <c r="Y169" s="271">
        <f t="shared" si="94"/>
        <v>0</v>
      </c>
      <c r="Z169" s="290">
        <f t="shared" si="95"/>
        <v>0</v>
      </c>
    </row>
    <row r="170" spans="2:26" ht="19.8" customHeight="1" x14ac:dyDescent="0.6">
      <c r="B170" s="268"/>
      <c r="C170" s="255" t="s">
        <v>477</v>
      </c>
      <c r="D170" s="303"/>
      <c r="E170" s="276"/>
      <c r="G170" s="290"/>
      <c r="I170" s="290"/>
      <c r="J170" s="298"/>
      <c r="K170" s="316"/>
      <c r="L170" s="271"/>
      <c r="M170" s="276"/>
      <c r="N170" s="290"/>
      <c r="O170" s="276"/>
      <c r="P170" s="290"/>
      <c r="Q170" s="276"/>
      <c r="R170" s="290"/>
      <c r="S170" s="276"/>
      <c r="T170" s="290"/>
      <c r="U170" s="276"/>
      <c r="V170" s="290"/>
      <c r="W170" s="276"/>
      <c r="X170" s="290"/>
      <c r="Y170" s="271">
        <f t="shared" si="94"/>
        <v>0</v>
      </c>
      <c r="Z170" s="290">
        <f t="shared" si="95"/>
        <v>0</v>
      </c>
    </row>
    <row r="171" spans="2:26" ht="19.8" customHeight="1" x14ac:dyDescent="0.6">
      <c r="B171" s="268"/>
      <c r="C171" s="255" t="s">
        <v>478</v>
      </c>
      <c r="D171" s="303"/>
      <c r="E171" s="276"/>
      <c r="G171" s="290"/>
      <c r="I171" s="290"/>
      <c r="J171" s="298"/>
      <c r="K171" s="316"/>
      <c r="L171" s="271"/>
      <c r="M171" s="276"/>
      <c r="N171" s="290"/>
      <c r="O171" s="276"/>
      <c r="P171" s="290"/>
      <c r="Q171" s="276"/>
      <c r="R171" s="290"/>
      <c r="S171" s="276"/>
      <c r="T171" s="290"/>
      <c r="U171" s="276"/>
      <c r="V171" s="290"/>
      <c r="W171" s="276"/>
      <c r="X171" s="290"/>
      <c r="Y171" s="271">
        <f t="shared" si="94"/>
        <v>0</v>
      </c>
      <c r="Z171" s="290">
        <f t="shared" si="95"/>
        <v>0</v>
      </c>
    </row>
    <row r="172" spans="2:26" ht="19.8" customHeight="1" x14ac:dyDescent="0.6">
      <c r="B172" s="268">
        <v>1</v>
      </c>
      <c r="C172" s="255" t="s">
        <v>194</v>
      </c>
      <c r="D172" s="303" t="s">
        <v>389</v>
      </c>
      <c r="E172" s="276" t="s">
        <v>78</v>
      </c>
      <c r="G172" s="290"/>
      <c r="I172" s="290">
        <v>17394</v>
      </c>
      <c r="J172" s="298">
        <f t="shared" ref="J172:J181" si="114">IF(G172="-","-",IF(D172&gt;0,ROUNDDOWN(I172*D172,0),""))</f>
        <v>17394</v>
      </c>
      <c r="K172" s="316">
        <v>17394</v>
      </c>
      <c r="L172" s="271"/>
      <c r="M172" s="276">
        <v>1</v>
      </c>
      <c r="N172" s="290">
        <f t="shared" ref="N172:P181" si="115">ROUNDDOWN(M172*$I172,0)</f>
        <v>17394</v>
      </c>
      <c r="O172" s="276"/>
      <c r="P172" s="290">
        <f t="shared" si="115"/>
        <v>0</v>
      </c>
      <c r="Q172" s="276"/>
      <c r="R172" s="290"/>
      <c r="S172" s="276"/>
      <c r="T172" s="290"/>
      <c r="U172" s="276">
        <v>1</v>
      </c>
      <c r="V172" s="290">
        <f t="shared" ref="V172:V181" si="116">ROUNDDOWN(U172*$I172,0)</f>
        <v>17394</v>
      </c>
      <c r="W172" s="276">
        <v>1</v>
      </c>
      <c r="X172" s="290">
        <f t="shared" ref="X172:X181" si="117">ROUNDDOWN(W172*$I172,0)</f>
        <v>17394</v>
      </c>
      <c r="Y172" s="271">
        <f t="shared" si="94"/>
        <v>1</v>
      </c>
      <c r="Z172" s="290">
        <f t="shared" si="95"/>
        <v>17394</v>
      </c>
    </row>
    <row r="173" spans="2:26" ht="19.8" customHeight="1" x14ac:dyDescent="0.6">
      <c r="B173" s="268">
        <v>2</v>
      </c>
      <c r="C173" s="255" t="s">
        <v>195</v>
      </c>
      <c r="D173" s="303" t="s">
        <v>479</v>
      </c>
      <c r="E173" s="276" t="s">
        <v>55</v>
      </c>
      <c r="G173" s="290"/>
      <c r="I173" s="290">
        <v>38.44</v>
      </c>
      <c r="J173" s="298">
        <f t="shared" si="114"/>
        <v>13992</v>
      </c>
      <c r="K173" s="316">
        <v>13992</v>
      </c>
      <c r="L173" s="271"/>
      <c r="M173" s="276"/>
      <c r="N173" s="290">
        <f t="shared" si="115"/>
        <v>0</v>
      </c>
      <c r="O173" s="276"/>
      <c r="P173" s="290">
        <f t="shared" si="115"/>
        <v>0</v>
      </c>
      <c r="Q173" s="276"/>
      <c r="R173" s="290"/>
      <c r="S173" s="276"/>
      <c r="T173" s="290"/>
      <c r="U173" s="276"/>
      <c r="V173" s="290">
        <f t="shared" si="116"/>
        <v>0</v>
      </c>
      <c r="W173" s="276"/>
      <c r="X173" s="290">
        <f t="shared" si="117"/>
        <v>0</v>
      </c>
      <c r="Y173" s="271">
        <f t="shared" si="94"/>
        <v>0</v>
      </c>
      <c r="Z173" s="290">
        <f t="shared" si="95"/>
        <v>0</v>
      </c>
    </row>
    <row r="174" spans="2:26" ht="19.8" customHeight="1" x14ac:dyDescent="0.6">
      <c r="B174" s="268">
        <v>5</v>
      </c>
      <c r="C174" s="255" t="s">
        <v>196</v>
      </c>
      <c r="D174" s="303" t="s">
        <v>389</v>
      </c>
      <c r="E174" s="276" t="s">
        <v>61</v>
      </c>
      <c r="G174" s="290"/>
      <c r="I174" s="290">
        <v>811.72</v>
      </c>
      <c r="J174" s="298">
        <f t="shared" si="114"/>
        <v>811</v>
      </c>
      <c r="K174" s="316">
        <v>811</v>
      </c>
      <c r="L174" s="271"/>
      <c r="M174" s="276"/>
      <c r="N174" s="290">
        <f t="shared" si="115"/>
        <v>0</v>
      </c>
      <c r="O174" s="276"/>
      <c r="P174" s="290">
        <f t="shared" si="115"/>
        <v>0</v>
      </c>
      <c r="Q174" s="276"/>
      <c r="R174" s="290"/>
      <c r="S174" s="276"/>
      <c r="T174" s="290"/>
      <c r="U174" s="276"/>
      <c r="V174" s="290">
        <f t="shared" si="116"/>
        <v>0</v>
      </c>
      <c r="W174" s="276"/>
      <c r="X174" s="290">
        <f t="shared" si="117"/>
        <v>0</v>
      </c>
      <c r="Y174" s="271">
        <f t="shared" si="94"/>
        <v>0</v>
      </c>
      <c r="Z174" s="290">
        <f t="shared" si="95"/>
        <v>0</v>
      </c>
    </row>
    <row r="175" spans="2:26" ht="19.8" customHeight="1" x14ac:dyDescent="0.6">
      <c r="B175" s="268">
        <v>6</v>
      </c>
      <c r="C175" s="255" t="s">
        <v>440</v>
      </c>
      <c r="D175" s="303" t="s">
        <v>464</v>
      </c>
      <c r="E175" s="276" t="s">
        <v>62</v>
      </c>
      <c r="G175" s="290"/>
      <c r="I175" s="290">
        <v>721.05</v>
      </c>
      <c r="J175" s="298">
        <f t="shared" si="114"/>
        <v>160073</v>
      </c>
      <c r="K175" s="316">
        <v>160073</v>
      </c>
      <c r="L175" s="271"/>
      <c r="M175" s="276"/>
      <c r="N175" s="290">
        <f t="shared" si="115"/>
        <v>0</v>
      </c>
      <c r="O175" s="276"/>
      <c r="P175" s="290">
        <f t="shared" si="115"/>
        <v>0</v>
      </c>
      <c r="Q175" s="276"/>
      <c r="R175" s="290"/>
      <c r="S175" s="276"/>
      <c r="T175" s="290"/>
      <c r="U175" s="276"/>
      <c r="V175" s="290">
        <f t="shared" si="116"/>
        <v>0</v>
      </c>
      <c r="W175" s="276"/>
      <c r="X175" s="290">
        <f t="shared" si="117"/>
        <v>0</v>
      </c>
      <c r="Y175" s="271">
        <f t="shared" si="94"/>
        <v>0</v>
      </c>
      <c r="Z175" s="290">
        <f t="shared" si="95"/>
        <v>0</v>
      </c>
    </row>
    <row r="176" spans="2:26" ht="19.8" customHeight="1" x14ac:dyDescent="0.6">
      <c r="B176" s="268">
        <v>7</v>
      </c>
      <c r="C176" s="255" t="s">
        <v>387</v>
      </c>
      <c r="D176" s="303" t="s">
        <v>480</v>
      </c>
      <c r="E176" s="276" t="s">
        <v>55</v>
      </c>
      <c r="G176" s="290"/>
      <c r="I176" s="290">
        <v>865.06</v>
      </c>
      <c r="J176" s="298">
        <f t="shared" si="114"/>
        <v>181662</v>
      </c>
      <c r="K176" s="316">
        <v>181662</v>
      </c>
      <c r="L176" s="271"/>
      <c r="M176" s="276"/>
      <c r="N176" s="290">
        <f t="shared" si="115"/>
        <v>0</v>
      </c>
      <c r="O176" s="276"/>
      <c r="P176" s="290">
        <f t="shared" si="115"/>
        <v>0</v>
      </c>
      <c r="Q176" s="276"/>
      <c r="R176" s="290"/>
      <c r="S176" s="276"/>
      <c r="T176" s="290"/>
      <c r="U176" s="276"/>
      <c r="V176" s="290">
        <f t="shared" si="116"/>
        <v>0</v>
      </c>
      <c r="W176" s="276"/>
      <c r="X176" s="290">
        <f t="shared" si="117"/>
        <v>0</v>
      </c>
      <c r="Y176" s="271">
        <f t="shared" si="94"/>
        <v>0</v>
      </c>
      <c r="Z176" s="290">
        <f t="shared" si="95"/>
        <v>0</v>
      </c>
    </row>
    <row r="177" spans="2:26" ht="19.8" customHeight="1" x14ac:dyDescent="0.6">
      <c r="B177" s="268">
        <v>8</v>
      </c>
      <c r="C177" s="255" t="s">
        <v>197</v>
      </c>
      <c r="D177" s="303" t="s">
        <v>467</v>
      </c>
      <c r="E177" s="276" t="s">
        <v>54</v>
      </c>
      <c r="G177" s="290"/>
      <c r="I177" s="290">
        <v>104.6</v>
      </c>
      <c r="J177" s="298">
        <f t="shared" si="114"/>
        <v>35354</v>
      </c>
      <c r="K177" s="316">
        <v>35354</v>
      </c>
      <c r="L177" s="271"/>
      <c r="M177" s="276"/>
      <c r="N177" s="290">
        <f t="shared" si="115"/>
        <v>0</v>
      </c>
      <c r="O177" s="276"/>
      <c r="P177" s="290">
        <f t="shared" si="115"/>
        <v>0</v>
      </c>
      <c r="Q177" s="276"/>
      <c r="R177" s="290"/>
      <c r="S177" s="276"/>
      <c r="T177" s="290"/>
      <c r="U177" s="276"/>
      <c r="V177" s="290">
        <f t="shared" si="116"/>
        <v>0</v>
      </c>
      <c r="W177" s="276"/>
      <c r="X177" s="290">
        <f t="shared" si="117"/>
        <v>0</v>
      </c>
      <c r="Y177" s="271">
        <f t="shared" si="94"/>
        <v>0</v>
      </c>
      <c r="Z177" s="290">
        <f t="shared" si="95"/>
        <v>0</v>
      </c>
    </row>
    <row r="178" spans="2:26" ht="19.8" customHeight="1" x14ac:dyDescent="0.6">
      <c r="B178" s="268">
        <v>9</v>
      </c>
      <c r="C178" s="255" t="s">
        <v>215</v>
      </c>
      <c r="D178" s="303" t="s">
        <v>466</v>
      </c>
      <c r="E178" s="276" t="s">
        <v>55</v>
      </c>
      <c r="G178" s="290"/>
      <c r="I178" s="290">
        <v>330.94</v>
      </c>
      <c r="J178" s="298">
        <f t="shared" si="114"/>
        <v>164477</v>
      </c>
      <c r="K178" s="316">
        <v>164477</v>
      </c>
      <c r="L178" s="271"/>
      <c r="M178" s="276"/>
      <c r="N178" s="290">
        <f t="shared" si="115"/>
        <v>0</v>
      </c>
      <c r="O178" s="276"/>
      <c r="P178" s="290">
        <f t="shared" si="115"/>
        <v>0</v>
      </c>
      <c r="Q178" s="276"/>
      <c r="R178" s="290"/>
      <c r="S178" s="276"/>
      <c r="T178" s="290"/>
      <c r="U178" s="276"/>
      <c r="V178" s="290">
        <f t="shared" si="116"/>
        <v>0</v>
      </c>
      <c r="W178" s="276"/>
      <c r="X178" s="290">
        <f t="shared" si="117"/>
        <v>0</v>
      </c>
      <c r="Y178" s="271">
        <f t="shared" si="94"/>
        <v>0</v>
      </c>
      <c r="Z178" s="290">
        <f t="shared" si="95"/>
        <v>0</v>
      </c>
    </row>
    <row r="179" spans="2:26" ht="19.8" customHeight="1" x14ac:dyDescent="0.6">
      <c r="B179" s="268">
        <v>10</v>
      </c>
      <c r="C179" s="255" t="s">
        <v>481</v>
      </c>
      <c r="D179" s="303" t="s">
        <v>474</v>
      </c>
      <c r="E179" s="276" t="s">
        <v>57</v>
      </c>
      <c r="G179" s="290"/>
      <c r="I179" s="290">
        <v>4950.37</v>
      </c>
      <c r="J179" s="298">
        <f t="shared" si="114"/>
        <v>346525</v>
      </c>
      <c r="K179" s="316">
        <v>346525</v>
      </c>
      <c r="L179" s="271"/>
      <c r="M179" s="276"/>
      <c r="N179" s="290">
        <f t="shared" si="115"/>
        <v>0</v>
      </c>
      <c r="O179" s="276"/>
      <c r="P179" s="290">
        <f t="shared" si="115"/>
        <v>0</v>
      </c>
      <c r="Q179" s="276"/>
      <c r="R179" s="290"/>
      <c r="S179" s="276"/>
      <c r="T179" s="290"/>
      <c r="U179" s="276"/>
      <c r="V179" s="290">
        <f t="shared" si="116"/>
        <v>0</v>
      </c>
      <c r="W179" s="276"/>
      <c r="X179" s="290">
        <f t="shared" si="117"/>
        <v>0</v>
      </c>
      <c r="Y179" s="271">
        <f t="shared" si="94"/>
        <v>0</v>
      </c>
      <c r="Z179" s="290">
        <f t="shared" si="95"/>
        <v>0</v>
      </c>
    </row>
    <row r="180" spans="2:26" ht="19.8" customHeight="1" x14ac:dyDescent="0.6">
      <c r="B180" s="268">
        <v>11</v>
      </c>
      <c r="C180" s="255" t="s">
        <v>482</v>
      </c>
      <c r="D180" s="303" t="s">
        <v>473</v>
      </c>
      <c r="E180" s="276" t="s">
        <v>57</v>
      </c>
      <c r="G180" s="290"/>
      <c r="I180" s="290">
        <v>3308.61</v>
      </c>
      <c r="J180" s="298">
        <f t="shared" si="114"/>
        <v>11580</v>
      </c>
      <c r="K180" s="316">
        <v>11580</v>
      </c>
      <c r="L180" s="271"/>
      <c r="M180" s="276"/>
      <c r="N180" s="290">
        <f t="shared" si="115"/>
        <v>0</v>
      </c>
      <c r="O180" s="276"/>
      <c r="P180" s="290">
        <f t="shared" si="115"/>
        <v>0</v>
      </c>
      <c r="Q180" s="276"/>
      <c r="R180" s="290"/>
      <c r="S180" s="276"/>
      <c r="T180" s="290"/>
      <c r="U180" s="276"/>
      <c r="V180" s="290">
        <f t="shared" si="116"/>
        <v>0</v>
      </c>
      <c r="W180" s="276"/>
      <c r="X180" s="290">
        <f t="shared" si="117"/>
        <v>0</v>
      </c>
      <c r="Y180" s="271">
        <f t="shared" si="94"/>
        <v>0</v>
      </c>
      <c r="Z180" s="290">
        <f t="shared" si="95"/>
        <v>0</v>
      </c>
    </row>
    <row r="181" spans="2:26" ht="19.8" customHeight="1" x14ac:dyDescent="0.6">
      <c r="B181" s="268">
        <v>12</v>
      </c>
      <c r="C181" s="255" t="s">
        <v>212</v>
      </c>
      <c r="D181" s="303" t="s">
        <v>472</v>
      </c>
      <c r="E181" s="276" t="s">
        <v>57</v>
      </c>
      <c r="G181" s="290"/>
      <c r="I181" s="290">
        <v>3101.93</v>
      </c>
      <c r="J181" s="298">
        <f t="shared" si="114"/>
        <v>227991</v>
      </c>
      <c r="K181" s="316">
        <v>227991</v>
      </c>
      <c r="L181" s="271"/>
      <c r="M181" s="276"/>
      <c r="N181" s="290">
        <f t="shared" si="115"/>
        <v>0</v>
      </c>
      <c r="O181" s="276"/>
      <c r="P181" s="290">
        <f t="shared" si="115"/>
        <v>0</v>
      </c>
      <c r="Q181" s="276"/>
      <c r="R181" s="290"/>
      <c r="S181" s="276"/>
      <c r="T181" s="290"/>
      <c r="U181" s="276"/>
      <c r="V181" s="290">
        <f t="shared" si="116"/>
        <v>0</v>
      </c>
      <c r="W181" s="276"/>
      <c r="X181" s="290">
        <f t="shared" si="117"/>
        <v>0</v>
      </c>
      <c r="Y181" s="271">
        <f t="shared" si="94"/>
        <v>0</v>
      </c>
      <c r="Z181" s="290">
        <f t="shared" si="95"/>
        <v>0</v>
      </c>
    </row>
    <row r="182" spans="2:26" ht="19.8" customHeight="1" x14ac:dyDescent="0.6">
      <c r="B182" s="268">
        <v>13</v>
      </c>
      <c r="C182" s="255" t="s">
        <v>483</v>
      </c>
      <c r="D182" s="303"/>
      <c r="E182" s="276"/>
      <c r="G182" s="290"/>
      <c r="I182" s="290"/>
      <c r="J182" s="298"/>
      <c r="K182" s="316"/>
      <c r="L182" s="271"/>
      <c r="M182" s="276"/>
      <c r="N182" s="290"/>
      <c r="O182" s="276"/>
      <c r="P182" s="290"/>
      <c r="Q182" s="276"/>
      <c r="R182" s="290"/>
      <c r="S182" s="276"/>
      <c r="T182" s="290"/>
      <c r="U182" s="276"/>
      <c r="V182" s="290"/>
      <c r="W182" s="276"/>
      <c r="X182" s="290"/>
      <c r="Y182" s="271">
        <f t="shared" si="94"/>
        <v>0</v>
      </c>
      <c r="Z182" s="290">
        <f t="shared" si="95"/>
        <v>0</v>
      </c>
    </row>
    <row r="183" spans="2:26" ht="19.8" customHeight="1" x14ac:dyDescent="0.6">
      <c r="B183" s="268"/>
      <c r="C183" s="261" t="s">
        <v>397</v>
      </c>
      <c r="D183" s="303" t="s">
        <v>486</v>
      </c>
      <c r="E183" s="276" t="s">
        <v>57</v>
      </c>
      <c r="G183" s="290"/>
      <c r="I183" s="290">
        <v>802.05</v>
      </c>
      <c r="J183" s="298">
        <f t="shared" ref="J183:J184" si="118">IF(G183="-","-",IF(D183&gt;0,ROUNDDOWN(I183*D183,0),""))</f>
        <v>53737</v>
      </c>
      <c r="K183" s="316">
        <v>53737</v>
      </c>
      <c r="L183" s="271"/>
      <c r="M183" s="276"/>
      <c r="N183" s="290">
        <f t="shared" ref="N183:P184" si="119">ROUNDDOWN(M183*$I183,0)</f>
        <v>0</v>
      </c>
      <c r="O183" s="276"/>
      <c r="P183" s="290">
        <f t="shared" si="119"/>
        <v>0</v>
      </c>
      <c r="Q183" s="276"/>
      <c r="R183" s="290"/>
      <c r="S183" s="276"/>
      <c r="T183" s="290"/>
      <c r="U183" s="276"/>
      <c r="V183" s="290">
        <f t="shared" ref="V183:V184" si="120">ROUNDDOWN(U183*$I183,0)</f>
        <v>0</v>
      </c>
      <c r="W183" s="276"/>
      <c r="X183" s="290">
        <f t="shared" ref="X183:X184" si="121">ROUNDDOWN(W183*$I183,0)</f>
        <v>0</v>
      </c>
      <c r="Y183" s="271">
        <f t="shared" si="94"/>
        <v>0</v>
      </c>
      <c r="Z183" s="290">
        <f t="shared" si="95"/>
        <v>0</v>
      </c>
    </row>
    <row r="184" spans="2:26" ht="19.8" customHeight="1" x14ac:dyDescent="0.6">
      <c r="B184" s="268"/>
      <c r="C184" s="261" t="s">
        <v>430</v>
      </c>
      <c r="D184" s="303" t="s">
        <v>323</v>
      </c>
      <c r="E184" s="276" t="s">
        <v>58</v>
      </c>
      <c r="G184" s="290"/>
      <c r="I184" s="290">
        <v>4438.1000000000004</v>
      </c>
      <c r="J184" s="298">
        <f t="shared" si="118"/>
        <v>13314</v>
      </c>
      <c r="K184" s="316">
        <v>13314</v>
      </c>
      <c r="L184" s="271"/>
      <c r="M184" s="276"/>
      <c r="N184" s="290">
        <f t="shared" si="119"/>
        <v>0</v>
      </c>
      <c r="O184" s="276"/>
      <c r="P184" s="290">
        <f t="shared" si="119"/>
        <v>0</v>
      </c>
      <c r="Q184" s="276"/>
      <c r="R184" s="290"/>
      <c r="S184" s="276"/>
      <c r="T184" s="290"/>
      <c r="U184" s="276"/>
      <c r="V184" s="290">
        <f t="shared" si="120"/>
        <v>0</v>
      </c>
      <c r="W184" s="276"/>
      <c r="X184" s="290">
        <f t="shared" si="121"/>
        <v>0</v>
      </c>
      <c r="Y184" s="271">
        <f t="shared" si="94"/>
        <v>0</v>
      </c>
      <c r="Z184" s="290">
        <f t="shared" si="95"/>
        <v>0</v>
      </c>
    </row>
    <row r="185" spans="2:26" ht="19.8" customHeight="1" x14ac:dyDescent="0.6">
      <c r="B185" s="268">
        <v>14</v>
      </c>
      <c r="C185" s="255" t="s">
        <v>431</v>
      </c>
      <c r="D185" s="303"/>
      <c r="E185" s="276"/>
      <c r="G185" s="290"/>
      <c r="I185" s="290"/>
      <c r="J185" s="298"/>
      <c r="K185" s="316"/>
      <c r="L185" s="271"/>
      <c r="M185" s="276"/>
      <c r="N185" s="290"/>
      <c r="O185" s="276"/>
      <c r="P185" s="290"/>
      <c r="Q185" s="276"/>
      <c r="R185" s="290"/>
      <c r="S185" s="276"/>
      <c r="T185" s="290"/>
      <c r="U185" s="276"/>
      <c r="V185" s="290"/>
      <c r="W185" s="276"/>
      <c r="X185" s="290"/>
      <c r="Y185" s="271">
        <f t="shared" si="94"/>
        <v>0</v>
      </c>
      <c r="Z185" s="290">
        <f t="shared" si="95"/>
        <v>0</v>
      </c>
    </row>
    <row r="186" spans="2:26" ht="19.8" customHeight="1" x14ac:dyDescent="0.6">
      <c r="B186" s="268">
        <v>15</v>
      </c>
      <c r="C186" s="255" t="s">
        <v>484</v>
      </c>
      <c r="D186" s="303" t="s">
        <v>471</v>
      </c>
      <c r="E186" s="276" t="s">
        <v>61</v>
      </c>
      <c r="G186" s="290"/>
      <c r="I186" s="290">
        <v>24386.74</v>
      </c>
      <c r="J186" s="298">
        <f t="shared" ref="J186" si="122">IF(G186="-","-",IF(D186&gt;0,ROUNDDOWN(I186*D186,0),""))</f>
        <v>1877778</v>
      </c>
      <c r="K186" s="316">
        <v>1877778</v>
      </c>
      <c r="L186" s="271" t="s">
        <v>891</v>
      </c>
      <c r="M186" s="276"/>
      <c r="N186" s="290">
        <f t="shared" ref="N186" si="123">ROUNDDOWN(M186*$I186,0)</f>
        <v>0</v>
      </c>
      <c r="O186" s="276">
        <v>77</v>
      </c>
      <c r="P186" s="290">
        <v>1360000</v>
      </c>
      <c r="Q186" s="276"/>
      <c r="R186" s="290"/>
      <c r="S186" s="276"/>
      <c r="T186" s="290"/>
      <c r="U186" s="276"/>
      <c r="V186" s="290">
        <v>1360000</v>
      </c>
      <c r="W186" s="276"/>
      <c r="X186" s="290">
        <v>1360000</v>
      </c>
      <c r="Y186" s="271">
        <f t="shared" si="94"/>
        <v>77</v>
      </c>
      <c r="Z186" s="290">
        <f t="shared" si="95"/>
        <v>1360000</v>
      </c>
    </row>
    <row r="187" spans="2:26" ht="19.8" customHeight="1" x14ac:dyDescent="0.6">
      <c r="B187" s="268"/>
      <c r="C187" s="255" t="s">
        <v>52</v>
      </c>
      <c r="D187" s="303"/>
      <c r="E187" s="276"/>
      <c r="G187" s="290"/>
      <c r="I187" s="290"/>
      <c r="J187" s="298"/>
      <c r="K187" s="316"/>
      <c r="L187" s="271"/>
      <c r="M187" s="276"/>
      <c r="N187" s="290"/>
      <c r="O187" s="276"/>
      <c r="P187" s="290"/>
      <c r="Q187" s="276"/>
      <c r="R187" s="290"/>
      <c r="S187" s="276"/>
      <c r="T187" s="290"/>
      <c r="U187" s="276"/>
      <c r="V187" s="290"/>
      <c r="W187" s="276"/>
      <c r="X187" s="290"/>
      <c r="Y187" s="271">
        <f t="shared" si="94"/>
        <v>0</v>
      </c>
      <c r="Z187" s="290">
        <f t="shared" si="95"/>
        <v>0</v>
      </c>
    </row>
    <row r="188" spans="2:26" ht="19.8" customHeight="1" x14ac:dyDescent="0.6">
      <c r="B188" s="268">
        <v>16</v>
      </c>
      <c r="C188" s="255" t="s">
        <v>485</v>
      </c>
      <c r="D188" s="303" t="s">
        <v>470</v>
      </c>
      <c r="E188" s="276" t="s">
        <v>61</v>
      </c>
      <c r="G188" s="290"/>
      <c r="I188" s="290">
        <v>12450.64</v>
      </c>
      <c r="J188" s="298">
        <f t="shared" ref="J188" si="124">IF(G188="-","-",IF(D188&gt;0,ROUNDDOWN(I188*D188,0),""))</f>
        <v>871544</v>
      </c>
      <c r="K188" s="316">
        <v>871544</v>
      </c>
      <c r="L188" s="271" t="s">
        <v>898</v>
      </c>
      <c r="M188" s="276"/>
      <c r="N188" s="290">
        <f t="shared" ref="N188:P188" si="125">ROUNDDOWN(M188*$I188,0)</f>
        <v>0</v>
      </c>
      <c r="O188" s="276"/>
      <c r="P188" s="290">
        <f t="shared" si="125"/>
        <v>0</v>
      </c>
      <c r="Q188" s="276">
        <v>70</v>
      </c>
      <c r="R188" s="290">
        <v>1360000</v>
      </c>
      <c r="S188" s="276">
        <v>70</v>
      </c>
      <c r="T188" s="290">
        <v>1360000</v>
      </c>
      <c r="U188" s="276"/>
      <c r="V188" s="290">
        <f t="shared" ref="V188" si="126">ROUNDDOWN(U188*$I188,0)</f>
        <v>0</v>
      </c>
      <c r="W188" s="276"/>
      <c r="X188" s="290">
        <f t="shared" ref="X188" si="127">ROUNDDOWN(W188*$I188,0)</f>
        <v>0</v>
      </c>
      <c r="Y188" s="271">
        <f>M188+O188+Q188</f>
        <v>70</v>
      </c>
      <c r="Z188" s="290">
        <f>N188+P188+R188</f>
        <v>1360000</v>
      </c>
    </row>
    <row r="189" spans="2:26" ht="19.8" customHeight="1" x14ac:dyDescent="0.6">
      <c r="B189" s="268"/>
      <c r="C189" s="255" t="s">
        <v>52</v>
      </c>
      <c r="D189" s="303"/>
      <c r="E189" s="276"/>
      <c r="G189" s="290"/>
      <c r="I189" s="290"/>
      <c r="J189" s="298"/>
      <c r="K189" s="316"/>
      <c r="L189" s="271"/>
      <c r="M189" s="276"/>
      <c r="N189" s="290"/>
      <c r="O189" s="276"/>
      <c r="P189" s="290"/>
      <c r="Q189" s="276"/>
      <c r="R189" s="290"/>
      <c r="S189" s="276"/>
      <c r="T189" s="290"/>
      <c r="U189" s="276"/>
      <c r="V189" s="290"/>
      <c r="W189" s="276"/>
      <c r="X189" s="290"/>
      <c r="Y189" s="271">
        <f t="shared" si="94"/>
        <v>0</v>
      </c>
      <c r="Z189" s="290">
        <f t="shared" si="95"/>
        <v>0</v>
      </c>
    </row>
    <row r="190" spans="2:26" ht="19.8" customHeight="1" x14ac:dyDescent="0.6">
      <c r="B190" s="268"/>
      <c r="D190" s="303"/>
      <c r="E190" s="276"/>
      <c r="G190" s="290"/>
      <c r="I190" s="290"/>
      <c r="J190" s="298"/>
      <c r="K190" s="316"/>
      <c r="L190" s="271"/>
      <c r="M190" s="276"/>
      <c r="N190" s="290"/>
      <c r="O190" s="276"/>
      <c r="P190" s="290"/>
      <c r="Q190" s="276"/>
      <c r="R190" s="290"/>
      <c r="S190" s="276"/>
      <c r="T190" s="290"/>
      <c r="U190" s="276"/>
      <c r="V190" s="290"/>
      <c r="W190" s="276"/>
      <c r="X190" s="290"/>
      <c r="Y190" s="271">
        <f t="shared" si="94"/>
        <v>0</v>
      </c>
      <c r="Z190" s="290">
        <f t="shared" si="95"/>
        <v>0</v>
      </c>
    </row>
    <row r="191" spans="2:26" ht="19.8" customHeight="1" x14ac:dyDescent="0.6">
      <c r="B191" s="826" t="s">
        <v>487</v>
      </c>
      <c r="C191" s="827"/>
      <c r="D191" s="294" t="s">
        <v>474</v>
      </c>
      <c r="E191" s="257" t="s">
        <v>57</v>
      </c>
      <c r="F191" s="296"/>
      <c r="G191" s="293"/>
      <c r="H191" s="297"/>
      <c r="I191" s="293"/>
      <c r="J191" s="299">
        <f>SUM(J169:J190)</f>
        <v>3976232</v>
      </c>
      <c r="K191" s="319">
        <v>3976232</v>
      </c>
      <c r="L191" s="262"/>
      <c r="M191" s="257"/>
      <c r="N191" s="293">
        <f>SUM(N169:N190)</f>
        <v>17394</v>
      </c>
      <c r="O191" s="257"/>
      <c r="P191" s="293">
        <f>SUM(P169:P190)</f>
        <v>1360000</v>
      </c>
      <c r="Q191" s="257"/>
      <c r="R191" s="293">
        <f>SUM(R169:R190)</f>
        <v>1360000</v>
      </c>
      <c r="S191" s="257"/>
      <c r="T191" s="293">
        <f>SUM(T169:T190)</f>
        <v>1360000</v>
      </c>
      <c r="U191" s="257"/>
      <c r="V191" s="293">
        <f>SUM(V169:V190)</f>
        <v>1377394</v>
      </c>
      <c r="W191" s="257"/>
      <c r="X191" s="293">
        <f>SUM(X169:X190)</f>
        <v>1377394</v>
      </c>
      <c r="Y191" s="262">
        <f t="shared" si="94"/>
        <v>0</v>
      </c>
      <c r="Z191" s="293">
        <f>N191+P191+R191</f>
        <v>2737394</v>
      </c>
    </row>
    <row r="192" spans="2:26" ht="19.8" customHeight="1" x14ac:dyDescent="0.6">
      <c r="B192" s="306">
        <v>1.7</v>
      </c>
      <c r="C192" s="255" t="s">
        <v>65</v>
      </c>
      <c r="D192" s="303"/>
      <c r="E192" s="276"/>
      <c r="G192" s="290"/>
      <c r="I192" s="290"/>
      <c r="J192" s="298"/>
      <c r="K192" s="316"/>
      <c r="L192" s="271"/>
      <c r="M192" s="276"/>
      <c r="N192" s="290"/>
      <c r="O192" s="276"/>
      <c r="P192" s="290"/>
      <c r="Q192" s="276"/>
      <c r="R192" s="290"/>
      <c r="S192" s="276"/>
      <c r="T192" s="290"/>
      <c r="U192" s="276"/>
      <c r="V192" s="290"/>
      <c r="W192" s="276"/>
      <c r="X192" s="290"/>
      <c r="Y192" s="271">
        <f t="shared" si="94"/>
        <v>0</v>
      </c>
      <c r="Z192" s="290">
        <f t="shared" si="95"/>
        <v>0</v>
      </c>
    </row>
    <row r="193" spans="2:26" ht="19.8" customHeight="1" x14ac:dyDescent="0.6">
      <c r="B193" s="268"/>
      <c r="C193" s="255" t="s">
        <v>488</v>
      </c>
      <c r="D193" s="303"/>
      <c r="E193" s="276"/>
      <c r="G193" s="290"/>
      <c r="I193" s="290"/>
      <c r="J193" s="298"/>
      <c r="K193" s="316"/>
      <c r="L193" s="271"/>
      <c r="M193" s="276"/>
      <c r="N193" s="290"/>
      <c r="O193" s="276"/>
      <c r="P193" s="290"/>
      <c r="Q193" s="276"/>
      <c r="R193" s="290"/>
      <c r="S193" s="276"/>
      <c r="T193" s="290"/>
      <c r="U193" s="276"/>
      <c r="V193" s="290"/>
      <c r="W193" s="276"/>
      <c r="X193" s="290"/>
      <c r="Y193" s="271">
        <f t="shared" si="94"/>
        <v>0</v>
      </c>
      <c r="Z193" s="290">
        <f t="shared" si="95"/>
        <v>0</v>
      </c>
    </row>
    <row r="194" spans="2:26" ht="19.8" customHeight="1" x14ac:dyDescent="0.6">
      <c r="B194" s="268"/>
      <c r="C194" s="255" t="s">
        <v>489</v>
      </c>
      <c r="D194" s="303"/>
      <c r="E194" s="276"/>
      <c r="G194" s="290"/>
      <c r="I194" s="290"/>
      <c r="J194" s="298"/>
      <c r="K194" s="316"/>
      <c r="L194" s="271"/>
      <c r="M194" s="276"/>
      <c r="N194" s="290"/>
      <c r="O194" s="276"/>
      <c r="P194" s="290"/>
      <c r="Q194" s="276"/>
      <c r="R194" s="290"/>
      <c r="S194" s="276"/>
      <c r="T194" s="290"/>
      <c r="U194" s="276"/>
      <c r="V194" s="290"/>
      <c r="W194" s="276"/>
      <c r="X194" s="290"/>
      <c r="Y194" s="271">
        <f t="shared" si="94"/>
        <v>0</v>
      </c>
      <c r="Z194" s="290">
        <f t="shared" si="95"/>
        <v>0</v>
      </c>
    </row>
    <row r="195" spans="2:26" ht="19.8" customHeight="1" x14ac:dyDescent="0.6">
      <c r="B195" s="268">
        <v>1</v>
      </c>
      <c r="C195" s="255" t="s">
        <v>194</v>
      </c>
      <c r="D195" s="303" t="s">
        <v>410</v>
      </c>
      <c r="E195" s="276" t="s">
        <v>78</v>
      </c>
      <c r="G195" s="290"/>
      <c r="I195" s="290">
        <v>17394</v>
      </c>
      <c r="J195" s="298">
        <f t="shared" ref="J195:J205" si="128">IF(G195="-","-",IF(D195&gt;0,ROUNDDOWN(I195*D195,0),""))</f>
        <v>34788</v>
      </c>
      <c r="K195" s="316">
        <v>34788</v>
      </c>
      <c r="L195" s="271"/>
      <c r="M195" s="276">
        <v>2</v>
      </c>
      <c r="N195" s="290">
        <f t="shared" ref="N195:P205" si="129">ROUNDDOWN(M195*$I195,0)</f>
        <v>34788</v>
      </c>
      <c r="O195" s="276"/>
      <c r="P195" s="290">
        <f t="shared" si="129"/>
        <v>0</v>
      </c>
      <c r="Q195" s="276"/>
      <c r="R195" s="290"/>
      <c r="S195" s="276"/>
      <c r="T195" s="290"/>
      <c r="U195" s="276">
        <v>2</v>
      </c>
      <c r="V195" s="290">
        <f t="shared" ref="V195:V205" si="130">ROUNDDOWN(U195*$I195,0)</f>
        <v>34788</v>
      </c>
      <c r="W195" s="276">
        <v>2</v>
      </c>
      <c r="X195" s="290">
        <f t="shared" ref="X195:X205" si="131">ROUNDDOWN(W195*$I195,0)</f>
        <v>34788</v>
      </c>
      <c r="Y195" s="271">
        <f t="shared" si="94"/>
        <v>2</v>
      </c>
      <c r="Z195" s="290">
        <f t="shared" si="95"/>
        <v>34788</v>
      </c>
    </row>
    <row r="196" spans="2:26" ht="19.8" customHeight="1" x14ac:dyDescent="0.6">
      <c r="B196" s="268">
        <v>2</v>
      </c>
      <c r="C196" s="255" t="s">
        <v>195</v>
      </c>
      <c r="D196" s="303" t="s">
        <v>490</v>
      </c>
      <c r="E196" s="276" t="s">
        <v>55</v>
      </c>
      <c r="G196" s="290"/>
      <c r="I196" s="290">
        <v>38.44</v>
      </c>
      <c r="J196" s="298">
        <f t="shared" si="128"/>
        <v>64963</v>
      </c>
      <c r="K196" s="316">
        <v>64963</v>
      </c>
      <c r="L196" s="271"/>
      <c r="M196" s="276"/>
      <c r="N196" s="290">
        <f t="shared" si="129"/>
        <v>0</v>
      </c>
      <c r="O196" s="276"/>
      <c r="P196" s="290">
        <f t="shared" si="129"/>
        <v>0</v>
      </c>
      <c r="Q196" s="276"/>
      <c r="R196" s="290"/>
      <c r="S196" s="276"/>
      <c r="T196" s="290"/>
      <c r="U196" s="276"/>
      <c r="V196" s="290">
        <f t="shared" si="130"/>
        <v>0</v>
      </c>
      <c r="W196" s="276"/>
      <c r="X196" s="290">
        <f t="shared" si="131"/>
        <v>0</v>
      </c>
      <c r="Y196" s="271">
        <f t="shared" si="94"/>
        <v>0</v>
      </c>
      <c r="Z196" s="290">
        <f t="shared" si="95"/>
        <v>0</v>
      </c>
    </row>
    <row r="197" spans="2:26" ht="19.8" customHeight="1" x14ac:dyDescent="0.6">
      <c r="B197" s="268">
        <v>5</v>
      </c>
      <c r="C197" s="255" t="s">
        <v>196</v>
      </c>
      <c r="D197" s="303" t="s">
        <v>441</v>
      </c>
      <c r="E197" s="276" t="s">
        <v>61</v>
      </c>
      <c r="G197" s="290"/>
      <c r="I197" s="290">
        <v>811.72</v>
      </c>
      <c r="J197" s="298">
        <f t="shared" si="128"/>
        <v>4870</v>
      </c>
      <c r="K197" s="316">
        <v>4870</v>
      </c>
      <c r="L197" s="271"/>
      <c r="M197" s="276"/>
      <c r="N197" s="290">
        <f t="shared" si="129"/>
        <v>0</v>
      </c>
      <c r="O197" s="276"/>
      <c r="P197" s="290">
        <f t="shared" si="129"/>
        <v>0</v>
      </c>
      <c r="Q197" s="276"/>
      <c r="R197" s="290"/>
      <c r="S197" s="276"/>
      <c r="T197" s="290"/>
      <c r="U197" s="276"/>
      <c r="V197" s="290">
        <f t="shared" si="130"/>
        <v>0</v>
      </c>
      <c r="W197" s="276"/>
      <c r="X197" s="290">
        <f t="shared" si="131"/>
        <v>0</v>
      </c>
      <c r="Y197" s="271">
        <f t="shared" si="94"/>
        <v>0</v>
      </c>
      <c r="Z197" s="290">
        <f t="shared" si="95"/>
        <v>0</v>
      </c>
    </row>
    <row r="198" spans="2:26" ht="19.8" customHeight="1" x14ac:dyDescent="0.6">
      <c r="B198" s="268">
        <v>6</v>
      </c>
      <c r="C198" s="255" t="s">
        <v>440</v>
      </c>
      <c r="D198" s="303" t="s">
        <v>491</v>
      </c>
      <c r="E198" s="276" t="s">
        <v>62</v>
      </c>
      <c r="G198" s="290"/>
      <c r="I198" s="290">
        <v>721.05</v>
      </c>
      <c r="J198" s="298">
        <f t="shared" si="128"/>
        <v>711676</v>
      </c>
      <c r="K198" s="316">
        <v>711676</v>
      </c>
      <c r="L198" s="271"/>
      <c r="M198" s="276"/>
      <c r="N198" s="290">
        <f t="shared" si="129"/>
        <v>0</v>
      </c>
      <c r="O198" s="276"/>
      <c r="P198" s="290">
        <f t="shared" si="129"/>
        <v>0</v>
      </c>
      <c r="Q198" s="276"/>
      <c r="R198" s="290"/>
      <c r="S198" s="276"/>
      <c r="T198" s="290"/>
      <c r="U198" s="276"/>
      <c r="V198" s="290">
        <f t="shared" si="130"/>
        <v>0</v>
      </c>
      <c r="W198" s="276"/>
      <c r="X198" s="290">
        <f t="shared" si="131"/>
        <v>0</v>
      </c>
      <c r="Y198" s="271">
        <f t="shared" si="94"/>
        <v>0</v>
      </c>
      <c r="Z198" s="290">
        <f t="shared" si="95"/>
        <v>0</v>
      </c>
    </row>
    <row r="199" spans="2:26" ht="19.8" customHeight="1" x14ac:dyDescent="0.6">
      <c r="B199" s="268">
        <v>7</v>
      </c>
      <c r="C199" s="255" t="s">
        <v>387</v>
      </c>
      <c r="D199" s="303" t="s">
        <v>492</v>
      </c>
      <c r="E199" s="276" t="s">
        <v>55</v>
      </c>
      <c r="G199" s="290"/>
      <c r="I199" s="290">
        <v>865.06</v>
      </c>
      <c r="J199" s="298">
        <f t="shared" si="128"/>
        <v>843433</v>
      </c>
      <c r="K199" s="316">
        <v>843433</v>
      </c>
      <c r="L199" s="271"/>
      <c r="M199" s="276"/>
      <c r="N199" s="290">
        <f t="shared" si="129"/>
        <v>0</v>
      </c>
      <c r="O199" s="276"/>
      <c r="P199" s="290">
        <f t="shared" si="129"/>
        <v>0</v>
      </c>
      <c r="Q199" s="276"/>
      <c r="R199" s="290"/>
      <c r="S199" s="276"/>
      <c r="T199" s="290"/>
      <c r="U199" s="276"/>
      <c r="V199" s="290">
        <f t="shared" si="130"/>
        <v>0</v>
      </c>
      <c r="W199" s="276"/>
      <c r="X199" s="290">
        <f t="shared" si="131"/>
        <v>0</v>
      </c>
      <c r="Y199" s="271">
        <f t="shared" si="94"/>
        <v>0</v>
      </c>
      <c r="Z199" s="290">
        <f t="shared" si="95"/>
        <v>0</v>
      </c>
    </row>
    <row r="200" spans="2:26" ht="19.8" customHeight="1" x14ac:dyDescent="0.6">
      <c r="B200" s="268">
        <v>8</v>
      </c>
      <c r="C200" s="255" t="s">
        <v>197</v>
      </c>
      <c r="D200" s="303" t="s">
        <v>493</v>
      </c>
      <c r="E200" s="276" t="s">
        <v>54</v>
      </c>
      <c r="G200" s="290"/>
      <c r="I200" s="290">
        <v>104.6</v>
      </c>
      <c r="J200" s="298">
        <f t="shared" si="128"/>
        <v>164117</v>
      </c>
      <c r="K200" s="316">
        <v>164117</v>
      </c>
      <c r="L200" s="271"/>
      <c r="M200" s="276"/>
      <c r="N200" s="290">
        <f t="shared" si="129"/>
        <v>0</v>
      </c>
      <c r="O200" s="276"/>
      <c r="P200" s="290">
        <f t="shared" si="129"/>
        <v>0</v>
      </c>
      <c r="Q200" s="276"/>
      <c r="R200" s="290"/>
      <c r="S200" s="276"/>
      <c r="T200" s="290"/>
      <c r="U200" s="276"/>
      <c r="V200" s="290">
        <f t="shared" si="130"/>
        <v>0</v>
      </c>
      <c r="W200" s="276"/>
      <c r="X200" s="290">
        <f t="shared" si="131"/>
        <v>0</v>
      </c>
      <c r="Y200" s="271">
        <f t="shared" si="94"/>
        <v>0</v>
      </c>
      <c r="Z200" s="290">
        <f t="shared" si="95"/>
        <v>0</v>
      </c>
    </row>
    <row r="201" spans="2:26" ht="19.8" customHeight="1" x14ac:dyDescent="0.6">
      <c r="B201" s="268">
        <v>9</v>
      </c>
      <c r="C201" s="255" t="s">
        <v>215</v>
      </c>
      <c r="D201" s="303" t="s">
        <v>494</v>
      </c>
      <c r="E201" s="276" t="s">
        <v>55</v>
      </c>
      <c r="G201" s="290"/>
      <c r="I201" s="290">
        <v>330.94</v>
      </c>
      <c r="J201" s="298">
        <f t="shared" si="128"/>
        <v>266737</v>
      </c>
      <c r="K201" s="316">
        <v>266737</v>
      </c>
      <c r="L201" s="271"/>
      <c r="M201" s="276"/>
      <c r="N201" s="290">
        <f t="shared" si="129"/>
        <v>0</v>
      </c>
      <c r="O201" s="276"/>
      <c r="P201" s="290">
        <f t="shared" si="129"/>
        <v>0</v>
      </c>
      <c r="Q201" s="276"/>
      <c r="R201" s="290"/>
      <c r="S201" s="276"/>
      <c r="T201" s="290"/>
      <c r="U201" s="276"/>
      <c r="V201" s="290">
        <f t="shared" si="130"/>
        <v>0</v>
      </c>
      <c r="W201" s="276"/>
      <c r="X201" s="290">
        <f t="shared" si="131"/>
        <v>0</v>
      </c>
      <c r="Y201" s="271">
        <f t="shared" si="94"/>
        <v>0</v>
      </c>
      <c r="Z201" s="290">
        <f t="shared" si="95"/>
        <v>0</v>
      </c>
    </row>
    <row r="202" spans="2:26" ht="19.8" customHeight="1" x14ac:dyDescent="0.6">
      <c r="B202" s="268">
        <v>10</v>
      </c>
      <c r="C202" s="255" t="s">
        <v>216</v>
      </c>
      <c r="D202" s="303" t="s">
        <v>498</v>
      </c>
      <c r="E202" s="276" t="s">
        <v>55</v>
      </c>
      <c r="G202" s="290"/>
      <c r="I202" s="290">
        <v>82.27</v>
      </c>
      <c r="J202" s="298">
        <f t="shared" si="128"/>
        <v>326200</v>
      </c>
      <c r="K202" s="316">
        <v>326200</v>
      </c>
      <c r="L202" s="271"/>
      <c r="M202" s="276"/>
      <c r="N202" s="290">
        <f t="shared" si="129"/>
        <v>0</v>
      </c>
      <c r="O202" s="276"/>
      <c r="P202" s="290">
        <f t="shared" si="129"/>
        <v>0</v>
      </c>
      <c r="Q202" s="276"/>
      <c r="R202" s="290"/>
      <c r="S202" s="276"/>
      <c r="T202" s="290"/>
      <c r="U202" s="276"/>
      <c r="V202" s="290">
        <f t="shared" si="130"/>
        <v>0</v>
      </c>
      <c r="W202" s="276"/>
      <c r="X202" s="290">
        <f t="shared" si="131"/>
        <v>0</v>
      </c>
      <c r="Y202" s="271">
        <f t="shared" si="94"/>
        <v>0</v>
      </c>
      <c r="Z202" s="290">
        <f t="shared" si="95"/>
        <v>0</v>
      </c>
    </row>
    <row r="203" spans="2:26" ht="19.8" customHeight="1" x14ac:dyDescent="0.6">
      <c r="B203" s="268">
        <v>11</v>
      </c>
      <c r="C203" s="255" t="s">
        <v>448</v>
      </c>
      <c r="D203" s="303" t="s">
        <v>499</v>
      </c>
      <c r="E203" s="276" t="s">
        <v>57</v>
      </c>
      <c r="G203" s="290"/>
      <c r="I203" s="290">
        <v>4950.37</v>
      </c>
      <c r="J203" s="298">
        <f t="shared" si="128"/>
        <v>1608870</v>
      </c>
      <c r="K203" s="316">
        <v>1608870</v>
      </c>
      <c r="L203" s="271"/>
      <c r="M203" s="276"/>
      <c r="N203" s="290">
        <f t="shared" si="129"/>
        <v>0</v>
      </c>
      <c r="O203" s="276"/>
      <c r="P203" s="290">
        <f t="shared" si="129"/>
        <v>0</v>
      </c>
      <c r="Q203" s="276"/>
      <c r="R203" s="290"/>
      <c r="S203" s="276"/>
      <c r="T203" s="290"/>
      <c r="U203" s="276"/>
      <c r="V203" s="290">
        <f t="shared" si="130"/>
        <v>0</v>
      </c>
      <c r="W203" s="276"/>
      <c r="X203" s="290">
        <f t="shared" si="131"/>
        <v>0</v>
      </c>
      <c r="Y203" s="271">
        <f t="shared" si="94"/>
        <v>0</v>
      </c>
      <c r="Z203" s="290">
        <f t="shared" si="95"/>
        <v>0</v>
      </c>
    </row>
    <row r="204" spans="2:26" ht="19.8" customHeight="1" x14ac:dyDescent="0.6">
      <c r="B204" s="268">
        <v>12</v>
      </c>
      <c r="C204" s="255" t="s">
        <v>450</v>
      </c>
      <c r="D204" s="303" t="s">
        <v>473</v>
      </c>
      <c r="E204" s="276" t="s">
        <v>57</v>
      </c>
      <c r="G204" s="290"/>
      <c r="I204" s="290">
        <v>3308.61</v>
      </c>
      <c r="J204" s="298">
        <f t="shared" si="128"/>
        <v>11580</v>
      </c>
      <c r="K204" s="316">
        <v>11580</v>
      </c>
      <c r="L204" s="271"/>
      <c r="M204" s="276"/>
      <c r="N204" s="290">
        <f t="shared" si="129"/>
        <v>0</v>
      </c>
      <c r="O204" s="276"/>
      <c r="P204" s="290">
        <f t="shared" si="129"/>
        <v>0</v>
      </c>
      <c r="Q204" s="276"/>
      <c r="R204" s="290"/>
      <c r="S204" s="276"/>
      <c r="T204" s="290"/>
      <c r="U204" s="276"/>
      <c r="V204" s="290">
        <f t="shared" si="130"/>
        <v>0</v>
      </c>
      <c r="W204" s="276"/>
      <c r="X204" s="290">
        <f t="shared" si="131"/>
        <v>0</v>
      </c>
      <c r="Y204" s="271">
        <f t="shared" si="94"/>
        <v>0</v>
      </c>
      <c r="Z204" s="290">
        <f t="shared" si="95"/>
        <v>0</v>
      </c>
    </row>
    <row r="205" spans="2:26" ht="19.8" customHeight="1" x14ac:dyDescent="0.6">
      <c r="B205" s="268">
        <v>13</v>
      </c>
      <c r="C205" s="255" t="s">
        <v>212</v>
      </c>
      <c r="D205" s="303" t="s">
        <v>500</v>
      </c>
      <c r="E205" s="276" t="s">
        <v>57</v>
      </c>
      <c r="G205" s="290"/>
      <c r="I205" s="290">
        <v>3101.93</v>
      </c>
      <c r="J205" s="298">
        <f t="shared" si="128"/>
        <v>1018984</v>
      </c>
      <c r="K205" s="316">
        <v>1018984</v>
      </c>
      <c r="L205" s="271"/>
      <c r="M205" s="276"/>
      <c r="N205" s="290">
        <f t="shared" si="129"/>
        <v>0</v>
      </c>
      <c r="O205" s="276"/>
      <c r="P205" s="290">
        <f t="shared" si="129"/>
        <v>0</v>
      </c>
      <c r="Q205" s="276"/>
      <c r="R205" s="290"/>
      <c r="S205" s="276"/>
      <c r="T205" s="290"/>
      <c r="U205" s="276"/>
      <c r="V205" s="290">
        <f t="shared" si="130"/>
        <v>0</v>
      </c>
      <c r="W205" s="276"/>
      <c r="X205" s="290">
        <f t="shared" si="131"/>
        <v>0</v>
      </c>
      <c r="Y205" s="271">
        <f t="shared" ref="Y205:Y268" si="132">M205+O205</f>
        <v>0</v>
      </c>
      <c r="Z205" s="290">
        <f t="shared" ref="Z205:Z268" si="133">N205+P205</f>
        <v>0</v>
      </c>
    </row>
    <row r="206" spans="2:26" ht="19.8" customHeight="1" x14ac:dyDescent="0.6">
      <c r="B206" s="268">
        <v>14</v>
      </c>
      <c r="C206" s="255" t="s">
        <v>56</v>
      </c>
      <c r="D206" s="303"/>
      <c r="E206" s="276"/>
      <c r="G206" s="290"/>
      <c r="I206" s="290"/>
      <c r="J206" s="298"/>
      <c r="K206" s="316"/>
      <c r="L206" s="271"/>
      <c r="M206" s="276"/>
      <c r="N206" s="290"/>
      <c r="O206" s="276"/>
      <c r="P206" s="290"/>
      <c r="Q206" s="276"/>
      <c r="R206" s="290"/>
      <c r="S206" s="276"/>
      <c r="T206" s="290"/>
      <c r="U206" s="276"/>
      <c r="V206" s="290"/>
      <c r="W206" s="276"/>
      <c r="X206" s="290"/>
      <c r="Y206" s="271">
        <f t="shared" si="132"/>
        <v>0</v>
      </c>
      <c r="Z206" s="290">
        <f t="shared" si="133"/>
        <v>0</v>
      </c>
    </row>
    <row r="207" spans="2:26" ht="19.8" customHeight="1" x14ac:dyDescent="0.6">
      <c r="B207" s="268"/>
      <c r="C207" s="261" t="s">
        <v>397</v>
      </c>
      <c r="D207" s="303" t="s">
        <v>501</v>
      </c>
      <c r="E207" s="276" t="s">
        <v>57</v>
      </c>
      <c r="G207" s="290"/>
      <c r="I207" s="290">
        <v>802.05</v>
      </c>
      <c r="J207" s="298">
        <f t="shared" ref="J207:J208" si="134">IF(G207="-","-",IF(D207&gt;0,ROUNDDOWN(I207*D207,0),""))</f>
        <v>250239</v>
      </c>
      <c r="K207" s="316">
        <v>250239</v>
      </c>
      <c r="L207" s="271"/>
      <c r="M207" s="276"/>
      <c r="N207" s="290">
        <f t="shared" ref="N207:P208" si="135">ROUNDDOWN(M207*$I207,0)</f>
        <v>0</v>
      </c>
      <c r="O207" s="276"/>
      <c r="P207" s="290">
        <f t="shared" si="135"/>
        <v>0</v>
      </c>
      <c r="Q207" s="276"/>
      <c r="R207" s="290"/>
      <c r="S207" s="276"/>
      <c r="T207" s="290"/>
      <c r="U207" s="276"/>
      <c r="V207" s="290">
        <f t="shared" ref="V207:V208" si="136">ROUNDDOWN(U207*$I207,0)</f>
        <v>0</v>
      </c>
      <c r="W207" s="276"/>
      <c r="X207" s="290">
        <f t="shared" ref="X207:X208" si="137">ROUNDDOWN(W207*$I207,0)</f>
        <v>0</v>
      </c>
      <c r="Y207" s="271">
        <f t="shared" si="132"/>
        <v>0</v>
      </c>
      <c r="Z207" s="290">
        <f t="shared" si="133"/>
        <v>0</v>
      </c>
    </row>
    <row r="208" spans="2:26" ht="19.8" customHeight="1" x14ac:dyDescent="0.6">
      <c r="B208" s="268"/>
      <c r="C208" s="261" t="s">
        <v>430</v>
      </c>
      <c r="D208" s="303" t="s">
        <v>502</v>
      </c>
      <c r="E208" s="276" t="s">
        <v>58</v>
      </c>
      <c r="G208" s="290"/>
      <c r="I208" s="290">
        <v>4438.1000000000004</v>
      </c>
      <c r="J208" s="298">
        <f t="shared" si="134"/>
        <v>71009</v>
      </c>
      <c r="K208" s="316">
        <v>71009</v>
      </c>
      <c r="L208" s="271"/>
      <c r="M208" s="276"/>
      <c r="N208" s="290">
        <f t="shared" si="135"/>
        <v>0</v>
      </c>
      <c r="O208" s="276"/>
      <c r="P208" s="290">
        <f t="shared" si="135"/>
        <v>0</v>
      </c>
      <c r="Q208" s="276"/>
      <c r="R208" s="290"/>
      <c r="S208" s="276"/>
      <c r="T208" s="290"/>
      <c r="U208" s="276"/>
      <c r="V208" s="290">
        <f t="shared" si="136"/>
        <v>0</v>
      </c>
      <c r="W208" s="276"/>
      <c r="X208" s="290">
        <f t="shared" si="137"/>
        <v>0</v>
      </c>
      <c r="Y208" s="271">
        <f t="shared" si="132"/>
        <v>0</v>
      </c>
      <c r="Z208" s="290">
        <f t="shared" si="133"/>
        <v>0</v>
      </c>
    </row>
    <row r="209" spans="2:26" ht="19.8" customHeight="1" x14ac:dyDescent="0.6">
      <c r="B209" s="268">
        <v>15</v>
      </c>
      <c r="C209" s="261" t="s">
        <v>59</v>
      </c>
      <c r="D209" s="303"/>
      <c r="E209" s="276"/>
      <c r="G209" s="290"/>
      <c r="I209" s="290"/>
      <c r="J209" s="298"/>
      <c r="K209" s="316"/>
      <c r="L209" s="271"/>
      <c r="M209" s="276"/>
      <c r="N209" s="290"/>
      <c r="O209" s="276"/>
      <c r="P209" s="290"/>
      <c r="Q209" s="276"/>
      <c r="R209" s="290"/>
      <c r="S209" s="276"/>
      <c r="T209" s="290"/>
      <c r="U209" s="276"/>
      <c r="V209" s="290"/>
      <c r="W209" s="276"/>
      <c r="X209" s="290"/>
      <c r="Y209" s="271">
        <f t="shared" si="132"/>
        <v>0</v>
      </c>
      <c r="Z209" s="290">
        <f t="shared" si="133"/>
        <v>0</v>
      </c>
    </row>
    <row r="210" spans="2:26" ht="19.8" customHeight="1" x14ac:dyDescent="0.6">
      <c r="B210" s="268">
        <v>16</v>
      </c>
      <c r="C210" s="261" t="s">
        <v>484</v>
      </c>
      <c r="D210" s="303" t="s">
        <v>497</v>
      </c>
      <c r="E210" s="276" t="s">
        <v>61</v>
      </c>
      <c r="G210" s="290"/>
      <c r="I210" s="290">
        <v>24386.74</v>
      </c>
      <c r="J210" s="298">
        <f t="shared" ref="J210" si="138">IF(G210="-","-",IF(D210&gt;0,ROUNDDOWN(I210*D210,0),""))</f>
        <v>8096397</v>
      </c>
      <c r="K210" s="316">
        <v>8096397</v>
      </c>
      <c r="L210" s="271" t="s">
        <v>899</v>
      </c>
      <c r="M210" s="276"/>
      <c r="N210" s="290">
        <f t="shared" ref="N210" si="139">ROUNDDOWN(M210*$I210,0)</f>
        <v>0</v>
      </c>
      <c r="O210" s="276">
        <f>100</f>
        <v>100</v>
      </c>
      <c r="P210" s="290">
        <v>1700000</v>
      </c>
      <c r="Q210" s="276">
        <v>100</v>
      </c>
      <c r="R210" s="290">
        <v>1700000</v>
      </c>
      <c r="S210" s="276">
        <v>100</v>
      </c>
      <c r="T210" s="290">
        <v>1700000</v>
      </c>
      <c r="U210" s="276">
        <f>O210+Q210</f>
        <v>200</v>
      </c>
      <c r="V210" s="290">
        <f>N210+P210</f>
        <v>1700000</v>
      </c>
      <c r="W210" s="276">
        <f>Q210+S210</f>
        <v>200</v>
      </c>
      <c r="X210" s="290">
        <f>P210+R210</f>
        <v>3400000</v>
      </c>
      <c r="Y210" s="271">
        <f>M210+O210+Q210</f>
        <v>200</v>
      </c>
      <c r="Z210" s="290">
        <f>N210+P210+R210</f>
        <v>3400000</v>
      </c>
    </row>
    <row r="211" spans="2:26" ht="19.8" customHeight="1" x14ac:dyDescent="0.6">
      <c r="B211" s="268"/>
      <c r="C211" s="261" t="s">
        <v>52</v>
      </c>
      <c r="D211" s="303"/>
      <c r="E211" s="276"/>
      <c r="G211" s="290"/>
      <c r="I211" s="290"/>
      <c r="J211" s="298"/>
      <c r="K211" s="316"/>
      <c r="L211" s="271"/>
      <c r="M211" s="276"/>
      <c r="N211" s="290"/>
      <c r="O211" s="276"/>
      <c r="P211" s="290"/>
      <c r="Q211" s="276"/>
      <c r="R211" s="290"/>
      <c r="S211" s="276"/>
      <c r="T211" s="290"/>
      <c r="U211" s="276"/>
      <c r="V211" s="290"/>
      <c r="W211" s="276"/>
      <c r="X211" s="290"/>
      <c r="Y211" s="271">
        <f t="shared" si="132"/>
        <v>0</v>
      </c>
      <c r="Z211" s="290">
        <f t="shared" si="133"/>
        <v>0</v>
      </c>
    </row>
    <row r="212" spans="2:26" ht="19.8" customHeight="1" x14ac:dyDescent="0.6">
      <c r="B212" s="268">
        <v>17</v>
      </c>
      <c r="C212" s="261" t="s">
        <v>495</v>
      </c>
      <c r="D212" s="303" t="s">
        <v>496</v>
      </c>
      <c r="E212" s="276" t="s">
        <v>61</v>
      </c>
      <c r="G212" s="290"/>
      <c r="I212" s="290">
        <v>12450.64</v>
      </c>
      <c r="J212" s="298">
        <f t="shared" ref="J212" si="140">IF(G212="-","-",IF(D212&gt;0,ROUNDDOWN(I212*D212,0),""))</f>
        <v>4046458</v>
      </c>
      <c r="K212" s="316">
        <v>4046458</v>
      </c>
      <c r="L212" s="271" t="s">
        <v>900</v>
      </c>
      <c r="M212" s="276"/>
      <c r="N212" s="290">
        <f t="shared" ref="N212" si="141">ROUNDDOWN(M212*$I212,0)</f>
        <v>0</v>
      </c>
      <c r="O212" s="276">
        <v>200</v>
      </c>
      <c r="P212" s="290">
        <f>870000+870000</f>
        <v>1740000</v>
      </c>
      <c r="Q212" s="276">
        <v>125</v>
      </c>
      <c r="R212" s="290">
        <v>1080000</v>
      </c>
      <c r="S212" s="276">
        <v>125</v>
      </c>
      <c r="T212" s="290">
        <v>1080000</v>
      </c>
      <c r="U212" s="276">
        <f>O212+Q212</f>
        <v>325</v>
      </c>
      <c r="V212" s="290">
        <f>N212+P212</f>
        <v>1740000</v>
      </c>
      <c r="W212" s="276">
        <f>Q212+S212</f>
        <v>250</v>
      </c>
      <c r="X212" s="290">
        <f>P212+R212</f>
        <v>2820000</v>
      </c>
      <c r="Y212" s="271">
        <f>M212+O212+Q212</f>
        <v>325</v>
      </c>
      <c r="Z212" s="290">
        <f>N212+P212+R212</f>
        <v>2820000</v>
      </c>
    </row>
    <row r="213" spans="2:26" ht="19.8" customHeight="1" x14ac:dyDescent="0.6">
      <c r="B213" s="268"/>
      <c r="C213" s="261" t="s">
        <v>52</v>
      </c>
      <c r="D213" s="303"/>
      <c r="E213" s="276"/>
      <c r="G213" s="290"/>
      <c r="I213" s="290"/>
      <c r="J213" s="298"/>
      <c r="K213" s="316"/>
      <c r="L213" s="271"/>
      <c r="M213" s="276" t="s">
        <v>887</v>
      </c>
      <c r="N213" s="290"/>
      <c r="O213" s="276"/>
      <c r="P213" s="290"/>
      <c r="Q213" s="276"/>
      <c r="R213" s="290"/>
      <c r="S213" s="276"/>
      <c r="T213" s="290"/>
      <c r="U213" s="276"/>
      <c r="V213" s="290"/>
      <c r="W213" s="276"/>
      <c r="X213" s="290"/>
      <c r="Y213" s="271" t="e">
        <f t="shared" si="132"/>
        <v>#VALUE!</v>
      </c>
      <c r="Z213" s="290">
        <f t="shared" si="133"/>
        <v>0</v>
      </c>
    </row>
    <row r="214" spans="2:26" ht="19.8" customHeight="1" x14ac:dyDescent="0.6">
      <c r="B214" s="268"/>
      <c r="C214" s="261"/>
      <c r="D214" s="303"/>
      <c r="E214" s="276"/>
      <c r="G214" s="290"/>
      <c r="I214" s="290"/>
      <c r="J214" s="298"/>
      <c r="K214" s="316"/>
      <c r="L214" s="271"/>
      <c r="M214" s="276"/>
      <c r="N214" s="290"/>
      <c r="O214" s="276"/>
      <c r="P214" s="290"/>
      <c r="Q214" s="276"/>
      <c r="R214" s="290"/>
      <c r="S214" s="276"/>
      <c r="T214" s="290"/>
      <c r="U214" s="276"/>
      <c r="V214" s="290"/>
      <c r="W214" s="276"/>
      <c r="X214" s="290"/>
      <c r="Y214" s="271">
        <f t="shared" si="132"/>
        <v>0</v>
      </c>
      <c r="Z214" s="290">
        <f t="shared" si="133"/>
        <v>0</v>
      </c>
    </row>
    <row r="215" spans="2:26" ht="19.8" customHeight="1" x14ac:dyDescent="0.6">
      <c r="B215" s="826" t="s">
        <v>503</v>
      </c>
      <c r="C215" s="827"/>
      <c r="D215" s="294" t="s">
        <v>499</v>
      </c>
      <c r="E215" s="257" t="s">
        <v>57</v>
      </c>
      <c r="F215" s="296"/>
      <c r="G215" s="293"/>
      <c r="H215" s="297"/>
      <c r="I215" s="293"/>
      <c r="J215" s="299">
        <f>SUM(J192:J214)</f>
        <v>17520321</v>
      </c>
      <c r="K215" s="319">
        <v>17520321</v>
      </c>
      <c r="L215" s="262"/>
      <c r="M215" s="257"/>
      <c r="N215" s="293">
        <f>SUM(N192:N214)</f>
        <v>34788</v>
      </c>
      <c r="O215" s="257"/>
      <c r="P215" s="293">
        <f>SUM(P192:P214)</f>
        <v>3440000</v>
      </c>
      <c r="Q215" s="257"/>
      <c r="R215" s="293">
        <f>SUM(R192:R214)</f>
        <v>2780000</v>
      </c>
      <c r="S215" s="257"/>
      <c r="T215" s="293">
        <f>SUM(T192:T214)</f>
        <v>2780000</v>
      </c>
      <c r="U215" s="257"/>
      <c r="V215" s="293">
        <f>SUM(V192:V214)</f>
        <v>3474788</v>
      </c>
      <c r="W215" s="257"/>
      <c r="X215" s="293">
        <f>SUM(X192:X214)</f>
        <v>6254788</v>
      </c>
      <c r="Y215" s="262">
        <f t="shared" si="132"/>
        <v>0</v>
      </c>
      <c r="Z215" s="293">
        <f>N215+P215+R215</f>
        <v>6254788</v>
      </c>
    </row>
    <row r="216" spans="2:26" ht="19.8" customHeight="1" x14ac:dyDescent="0.6">
      <c r="B216" s="306">
        <v>1.8</v>
      </c>
      <c r="C216" s="261" t="s">
        <v>504</v>
      </c>
      <c r="D216" s="303"/>
      <c r="E216" s="276"/>
      <c r="G216" s="290"/>
      <c r="I216" s="290"/>
      <c r="J216" s="298"/>
      <c r="K216" s="316"/>
      <c r="L216" s="271"/>
      <c r="M216" s="276"/>
      <c r="N216" s="290"/>
      <c r="O216" s="276"/>
      <c r="P216" s="290"/>
      <c r="Q216" s="276"/>
      <c r="R216" s="290"/>
      <c r="S216" s="276"/>
      <c r="T216" s="290"/>
      <c r="U216" s="276"/>
      <c r="V216" s="290"/>
      <c r="W216" s="276"/>
      <c r="X216" s="290"/>
      <c r="Y216" s="271">
        <f t="shared" si="132"/>
        <v>0</v>
      </c>
      <c r="Z216" s="290">
        <f t="shared" si="133"/>
        <v>0</v>
      </c>
    </row>
    <row r="217" spans="2:26" ht="19.8" customHeight="1" x14ac:dyDescent="0.6">
      <c r="B217" s="268"/>
      <c r="C217" s="261" t="s">
        <v>505</v>
      </c>
      <c r="D217" s="303"/>
      <c r="E217" s="276"/>
      <c r="G217" s="290"/>
      <c r="I217" s="290"/>
      <c r="J217" s="298"/>
      <c r="K217" s="316"/>
      <c r="L217" s="271"/>
      <c r="M217" s="276"/>
      <c r="N217" s="290"/>
      <c r="O217" s="276"/>
      <c r="P217" s="290"/>
      <c r="Q217" s="276"/>
      <c r="R217" s="290"/>
      <c r="S217" s="276"/>
      <c r="T217" s="290"/>
      <c r="U217" s="276"/>
      <c r="V217" s="290"/>
      <c r="W217" s="276"/>
      <c r="X217" s="290"/>
      <c r="Y217" s="271">
        <f t="shared" si="132"/>
        <v>0</v>
      </c>
      <c r="Z217" s="290">
        <f t="shared" si="133"/>
        <v>0</v>
      </c>
    </row>
    <row r="218" spans="2:26" ht="19.8" customHeight="1" x14ac:dyDescent="0.6">
      <c r="B218" s="268"/>
      <c r="C218" s="261" t="s">
        <v>506</v>
      </c>
      <c r="D218" s="303"/>
      <c r="E218" s="276"/>
      <c r="G218" s="290"/>
      <c r="I218" s="290"/>
      <c r="J218" s="298"/>
      <c r="K218" s="316"/>
      <c r="L218" s="271"/>
      <c r="M218" s="276"/>
      <c r="N218" s="290"/>
      <c r="O218" s="276"/>
      <c r="P218" s="290"/>
      <c r="Q218" s="276"/>
      <c r="R218" s="290"/>
      <c r="S218" s="276"/>
      <c r="T218" s="290"/>
      <c r="U218" s="276"/>
      <c r="V218" s="290"/>
      <c r="W218" s="276"/>
      <c r="X218" s="290"/>
      <c r="Y218" s="271">
        <f t="shared" si="132"/>
        <v>0</v>
      </c>
      <c r="Z218" s="290">
        <f t="shared" si="133"/>
        <v>0</v>
      </c>
    </row>
    <row r="219" spans="2:26" ht="19.8" customHeight="1" x14ac:dyDescent="0.6">
      <c r="B219" s="268">
        <v>1</v>
      </c>
      <c r="C219" s="261" t="s">
        <v>194</v>
      </c>
      <c r="D219" s="303" t="s">
        <v>410</v>
      </c>
      <c r="E219" s="276" t="s">
        <v>78</v>
      </c>
      <c r="G219" s="290"/>
      <c r="I219" s="290">
        <v>17394</v>
      </c>
      <c r="J219" s="298">
        <f t="shared" ref="J219:J229" si="142">IF(G219="-","-",IF(D219&gt;0,ROUNDDOWN(I219*D219,0),""))</f>
        <v>34788</v>
      </c>
      <c r="K219" s="316">
        <v>34788</v>
      </c>
      <c r="L219" s="271"/>
      <c r="M219" s="276">
        <v>2</v>
      </c>
      <c r="N219" s="290">
        <f t="shared" ref="N219:P237" si="143">ROUNDDOWN(M219*$I219,0)</f>
        <v>34788</v>
      </c>
      <c r="O219" s="276"/>
      <c r="P219" s="290">
        <f t="shared" si="143"/>
        <v>0</v>
      </c>
      <c r="Q219" s="276"/>
      <c r="R219" s="290"/>
      <c r="S219" s="276"/>
      <c r="T219" s="290"/>
      <c r="U219" s="276">
        <v>2</v>
      </c>
      <c r="V219" s="290">
        <f t="shared" ref="V219:V235" si="144">ROUNDDOWN(U219*$I219,0)</f>
        <v>34788</v>
      </c>
      <c r="W219" s="276">
        <v>2</v>
      </c>
      <c r="X219" s="290">
        <f t="shared" ref="X219:X229" si="145">ROUNDDOWN(W219*$I219,0)</f>
        <v>34788</v>
      </c>
      <c r="Y219" s="271">
        <f t="shared" si="132"/>
        <v>2</v>
      </c>
      <c r="Z219" s="290">
        <f t="shared" si="133"/>
        <v>34788</v>
      </c>
    </row>
    <row r="220" spans="2:26" ht="19.8" customHeight="1" x14ac:dyDescent="0.6">
      <c r="B220" s="268">
        <v>2</v>
      </c>
      <c r="C220" s="261" t="s">
        <v>195</v>
      </c>
      <c r="D220" s="303" t="s">
        <v>521</v>
      </c>
      <c r="E220" s="276" t="s">
        <v>55</v>
      </c>
      <c r="G220" s="290"/>
      <c r="I220" s="290">
        <v>38.44</v>
      </c>
      <c r="J220" s="298">
        <f t="shared" si="142"/>
        <v>73343</v>
      </c>
      <c r="K220" s="316">
        <v>73343</v>
      </c>
      <c r="L220" s="271"/>
      <c r="M220" s="276"/>
      <c r="N220" s="290">
        <f t="shared" si="143"/>
        <v>0</v>
      </c>
      <c r="O220" s="276"/>
      <c r="P220" s="290">
        <f t="shared" si="143"/>
        <v>0</v>
      </c>
      <c r="Q220" s="276"/>
      <c r="R220" s="290"/>
      <c r="S220" s="276"/>
      <c r="T220" s="290"/>
      <c r="U220" s="276"/>
      <c r="V220" s="290">
        <f t="shared" si="144"/>
        <v>0</v>
      </c>
      <c r="W220" s="276"/>
      <c r="X220" s="290">
        <f t="shared" si="145"/>
        <v>0</v>
      </c>
      <c r="Y220" s="271">
        <f t="shared" si="132"/>
        <v>0</v>
      </c>
      <c r="Z220" s="290">
        <f t="shared" si="133"/>
        <v>0</v>
      </c>
    </row>
    <row r="221" spans="2:26" ht="19.8" customHeight="1" x14ac:dyDescent="0.6">
      <c r="B221" s="268">
        <v>5</v>
      </c>
      <c r="C221" s="261" t="s">
        <v>196</v>
      </c>
      <c r="D221" s="303" t="s">
        <v>442</v>
      </c>
      <c r="E221" s="276" t="s">
        <v>61</v>
      </c>
      <c r="G221" s="290"/>
      <c r="I221" s="290">
        <v>811.72</v>
      </c>
      <c r="J221" s="298">
        <f t="shared" si="142"/>
        <v>5682</v>
      </c>
      <c r="K221" s="316">
        <v>5682</v>
      </c>
      <c r="L221" s="271"/>
      <c r="M221" s="276"/>
      <c r="N221" s="290">
        <f t="shared" si="143"/>
        <v>0</v>
      </c>
      <c r="O221" s="276"/>
      <c r="P221" s="290">
        <f t="shared" si="143"/>
        <v>0</v>
      </c>
      <c r="Q221" s="276"/>
      <c r="R221" s="290"/>
      <c r="S221" s="276"/>
      <c r="T221" s="290"/>
      <c r="U221" s="276"/>
      <c r="V221" s="290">
        <f t="shared" si="144"/>
        <v>0</v>
      </c>
      <c r="W221" s="276"/>
      <c r="X221" s="290">
        <f t="shared" si="145"/>
        <v>0</v>
      </c>
      <c r="Y221" s="271">
        <f t="shared" si="132"/>
        <v>0</v>
      </c>
      <c r="Z221" s="290">
        <f t="shared" si="133"/>
        <v>0</v>
      </c>
    </row>
    <row r="222" spans="2:26" ht="19.8" customHeight="1" x14ac:dyDescent="0.6">
      <c r="B222" s="268">
        <v>6</v>
      </c>
      <c r="C222" s="261" t="s">
        <v>440</v>
      </c>
      <c r="D222" s="303" t="s">
        <v>507</v>
      </c>
      <c r="E222" s="276" t="s">
        <v>62</v>
      </c>
      <c r="G222" s="290"/>
      <c r="I222" s="290">
        <v>721.05</v>
      </c>
      <c r="J222" s="298">
        <f t="shared" si="142"/>
        <v>802528</v>
      </c>
      <c r="K222" s="316">
        <v>802528</v>
      </c>
      <c r="L222" s="271"/>
      <c r="M222" s="276"/>
      <c r="N222" s="290">
        <f t="shared" si="143"/>
        <v>0</v>
      </c>
      <c r="O222" s="276"/>
      <c r="P222" s="290">
        <f t="shared" si="143"/>
        <v>0</v>
      </c>
      <c r="Q222" s="276"/>
      <c r="R222" s="290"/>
      <c r="S222" s="276"/>
      <c r="T222" s="290"/>
      <c r="U222" s="276"/>
      <c r="V222" s="290">
        <f t="shared" si="144"/>
        <v>0</v>
      </c>
      <c r="W222" s="276"/>
      <c r="X222" s="290">
        <f t="shared" si="145"/>
        <v>0</v>
      </c>
      <c r="Y222" s="271">
        <f t="shared" si="132"/>
        <v>0</v>
      </c>
      <c r="Z222" s="290">
        <f t="shared" si="133"/>
        <v>0</v>
      </c>
    </row>
    <row r="223" spans="2:26" ht="19.8" customHeight="1" x14ac:dyDescent="0.6">
      <c r="B223" s="268">
        <v>6</v>
      </c>
      <c r="C223" s="261" t="s">
        <v>387</v>
      </c>
      <c r="D223" s="303" t="s">
        <v>508</v>
      </c>
      <c r="E223" s="276" t="s">
        <v>55</v>
      </c>
      <c r="G223" s="290"/>
      <c r="I223" s="290">
        <v>865.06</v>
      </c>
      <c r="J223" s="298">
        <f t="shared" si="142"/>
        <v>952431</v>
      </c>
      <c r="K223" s="316">
        <v>952431</v>
      </c>
      <c r="L223" s="271"/>
      <c r="M223" s="276"/>
      <c r="N223" s="290">
        <f t="shared" si="143"/>
        <v>0</v>
      </c>
      <c r="O223" s="276"/>
      <c r="P223" s="290">
        <f t="shared" si="143"/>
        <v>0</v>
      </c>
      <c r="Q223" s="276"/>
      <c r="R223" s="290"/>
      <c r="S223" s="276"/>
      <c r="T223" s="290"/>
      <c r="U223" s="276"/>
      <c r="V223" s="290">
        <f t="shared" si="144"/>
        <v>0</v>
      </c>
      <c r="W223" s="276"/>
      <c r="X223" s="290">
        <f t="shared" si="145"/>
        <v>0</v>
      </c>
      <c r="Y223" s="271">
        <f t="shared" si="132"/>
        <v>0</v>
      </c>
      <c r="Z223" s="290">
        <f t="shared" si="133"/>
        <v>0</v>
      </c>
    </row>
    <row r="224" spans="2:26" ht="19.8" customHeight="1" x14ac:dyDescent="0.6">
      <c r="B224" s="268">
        <v>7</v>
      </c>
      <c r="C224" s="261" t="s">
        <v>197</v>
      </c>
      <c r="D224" s="303" t="s">
        <v>509</v>
      </c>
      <c r="E224" s="276" t="s">
        <v>54</v>
      </c>
      <c r="G224" s="290"/>
      <c r="I224" s="290">
        <v>104.6</v>
      </c>
      <c r="J224" s="298">
        <f t="shared" si="142"/>
        <v>185351</v>
      </c>
      <c r="K224" s="316">
        <v>185351</v>
      </c>
      <c r="L224" s="271"/>
      <c r="M224" s="276"/>
      <c r="N224" s="290">
        <f t="shared" si="143"/>
        <v>0</v>
      </c>
      <c r="O224" s="276"/>
      <c r="P224" s="290">
        <f t="shared" si="143"/>
        <v>0</v>
      </c>
      <c r="Q224" s="276"/>
      <c r="R224" s="290"/>
      <c r="S224" s="276"/>
      <c r="T224" s="290"/>
      <c r="U224" s="276"/>
      <c r="V224" s="290">
        <f t="shared" si="144"/>
        <v>0</v>
      </c>
      <c r="W224" s="276"/>
      <c r="X224" s="290">
        <f t="shared" si="145"/>
        <v>0</v>
      </c>
      <c r="Y224" s="271">
        <f t="shared" si="132"/>
        <v>0</v>
      </c>
      <c r="Z224" s="290">
        <f t="shared" si="133"/>
        <v>0</v>
      </c>
    </row>
    <row r="225" spans="2:26" ht="19.8" customHeight="1" x14ac:dyDescent="0.6">
      <c r="B225" s="268">
        <v>8</v>
      </c>
      <c r="C225" s="261" t="s">
        <v>215</v>
      </c>
      <c r="D225" s="303" t="s">
        <v>510</v>
      </c>
      <c r="E225" s="276" t="s">
        <v>55</v>
      </c>
      <c r="G225" s="290"/>
      <c r="I225" s="290">
        <v>330.94</v>
      </c>
      <c r="J225" s="298">
        <f t="shared" si="142"/>
        <v>301155</v>
      </c>
      <c r="K225" s="316">
        <v>301155</v>
      </c>
      <c r="L225" s="271"/>
      <c r="M225" s="276"/>
      <c r="N225" s="290">
        <f t="shared" si="143"/>
        <v>0</v>
      </c>
      <c r="O225" s="276"/>
      <c r="P225" s="290">
        <f t="shared" si="143"/>
        <v>0</v>
      </c>
      <c r="Q225" s="276"/>
      <c r="R225" s="290"/>
      <c r="S225" s="276"/>
      <c r="T225" s="290"/>
      <c r="U225" s="276"/>
      <c r="V225" s="290">
        <f t="shared" si="144"/>
        <v>0</v>
      </c>
      <c r="W225" s="276"/>
      <c r="X225" s="290">
        <f t="shared" si="145"/>
        <v>0</v>
      </c>
      <c r="Y225" s="271">
        <f t="shared" si="132"/>
        <v>0</v>
      </c>
      <c r="Z225" s="290">
        <f t="shared" si="133"/>
        <v>0</v>
      </c>
    </row>
    <row r="226" spans="2:26" ht="19.8" customHeight="1" x14ac:dyDescent="0.6">
      <c r="B226" s="268">
        <v>9</v>
      </c>
      <c r="C226" s="261" t="s">
        <v>216</v>
      </c>
      <c r="D226" s="303" t="s">
        <v>511</v>
      </c>
      <c r="E226" s="276" t="s">
        <v>55</v>
      </c>
      <c r="G226" s="290"/>
      <c r="I226" s="290">
        <v>82.27</v>
      </c>
      <c r="J226" s="298">
        <f t="shared" si="142"/>
        <v>127683</v>
      </c>
      <c r="K226" s="316">
        <v>127683</v>
      </c>
      <c r="L226" s="271"/>
      <c r="M226" s="276"/>
      <c r="N226" s="290">
        <f t="shared" si="143"/>
        <v>0</v>
      </c>
      <c r="O226" s="276"/>
      <c r="P226" s="290">
        <f t="shared" si="143"/>
        <v>0</v>
      </c>
      <c r="Q226" s="276"/>
      <c r="R226" s="290"/>
      <c r="S226" s="276"/>
      <c r="T226" s="290"/>
      <c r="U226" s="276"/>
      <c r="V226" s="290">
        <f t="shared" si="144"/>
        <v>0</v>
      </c>
      <c r="W226" s="276"/>
      <c r="X226" s="290">
        <f t="shared" si="145"/>
        <v>0</v>
      </c>
      <c r="Y226" s="271">
        <f t="shared" si="132"/>
        <v>0</v>
      </c>
      <c r="Z226" s="290">
        <f t="shared" si="133"/>
        <v>0</v>
      </c>
    </row>
    <row r="227" spans="2:26" ht="19.8" customHeight="1" x14ac:dyDescent="0.6">
      <c r="B227" s="268">
        <v>10</v>
      </c>
      <c r="C227" s="261" t="s">
        <v>448</v>
      </c>
      <c r="D227" s="303" t="s">
        <v>512</v>
      </c>
      <c r="E227" s="276" t="s">
        <v>57</v>
      </c>
      <c r="G227" s="290"/>
      <c r="I227" s="290">
        <v>4950.37</v>
      </c>
      <c r="J227" s="298">
        <f t="shared" si="142"/>
        <v>1816785</v>
      </c>
      <c r="K227" s="316">
        <v>1816785</v>
      </c>
      <c r="L227" s="271"/>
      <c r="M227" s="276"/>
      <c r="N227" s="290">
        <f t="shared" si="143"/>
        <v>0</v>
      </c>
      <c r="O227" s="276"/>
      <c r="P227" s="290">
        <f t="shared" si="143"/>
        <v>0</v>
      </c>
      <c r="Q227" s="276"/>
      <c r="R227" s="290"/>
      <c r="S227" s="276"/>
      <c r="T227" s="290"/>
      <c r="U227" s="276"/>
      <c r="V227" s="290">
        <f t="shared" si="144"/>
        <v>0</v>
      </c>
      <c r="W227" s="276"/>
      <c r="X227" s="290">
        <f t="shared" si="145"/>
        <v>0</v>
      </c>
      <c r="Y227" s="271">
        <f t="shared" si="132"/>
        <v>0</v>
      </c>
      <c r="Z227" s="290">
        <f t="shared" si="133"/>
        <v>0</v>
      </c>
    </row>
    <row r="228" spans="2:26" ht="19.8" customHeight="1" x14ac:dyDescent="0.6">
      <c r="B228" s="268">
        <v>11</v>
      </c>
      <c r="C228" s="261" t="s">
        <v>450</v>
      </c>
      <c r="D228" s="303" t="s">
        <v>473</v>
      </c>
      <c r="E228" s="276" t="s">
        <v>57</v>
      </c>
      <c r="G228" s="290"/>
      <c r="I228" s="290">
        <v>3308.61</v>
      </c>
      <c r="J228" s="298">
        <f t="shared" si="142"/>
        <v>11580</v>
      </c>
      <c r="K228" s="316">
        <v>11580</v>
      </c>
      <c r="L228" s="271"/>
      <c r="M228" s="276"/>
      <c r="N228" s="290">
        <f t="shared" si="143"/>
        <v>0</v>
      </c>
      <c r="O228" s="276"/>
      <c r="P228" s="290">
        <f t="shared" si="143"/>
        <v>0</v>
      </c>
      <c r="Q228" s="276"/>
      <c r="R228" s="290"/>
      <c r="S228" s="276"/>
      <c r="T228" s="290"/>
      <c r="U228" s="276"/>
      <c r="V228" s="290">
        <f t="shared" si="144"/>
        <v>0</v>
      </c>
      <c r="W228" s="276"/>
      <c r="X228" s="290">
        <f t="shared" si="145"/>
        <v>0</v>
      </c>
      <c r="Y228" s="271">
        <f t="shared" si="132"/>
        <v>0</v>
      </c>
      <c r="Z228" s="290">
        <f t="shared" si="133"/>
        <v>0</v>
      </c>
    </row>
    <row r="229" spans="2:26" ht="19.8" customHeight="1" x14ac:dyDescent="0.6">
      <c r="B229" s="268">
        <v>12</v>
      </c>
      <c r="C229" s="261" t="s">
        <v>513</v>
      </c>
      <c r="D229" s="303" t="s">
        <v>512</v>
      </c>
      <c r="E229" s="276" t="s">
        <v>57</v>
      </c>
      <c r="G229" s="290"/>
      <c r="I229" s="290">
        <v>3101.93</v>
      </c>
      <c r="J229" s="298">
        <f t="shared" si="142"/>
        <v>1138408</v>
      </c>
      <c r="K229" s="316">
        <v>1138408</v>
      </c>
      <c r="L229" s="271"/>
      <c r="M229" s="276"/>
      <c r="N229" s="290">
        <f t="shared" si="143"/>
        <v>0</v>
      </c>
      <c r="O229" s="276"/>
      <c r="P229" s="290">
        <f t="shared" si="143"/>
        <v>0</v>
      </c>
      <c r="Q229" s="276"/>
      <c r="R229" s="290"/>
      <c r="S229" s="276"/>
      <c r="T229" s="290"/>
      <c r="U229" s="276"/>
      <c r="V229" s="290">
        <f t="shared" si="144"/>
        <v>0</v>
      </c>
      <c r="W229" s="276"/>
      <c r="X229" s="290">
        <f t="shared" si="145"/>
        <v>0</v>
      </c>
      <c r="Y229" s="271">
        <f t="shared" si="132"/>
        <v>0</v>
      </c>
      <c r="Z229" s="290">
        <f t="shared" si="133"/>
        <v>0</v>
      </c>
    </row>
    <row r="230" spans="2:26" ht="19.8" customHeight="1" x14ac:dyDescent="0.6">
      <c r="B230" s="268">
        <v>13</v>
      </c>
      <c r="C230" s="261" t="s">
        <v>56</v>
      </c>
      <c r="D230" s="303"/>
      <c r="E230" s="276"/>
      <c r="G230" s="290"/>
      <c r="I230" s="290"/>
      <c r="J230" s="298"/>
      <c r="K230" s="316"/>
      <c r="L230" s="271"/>
      <c r="M230" s="276"/>
      <c r="N230" s="290"/>
      <c r="O230" s="276"/>
      <c r="P230" s="290"/>
      <c r="Q230" s="276"/>
      <c r="R230" s="290"/>
      <c r="S230" s="276"/>
      <c r="T230" s="290"/>
      <c r="U230" s="276"/>
      <c r="V230" s="290"/>
      <c r="W230" s="276"/>
      <c r="X230" s="290"/>
      <c r="Y230" s="271">
        <f t="shared" si="132"/>
        <v>0</v>
      </c>
      <c r="Z230" s="290">
        <f t="shared" si="133"/>
        <v>0</v>
      </c>
    </row>
    <row r="231" spans="2:26" ht="19.8" customHeight="1" x14ac:dyDescent="0.6">
      <c r="B231" s="268"/>
      <c r="C231" s="261" t="s">
        <v>397</v>
      </c>
      <c r="D231" s="303" t="s">
        <v>514</v>
      </c>
      <c r="E231" s="276"/>
      <c r="G231" s="290"/>
      <c r="I231" s="290">
        <v>802.05</v>
      </c>
      <c r="J231" s="298">
        <f t="shared" ref="J231:J233" si="146">IF(G231="-","-",IF(D231&gt;0,ROUNDDOWN(I231*D231,0),""))</f>
        <v>282321</v>
      </c>
      <c r="K231" s="316">
        <v>282321</v>
      </c>
      <c r="L231" s="271"/>
      <c r="M231" s="276"/>
      <c r="N231" s="290">
        <f t="shared" si="143"/>
        <v>0</v>
      </c>
      <c r="O231" s="276"/>
      <c r="P231" s="290">
        <f t="shared" si="143"/>
        <v>0</v>
      </c>
      <c r="Q231" s="276"/>
      <c r="R231" s="290"/>
      <c r="S231" s="276"/>
      <c r="T231" s="290"/>
      <c r="U231" s="276"/>
      <c r="V231" s="290">
        <f t="shared" si="144"/>
        <v>0</v>
      </c>
      <c r="W231" s="276"/>
      <c r="X231" s="290">
        <f t="shared" ref="X231:X233" si="147">ROUNDDOWN(W231*$I231,0)</f>
        <v>0</v>
      </c>
      <c r="Y231" s="271">
        <f t="shared" si="132"/>
        <v>0</v>
      </c>
      <c r="Z231" s="290">
        <f t="shared" si="133"/>
        <v>0</v>
      </c>
    </row>
    <row r="232" spans="2:26" ht="19.8" customHeight="1" x14ac:dyDescent="0.6">
      <c r="B232" s="268"/>
      <c r="C232" s="261" t="s">
        <v>430</v>
      </c>
      <c r="D232" s="303" t="s">
        <v>515</v>
      </c>
      <c r="E232" s="276"/>
      <c r="G232" s="290"/>
      <c r="I232" s="290">
        <v>4438.1000000000004</v>
      </c>
      <c r="J232" s="298">
        <f t="shared" si="146"/>
        <v>79885</v>
      </c>
      <c r="K232" s="316">
        <v>79885</v>
      </c>
      <c r="L232" s="271"/>
      <c r="M232" s="276"/>
      <c r="N232" s="290">
        <f t="shared" si="143"/>
        <v>0</v>
      </c>
      <c r="O232" s="276"/>
      <c r="P232" s="290">
        <f t="shared" si="143"/>
        <v>0</v>
      </c>
      <c r="Q232" s="276"/>
      <c r="R232" s="290"/>
      <c r="S232" s="276"/>
      <c r="T232" s="290"/>
      <c r="U232" s="276"/>
      <c r="V232" s="290">
        <f t="shared" si="144"/>
        <v>0</v>
      </c>
      <c r="W232" s="276"/>
      <c r="X232" s="290">
        <f t="shared" si="147"/>
        <v>0</v>
      </c>
      <c r="Y232" s="271">
        <f t="shared" si="132"/>
        <v>0</v>
      </c>
      <c r="Z232" s="290">
        <f t="shared" si="133"/>
        <v>0</v>
      </c>
    </row>
    <row r="233" spans="2:26" ht="19.8" customHeight="1" x14ac:dyDescent="0.6">
      <c r="B233" s="268">
        <v>14</v>
      </c>
      <c r="C233" s="261" t="s">
        <v>516</v>
      </c>
      <c r="D233" s="303" t="s">
        <v>389</v>
      </c>
      <c r="E233" s="276" t="s">
        <v>73</v>
      </c>
      <c r="G233" s="290"/>
      <c r="I233" s="290">
        <v>637580.56000000006</v>
      </c>
      <c r="J233" s="298">
        <f t="shared" si="146"/>
        <v>637580</v>
      </c>
      <c r="K233" s="316">
        <v>637580</v>
      </c>
      <c r="L233" s="271"/>
      <c r="M233" s="276"/>
      <c r="N233" s="290">
        <f t="shared" si="143"/>
        <v>0</v>
      </c>
      <c r="O233" s="276"/>
      <c r="P233" s="290">
        <f t="shared" si="143"/>
        <v>0</v>
      </c>
      <c r="Q233" s="276"/>
      <c r="R233" s="290"/>
      <c r="S233" s="276"/>
      <c r="T233" s="290"/>
      <c r="U233" s="276"/>
      <c r="V233" s="290">
        <f t="shared" si="144"/>
        <v>0</v>
      </c>
      <c r="W233" s="276"/>
      <c r="X233" s="290">
        <f t="shared" si="147"/>
        <v>0</v>
      </c>
      <c r="Y233" s="271">
        <f t="shared" si="132"/>
        <v>0</v>
      </c>
      <c r="Z233" s="290">
        <f t="shared" si="133"/>
        <v>0</v>
      </c>
    </row>
    <row r="234" spans="2:26" ht="19.8" customHeight="1" x14ac:dyDescent="0.6">
      <c r="B234" s="268">
        <v>15</v>
      </c>
      <c r="C234" s="261" t="s">
        <v>59</v>
      </c>
      <c r="D234" s="303"/>
      <c r="E234" s="276"/>
      <c r="G234" s="290"/>
      <c r="I234" s="290"/>
      <c r="J234" s="298"/>
      <c r="K234" s="316"/>
      <c r="L234" s="271"/>
      <c r="M234" s="276"/>
      <c r="N234" s="290"/>
      <c r="O234" s="276"/>
      <c r="P234" s="290"/>
      <c r="Q234" s="276"/>
      <c r="R234" s="290"/>
      <c r="S234" s="276"/>
      <c r="T234" s="290"/>
      <c r="U234" s="276"/>
      <c r="V234" s="290"/>
      <c r="W234" s="276"/>
      <c r="X234" s="290"/>
      <c r="Y234" s="271">
        <f t="shared" si="132"/>
        <v>0</v>
      </c>
      <c r="Z234" s="290">
        <f t="shared" si="133"/>
        <v>0</v>
      </c>
    </row>
    <row r="235" spans="2:26" ht="19.8" customHeight="1" x14ac:dyDescent="0.6">
      <c r="B235" s="268">
        <v>16</v>
      </c>
      <c r="C235" s="261" t="s">
        <v>484</v>
      </c>
      <c r="D235" s="303" t="s">
        <v>518</v>
      </c>
      <c r="E235" s="276" t="s">
        <v>61</v>
      </c>
      <c r="G235" s="290"/>
      <c r="I235" s="290">
        <v>24386.74</v>
      </c>
      <c r="J235" s="298">
        <f t="shared" ref="J235" si="148">IF(G235="-","-",IF(D235&gt;0,ROUNDDOWN(I235*D235,0),""))</f>
        <v>9120640</v>
      </c>
      <c r="K235" s="316">
        <v>9120640</v>
      </c>
      <c r="L235" s="271"/>
      <c r="M235" s="276"/>
      <c r="N235" s="290">
        <f t="shared" si="143"/>
        <v>0</v>
      </c>
      <c r="O235" s="276"/>
      <c r="P235" s="290">
        <f t="shared" si="143"/>
        <v>0</v>
      </c>
      <c r="Q235" s="276"/>
      <c r="R235" s="290"/>
      <c r="S235" s="276"/>
      <c r="T235" s="290"/>
      <c r="U235" s="276"/>
      <c r="V235" s="290">
        <f t="shared" si="144"/>
        <v>0</v>
      </c>
      <c r="W235" s="276"/>
      <c r="X235" s="290">
        <f t="shared" ref="X235" si="149">ROUNDDOWN(W235*$I235,0)</f>
        <v>0</v>
      </c>
      <c r="Y235" s="271">
        <f t="shared" si="132"/>
        <v>0</v>
      </c>
      <c r="Z235" s="290">
        <f t="shared" si="133"/>
        <v>0</v>
      </c>
    </row>
    <row r="236" spans="2:26" ht="19.8" customHeight="1" x14ac:dyDescent="0.6">
      <c r="B236" s="268"/>
      <c r="C236" s="261" t="s">
        <v>52</v>
      </c>
      <c r="D236" s="303"/>
      <c r="E236" s="276"/>
      <c r="G236" s="290"/>
      <c r="I236" s="290"/>
      <c r="J236" s="298"/>
      <c r="K236" s="316"/>
      <c r="L236" s="271"/>
      <c r="M236" s="276"/>
      <c r="N236" s="290"/>
      <c r="O236" s="276"/>
      <c r="P236" s="290"/>
      <c r="Q236" s="276"/>
      <c r="R236" s="290"/>
      <c r="S236" s="276"/>
      <c r="T236" s="290"/>
      <c r="U236" s="276"/>
      <c r="V236" s="290"/>
      <c r="W236" s="276"/>
      <c r="X236" s="290"/>
      <c r="Y236" s="271">
        <f t="shared" si="132"/>
        <v>0</v>
      </c>
      <c r="Z236" s="290">
        <f t="shared" si="133"/>
        <v>0</v>
      </c>
    </row>
    <row r="237" spans="2:26" ht="19.8" customHeight="1" x14ac:dyDescent="0.6">
      <c r="B237" s="268">
        <v>17</v>
      </c>
      <c r="C237" s="261" t="s">
        <v>517</v>
      </c>
      <c r="D237" s="303" t="s">
        <v>519</v>
      </c>
      <c r="E237" s="276" t="s">
        <v>61</v>
      </c>
      <c r="G237" s="290"/>
      <c r="I237" s="290">
        <v>12450.64</v>
      </c>
      <c r="J237" s="298">
        <f t="shared" ref="J237" si="150">IF(G237="-","-",IF(D237&gt;0,ROUNDDOWN(I237*D237,0),""))</f>
        <v>4569384</v>
      </c>
      <c r="K237" s="316">
        <v>4569384</v>
      </c>
      <c r="L237" s="271" t="s">
        <v>901</v>
      </c>
      <c r="M237" s="276"/>
      <c r="N237" s="290">
        <f t="shared" si="143"/>
        <v>0</v>
      </c>
      <c r="O237" s="276">
        <v>100</v>
      </c>
      <c r="P237" s="290">
        <v>870000</v>
      </c>
      <c r="Q237" s="276">
        <f>100+167</f>
        <v>267</v>
      </c>
      <c r="R237" s="290">
        <f>870000+1450000</f>
        <v>2320000</v>
      </c>
      <c r="S237" s="276">
        <f>100+167</f>
        <v>267</v>
      </c>
      <c r="T237" s="290">
        <f>870000+1450000</f>
        <v>2320000</v>
      </c>
      <c r="U237" s="276">
        <f>M237+O237</f>
        <v>100</v>
      </c>
      <c r="V237" s="290">
        <f>N237+P237</f>
        <v>870000</v>
      </c>
      <c r="W237" s="276">
        <f>O237+Q237</f>
        <v>367</v>
      </c>
      <c r="X237" s="290">
        <f>P237+R237</f>
        <v>3190000</v>
      </c>
      <c r="Y237" s="271">
        <f>M237+O237+Q237</f>
        <v>367</v>
      </c>
      <c r="Z237" s="290">
        <f>N237+P237+R237</f>
        <v>3190000</v>
      </c>
    </row>
    <row r="238" spans="2:26" ht="19.8" customHeight="1" x14ac:dyDescent="0.6">
      <c r="B238" s="268"/>
      <c r="C238" s="261" t="s">
        <v>52</v>
      </c>
      <c r="D238" s="303"/>
      <c r="E238" s="276"/>
      <c r="G238" s="290"/>
      <c r="I238" s="290"/>
      <c r="J238" s="298"/>
      <c r="K238" s="316"/>
      <c r="L238" s="271"/>
      <c r="M238" s="276"/>
      <c r="N238" s="290"/>
      <c r="O238" s="276"/>
      <c r="P238" s="290"/>
      <c r="Q238" s="276"/>
      <c r="R238" s="290"/>
      <c r="S238" s="276"/>
      <c r="T238" s="290"/>
      <c r="U238" s="276"/>
      <c r="V238" s="290"/>
      <c r="W238" s="276"/>
      <c r="X238" s="290"/>
      <c r="Y238" s="271">
        <f t="shared" si="132"/>
        <v>0</v>
      </c>
      <c r="Z238" s="290">
        <f t="shared" si="133"/>
        <v>0</v>
      </c>
    </row>
    <row r="239" spans="2:26" ht="19.8" customHeight="1" x14ac:dyDescent="0.6">
      <c r="B239" s="268"/>
      <c r="C239" s="261"/>
      <c r="D239" s="303"/>
      <c r="E239" s="276"/>
      <c r="G239" s="290"/>
      <c r="I239" s="290"/>
      <c r="J239" s="298"/>
      <c r="K239" s="316"/>
      <c r="L239" s="271"/>
      <c r="M239" s="276"/>
      <c r="N239" s="290"/>
      <c r="O239" s="276"/>
      <c r="P239" s="290"/>
      <c r="Q239" s="276"/>
      <c r="R239" s="290"/>
      <c r="S239" s="276"/>
      <c r="T239" s="290"/>
      <c r="U239" s="276"/>
      <c r="V239" s="290"/>
      <c r="W239" s="276"/>
      <c r="X239" s="290"/>
      <c r="Y239" s="271">
        <f t="shared" si="132"/>
        <v>0</v>
      </c>
      <c r="Z239" s="290">
        <f t="shared" si="133"/>
        <v>0</v>
      </c>
    </row>
    <row r="240" spans="2:26" ht="19.8" customHeight="1" x14ac:dyDescent="0.6">
      <c r="B240" s="826" t="s">
        <v>520</v>
      </c>
      <c r="C240" s="827"/>
      <c r="D240" s="294" t="s">
        <v>512</v>
      </c>
      <c r="E240" s="257" t="s">
        <v>57</v>
      </c>
      <c r="F240" s="296"/>
      <c r="G240" s="293"/>
      <c r="H240" s="297"/>
      <c r="I240" s="293"/>
      <c r="J240" s="299">
        <f>SUM(J216:J239)</f>
        <v>20139544</v>
      </c>
      <c r="K240" s="319">
        <v>20139544</v>
      </c>
      <c r="L240" s="262"/>
      <c r="M240" s="257"/>
      <c r="N240" s="293">
        <f>SUM(N216:N239)</f>
        <v>34788</v>
      </c>
      <c r="O240" s="257"/>
      <c r="P240" s="293">
        <f>SUM(P216:P239)</f>
        <v>870000</v>
      </c>
      <c r="Q240" s="257"/>
      <c r="R240" s="293">
        <f>SUM(R216:R239)</f>
        <v>2320000</v>
      </c>
      <c r="S240" s="257"/>
      <c r="T240" s="293">
        <f>SUM(T216:T239)</f>
        <v>2320000</v>
      </c>
      <c r="U240" s="257"/>
      <c r="V240" s="293">
        <f>SUM(V216:V239)</f>
        <v>904788</v>
      </c>
      <c r="W240" s="257"/>
      <c r="X240" s="293">
        <f>SUM(X216:X239)</f>
        <v>3224788</v>
      </c>
      <c r="Y240" s="262">
        <f t="shared" si="132"/>
        <v>0</v>
      </c>
      <c r="Z240" s="293">
        <f>N240+P240+R240</f>
        <v>3224788</v>
      </c>
    </row>
    <row r="241" spans="2:26" ht="19.8" customHeight="1" x14ac:dyDescent="0.6">
      <c r="B241" s="306">
        <v>1.9</v>
      </c>
      <c r="C241" s="261" t="s">
        <v>66</v>
      </c>
      <c r="D241" s="303"/>
      <c r="E241" s="276"/>
      <c r="G241" s="290"/>
      <c r="I241" s="290"/>
      <c r="J241" s="298"/>
      <c r="K241" s="316"/>
      <c r="L241" s="271"/>
      <c r="M241" s="276"/>
      <c r="N241" s="290"/>
      <c r="O241" s="276"/>
      <c r="P241" s="290"/>
      <c r="Q241" s="276"/>
      <c r="R241" s="290"/>
      <c r="S241" s="276"/>
      <c r="T241" s="290"/>
      <c r="U241" s="276"/>
      <c r="V241" s="290"/>
      <c r="W241" s="276"/>
      <c r="X241" s="290"/>
      <c r="Y241" s="271">
        <f t="shared" si="132"/>
        <v>0</v>
      </c>
      <c r="Z241" s="290">
        <f t="shared" si="133"/>
        <v>0</v>
      </c>
    </row>
    <row r="242" spans="2:26" ht="19.8" customHeight="1" x14ac:dyDescent="0.6">
      <c r="B242" s="268"/>
      <c r="C242" s="261" t="s">
        <v>522</v>
      </c>
      <c r="D242" s="303"/>
      <c r="E242" s="276"/>
      <c r="G242" s="290"/>
      <c r="I242" s="290"/>
      <c r="J242" s="298"/>
      <c r="K242" s="316"/>
      <c r="L242" s="271"/>
      <c r="M242" s="276"/>
      <c r="N242" s="290"/>
      <c r="O242" s="276"/>
      <c r="P242" s="290"/>
      <c r="Q242" s="276"/>
      <c r="R242" s="290"/>
      <c r="S242" s="276"/>
      <c r="T242" s="290"/>
      <c r="U242" s="276"/>
      <c r="V242" s="290"/>
      <c r="W242" s="276"/>
      <c r="X242" s="290"/>
      <c r="Y242" s="271">
        <f t="shared" si="132"/>
        <v>0</v>
      </c>
      <c r="Z242" s="290">
        <f t="shared" si="133"/>
        <v>0</v>
      </c>
    </row>
    <row r="243" spans="2:26" ht="19.8" customHeight="1" x14ac:dyDescent="0.6">
      <c r="B243" s="268"/>
      <c r="C243" s="261" t="s">
        <v>523</v>
      </c>
      <c r="D243" s="303"/>
      <c r="E243" s="276"/>
      <c r="G243" s="290"/>
      <c r="I243" s="290"/>
      <c r="J243" s="298"/>
      <c r="K243" s="316"/>
      <c r="L243" s="271"/>
      <c r="M243" s="276"/>
      <c r="N243" s="290"/>
      <c r="O243" s="276"/>
      <c r="P243" s="290"/>
      <c r="Q243" s="276"/>
      <c r="R243" s="290"/>
      <c r="S243" s="276"/>
      <c r="T243" s="290"/>
      <c r="U243" s="276"/>
      <c r="V243" s="290"/>
      <c r="W243" s="276"/>
      <c r="X243" s="290"/>
      <c r="Y243" s="271">
        <f t="shared" si="132"/>
        <v>0</v>
      </c>
      <c r="Z243" s="290">
        <f t="shared" si="133"/>
        <v>0</v>
      </c>
    </row>
    <row r="244" spans="2:26" ht="19.8" customHeight="1" x14ac:dyDescent="0.6">
      <c r="B244" s="268">
        <v>1</v>
      </c>
      <c r="C244" s="261" t="s">
        <v>195</v>
      </c>
      <c r="D244" s="303" t="s">
        <v>454</v>
      </c>
      <c r="E244" s="276" t="s">
        <v>55</v>
      </c>
      <c r="G244" s="290"/>
      <c r="I244" s="290">
        <v>38.44</v>
      </c>
      <c r="J244" s="298">
        <f t="shared" ref="J244:J251" si="151">IF(G244="-","-",IF(D244&gt;0,ROUNDDOWN(I244*D244,0),""))</f>
        <v>2306</v>
      </c>
      <c r="K244" s="316">
        <v>2306</v>
      </c>
      <c r="L244" s="271"/>
      <c r="M244" s="276"/>
      <c r="N244" s="290">
        <f t="shared" ref="N244:P251" si="152">ROUNDDOWN(M244*$I244,0)</f>
        <v>0</v>
      </c>
      <c r="O244" s="276"/>
      <c r="P244" s="290">
        <f t="shared" si="152"/>
        <v>0</v>
      </c>
      <c r="Q244" s="276"/>
      <c r="R244" s="290">
        <f t="shared" ref="R244:R251" si="153">ROUNDDOWN(Q244*$I244,0)</f>
        <v>0</v>
      </c>
      <c r="S244" s="276"/>
      <c r="T244" s="290">
        <f t="shared" ref="T244:T251" si="154">ROUNDDOWN(S244*$I244,0)</f>
        <v>0</v>
      </c>
      <c r="U244" s="276"/>
      <c r="V244" s="290">
        <f t="shared" ref="V244:V251" si="155">ROUNDDOWN(U244*$I244,0)</f>
        <v>0</v>
      </c>
      <c r="W244" s="276"/>
      <c r="X244" s="290">
        <f t="shared" ref="X244:X251" si="156">ROUNDDOWN(W244*$I244,0)</f>
        <v>0</v>
      </c>
      <c r="Y244" s="271">
        <f t="shared" si="132"/>
        <v>0</v>
      </c>
      <c r="Z244" s="290">
        <f t="shared" si="133"/>
        <v>0</v>
      </c>
    </row>
    <row r="245" spans="2:26" ht="19.8" customHeight="1" x14ac:dyDescent="0.6">
      <c r="B245" s="268">
        <v>4</v>
      </c>
      <c r="C245" s="261" t="s">
        <v>196</v>
      </c>
      <c r="D245" s="303" t="s">
        <v>389</v>
      </c>
      <c r="E245" s="276" t="s">
        <v>61</v>
      </c>
      <c r="G245" s="290"/>
      <c r="I245" s="290">
        <v>811.72</v>
      </c>
      <c r="J245" s="298">
        <f t="shared" si="151"/>
        <v>811</v>
      </c>
      <c r="K245" s="316">
        <v>811</v>
      </c>
      <c r="L245" s="271"/>
      <c r="M245" s="276"/>
      <c r="N245" s="290">
        <f t="shared" si="152"/>
        <v>0</v>
      </c>
      <c r="O245" s="276"/>
      <c r="P245" s="290">
        <f t="shared" si="152"/>
        <v>0</v>
      </c>
      <c r="Q245" s="276"/>
      <c r="R245" s="290">
        <f t="shared" si="153"/>
        <v>0</v>
      </c>
      <c r="S245" s="276"/>
      <c r="T245" s="290">
        <f t="shared" si="154"/>
        <v>0</v>
      </c>
      <c r="U245" s="276"/>
      <c r="V245" s="290">
        <f t="shared" si="155"/>
        <v>0</v>
      </c>
      <c r="W245" s="276"/>
      <c r="X245" s="290">
        <f t="shared" si="156"/>
        <v>0</v>
      </c>
      <c r="Y245" s="271">
        <f t="shared" si="132"/>
        <v>0</v>
      </c>
      <c r="Z245" s="290">
        <f t="shared" si="133"/>
        <v>0</v>
      </c>
    </row>
    <row r="246" spans="2:26" ht="19.8" customHeight="1" x14ac:dyDescent="0.6">
      <c r="B246" s="268">
        <v>5</v>
      </c>
      <c r="C246" s="261" t="s">
        <v>524</v>
      </c>
      <c r="D246" s="303" t="s">
        <v>502</v>
      </c>
      <c r="E246" s="276" t="s">
        <v>62</v>
      </c>
      <c r="G246" s="290"/>
      <c r="I246" s="290">
        <v>1124.93</v>
      </c>
      <c r="J246" s="298">
        <f t="shared" si="151"/>
        <v>17998</v>
      </c>
      <c r="K246" s="316">
        <v>17998</v>
      </c>
      <c r="L246" s="271"/>
      <c r="M246" s="276"/>
      <c r="N246" s="290">
        <f t="shared" si="152"/>
        <v>0</v>
      </c>
      <c r="O246" s="276"/>
      <c r="P246" s="290">
        <f t="shared" si="152"/>
        <v>0</v>
      </c>
      <c r="Q246" s="276"/>
      <c r="R246" s="290">
        <f t="shared" si="153"/>
        <v>0</v>
      </c>
      <c r="S246" s="276"/>
      <c r="T246" s="290">
        <f t="shared" si="154"/>
        <v>0</v>
      </c>
      <c r="U246" s="276"/>
      <c r="V246" s="290">
        <f t="shared" si="155"/>
        <v>0</v>
      </c>
      <c r="W246" s="276"/>
      <c r="X246" s="290">
        <f t="shared" si="156"/>
        <v>0</v>
      </c>
      <c r="Y246" s="271">
        <f t="shared" si="132"/>
        <v>0</v>
      </c>
      <c r="Z246" s="290">
        <f t="shared" si="133"/>
        <v>0</v>
      </c>
    </row>
    <row r="247" spans="2:26" ht="19.8" customHeight="1" x14ac:dyDescent="0.6">
      <c r="B247" s="268">
        <v>6</v>
      </c>
      <c r="C247" s="261" t="s">
        <v>525</v>
      </c>
      <c r="D247" s="303" t="s">
        <v>529</v>
      </c>
      <c r="E247" s="276" t="s">
        <v>62</v>
      </c>
      <c r="G247" s="290"/>
      <c r="I247" s="290">
        <v>6336.56</v>
      </c>
      <c r="J247" s="298">
        <f t="shared" si="151"/>
        <v>25346</v>
      </c>
      <c r="K247" s="316">
        <v>25346</v>
      </c>
      <c r="L247" s="271"/>
      <c r="M247" s="276"/>
      <c r="N247" s="290">
        <f t="shared" si="152"/>
        <v>0</v>
      </c>
      <c r="O247" s="276"/>
      <c r="P247" s="290">
        <f t="shared" si="152"/>
        <v>0</v>
      </c>
      <c r="Q247" s="276"/>
      <c r="R247" s="290">
        <f t="shared" si="153"/>
        <v>0</v>
      </c>
      <c r="S247" s="276"/>
      <c r="T247" s="290">
        <f t="shared" si="154"/>
        <v>0</v>
      </c>
      <c r="U247" s="276"/>
      <c r="V247" s="290">
        <f t="shared" si="155"/>
        <v>0</v>
      </c>
      <c r="W247" s="276"/>
      <c r="X247" s="290">
        <f t="shared" si="156"/>
        <v>0</v>
      </c>
      <c r="Y247" s="271">
        <f t="shared" si="132"/>
        <v>0</v>
      </c>
      <c r="Z247" s="290">
        <f t="shared" si="133"/>
        <v>0</v>
      </c>
    </row>
    <row r="248" spans="2:26" ht="19.8" customHeight="1" x14ac:dyDescent="0.6">
      <c r="B248" s="268">
        <v>7</v>
      </c>
      <c r="C248" s="261" t="s">
        <v>217</v>
      </c>
      <c r="D248" s="303" t="s">
        <v>530</v>
      </c>
      <c r="E248" s="276" t="s">
        <v>55</v>
      </c>
      <c r="G248" s="290"/>
      <c r="I248" s="290">
        <v>1171.2</v>
      </c>
      <c r="J248" s="298">
        <f t="shared" si="151"/>
        <v>51532</v>
      </c>
      <c r="K248" s="316">
        <v>51532</v>
      </c>
      <c r="L248" s="271"/>
      <c r="M248" s="276"/>
      <c r="N248" s="290">
        <f t="shared" si="152"/>
        <v>0</v>
      </c>
      <c r="O248" s="276"/>
      <c r="P248" s="290">
        <f t="shared" si="152"/>
        <v>0</v>
      </c>
      <c r="Q248" s="276"/>
      <c r="R248" s="290">
        <f t="shared" si="153"/>
        <v>0</v>
      </c>
      <c r="S248" s="276"/>
      <c r="T248" s="290">
        <f t="shared" si="154"/>
        <v>0</v>
      </c>
      <c r="U248" s="276"/>
      <c r="V248" s="290">
        <f t="shared" si="155"/>
        <v>0</v>
      </c>
      <c r="W248" s="276"/>
      <c r="X248" s="290">
        <f t="shared" si="156"/>
        <v>0</v>
      </c>
      <c r="Y248" s="271">
        <f t="shared" si="132"/>
        <v>0</v>
      </c>
      <c r="Z248" s="290">
        <f t="shared" si="133"/>
        <v>0</v>
      </c>
    </row>
    <row r="249" spans="2:26" ht="19.8" customHeight="1" x14ac:dyDescent="0.6">
      <c r="B249" s="268">
        <v>8</v>
      </c>
      <c r="C249" s="261" t="s">
        <v>526</v>
      </c>
      <c r="D249" s="303" t="s">
        <v>531</v>
      </c>
      <c r="E249" s="276" t="s">
        <v>57</v>
      </c>
      <c r="G249" s="290"/>
      <c r="I249" s="290">
        <v>2616.08</v>
      </c>
      <c r="J249" s="298">
        <f t="shared" si="151"/>
        <v>39241</v>
      </c>
      <c r="K249" s="316">
        <v>39241</v>
      </c>
      <c r="L249" s="271"/>
      <c r="M249" s="276"/>
      <c r="N249" s="290">
        <f t="shared" si="152"/>
        <v>0</v>
      </c>
      <c r="O249" s="276"/>
      <c r="P249" s="290">
        <f t="shared" si="152"/>
        <v>0</v>
      </c>
      <c r="Q249" s="276"/>
      <c r="R249" s="290">
        <f t="shared" si="153"/>
        <v>0</v>
      </c>
      <c r="S249" s="276"/>
      <c r="T249" s="290">
        <f t="shared" si="154"/>
        <v>0</v>
      </c>
      <c r="U249" s="276"/>
      <c r="V249" s="290">
        <f t="shared" si="155"/>
        <v>0</v>
      </c>
      <c r="W249" s="276"/>
      <c r="X249" s="290">
        <f t="shared" si="156"/>
        <v>0</v>
      </c>
      <c r="Y249" s="271">
        <f t="shared" si="132"/>
        <v>0</v>
      </c>
      <c r="Z249" s="290">
        <f t="shared" si="133"/>
        <v>0</v>
      </c>
    </row>
    <row r="250" spans="2:26" ht="19.8" customHeight="1" x14ac:dyDescent="0.6">
      <c r="B250" s="268">
        <v>9</v>
      </c>
      <c r="C250" s="261" t="s">
        <v>218</v>
      </c>
      <c r="D250" s="303" t="s">
        <v>532</v>
      </c>
      <c r="E250" s="276" t="s">
        <v>54</v>
      </c>
      <c r="G250" s="290"/>
      <c r="I250" s="290">
        <v>1683.97</v>
      </c>
      <c r="J250" s="298">
        <f t="shared" si="151"/>
        <v>8419</v>
      </c>
      <c r="K250" s="316">
        <v>8419</v>
      </c>
      <c r="L250" s="271"/>
      <c r="M250" s="276"/>
      <c r="N250" s="290">
        <f t="shared" si="152"/>
        <v>0</v>
      </c>
      <c r="O250" s="276"/>
      <c r="P250" s="290">
        <f t="shared" si="152"/>
        <v>0</v>
      </c>
      <c r="Q250" s="276"/>
      <c r="R250" s="290">
        <f t="shared" si="153"/>
        <v>0</v>
      </c>
      <c r="S250" s="276"/>
      <c r="T250" s="290">
        <f t="shared" si="154"/>
        <v>0</v>
      </c>
      <c r="U250" s="276"/>
      <c r="V250" s="290">
        <f t="shared" si="155"/>
        <v>0</v>
      </c>
      <c r="W250" s="276"/>
      <c r="X250" s="290">
        <f t="shared" si="156"/>
        <v>0</v>
      </c>
      <c r="Y250" s="271">
        <f t="shared" si="132"/>
        <v>0</v>
      </c>
      <c r="Z250" s="290">
        <f t="shared" si="133"/>
        <v>0</v>
      </c>
    </row>
    <row r="251" spans="2:26" ht="19.8" customHeight="1" x14ac:dyDescent="0.6">
      <c r="B251" s="268">
        <v>10</v>
      </c>
      <c r="C251" s="261" t="s">
        <v>527</v>
      </c>
      <c r="D251" s="303" t="s">
        <v>528</v>
      </c>
      <c r="E251" s="276" t="s">
        <v>57</v>
      </c>
      <c r="G251" s="290"/>
      <c r="I251" s="290">
        <v>3714.77</v>
      </c>
      <c r="J251" s="298">
        <f t="shared" si="151"/>
        <v>20431</v>
      </c>
      <c r="K251" s="316">
        <v>20431</v>
      </c>
      <c r="L251" s="271"/>
      <c r="M251" s="276"/>
      <c r="N251" s="290">
        <f t="shared" si="152"/>
        <v>0</v>
      </c>
      <c r="O251" s="276"/>
      <c r="P251" s="290">
        <f t="shared" si="152"/>
        <v>0</v>
      </c>
      <c r="Q251" s="276"/>
      <c r="R251" s="290">
        <f t="shared" si="153"/>
        <v>0</v>
      </c>
      <c r="S251" s="276"/>
      <c r="T251" s="290">
        <f t="shared" si="154"/>
        <v>0</v>
      </c>
      <c r="U251" s="276"/>
      <c r="V251" s="290">
        <f t="shared" si="155"/>
        <v>0</v>
      </c>
      <c r="W251" s="276"/>
      <c r="X251" s="290">
        <f t="shared" si="156"/>
        <v>0</v>
      </c>
      <c r="Y251" s="271">
        <f t="shared" si="132"/>
        <v>0</v>
      </c>
      <c r="Z251" s="290">
        <f t="shared" si="133"/>
        <v>0</v>
      </c>
    </row>
    <row r="252" spans="2:26" ht="19.8" customHeight="1" x14ac:dyDescent="0.6">
      <c r="B252" s="268">
        <v>12</v>
      </c>
      <c r="C252" s="261" t="s">
        <v>53</v>
      </c>
      <c r="D252" s="303"/>
      <c r="E252" s="276"/>
      <c r="G252" s="290"/>
      <c r="I252" s="290"/>
      <c r="J252" s="298"/>
      <c r="K252" s="316"/>
      <c r="L252" s="271"/>
      <c r="M252" s="276"/>
      <c r="N252" s="290"/>
      <c r="O252" s="276"/>
      <c r="P252" s="290"/>
      <c r="Q252" s="276"/>
      <c r="R252" s="290"/>
      <c r="S252" s="276"/>
      <c r="T252" s="290"/>
      <c r="U252" s="276"/>
      <c r="V252" s="290"/>
      <c r="W252" s="276"/>
      <c r="X252" s="290"/>
      <c r="Y252" s="271">
        <f t="shared" si="132"/>
        <v>0</v>
      </c>
      <c r="Z252" s="290">
        <f t="shared" si="133"/>
        <v>0</v>
      </c>
    </row>
    <row r="253" spans="2:26" ht="19.8" customHeight="1" x14ac:dyDescent="0.6">
      <c r="B253" s="268"/>
      <c r="C253" s="261" t="s">
        <v>316</v>
      </c>
      <c r="D253" s="303" t="s">
        <v>422</v>
      </c>
      <c r="E253" s="276" t="s">
        <v>54</v>
      </c>
      <c r="G253" s="290"/>
      <c r="I253" s="290">
        <v>981.02</v>
      </c>
      <c r="J253" s="298">
        <f t="shared" ref="J253:J254" si="157">IF(G253="-","-",IF(D253&gt;0,ROUNDDOWN(I253*D253,0),""))</f>
        <v>5886</v>
      </c>
      <c r="K253" s="316">
        <v>5886</v>
      </c>
      <c r="L253" s="271"/>
      <c r="M253" s="276"/>
      <c r="N253" s="290">
        <f t="shared" ref="N253:P254" si="158">ROUNDDOWN(M253*$I253,0)</f>
        <v>0</v>
      </c>
      <c r="O253" s="276"/>
      <c r="P253" s="290">
        <f t="shared" si="158"/>
        <v>0</v>
      </c>
      <c r="Q253" s="276"/>
      <c r="R253" s="290">
        <f t="shared" ref="R253:R254" si="159">ROUNDDOWN(Q253*$I253,0)</f>
        <v>0</v>
      </c>
      <c r="S253" s="276"/>
      <c r="T253" s="290">
        <f t="shared" ref="T253:T254" si="160">ROUNDDOWN(S253*$I253,0)</f>
        <v>0</v>
      </c>
      <c r="U253" s="276"/>
      <c r="V253" s="290">
        <f t="shared" ref="V253:V254" si="161">ROUNDDOWN(U253*$I253,0)</f>
        <v>0</v>
      </c>
      <c r="W253" s="276"/>
      <c r="X253" s="290">
        <f t="shared" ref="X253:X254" si="162">ROUNDDOWN(W253*$I253,0)</f>
        <v>0</v>
      </c>
      <c r="Y253" s="271">
        <f t="shared" si="132"/>
        <v>0</v>
      </c>
      <c r="Z253" s="290">
        <f t="shared" si="133"/>
        <v>0</v>
      </c>
    </row>
    <row r="254" spans="2:26" ht="19.8" customHeight="1" x14ac:dyDescent="0.6">
      <c r="B254" s="268">
        <v>13</v>
      </c>
      <c r="C254" s="261" t="s">
        <v>215</v>
      </c>
      <c r="D254" s="303" t="s">
        <v>330</v>
      </c>
      <c r="E254" s="276" t="s">
        <v>55</v>
      </c>
      <c r="G254" s="290"/>
      <c r="I254" s="290">
        <v>330.94</v>
      </c>
      <c r="J254" s="298">
        <f t="shared" si="157"/>
        <v>9928</v>
      </c>
      <c r="K254" s="316">
        <v>9928</v>
      </c>
      <c r="L254" s="271"/>
      <c r="M254" s="276"/>
      <c r="N254" s="290">
        <f t="shared" si="158"/>
        <v>0</v>
      </c>
      <c r="O254" s="276"/>
      <c r="P254" s="290">
        <f t="shared" si="158"/>
        <v>0</v>
      </c>
      <c r="Q254" s="276"/>
      <c r="R254" s="290">
        <f t="shared" si="159"/>
        <v>0</v>
      </c>
      <c r="S254" s="276"/>
      <c r="T254" s="290">
        <f t="shared" si="160"/>
        <v>0</v>
      </c>
      <c r="U254" s="276"/>
      <c r="V254" s="290">
        <f t="shared" si="161"/>
        <v>0</v>
      </c>
      <c r="W254" s="276"/>
      <c r="X254" s="290">
        <f t="shared" si="162"/>
        <v>0</v>
      </c>
      <c r="Y254" s="271">
        <f t="shared" si="132"/>
        <v>0</v>
      </c>
      <c r="Z254" s="290">
        <f t="shared" si="133"/>
        <v>0</v>
      </c>
    </row>
    <row r="255" spans="2:26" ht="19.8" customHeight="1" x14ac:dyDescent="0.6">
      <c r="B255" s="268">
        <v>14</v>
      </c>
      <c r="C255" s="261" t="s">
        <v>56</v>
      </c>
      <c r="D255" s="303"/>
      <c r="E255" s="276"/>
      <c r="G255" s="290"/>
      <c r="I255" s="290"/>
      <c r="J255" s="298"/>
      <c r="K255" s="316"/>
      <c r="L255" s="271"/>
      <c r="M255" s="276"/>
      <c r="N255" s="290"/>
      <c r="O255" s="276"/>
      <c r="P255" s="290"/>
      <c r="Q255" s="276"/>
      <c r="R255" s="290"/>
      <c r="S255" s="276"/>
      <c r="T255" s="290"/>
      <c r="U255" s="276"/>
      <c r="V255" s="290"/>
      <c r="W255" s="276"/>
      <c r="X255" s="290"/>
      <c r="Y255" s="271">
        <f t="shared" si="132"/>
        <v>0</v>
      </c>
      <c r="Z255" s="290">
        <f t="shared" si="133"/>
        <v>0</v>
      </c>
    </row>
    <row r="256" spans="2:26" ht="19.8" customHeight="1" x14ac:dyDescent="0.6">
      <c r="B256" s="268"/>
      <c r="C256" s="261" t="s">
        <v>397</v>
      </c>
      <c r="D256" s="303" t="s">
        <v>532</v>
      </c>
      <c r="E256" s="276" t="s">
        <v>57</v>
      </c>
      <c r="G256" s="290"/>
      <c r="I256" s="290">
        <v>802.05</v>
      </c>
      <c r="J256" s="298">
        <f t="shared" ref="J256:J257" si="163">IF(G256="-","-",IF(D256&gt;0,ROUNDDOWN(I256*D256,0),""))</f>
        <v>4010</v>
      </c>
      <c r="K256" s="316">
        <v>4010</v>
      </c>
      <c r="L256" s="271"/>
      <c r="M256" s="276"/>
      <c r="N256" s="290">
        <f t="shared" ref="N256:P257" si="164">ROUNDDOWN(M256*$I256,0)</f>
        <v>0</v>
      </c>
      <c r="O256" s="276"/>
      <c r="P256" s="290">
        <f t="shared" si="164"/>
        <v>0</v>
      </c>
      <c r="Q256" s="276"/>
      <c r="R256" s="290">
        <f t="shared" ref="R256:R257" si="165">ROUNDDOWN(Q256*$I256,0)</f>
        <v>0</v>
      </c>
      <c r="S256" s="276"/>
      <c r="T256" s="290">
        <f t="shared" ref="T256:T257" si="166">ROUNDDOWN(S256*$I256,0)</f>
        <v>0</v>
      </c>
      <c r="U256" s="276"/>
      <c r="V256" s="290">
        <f t="shared" ref="V256:V257" si="167">ROUNDDOWN(U256*$I256,0)</f>
        <v>0</v>
      </c>
      <c r="W256" s="276"/>
      <c r="X256" s="290">
        <f t="shared" ref="X256:X257" si="168">ROUNDDOWN(W256*$I256,0)</f>
        <v>0</v>
      </c>
      <c r="Y256" s="271">
        <f t="shared" si="132"/>
        <v>0</v>
      </c>
      <c r="Z256" s="290">
        <f t="shared" si="133"/>
        <v>0</v>
      </c>
    </row>
    <row r="257" spans="2:26" ht="19.8" customHeight="1" x14ac:dyDescent="0.6">
      <c r="B257" s="268"/>
      <c r="C257" s="261" t="s">
        <v>430</v>
      </c>
      <c r="D257" s="303" t="s">
        <v>389</v>
      </c>
      <c r="E257" s="276" t="s">
        <v>58</v>
      </c>
      <c r="G257" s="290"/>
      <c r="I257" s="290">
        <v>4438.1000000000004</v>
      </c>
      <c r="J257" s="298">
        <f t="shared" si="163"/>
        <v>4438</v>
      </c>
      <c r="K257" s="316">
        <v>4438</v>
      </c>
      <c r="L257" s="271"/>
      <c r="M257" s="276"/>
      <c r="N257" s="290">
        <f t="shared" si="164"/>
        <v>0</v>
      </c>
      <c r="O257" s="276"/>
      <c r="P257" s="290">
        <f t="shared" si="164"/>
        <v>0</v>
      </c>
      <c r="Q257" s="276"/>
      <c r="R257" s="290">
        <f t="shared" si="165"/>
        <v>0</v>
      </c>
      <c r="S257" s="276"/>
      <c r="T257" s="290">
        <f t="shared" si="166"/>
        <v>0</v>
      </c>
      <c r="U257" s="276"/>
      <c r="V257" s="290">
        <f t="shared" si="167"/>
        <v>0</v>
      </c>
      <c r="W257" s="276"/>
      <c r="X257" s="290">
        <f t="shared" si="168"/>
        <v>0</v>
      </c>
      <c r="Y257" s="271">
        <f t="shared" si="132"/>
        <v>0</v>
      </c>
      <c r="Z257" s="290">
        <f t="shared" si="133"/>
        <v>0</v>
      </c>
    </row>
    <row r="258" spans="2:26" ht="19.8" customHeight="1" x14ac:dyDescent="0.6">
      <c r="B258" s="268">
        <v>15</v>
      </c>
      <c r="C258" s="261" t="s">
        <v>431</v>
      </c>
      <c r="D258" s="303"/>
      <c r="E258" s="276"/>
      <c r="G258" s="290"/>
      <c r="I258" s="290"/>
      <c r="J258" s="298"/>
      <c r="K258" s="316"/>
      <c r="L258" s="271"/>
      <c r="M258" s="276"/>
      <c r="N258" s="290"/>
      <c r="O258" s="276"/>
      <c r="P258" s="290"/>
      <c r="Q258" s="276"/>
      <c r="R258" s="290"/>
      <c r="S258" s="276"/>
      <c r="T258" s="290"/>
      <c r="U258" s="276"/>
      <c r="V258" s="290"/>
      <c r="W258" s="276"/>
      <c r="X258" s="290"/>
      <c r="Y258" s="271">
        <f t="shared" si="132"/>
        <v>0</v>
      </c>
      <c r="Z258" s="290">
        <f t="shared" si="133"/>
        <v>0</v>
      </c>
    </row>
    <row r="259" spans="2:26" ht="19.8" customHeight="1" x14ac:dyDescent="0.6">
      <c r="B259" s="268">
        <v>16</v>
      </c>
      <c r="C259" s="261" t="s">
        <v>379</v>
      </c>
      <c r="D259" s="303" t="s">
        <v>333</v>
      </c>
      <c r="E259" s="276" t="s">
        <v>61</v>
      </c>
      <c r="G259" s="290"/>
      <c r="I259" s="290">
        <v>23917.83</v>
      </c>
      <c r="J259" s="298">
        <f t="shared" ref="J259" si="169">IF(G259="-","-",IF(D259&gt;0,ROUNDDOWN(I259*D259,0),""))</f>
        <v>119589</v>
      </c>
      <c r="K259" s="316">
        <v>119589</v>
      </c>
      <c r="L259" s="271"/>
      <c r="M259" s="276"/>
      <c r="N259" s="290">
        <f t="shared" ref="N259:P259" si="170">ROUNDDOWN(M259*$I259,0)</f>
        <v>0</v>
      </c>
      <c r="O259" s="276"/>
      <c r="P259" s="290">
        <f t="shared" si="170"/>
        <v>0</v>
      </c>
      <c r="Q259" s="276"/>
      <c r="R259" s="290">
        <f t="shared" ref="R259" si="171">ROUNDDOWN(Q259*$I259,0)</f>
        <v>0</v>
      </c>
      <c r="S259" s="276"/>
      <c r="T259" s="290">
        <f t="shared" ref="T259" si="172">ROUNDDOWN(S259*$I259,0)</f>
        <v>0</v>
      </c>
      <c r="U259" s="276"/>
      <c r="V259" s="290">
        <f t="shared" ref="V259" si="173">ROUNDDOWN(U259*$I259,0)</f>
        <v>0</v>
      </c>
      <c r="W259" s="276"/>
      <c r="X259" s="290">
        <f t="shared" ref="X259" si="174">ROUNDDOWN(W259*$I259,0)</f>
        <v>0</v>
      </c>
      <c r="Y259" s="271">
        <f t="shared" si="132"/>
        <v>0</v>
      </c>
      <c r="Z259" s="290">
        <f t="shared" si="133"/>
        <v>0</v>
      </c>
    </row>
    <row r="260" spans="2:26" ht="19.8" customHeight="1" x14ac:dyDescent="0.6">
      <c r="B260" s="268"/>
      <c r="C260" s="261" t="s">
        <v>52</v>
      </c>
      <c r="D260" s="303"/>
      <c r="E260" s="276"/>
      <c r="G260" s="290"/>
      <c r="I260" s="290"/>
      <c r="J260" s="298"/>
      <c r="K260" s="316"/>
      <c r="L260" s="271"/>
      <c r="M260" s="276"/>
      <c r="N260" s="290"/>
      <c r="O260" s="276"/>
      <c r="P260" s="290"/>
      <c r="Q260" s="276"/>
      <c r="R260" s="290"/>
      <c r="S260" s="276"/>
      <c r="T260" s="290"/>
      <c r="U260" s="276"/>
      <c r="V260" s="290"/>
      <c r="W260" s="276"/>
      <c r="X260" s="290"/>
      <c r="Y260" s="271">
        <f t="shared" si="132"/>
        <v>0</v>
      </c>
      <c r="Z260" s="290">
        <f t="shared" si="133"/>
        <v>0</v>
      </c>
    </row>
    <row r="261" spans="2:26" ht="19.8" customHeight="1" x14ac:dyDescent="0.6">
      <c r="B261" s="268">
        <v>17</v>
      </c>
      <c r="C261" s="261" t="s">
        <v>381</v>
      </c>
      <c r="D261" s="303" t="s">
        <v>410</v>
      </c>
      <c r="E261" s="276" t="s">
        <v>61</v>
      </c>
      <c r="G261" s="290"/>
      <c r="I261" s="290">
        <v>17176.25</v>
      </c>
      <c r="J261" s="298">
        <f t="shared" ref="J261" si="175">IF(G261="-","-",IF(D261&gt;0,ROUNDDOWN(I261*D261,0),""))</f>
        <v>34352</v>
      </c>
      <c r="K261" s="316">
        <v>34352</v>
      </c>
      <c r="L261" s="271"/>
      <c r="M261" s="276"/>
      <c r="N261" s="290">
        <f t="shared" ref="N261:P261" si="176">ROUNDDOWN(M261*$I261,0)</f>
        <v>0</v>
      </c>
      <c r="O261" s="276"/>
      <c r="P261" s="290">
        <f t="shared" si="176"/>
        <v>0</v>
      </c>
      <c r="Q261" s="276"/>
      <c r="R261" s="290">
        <f t="shared" ref="R261" si="177">ROUNDDOWN(Q261*$I261,0)</f>
        <v>0</v>
      </c>
      <c r="S261" s="276"/>
      <c r="T261" s="290">
        <f t="shared" ref="T261" si="178">ROUNDDOWN(S261*$I261,0)</f>
        <v>0</v>
      </c>
      <c r="U261" s="276"/>
      <c r="V261" s="290">
        <f t="shared" ref="V261" si="179">ROUNDDOWN(U261*$I261,0)</f>
        <v>0</v>
      </c>
      <c r="W261" s="276"/>
      <c r="X261" s="290">
        <f t="shared" ref="X261" si="180">ROUNDDOWN(W261*$I261,0)</f>
        <v>0</v>
      </c>
      <c r="Y261" s="271">
        <f t="shared" si="132"/>
        <v>0</v>
      </c>
      <c r="Z261" s="290">
        <f t="shared" si="133"/>
        <v>0</v>
      </c>
    </row>
    <row r="262" spans="2:26" ht="19.8" customHeight="1" x14ac:dyDescent="0.6">
      <c r="B262" s="268"/>
      <c r="C262" s="261" t="s">
        <v>52</v>
      </c>
      <c r="D262" s="303"/>
      <c r="E262" s="276"/>
      <c r="G262" s="290"/>
      <c r="I262" s="290"/>
      <c r="J262" s="298"/>
      <c r="K262" s="316"/>
      <c r="L262" s="271"/>
      <c r="M262" s="276"/>
      <c r="N262" s="290"/>
      <c r="O262" s="276"/>
      <c r="P262" s="290"/>
      <c r="Q262" s="276"/>
      <c r="R262" s="290"/>
      <c r="S262" s="276"/>
      <c r="T262" s="290"/>
      <c r="U262" s="276"/>
      <c r="V262" s="290"/>
      <c r="W262" s="276"/>
      <c r="X262" s="290"/>
      <c r="Y262" s="271">
        <f t="shared" si="132"/>
        <v>0</v>
      </c>
      <c r="Z262" s="290">
        <f t="shared" si="133"/>
        <v>0</v>
      </c>
    </row>
    <row r="263" spans="2:26" ht="19.8" customHeight="1" x14ac:dyDescent="0.6">
      <c r="B263" s="268"/>
      <c r="C263" s="261"/>
      <c r="D263" s="303"/>
      <c r="E263" s="276"/>
      <c r="G263" s="290"/>
      <c r="I263" s="290"/>
      <c r="J263" s="298"/>
      <c r="K263" s="316"/>
      <c r="L263" s="271"/>
      <c r="M263" s="276"/>
      <c r="N263" s="290"/>
      <c r="O263" s="276"/>
      <c r="P263" s="290"/>
      <c r="Q263" s="276"/>
      <c r="R263" s="290"/>
      <c r="S263" s="276"/>
      <c r="T263" s="290"/>
      <c r="U263" s="276"/>
      <c r="V263" s="290"/>
      <c r="W263" s="276"/>
      <c r="X263" s="290"/>
      <c r="Y263" s="271">
        <f t="shared" si="132"/>
        <v>0</v>
      </c>
      <c r="Z263" s="290">
        <f t="shared" si="133"/>
        <v>0</v>
      </c>
    </row>
    <row r="264" spans="2:26" ht="19.8" customHeight="1" x14ac:dyDescent="0.6">
      <c r="B264" s="826" t="s">
        <v>533</v>
      </c>
      <c r="C264" s="827"/>
      <c r="D264" s="294" t="s">
        <v>528</v>
      </c>
      <c r="E264" s="257" t="s">
        <v>57</v>
      </c>
      <c r="F264" s="296"/>
      <c r="G264" s="293"/>
      <c r="H264" s="297"/>
      <c r="I264" s="293"/>
      <c r="J264" s="299">
        <f>SUM(J241:J263)</f>
        <v>344287</v>
      </c>
      <c r="K264" s="319">
        <v>344287</v>
      </c>
      <c r="L264" s="262"/>
      <c r="M264" s="257"/>
      <c r="N264" s="293">
        <f>SUM(N241:N263)</f>
        <v>0</v>
      </c>
      <c r="O264" s="257"/>
      <c r="P264" s="293">
        <f>SUM(P241:P263)</f>
        <v>0</v>
      </c>
      <c r="Q264" s="257"/>
      <c r="R264" s="293">
        <f>SUM(R241:R263)</f>
        <v>0</v>
      </c>
      <c r="S264" s="257"/>
      <c r="T264" s="293">
        <f>SUM(T241:T263)</f>
        <v>0</v>
      </c>
      <c r="U264" s="257"/>
      <c r="V264" s="293">
        <f>SUM(V241:V263)</f>
        <v>0</v>
      </c>
      <c r="W264" s="257"/>
      <c r="X264" s="293">
        <f>SUM(X241:X263)</f>
        <v>0</v>
      </c>
      <c r="Y264" s="262">
        <f t="shared" si="132"/>
        <v>0</v>
      </c>
      <c r="Z264" s="293">
        <f t="shared" si="133"/>
        <v>0</v>
      </c>
    </row>
    <row r="265" spans="2:26" ht="19.8" customHeight="1" x14ac:dyDescent="0.6">
      <c r="B265" s="306" t="s">
        <v>534</v>
      </c>
      <c r="C265" s="261" t="s">
        <v>67</v>
      </c>
      <c r="D265" s="303"/>
      <c r="E265" s="276"/>
      <c r="G265" s="290"/>
      <c r="I265" s="290"/>
      <c r="J265" s="298"/>
      <c r="K265" s="316"/>
      <c r="L265" s="271"/>
      <c r="M265" s="276"/>
      <c r="N265" s="290"/>
      <c r="O265" s="276"/>
      <c r="P265" s="290"/>
      <c r="Q265" s="276"/>
      <c r="R265" s="290"/>
      <c r="S265" s="276"/>
      <c r="T265" s="290"/>
      <c r="U265" s="276"/>
      <c r="V265" s="290"/>
      <c r="W265" s="276"/>
      <c r="X265" s="290"/>
      <c r="Y265" s="271">
        <f t="shared" si="132"/>
        <v>0</v>
      </c>
      <c r="Z265" s="290">
        <f t="shared" si="133"/>
        <v>0</v>
      </c>
    </row>
    <row r="266" spans="2:26" ht="19.8" customHeight="1" x14ac:dyDescent="0.6">
      <c r="B266" s="268"/>
      <c r="C266" s="261" t="s">
        <v>535</v>
      </c>
      <c r="D266" s="303"/>
      <c r="E266" s="276"/>
      <c r="G266" s="290"/>
      <c r="I266" s="290"/>
      <c r="J266" s="298"/>
      <c r="K266" s="316"/>
      <c r="L266" s="271"/>
      <c r="M266" s="276"/>
      <c r="N266" s="290"/>
      <c r="O266" s="276"/>
      <c r="P266" s="290"/>
      <c r="Q266" s="276"/>
      <c r="R266" s="290"/>
      <c r="S266" s="276"/>
      <c r="T266" s="290"/>
      <c r="U266" s="276"/>
      <c r="V266" s="290"/>
      <c r="W266" s="276"/>
      <c r="X266" s="290"/>
      <c r="Y266" s="271">
        <f t="shared" si="132"/>
        <v>0</v>
      </c>
      <c r="Z266" s="290">
        <f t="shared" si="133"/>
        <v>0</v>
      </c>
    </row>
    <row r="267" spans="2:26" ht="19.8" customHeight="1" x14ac:dyDescent="0.6">
      <c r="B267" s="268"/>
      <c r="C267" s="261" t="s">
        <v>536</v>
      </c>
      <c r="D267" s="303"/>
      <c r="E267" s="276"/>
      <c r="G267" s="290"/>
      <c r="I267" s="290"/>
      <c r="J267" s="298"/>
      <c r="K267" s="316"/>
      <c r="L267" s="271"/>
      <c r="M267" s="276"/>
      <c r="N267" s="290"/>
      <c r="O267" s="276"/>
      <c r="P267" s="290"/>
      <c r="Q267" s="276"/>
      <c r="R267" s="290"/>
      <c r="S267" s="276"/>
      <c r="T267" s="290"/>
      <c r="U267" s="276"/>
      <c r="V267" s="290"/>
      <c r="W267" s="276"/>
      <c r="X267" s="290"/>
      <c r="Y267" s="271">
        <f t="shared" si="132"/>
        <v>0</v>
      </c>
      <c r="Z267" s="290">
        <f t="shared" si="133"/>
        <v>0</v>
      </c>
    </row>
    <row r="268" spans="2:26" ht="19.8" customHeight="1" x14ac:dyDescent="0.6">
      <c r="B268" s="268">
        <v>1</v>
      </c>
      <c r="C268" s="261" t="s">
        <v>195</v>
      </c>
      <c r="D268" s="303" t="s">
        <v>537</v>
      </c>
      <c r="E268" s="276" t="s">
        <v>55</v>
      </c>
      <c r="G268" s="290"/>
      <c r="I268" s="290">
        <v>38.44</v>
      </c>
      <c r="J268" s="298">
        <f t="shared" ref="J268:J275" si="181">IF(G268="-","-",IF(D268&gt;0,ROUNDDOWN(I268*D268,0),""))</f>
        <v>11416</v>
      </c>
      <c r="K268" s="316">
        <v>11416</v>
      </c>
      <c r="L268" s="271"/>
      <c r="M268" s="276"/>
      <c r="N268" s="290">
        <f t="shared" ref="N268:P275" si="182">ROUNDDOWN(M268*$I268,0)</f>
        <v>0</v>
      </c>
      <c r="O268" s="276"/>
      <c r="P268" s="290">
        <f t="shared" si="182"/>
        <v>0</v>
      </c>
      <c r="Q268" s="276"/>
      <c r="R268" s="290">
        <f t="shared" ref="R268:R275" si="183">ROUNDDOWN(Q268*$I268,0)</f>
        <v>0</v>
      </c>
      <c r="S268" s="276"/>
      <c r="T268" s="290">
        <f t="shared" ref="T268:T275" si="184">ROUNDDOWN(S268*$I268,0)</f>
        <v>0</v>
      </c>
      <c r="U268" s="276"/>
      <c r="V268" s="290">
        <f t="shared" ref="V268:V275" si="185">ROUNDDOWN(U268*$I268,0)</f>
        <v>0</v>
      </c>
      <c r="W268" s="276"/>
      <c r="X268" s="290">
        <f t="shared" ref="X268:X275" si="186">ROUNDDOWN(W268*$I268,0)</f>
        <v>0</v>
      </c>
      <c r="Y268" s="271">
        <f t="shared" si="132"/>
        <v>0</v>
      </c>
      <c r="Z268" s="290">
        <f t="shared" si="133"/>
        <v>0</v>
      </c>
    </row>
    <row r="269" spans="2:26" ht="19.8" customHeight="1" x14ac:dyDescent="0.6">
      <c r="B269" s="268">
        <v>4</v>
      </c>
      <c r="C269" s="261" t="s">
        <v>196</v>
      </c>
      <c r="D269" s="303" t="s">
        <v>389</v>
      </c>
      <c r="E269" s="276" t="s">
        <v>61</v>
      </c>
      <c r="G269" s="290"/>
      <c r="I269" s="290">
        <v>811.72</v>
      </c>
      <c r="J269" s="298">
        <f t="shared" si="181"/>
        <v>811</v>
      </c>
      <c r="K269" s="316">
        <v>811</v>
      </c>
      <c r="L269" s="271"/>
      <c r="M269" s="276"/>
      <c r="N269" s="290">
        <f t="shared" si="182"/>
        <v>0</v>
      </c>
      <c r="O269" s="276"/>
      <c r="P269" s="290">
        <f t="shared" si="182"/>
        <v>0</v>
      </c>
      <c r="Q269" s="276"/>
      <c r="R269" s="290">
        <f t="shared" si="183"/>
        <v>0</v>
      </c>
      <c r="S269" s="276"/>
      <c r="T269" s="290">
        <f t="shared" si="184"/>
        <v>0</v>
      </c>
      <c r="U269" s="276"/>
      <c r="V269" s="290">
        <f t="shared" si="185"/>
        <v>0</v>
      </c>
      <c r="W269" s="276"/>
      <c r="X269" s="290">
        <f t="shared" si="186"/>
        <v>0</v>
      </c>
      <c r="Y269" s="271">
        <f t="shared" ref="Y269:Y332" si="187">M269+O269</f>
        <v>0</v>
      </c>
      <c r="Z269" s="290">
        <f t="shared" ref="Z269:Z332" si="188">N269+P269</f>
        <v>0</v>
      </c>
    </row>
    <row r="270" spans="2:26" ht="19.8" customHeight="1" x14ac:dyDescent="0.6">
      <c r="B270" s="268">
        <v>5</v>
      </c>
      <c r="C270" s="261" t="s">
        <v>524</v>
      </c>
      <c r="D270" s="303" t="s">
        <v>538</v>
      </c>
      <c r="E270" s="276" t="s">
        <v>62</v>
      </c>
      <c r="G270" s="290"/>
      <c r="I270" s="290">
        <v>1124.93</v>
      </c>
      <c r="J270" s="298">
        <f t="shared" si="181"/>
        <v>94494</v>
      </c>
      <c r="K270" s="316">
        <v>94494</v>
      </c>
      <c r="L270" s="271"/>
      <c r="M270" s="276"/>
      <c r="N270" s="290">
        <f t="shared" si="182"/>
        <v>0</v>
      </c>
      <c r="O270" s="276"/>
      <c r="P270" s="290">
        <f t="shared" si="182"/>
        <v>0</v>
      </c>
      <c r="Q270" s="276"/>
      <c r="R270" s="290">
        <f t="shared" si="183"/>
        <v>0</v>
      </c>
      <c r="S270" s="276"/>
      <c r="T270" s="290">
        <f t="shared" si="184"/>
        <v>0</v>
      </c>
      <c r="U270" s="276"/>
      <c r="V270" s="290">
        <f t="shared" si="185"/>
        <v>0</v>
      </c>
      <c r="W270" s="276"/>
      <c r="X270" s="290">
        <f t="shared" si="186"/>
        <v>0</v>
      </c>
      <c r="Y270" s="271">
        <f t="shared" si="187"/>
        <v>0</v>
      </c>
      <c r="Z270" s="290">
        <f t="shared" si="188"/>
        <v>0</v>
      </c>
    </row>
    <row r="271" spans="2:26" ht="19.8" customHeight="1" x14ac:dyDescent="0.6">
      <c r="B271" s="268">
        <v>6</v>
      </c>
      <c r="C271" s="261" t="s">
        <v>539</v>
      </c>
      <c r="D271" s="303" t="s">
        <v>540</v>
      </c>
      <c r="E271" s="276" t="s">
        <v>62</v>
      </c>
      <c r="G271" s="290"/>
      <c r="I271" s="290">
        <v>6336.56</v>
      </c>
      <c r="J271" s="298">
        <f t="shared" si="181"/>
        <v>133067</v>
      </c>
      <c r="K271" s="316">
        <v>133067</v>
      </c>
      <c r="L271" s="271"/>
      <c r="M271" s="276"/>
      <c r="N271" s="290">
        <f t="shared" si="182"/>
        <v>0</v>
      </c>
      <c r="O271" s="276"/>
      <c r="P271" s="290">
        <f t="shared" si="182"/>
        <v>0</v>
      </c>
      <c r="Q271" s="276"/>
      <c r="R271" s="290">
        <f t="shared" si="183"/>
        <v>0</v>
      </c>
      <c r="S271" s="276"/>
      <c r="T271" s="290">
        <f t="shared" si="184"/>
        <v>0</v>
      </c>
      <c r="U271" s="276"/>
      <c r="V271" s="290">
        <f t="shared" si="185"/>
        <v>0</v>
      </c>
      <c r="W271" s="276"/>
      <c r="X271" s="290">
        <f t="shared" si="186"/>
        <v>0</v>
      </c>
      <c r="Y271" s="271">
        <f t="shared" si="187"/>
        <v>0</v>
      </c>
      <c r="Z271" s="290">
        <f t="shared" si="188"/>
        <v>0</v>
      </c>
    </row>
    <row r="272" spans="2:26" ht="19.8" customHeight="1" x14ac:dyDescent="0.6">
      <c r="B272" s="268">
        <v>7</v>
      </c>
      <c r="C272" s="261" t="s">
        <v>217</v>
      </c>
      <c r="D272" s="303" t="s">
        <v>541</v>
      </c>
      <c r="E272" s="276" t="s">
        <v>55</v>
      </c>
      <c r="G272" s="290"/>
      <c r="I272" s="290">
        <v>1171.2</v>
      </c>
      <c r="J272" s="298">
        <f t="shared" si="181"/>
        <v>252979</v>
      </c>
      <c r="K272" s="316">
        <v>252979</v>
      </c>
      <c r="L272" s="271"/>
      <c r="M272" s="276"/>
      <c r="N272" s="290">
        <f t="shared" si="182"/>
        <v>0</v>
      </c>
      <c r="O272" s="276"/>
      <c r="P272" s="290">
        <f t="shared" si="182"/>
        <v>0</v>
      </c>
      <c r="Q272" s="276"/>
      <c r="R272" s="290">
        <f t="shared" si="183"/>
        <v>0</v>
      </c>
      <c r="S272" s="276"/>
      <c r="T272" s="290">
        <f t="shared" si="184"/>
        <v>0</v>
      </c>
      <c r="U272" s="276"/>
      <c r="V272" s="290">
        <f t="shared" si="185"/>
        <v>0</v>
      </c>
      <c r="W272" s="276"/>
      <c r="X272" s="290">
        <f t="shared" si="186"/>
        <v>0</v>
      </c>
      <c r="Y272" s="271">
        <f t="shared" si="187"/>
        <v>0</v>
      </c>
      <c r="Z272" s="290">
        <f t="shared" si="188"/>
        <v>0</v>
      </c>
    </row>
    <row r="273" spans="2:26" ht="19.8" customHeight="1" x14ac:dyDescent="0.6">
      <c r="B273" s="268">
        <v>8</v>
      </c>
      <c r="C273" s="261" t="s">
        <v>526</v>
      </c>
      <c r="D273" s="303" t="s">
        <v>542</v>
      </c>
      <c r="E273" s="276" t="s">
        <v>57</v>
      </c>
      <c r="G273" s="290"/>
      <c r="I273" s="290">
        <v>2616.08</v>
      </c>
      <c r="J273" s="298">
        <f t="shared" si="181"/>
        <v>172661</v>
      </c>
      <c r="K273" s="316">
        <v>172661</v>
      </c>
      <c r="L273" s="271"/>
      <c r="M273" s="276"/>
      <c r="N273" s="290">
        <f t="shared" si="182"/>
        <v>0</v>
      </c>
      <c r="O273" s="276"/>
      <c r="P273" s="290">
        <f t="shared" si="182"/>
        <v>0</v>
      </c>
      <c r="Q273" s="276"/>
      <c r="R273" s="290">
        <f t="shared" si="183"/>
        <v>0</v>
      </c>
      <c r="S273" s="276"/>
      <c r="T273" s="290">
        <f t="shared" si="184"/>
        <v>0</v>
      </c>
      <c r="U273" s="276"/>
      <c r="V273" s="290">
        <f t="shared" si="185"/>
        <v>0</v>
      </c>
      <c r="W273" s="276"/>
      <c r="X273" s="290">
        <f t="shared" si="186"/>
        <v>0</v>
      </c>
      <c r="Y273" s="271">
        <f t="shared" si="187"/>
        <v>0</v>
      </c>
      <c r="Z273" s="290">
        <f t="shared" si="188"/>
        <v>0</v>
      </c>
    </row>
    <row r="274" spans="2:26" ht="19.8" customHeight="1" x14ac:dyDescent="0.6">
      <c r="B274" s="268">
        <v>9</v>
      </c>
      <c r="C274" s="261" t="s">
        <v>543</v>
      </c>
      <c r="D274" s="303" t="s">
        <v>544</v>
      </c>
      <c r="E274" s="276" t="s">
        <v>54</v>
      </c>
      <c r="G274" s="290"/>
      <c r="I274" s="290">
        <v>1683.97</v>
      </c>
      <c r="J274" s="298">
        <f t="shared" si="181"/>
        <v>45467</v>
      </c>
      <c r="K274" s="316">
        <v>45467</v>
      </c>
      <c r="L274" s="271"/>
      <c r="M274" s="276"/>
      <c r="N274" s="290">
        <f t="shared" si="182"/>
        <v>0</v>
      </c>
      <c r="O274" s="276"/>
      <c r="P274" s="290">
        <f t="shared" si="182"/>
        <v>0</v>
      </c>
      <c r="Q274" s="276"/>
      <c r="R274" s="290">
        <f t="shared" si="183"/>
        <v>0</v>
      </c>
      <c r="S274" s="276"/>
      <c r="T274" s="290">
        <f t="shared" si="184"/>
        <v>0</v>
      </c>
      <c r="U274" s="276"/>
      <c r="V274" s="290">
        <f t="shared" si="185"/>
        <v>0</v>
      </c>
      <c r="W274" s="276"/>
      <c r="X274" s="290">
        <f t="shared" si="186"/>
        <v>0</v>
      </c>
      <c r="Y274" s="271">
        <f t="shared" si="187"/>
        <v>0</v>
      </c>
      <c r="Z274" s="290">
        <f t="shared" si="188"/>
        <v>0</v>
      </c>
    </row>
    <row r="275" spans="2:26" ht="19.8" customHeight="1" x14ac:dyDescent="0.6">
      <c r="B275" s="268">
        <v>10</v>
      </c>
      <c r="C275" s="261" t="s">
        <v>545</v>
      </c>
      <c r="D275" s="303" t="s">
        <v>544</v>
      </c>
      <c r="E275" s="276" t="s">
        <v>57</v>
      </c>
      <c r="G275" s="290"/>
      <c r="I275" s="290">
        <v>5448.94</v>
      </c>
      <c r="J275" s="298">
        <f t="shared" si="181"/>
        <v>147121</v>
      </c>
      <c r="K275" s="316">
        <v>147121</v>
      </c>
      <c r="L275" s="271"/>
      <c r="M275" s="276"/>
      <c r="N275" s="290">
        <f t="shared" si="182"/>
        <v>0</v>
      </c>
      <c r="O275" s="276"/>
      <c r="P275" s="290">
        <f t="shared" si="182"/>
        <v>0</v>
      </c>
      <c r="Q275" s="276"/>
      <c r="R275" s="290">
        <f t="shared" si="183"/>
        <v>0</v>
      </c>
      <c r="S275" s="276"/>
      <c r="T275" s="290">
        <f t="shared" si="184"/>
        <v>0</v>
      </c>
      <c r="U275" s="276"/>
      <c r="V275" s="290">
        <f t="shared" si="185"/>
        <v>0</v>
      </c>
      <c r="W275" s="276"/>
      <c r="X275" s="290">
        <f t="shared" si="186"/>
        <v>0</v>
      </c>
      <c r="Y275" s="271">
        <f t="shared" si="187"/>
        <v>0</v>
      </c>
      <c r="Z275" s="290">
        <f t="shared" si="188"/>
        <v>0</v>
      </c>
    </row>
    <row r="276" spans="2:26" ht="19.8" customHeight="1" x14ac:dyDescent="0.6">
      <c r="B276" s="268">
        <v>11</v>
      </c>
      <c r="C276" s="261" t="s">
        <v>38</v>
      </c>
      <c r="D276" s="303"/>
      <c r="E276" s="276"/>
      <c r="G276" s="290"/>
      <c r="I276" s="290"/>
      <c r="J276" s="298"/>
      <c r="K276" s="316"/>
      <c r="L276" s="271"/>
      <c r="M276" s="276"/>
      <c r="N276" s="290"/>
      <c r="O276" s="276"/>
      <c r="P276" s="290"/>
      <c r="Q276" s="276"/>
      <c r="R276" s="290"/>
      <c r="S276" s="276"/>
      <c r="T276" s="290"/>
      <c r="U276" s="276"/>
      <c r="V276" s="290"/>
      <c r="W276" s="276"/>
      <c r="X276" s="290"/>
      <c r="Y276" s="271">
        <f t="shared" si="187"/>
        <v>0</v>
      </c>
      <c r="Z276" s="290">
        <f t="shared" si="188"/>
        <v>0</v>
      </c>
    </row>
    <row r="277" spans="2:26" ht="19.8" customHeight="1" x14ac:dyDescent="0.6">
      <c r="B277" s="268"/>
      <c r="C277" s="261" t="s">
        <v>427</v>
      </c>
      <c r="D277" s="303"/>
      <c r="E277" s="276"/>
      <c r="G277" s="290"/>
      <c r="I277" s="290"/>
      <c r="J277" s="298"/>
      <c r="K277" s="316" t="s">
        <v>176</v>
      </c>
      <c r="L277" s="271"/>
      <c r="M277" s="276"/>
      <c r="N277" s="290"/>
      <c r="O277" s="276"/>
      <c r="P277" s="290"/>
      <c r="Q277" s="276"/>
      <c r="R277" s="290"/>
      <c r="S277" s="276"/>
      <c r="T277" s="290"/>
      <c r="U277" s="276"/>
      <c r="V277" s="290"/>
      <c r="W277" s="276"/>
      <c r="X277" s="290"/>
      <c r="Y277" s="271">
        <f t="shared" si="187"/>
        <v>0</v>
      </c>
      <c r="Z277" s="290">
        <f t="shared" si="188"/>
        <v>0</v>
      </c>
    </row>
    <row r="278" spans="2:26" ht="19.8" customHeight="1" x14ac:dyDescent="0.6">
      <c r="B278" s="268">
        <v>12</v>
      </c>
      <c r="C278" s="261" t="s">
        <v>53</v>
      </c>
      <c r="D278" s="303"/>
      <c r="E278" s="276"/>
      <c r="G278" s="290"/>
      <c r="I278" s="290"/>
      <c r="J278" s="298"/>
      <c r="K278" s="316"/>
      <c r="L278" s="271"/>
      <c r="M278" s="276"/>
      <c r="N278" s="290"/>
      <c r="O278" s="276"/>
      <c r="P278" s="290"/>
      <c r="Q278" s="276"/>
      <c r="R278" s="290"/>
      <c r="S278" s="276"/>
      <c r="T278" s="290"/>
      <c r="U278" s="276"/>
      <c r="V278" s="290"/>
      <c r="W278" s="276"/>
      <c r="X278" s="290"/>
      <c r="Y278" s="271">
        <f t="shared" si="187"/>
        <v>0</v>
      </c>
      <c r="Z278" s="290">
        <f t="shared" si="188"/>
        <v>0</v>
      </c>
    </row>
    <row r="279" spans="2:26" ht="19.8" customHeight="1" x14ac:dyDescent="0.6">
      <c r="B279" s="268"/>
      <c r="C279" s="261" t="s">
        <v>316</v>
      </c>
      <c r="D279" s="303" t="s">
        <v>546</v>
      </c>
      <c r="E279" s="276" t="s">
        <v>54</v>
      </c>
      <c r="G279" s="290"/>
      <c r="I279" s="290">
        <v>981.02</v>
      </c>
      <c r="J279" s="298">
        <f t="shared" ref="J279:J280" si="189">IF(G279="-","-",IF(D279&gt;0,ROUNDDOWN(I279*D279,0),""))</f>
        <v>40221</v>
      </c>
      <c r="K279" s="316">
        <v>40221</v>
      </c>
      <c r="L279" s="271"/>
      <c r="M279" s="276"/>
      <c r="N279" s="290">
        <f t="shared" ref="N279:P280" si="190">ROUNDDOWN(M279*$I279,0)</f>
        <v>0</v>
      </c>
      <c r="O279" s="276"/>
      <c r="P279" s="290">
        <f t="shared" si="190"/>
        <v>0</v>
      </c>
      <c r="Q279" s="276"/>
      <c r="R279" s="290">
        <f t="shared" ref="R279:R280" si="191">ROUNDDOWN(Q279*$I279,0)</f>
        <v>0</v>
      </c>
      <c r="S279" s="276"/>
      <c r="T279" s="290">
        <f t="shared" ref="T279:T280" si="192">ROUNDDOWN(S279*$I279,0)</f>
        <v>0</v>
      </c>
      <c r="U279" s="276"/>
      <c r="V279" s="290">
        <f t="shared" ref="V279:V280" si="193">ROUNDDOWN(U279*$I279,0)</f>
        <v>0</v>
      </c>
      <c r="W279" s="276"/>
      <c r="X279" s="290">
        <f t="shared" ref="X279:X280" si="194">ROUNDDOWN(W279*$I279,0)</f>
        <v>0</v>
      </c>
      <c r="Y279" s="271">
        <f t="shared" si="187"/>
        <v>0</v>
      </c>
      <c r="Z279" s="290">
        <f t="shared" si="188"/>
        <v>0</v>
      </c>
    </row>
    <row r="280" spans="2:26" ht="19.8" customHeight="1" x14ac:dyDescent="0.6">
      <c r="B280" s="268">
        <v>13</v>
      </c>
      <c r="C280" s="261" t="s">
        <v>215</v>
      </c>
      <c r="D280" s="303" t="s">
        <v>547</v>
      </c>
      <c r="E280" s="276" t="s">
        <v>55</v>
      </c>
      <c r="G280" s="290"/>
      <c r="I280" s="290">
        <v>330.94</v>
      </c>
      <c r="J280" s="298">
        <f t="shared" si="189"/>
        <v>48979</v>
      </c>
      <c r="K280" s="316">
        <v>48979</v>
      </c>
      <c r="L280" s="271"/>
      <c r="M280" s="276"/>
      <c r="N280" s="290">
        <f t="shared" si="190"/>
        <v>0</v>
      </c>
      <c r="O280" s="276"/>
      <c r="P280" s="290">
        <f t="shared" si="190"/>
        <v>0</v>
      </c>
      <c r="Q280" s="276"/>
      <c r="R280" s="290">
        <f t="shared" si="191"/>
        <v>0</v>
      </c>
      <c r="S280" s="276"/>
      <c r="T280" s="290">
        <f t="shared" si="192"/>
        <v>0</v>
      </c>
      <c r="U280" s="276"/>
      <c r="V280" s="290">
        <f t="shared" si="193"/>
        <v>0</v>
      </c>
      <c r="W280" s="276"/>
      <c r="X280" s="290">
        <f t="shared" si="194"/>
        <v>0</v>
      </c>
      <c r="Y280" s="271">
        <f t="shared" si="187"/>
        <v>0</v>
      </c>
      <c r="Z280" s="290">
        <f t="shared" si="188"/>
        <v>0</v>
      </c>
    </row>
    <row r="281" spans="2:26" ht="19.8" customHeight="1" x14ac:dyDescent="0.6">
      <c r="B281" s="268">
        <v>14</v>
      </c>
      <c r="C281" s="261" t="s">
        <v>56</v>
      </c>
      <c r="D281" s="303"/>
      <c r="E281" s="276"/>
      <c r="G281" s="290"/>
      <c r="I281" s="290"/>
      <c r="J281" s="298"/>
      <c r="K281" s="316"/>
      <c r="L281" s="271"/>
      <c r="M281" s="276"/>
      <c r="N281" s="290"/>
      <c r="O281" s="276"/>
      <c r="P281" s="290"/>
      <c r="Q281" s="276"/>
      <c r="R281" s="290"/>
      <c r="S281" s="276"/>
      <c r="T281" s="290"/>
      <c r="U281" s="276"/>
      <c r="V281" s="290"/>
      <c r="W281" s="276"/>
      <c r="X281" s="290"/>
      <c r="Y281" s="271">
        <f t="shared" si="187"/>
        <v>0</v>
      </c>
      <c r="Z281" s="290">
        <f t="shared" si="188"/>
        <v>0</v>
      </c>
    </row>
    <row r="282" spans="2:26" ht="19.8" customHeight="1" x14ac:dyDescent="0.6">
      <c r="B282" s="268"/>
      <c r="C282" s="261" t="s">
        <v>397</v>
      </c>
      <c r="D282" s="303" t="s">
        <v>548</v>
      </c>
      <c r="E282" s="276" t="s">
        <v>57</v>
      </c>
      <c r="G282" s="290"/>
      <c r="I282" s="290">
        <v>802.05</v>
      </c>
      <c r="J282" s="298">
        <f t="shared" ref="J282:J283" si="195">IF(G282="-","-",IF(D282&gt;0,ROUNDDOWN(I282*D282,0),""))</f>
        <v>20853</v>
      </c>
      <c r="K282" s="316">
        <v>20853</v>
      </c>
      <c r="L282" s="271"/>
      <c r="M282" s="276"/>
      <c r="N282" s="290">
        <f t="shared" ref="N282:P283" si="196">ROUNDDOWN(M282*$I282,0)</f>
        <v>0</v>
      </c>
      <c r="O282" s="276"/>
      <c r="P282" s="290">
        <f t="shared" si="196"/>
        <v>0</v>
      </c>
      <c r="Q282" s="276"/>
      <c r="R282" s="290">
        <f t="shared" ref="R282:R283" si="197">ROUNDDOWN(Q282*$I282,0)</f>
        <v>0</v>
      </c>
      <c r="S282" s="276"/>
      <c r="T282" s="290">
        <f t="shared" ref="T282:T283" si="198">ROUNDDOWN(S282*$I282,0)</f>
        <v>0</v>
      </c>
      <c r="U282" s="276"/>
      <c r="V282" s="290">
        <f t="shared" ref="V282:V283" si="199">ROUNDDOWN(U282*$I282,0)</f>
        <v>0</v>
      </c>
      <c r="W282" s="276"/>
      <c r="X282" s="290">
        <f t="shared" ref="X282:X283" si="200">ROUNDDOWN(W282*$I282,0)</f>
        <v>0</v>
      </c>
      <c r="Y282" s="271">
        <f t="shared" si="187"/>
        <v>0</v>
      </c>
      <c r="Z282" s="290">
        <f t="shared" si="188"/>
        <v>0</v>
      </c>
    </row>
    <row r="283" spans="2:26" ht="19.8" customHeight="1" x14ac:dyDescent="0.6">
      <c r="B283" s="268"/>
      <c r="C283" s="261" t="s">
        <v>430</v>
      </c>
      <c r="D283" s="303" t="s">
        <v>389</v>
      </c>
      <c r="E283" s="276" t="s">
        <v>58</v>
      </c>
      <c r="G283" s="290"/>
      <c r="I283" s="290">
        <v>4438.1000000000004</v>
      </c>
      <c r="J283" s="298">
        <f t="shared" si="195"/>
        <v>4438</v>
      </c>
      <c r="K283" s="316">
        <v>4438</v>
      </c>
      <c r="L283" s="271"/>
      <c r="M283" s="276"/>
      <c r="N283" s="290">
        <f t="shared" si="196"/>
        <v>0</v>
      </c>
      <c r="O283" s="276"/>
      <c r="P283" s="290">
        <f t="shared" si="196"/>
        <v>0</v>
      </c>
      <c r="Q283" s="276"/>
      <c r="R283" s="290">
        <f t="shared" si="197"/>
        <v>0</v>
      </c>
      <c r="S283" s="276"/>
      <c r="T283" s="290">
        <f t="shared" si="198"/>
        <v>0</v>
      </c>
      <c r="U283" s="276"/>
      <c r="V283" s="290">
        <f t="shared" si="199"/>
        <v>0</v>
      </c>
      <c r="W283" s="276"/>
      <c r="X283" s="290">
        <f t="shared" si="200"/>
        <v>0</v>
      </c>
      <c r="Y283" s="271">
        <f t="shared" si="187"/>
        <v>0</v>
      </c>
      <c r="Z283" s="290">
        <f t="shared" si="188"/>
        <v>0</v>
      </c>
    </row>
    <row r="284" spans="2:26" ht="19.8" customHeight="1" x14ac:dyDescent="0.6">
      <c r="B284" s="268">
        <v>15</v>
      </c>
      <c r="C284" s="261" t="s">
        <v>59</v>
      </c>
      <c r="D284" s="303"/>
      <c r="E284" s="276"/>
      <c r="G284" s="290"/>
      <c r="I284" s="290"/>
      <c r="J284" s="298"/>
      <c r="K284" s="316"/>
      <c r="L284" s="271"/>
      <c r="M284" s="276"/>
      <c r="N284" s="290"/>
      <c r="O284" s="276"/>
      <c r="P284" s="290"/>
      <c r="Q284" s="276"/>
      <c r="R284" s="290"/>
      <c r="S284" s="276"/>
      <c r="T284" s="290"/>
      <c r="U284" s="276"/>
      <c r="V284" s="290"/>
      <c r="W284" s="276"/>
      <c r="X284" s="290"/>
      <c r="Y284" s="271">
        <f t="shared" si="187"/>
        <v>0</v>
      </c>
      <c r="Z284" s="290">
        <f t="shared" si="188"/>
        <v>0</v>
      </c>
    </row>
    <row r="285" spans="2:26" ht="19.8" customHeight="1" x14ac:dyDescent="0.6">
      <c r="B285" s="268">
        <v>16</v>
      </c>
      <c r="C285" s="261" t="s">
        <v>379</v>
      </c>
      <c r="D285" s="303" t="s">
        <v>549</v>
      </c>
      <c r="E285" s="276" t="s">
        <v>61</v>
      </c>
      <c r="G285" s="290"/>
      <c r="I285" s="290">
        <v>23917.83</v>
      </c>
      <c r="J285" s="298">
        <f t="shared" ref="J285" si="201">IF(G285="-","-",IF(D285&gt;0,ROUNDDOWN(I285*D285,0),""))</f>
        <v>526192</v>
      </c>
      <c r="K285" s="316">
        <v>526192</v>
      </c>
      <c r="L285" s="271"/>
      <c r="M285" s="276"/>
      <c r="N285" s="290">
        <f t="shared" ref="N285:P285" si="202">ROUNDDOWN(M285*$I285,0)</f>
        <v>0</v>
      </c>
      <c r="O285" s="276"/>
      <c r="P285" s="290">
        <f t="shared" si="202"/>
        <v>0</v>
      </c>
      <c r="Q285" s="276"/>
      <c r="R285" s="290">
        <f t="shared" ref="R285" si="203">ROUNDDOWN(Q285*$I285,0)</f>
        <v>0</v>
      </c>
      <c r="S285" s="276"/>
      <c r="T285" s="290">
        <f t="shared" ref="T285" si="204">ROUNDDOWN(S285*$I285,0)</f>
        <v>0</v>
      </c>
      <c r="U285" s="276"/>
      <c r="V285" s="290">
        <f t="shared" ref="V285" si="205">ROUNDDOWN(U285*$I285,0)</f>
        <v>0</v>
      </c>
      <c r="W285" s="276"/>
      <c r="X285" s="290">
        <f t="shared" ref="X285" si="206">ROUNDDOWN(W285*$I285,0)</f>
        <v>0</v>
      </c>
      <c r="Y285" s="271">
        <f t="shared" si="187"/>
        <v>0</v>
      </c>
      <c r="Z285" s="290">
        <f t="shared" si="188"/>
        <v>0</v>
      </c>
    </row>
    <row r="286" spans="2:26" ht="19.8" customHeight="1" x14ac:dyDescent="0.6">
      <c r="B286" s="268"/>
      <c r="C286" s="261" t="s">
        <v>52</v>
      </c>
      <c r="D286" s="303"/>
      <c r="E286" s="276"/>
      <c r="G286" s="290"/>
      <c r="I286" s="290"/>
      <c r="J286" s="298"/>
      <c r="K286" s="316"/>
      <c r="L286" s="271"/>
      <c r="M286" s="276"/>
      <c r="N286" s="290"/>
      <c r="O286" s="276"/>
      <c r="P286" s="290"/>
      <c r="Q286" s="276"/>
      <c r="R286" s="290"/>
      <c r="S286" s="276"/>
      <c r="T286" s="290"/>
      <c r="U286" s="276"/>
      <c r="V286" s="290"/>
      <c r="W286" s="276"/>
      <c r="X286" s="290"/>
      <c r="Y286" s="271">
        <f t="shared" si="187"/>
        <v>0</v>
      </c>
      <c r="Z286" s="290">
        <f t="shared" si="188"/>
        <v>0</v>
      </c>
    </row>
    <row r="287" spans="2:26" ht="19.8" customHeight="1" x14ac:dyDescent="0.6">
      <c r="B287" s="268">
        <v>17</v>
      </c>
      <c r="C287" s="261" t="s">
        <v>550</v>
      </c>
      <c r="D287" s="303" t="s">
        <v>441</v>
      </c>
      <c r="E287" s="276" t="s">
        <v>61</v>
      </c>
      <c r="G287" s="290"/>
      <c r="I287" s="290">
        <v>17176.25</v>
      </c>
      <c r="J287" s="298">
        <f t="shared" ref="J287" si="207">IF(G287="-","-",IF(D287&gt;0,ROUNDDOWN(I287*D287,0),""))</f>
        <v>103057</v>
      </c>
      <c r="K287" s="316">
        <v>103057</v>
      </c>
      <c r="L287" s="271"/>
      <c r="M287" s="276"/>
      <c r="N287" s="290">
        <f t="shared" ref="N287:P287" si="208">ROUNDDOWN(M287*$I287,0)</f>
        <v>0</v>
      </c>
      <c r="O287" s="276"/>
      <c r="P287" s="290">
        <f t="shared" si="208"/>
        <v>0</v>
      </c>
      <c r="Q287" s="276"/>
      <c r="R287" s="290">
        <f t="shared" ref="R287" si="209">ROUNDDOWN(Q287*$I287,0)</f>
        <v>0</v>
      </c>
      <c r="S287" s="276"/>
      <c r="T287" s="290">
        <f t="shared" ref="T287" si="210">ROUNDDOWN(S287*$I287,0)</f>
        <v>0</v>
      </c>
      <c r="U287" s="276"/>
      <c r="V287" s="290">
        <f t="shared" ref="V287" si="211">ROUNDDOWN(U287*$I287,0)</f>
        <v>0</v>
      </c>
      <c r="W287" s="276"/>
      <c r="X287" s="290">
        <f t="shared" ref="X287" si="212">ROUNDDOWN(W287*$I287,0)</f>
        <v>0</v>
      </c>
      <c r="Y287" s="271">
        <f t="shared" si="187"/>
        <v>0</v>
      </c>
      <c r="Z287" s="290">
        <f t="shared" si="188"/>
        <v>0</v>
      </c>
    </row>
    <row r="288" spans="2:26" ht="19.8" customHeight="1" x14ac:dyDescent="0.6">
      <c r="B288" s="268"/>
      <c r="C288" s="261" t="s">
        <v>52</v>
      </c>
      <c r="D288" s="303"/>
      <c r="E288" s="276"/>
      <c r="G288" s="290"/>
      <c r="I288" s="290"/>
      <c r="J288" s="298"/>
      <c r="K288" s="316"/>
      <c r="L288" s="271"/>
      <c r="M288" s="276"/>
      <c r="N288" s="290"/>
      <c r="O288" s="276"/>
      <c r="P288" s="290"/>
      <c r="Q288" s="276"/>
      <c r="R288" s="290"/>
      <c r="S288" s="276"/>
      <c r="T288" s="290"/>
      <c r="U288" s="276"/>
      <c r="V288" s="290"/>
      <c r="W288" s="276"/>
      <c r="X288" s="290"/>
      <c r="Y288" s="271">
        <f t="shared" si="187"/>
        <v>0</v>
      </c>
      <c r="Z288" s="290">
        <f t="shared" si="188"/>
        <v>0</v>
      </c>
    </row>
    <row r="289" spans="2:26" ht="19.8" customHeight="1" x14ac:dyDescent="0.6">
      <c r="B289" s="268"/>
      <c r="C289" s="261"/>
      <c r="D289" s="303"/>
      <c r="E289" s="276"/>
      <c r="G289" s="290"/>
      <c r="I289" s="290"/>
      <c r="J289" s="298"/>
      <c r="K289" s="316"/>
      <c r="L289" s="271"/>
      <c r="M289" s="276"/>
      <c r="N289" s="290"/>
      <c r="O289" s="276"/>
      <c r="P289" s="290"/>
      <c r="Q289" s="276"/>
      <c r="R289" s="290"/>
      <c r="S289" s="276"/>
      <c r="T289" s="290"/>
      <c r="U289" s="276"/>
      <c r="V289" s="290"/>
      <c r="W289" s="276"/>
      <c r="X289" s="290"/>
      <c r="Y289" s="271">
        <f t="shared" si="187"/>
        <v>0</v>
      </c>
      <c r="Z289" s="290">
        <f t="shared" si="188"/>
        <v>0</v>
      </c>
    </row>
    <row r="290" spans="2:26" ht="19.8" customHeight="1" x14ac:dyDescent="0.6">
      <c r="B290" s="826" t="s">
        <v>68</v>
      </c>
      <c r="C290" s="827"/>
      <c r="D290" s="294" t="s">
        <v>544</v>
      </c>
      <c r="E290" s="257" t="s">
        <v>57</v>
      </c>
      <c r="F290" s="296"/>
      <c r="G290" s="293"/>
      <c r="H290" s="297"/>
      <c r="I290" s="293"/>
      <c r="J290" s="299">
        <f>SUM(J265:J289)</f>
        <v>1601756</v>
      </c>
      <c r="K290" s="319">
        <v>1601756</v>
      </c>
      <c r="L290" s="262"/>
      <c r="M290" s="257"/>
      <c r="N290" s="293">
        <f>SUM(N265:N289)</f>
        <v>0</v>
      </c>
      <c r="O290" s="257"/>
      <c r="P290" s="293">
        <f>SUM(P265:P289)</f>
        <v>0</v>
      </c>
      <c r="Q290" s="257"/>
      <c r="R290" s="293">
        <f>SUM(R265:R289)</f>
        <v>0</v>
      </c>
      <c r="S290" s="257"/>
      <c r="T290" s="293">
        <f>SUM(T265:T289)</f>
        <v>0</v>
      </c>
      <c r="U290" s="257"/>
      <c r="V290" s="293">
        <f>SUM(V265:V289)</f>
        <v>0</v>
      </c>
      <c r="W290" s="257"/>
      <c r="X290" s="293">
        <f>SUM(X265:X289)</f>
        <v>0</v>
      </c>
      <c r="Y290" s="262">
        <f t="shared" si="187"/>
        <v>0</v>
      </c>
      <c r="Z290" s="293">
        <f t="shared" si="188"/>
        <v>0</v>
      </c>
    </row>
    <row r="291" spans="2:26" ht="19.8" customHeight="1" x14ac:dyDescent="0.6">
      <c r="B291" s="306">
        <v>1.1100000000000001</v>
      </c>
      <c r="C291" s="261" t="s">
        <v>69</v>
      </c>
      <c r="D291" s="303"/>
      <c r="E291" s="276"/>
      <c r="G291" s="290"/>
      <c r="I291" s="290"/>
      <c r="J291" s="298"/>
      <c r="K291" s="316"/>
      <c r="L291" s="271"/>
      <c r="M291" s="276"/>
      <c r="N291" s="290"/>
      <c r="O291" s="276"/>
      <c r="P291" s="290"/>
      <c r="Q291" s="276"/>
      <c r="R291" s="290"/>
      <c r="S291" s="276"/>
      <c r="T291" s="290"/>
      <c r="U291" s="276"/>
      <c r="V291" s="290"/>
      <c r="W291" s="276"/>
      <c r="X291" s="290"/>
      <c r="Y291" s="271">
        <f t="shared" si="187"/>
        <v>0</v>
      </c>
      <c r="Z291" s="290">
        <f t="shared" si="188"/>
        <v>0</v>
      </c>
    </row>
    <row r="292" spans="2:26" ht="19.8" customHeight="1" x14ac:dyDescent="0.6">
      <c r="B292" s="268"/>
      <c r="C292" s="261" t="s">
        <v>551</v>
      </c>
      <c r="D292" s="303"/>
      <c r="E292" s="276"/>
      <c r="G292" s="290"/>
      <c r="I292" s="290"/>
      <c r="J292" s="298"/>
      <c r="K292" s="316"/>
      <c r="L292" s="271"/>
      <c r="M292" s="276"/>
      <c r="N292" s="290"/>
      <c r="O292" s="276"/>
      <c r="P292" s="290"/>
      <c r="Q292" s="276"/>
      <c r="R292" s="290"/>
      <c r="S292" s="276"/>
      <c r="T292" s="290"/>
      <c r="U292" s="276"/>
      <c r="V292" s="290"/>
      <c r="W292" s="276"/>
      <c r="X292" s="290"/>
      <c r="Y292" s="271">
        <f t="shared" si="187"/>
        <v>0</v>
      </c>
      <c r="Z292" s="290">
        <f t="shared" si="188"/>
        <v>0</v>
      </c>
    </row>
    <row r="293" spans="2:26" ht="19.8" customHeight="1" x14ac:dyDescent="0.6">
      <c r="B293" s="268"/>
      <c r="C293" s="261" t="s">
        <v>552</v>
      </c>
      <c r="D293" s="303"/>
      <c r="E293" s="276"/>
      <c r="G293" s="290"/>
      <c r="I293" s="290"/>
      <c r="J293" s="298"/>
      <c r="K293" s="316"/>
      <c r="L293" s="271"/>
      <c r="M293" s="276"/>
      <c r="N293" s="290"/>
      <c r="O293" s="276"/>
      <c r="P293" s="290"/>
      <c r="Q293" s="276"/>
      <c r="R293" s="290"/>
      <c r="S293" s="276"/>
      <c r="T293" s="290"/>
      <c r="U293" s="276"/>
      <c r="V293" s="290"/>
      <c r="W293" s="276"/>
      <c r="X293" s="290"/>
      <c r="Y293" s="271">
        <f t="shared" si="187"/>
        <v>0</v>
      </c>
      <c r="Z293" s="290">
        <f t="shared" si="188"/>
        <v>0</v>
      </c>
    </row>
    <row r="294" spans="2:26" ht="19.8" customHeight="1" x14ac:dyDescent="0.6">
      <c r="B294" s="268">
        <v>1</v>
      </c>
      <c r="C294" s="261" t="s">
        <v>195</v>
      </c>
      <c r="D294" s="303" t="s">
        <v>553</v>
      </c>
      <c r="E294" s="276" t="s">
        <v>55</v>
      </c>
      <c r="G294" s="290"/>
      <c r="I294" s="290">
        <v>38.44</v>
      </c>
      <c r="J294" s="298">
        <f t="shared" ref="J294:J301" si="213">IF(G294="-","-",IF(D294&gt;0,ROUNDDOWN(I294*D294,0),""))</f>
        <v>2114</v>
      </c>
      <c r="K294" s="316">
        <v>2114</v>
      </c>
      <c r="L294" s="271"/>
      <c r="M294" s="276"/>
      <c r="N294" s="290">
        <f t="shared" ref="N294:P301" si="214">ROUNDDOWN(M294*$I294,0)</f>
        <v>0</v>
      </c>
      <c r="O294" s="276"/>
      <c r="P294" s="290">
        <f t="shared" si="214"/>
        <v>0</v>
      </c>
      <c r="Q294" s="276"/>
      <c r="R294" s="290">
        <f t="shared" ref="R294:R301" si="215">ROUNDDOWN(Q294*$I294,0)</f>
        <v>0</v>
      </c>
      <c r="S294" s="276"/>
      <c r="T294" s="290">
        <f t="shared" ref="T294:T301" si="216">ROUNDDOWN(S294*$I294,0)</f>
        <v>0</v>
      </c>
      <c r="U294" s="276"/>
      <c r="V294" s="290">
        <f t="shared" ref="V294:V301" si="217">ROUNDDOWN(U294*$I294,0)</f>
        <v>0</v>
      </c>
      <c r="W294" s="276"/>
      <c r="X294" s="290">
        <f t="shared" ref="X294:X301" si="218">ROUNDDOWN(W294*$I294,0)</f>
        <v>0</v>
      </c>
      <c r="Y294" s="271">
        <f t="shared" si="187"/>
        <v>0</v>
      </c>
      <c r="Z294" s="290">
        <f t="shared" si="188"/>
        <v>0</v>
      </c>
    </row>
    <row r="295" spans="2:26" ht="19.8" customHeight="1" x14ac:dyDescent="0.6">
      <c r="B295" s="268">
        <v>4</v>
      </c>
      <c r="C295" s="261" t="s">
        <v>196</v>
      </c>
      <c r="D295" s="303" t="s">
        <v>389</v>
      </c>
      <c r="E295" s="276" t="s">
        <v>61</v>
      </c>
      <c r="G295" s="290"/>
      <c r="I295" s="290">
        <v>811.72</v>
      </c>
      <c r="J295" s="298">
        <f t="shared" si="213"/>
        <v>811</v>
      </c>
      <c r="K295" s="316">
        <v>811</v>
      </c>
      <c r="L295" s="271"/>
      <c r="M295" s="276"/>
      <c r="N295" s="290">
        <f t="shared" si="214"/>
        <v>0</v>
      </c>
      <c r="O295" s="276"/>
      <c r="P295" s="290">
        <f t="shared" si="214"/>
        <v>0</v>
      </c>
      <c r="Q295" s="276"/>
      <c r="R295" s="290">
        <f t="shared" si="215"/>
        <v>0</v>
      </c>
      <c r="S295" s="276"/>
      <c r="T295" s="290">
        <f t="shared" si="216"/>
        <v>0</v>
      </c>
      <c r="U295" s="276"/>
      <c r="V295" s="290">
        <f t="shared" si="217"/>
        <v>0</v>
      </c>
      <c r="W295" s="276"/>
      <c r="X295" s="290">
        <f t="shared" si="218"/>
        <v>0</v>
      </c>
      <c r="Y295" s="271">
        <f t="shared" si="187"/>
        <v>0</v>
      </c>
      <c r="Z295" s="290">
        <f t="shared" si="188"/>
        <v>0</v>
      </c>
    </row>
    <row r="296" spans="2:26" ht="19.8" customHeight="1" x14ac:dyDescent="0.6">
      <c r="B296" s="268">
        <v>5</v>
      </c>
      <c r="C296" s="261" t="s">
        <v>524</v>
      </c>
      <c r="D296" s="303" t="s">
        <v>502</v>
      </c>
      <c r="E296" s="276" t="s">
        <v>62</v>
      </c>
      <c r="G296" s="290"/>
      <c r="I296" s="290">
        <v>1124.93</v>
      </c>
      <c r="J296" s="298">
        <f t="shared" si="213"/>
        <v>17998</v>
      </c>
      <c r="K296" s="316">
        <v>17998</v>
      </c>
      <c r="L296" s="271"/>
      <c r="M296" s="276"/>
      <c r="N296" s="290">
        <f t="shared" si="214"/>
        <v>0</v>
      </c>
      <c r="O296" s="276"/>
      <c r="P296" s="290">
        <f t="shared" si="214"/>
        <v>0</v>
      </c>
      <c r="Q296" s="276"/>
      <c r="R296" s="290">
        <f t="shared" si="215"/>
        <v>0</v>
      </c>
      <c r="S296" s="276"/>
      <c r="T296" s="290">
        <f t="shared" si="216"/>
        <v>0</v>
      </c>
      <c r="U296" s="276"/>
      <c r="V296" s="290">
        <f t="shared" si="217"/>
        <v>0</v>
      </c>
      <c r="W296" s="276"/>
      <c r="X296" s="290">
        <f t="shared" si="218"/>
        <v>0</v>
      </c>
      <c r="Y296" s="271">
        <f t="shared" si="187"/>
        <v>0</v>
      </c>
      <c r="Z296" s="290">
        <f t="shared" si="188"/>
        <v>0</v>
      </c>
    </row>
    <row r="297" spans="2:26" ht="19.8" customHeight="1" x14ac:dyDescent="0.6">
      <c r="B297" s="268">
        <v>6</v>
      </c>
      <c r="C297" s="261" t="s">
        <v>539</v>
      </c>
      <c r="D297" s="303" t="s">
        <v>529</v>
      </c>
      <c r="E297" s="276" t="s">
        <v>62</v>
      </c>
      <c r="G297" s="290"/>
      <c r="I297" s="290">
        <v>6336.56</v>
      </c>
      <c r="J297" s="298">
        <f t="shared" si="213"/>
        <v>25346</v>
      </c>
      <c r="K297" s="316">
        <v>25346</v>
      </c>
      <c r="L297" s="271"/>
      <c r="M297" s="276"/>
      <c r="N297" s="290">
        <f t="shared" si="214"/>
        <v>0</v>
      </c>
      <c r="O297" s="276"/>
      <c r="P297" s="290">
        <f t="shared" si="214"/>
        <v>0</v>
      </c>
      <c r="Q297" s="276"/>
      <c r="R297" s="290">
        <f t="shared" si="215"/>
        <v>0</v>
      </c>
      <c r="S297" s="276"/>
      <c r="T297" s="290">
        <f t="shared" si="216"/>
        <v>0</v>
      </c>
      <c r="U297" s="276"/>
      <c r="V297" s="290">
        <f t="shared" si="217"/>
        <v>0</v>
      </c>
      <c r="W297" s="276"/>
      <c r="X297" s="290">
        <f t="shared" si="218"/>
        <v>0</v>
      </c>
      <c r="Y297" s="271">
        <f t="shared" si="187"/>
        <v>0</v>
      </c>
      <c r="Z297" s="290">
        <f t="shared" si="188"/>
        <v>0</v>
      </c>
    </row>
    <row r="298" spans="2:26" ht="19.8" customHeight="1" x14ac:dyDescent="0.6">
      <c r="B298" s="268">
        <v>7</v>
      </c>
      <c r="C298" s="261" t="s">
        <v>217</v>
      </c>
      <c r="D298" s="303" t="s">
        <v>554</v>
      </c>
      <c r="E298" s="276" t="s">
        <v>55</v>
      </c>
      <c r="G298" s="290"/>
      <c r="I298" s="290">
        <v>1171.2</v>
      </c>
      <c r="J298" s="298">
        <f t="shared" si="213"/>
        <v>46848</v>
      </c>
      <c r="K298" s="316">
        <v>46848</v>
      </c>
      <c r="L298" s="271"/>
      <c r="M298" s="276"/>
      <c r="N298" s="290">
        <f t="shared" si="214"/>
        <v>0</v>
      </c>
      <c r="O298" s="276"/>
      <c r="P298" s="290">
        <f t="shared" si="214"/>
        <v>0</v>
      </c>
      <c r="Q298" s="276"/>
      <c r="R298" s="290">
        <f t="shared" si="215"/>
        <v>0</v>
      </c>
      <c r="S298" s="276"/>
      <c r="T298" s="290">
        <f t="shared" si="216"/>
        <v>0</v>
      </c>
      <c r="U298" s="276"/>
      <c r="V298" s="290">
        <f t="shared" si="217"/>
        <v>0</v>
      </c>
      <c r="W298" s="276"/>
      <c r="X298" s="290">
        <f t="shared" si="218"/>
        <v>0</v>
      </c>
      <c r="Y298" s="271">
        <f t="shared" si="187"/>
        <v>0</v>
      </c>
      <c r="Z298" s="290">
        <f t="shared" si="188"/>
        <v>0</v>
      </c>
    </row>
    <row r="299" spans="2:26" ht="19.8" customHeight="1" x14ac:dyDescent="0.6">
      <c r="B299" s="268">
        <v>8</v>
      </c>
      <c r="C299" s="261" t="s">
        <v>526</v>
      </c>
      <c r="D299" s="303" t="s">
        <v>555</v>
      </c>
      <c r="E299" s="276" t="s">
        <v>57</v>
      </c>
      <c r="G299" s="290"/>
      <c r="I299" s="290">
        <v>2616.08</v>
      </c>
      <c r="J299" s="298">
        <f t="shared" si="213"/>
        <v>36625</v>
      </c>
      <c r="K299" s="316">
        <v>36625</v>
      </c>
      <c r="L299" s="271"/>
      <c r="M299" s="276"/>
      <c r="N299" s="290">
        <f t="shared" si="214"/>
        <v>0</v>
      </c>
      <c r="O299" s="276"/>
      <c r="P299" s="290">
        <f t="shared" si="214"/>
        <v>0</v>
      </c>
      <c r="Q299" s="276"/>
      <c r="R299" s="290">
        <f t="shared" si="215"/>
        <v>0</v>
      </c>
      <c r="S299" s="276"/>
      <c r="T299" s="290">
        <f t="shared" si="216"/>
        <v>0</v>
      </c>
      <c r="U299" s="276"/>
      <c r="V299" s="290">
        <f t="shared" si="217"/>
        <v>0</v>
      </c>
      <c r="W299" s="276"/>
      <c r="X299" s="290">
        <f t="shared" si="218"/>
        <v>0</v>
      </c>
      <c r="Y299" s="271">
        <f t="shared" si="187"/>
        <v>0</v>
      </c>
      <c r="Z299" s="290">
        <f t="shared" si="188"/>
        <v>0</v>
      </c>
    </row>
    <row r="300" spans="2:26" ht="19.8" customHeight="1" x14ac:dyDescent="0.6">
      <c r="B300" s="268">
        <v>9</v>
      </c>
      <c r="C300" s="261" t="s">
        <v>218</v>
      </c>
      <c r="D300" s="303" t="s">
        <v>532</v>
      </c>
      <c r="E300" s="276" t="s">
        <v>54</v>
      </c>
      <c r="G300" s="290"/>
      <c r="I300" s="290">
        <v>1683.97</v>
      </c>
      <c r="J300" s="298">
        <f t="shared" si="213"/>
        <v>8419</v>
      </c>
      <c r="K300" s="316">
        <v>8419</v>
      </c>
      <c r="L300" s="271"/>
      <c r="M300" s="276"/>
      <c r="N300" s="290">
        <f t="shared" si="214"/>
        <v>0</v>
      </c>
      <c r="O300" s="276"/>
      <c r="P300" s="290">
        <f t="shared" si="214"/>
        <v>0</v>
      </c>
      <c r="Q300" s="276"/>
      <c r="R300" s="290">
        <f t="shared" si="215"/>
        <v>0</v>
      </c>
      <c r="S300" s="276"/>
      <c r="T300" s="290">
        <f t="shared" si="216"/>
        <v>0</v>
      </c>
      <c r="U300" s="276"/>
      <c r="V300" s="290">
        <f t="shared" si="217"/>
        <v>0</v>
      </c>
      <c r="W300" s="276"/>
      <c r="X300" s="290">
        <f t="shared" si="218"/>
        <v>0</v>
      </c>
      <c r="Y300" s="271">
        <f t="shared" si="187"/>
        <v>0</v>
      </c>
      <c r="Z300" s="290">
        <f t="shared" si="188"/>
        <v>0</v>
      </c>
    </row>
    <row r="301" spans="2:26" ht="19.8" customHeight="1" x14ac:dyDescent="0.6">
      <c r="B301" s="268">
        <v>10</v>
      </c>
      <c r="C301" s="261" t="s">
        <v>527</v>
      </c>
      <c r="D301" s="303" t="s">
        <v>532</v>
      </c>
      <c r="E301" s="276" t="s">
        <v>57</v>
      </c>
      <c r="G301" s="290"/>
      <c r="I301" s="290">
        <v>3714.77</v>
      </c>
      <c r="J301" s="298">
        <f t="shared" si="213"/>
        <v>18573</v>
      </c>
      <c r="K301" s="316">
        <v>18573</v>
      </c>
      <c r="L301" s="271"/>
      <c r="M301" s="276"/>
      <c r="N301" s="290">
        <f t="shared" si="214"/>
        <v>0</v>
      </c>
      <c r="O301" s="276"/>
      <c r="P301" s="290">
        <f t="shared" si="214"/>
        <v>0</v>
      </c>
      <c r="Q301" s="276"/>
      <c r="R301" s="290">
        <f t="shared" si="215"/>
        <v>0</v>
      </c>
      <c r="S301" s="276"/>
      <c r="T301" s="290">
        <f t="shared" si="216"/>
        <v>0</v>
      </c>
      <c r="U301" s="276"/>
      <c r="V301" s="290">
        <f t="shared" si="217"/>
        <v>0</v>
      </c>
      <c r="W301" s="276"/>
      <c r="X301" s="290">
        <f t="shared" si="218"/>
        <v>0</v>
      </c>
      <c r="Y301" s="271">
        <f t="shared" si="187"/>
        <v>0</v>
      </c>
      <c r="Z301" s="290">
        <f t="shared" si="188"/>
        <v>0</v>
      </c>
    </row>
    <row r="302" spans="2:26" ht="19.8" customHeight="1" x14ac:dyDescent="0.6">
      <c r="B302" s="268">
        <v>12</v>
      </c>
      <c r="C302" s="261" t="s">
        <v>53</v>
      </c>
      <c r="D302" s="303"/>
      <c r="E302" s="276"/>
      <c r="G302" s="290"/>
      <c r="I302" s="290"/>
      <c r="J302" s="298"/>
      <c r="K302" s="316"/>
      <c r="L302" s="271"/>
      <c r="M302" s="276"/>
      <c r="N302" s="290"/>
      <c r="O302" s="276"/>
      <c r="P302" s="290"/>
      <c r="Q302" s="276"/>
      <c r="R302" s="290"/>
      <c r="S302" s="276"/>
      <c r="T302" s="290"/>
      <c r="U302" s="276"/>
      <c r="V302" s="290"/>
      <c r="W302" s="276"/>
      <c r="X302" s="290"/>
      <c r="Y302" s="271">
        <f t="shared" si="187"/>
        <v>0</v>
      </c>
      <c r="Z302" s="290">
        <f t="shared" si="188"/>
        <v>0</v>
      </c>
    </row>
    <row r="303" spans="2:26" ht="19.8" customHeight="1" x14ac:dyDescent="0.6">
      <c r="B303" s="268"/>
      <c r="C303" s="261" t="s">
        <v>316</v>
      </c>
      <c r="D303" s="303" t="s">
        <v>422</v>
      </c>
      <c r="E303" s="276" t="s">
        <v>54</v>
      </c>
      <c r="G303" s="290"/>
      <c r="I303" s="290">
        <v>981.02</v>
      </c>
      <c r="J303" s="298">
        <f t="shared" ref="J303:J304" si="219">IF(G303="-","-",IF(D303&gt;0,ROUNDDOWN(I303*D303,0),""))</f>
        <v>5886</v>
      </c>
      <c r="K303" s="316">
        <v>5886</v>
      </c>
      <c r="L303" s="271"/>
      <c r="M303" s="276"/>
      <c r="N303" s="290">
        <f t="shared" ref="N303:P304" si="220">ROUNDDOWN(M303*$I303,0)</f>
        <v>0</v>
      </c>
      <c r="O303" s="276"/>
      <c r="P303" s="290">
        <f t="shared" si="220"/>
        <v>0</v>
      </c>
      <c r="Q303" s="276"/>
      <c r="R303" s="290">
        <f t="shared" ref="R303:R304" si="221">ROUNDDOWN(Q303*$I303,0)</f>
        <v>0</v>
      </c>
      <c r="S303" s="276"/>
      <c r="T303" s="290">
        <f t="shared" ref="T303:T304" si="222">ROUNDDOWN(S303*$I303,0)</f>
        <v>0</v>
      </c>
      <c r="U303" s="276"/>
      <c r="V303" s="290">
        <f t="shared" ref="V303:V304" si="223">ROUNDDOWN(U303*$I303,0)</f>
        <v>0</v>
      </c>
      <c r="W303" s="276"/>
      <c r="X303" s="290">
        <f t="shared" ref="X303:X304" si="224">ROUNDDOWN(W303*$I303,0)</f>
        <v>0</v>
      </c>
      <c r="Y303" s="271">
        <f t="shared" si="187"/>
        <v>0</v>
      </c>
      <c r="Z303" s="290">
        <f t="shared" si="188"/>
        <v>0</v>
      </c>
    </row>
    <row r="304" spans="2:26" ht="19.8" customHeight="1" x14ac:dyDescent="0.6">
      <c r="B304" s="268">
        <v>13</v>
      </c>
      <c r="C304" s="261" t="s">
        <v>215</v>
      </c>
      <c r="D304" s="303" t="s">
        <v>544</v>
      </c>
      <c r="E304" s="276" t="s">
        <v>55</v>
      </c>
      <c r="G304" s="290"/>
      <c r="I304" s="290">
        <v>330.94</v>
      </c>
      <c r="J304" s="298">
        <f t="shared" si="219"/>
        <v>8935</v>
      </c>
      <c r="K304" s="316">
        <v>8935</v>
      </c>
      <c r="L304" s="271"/>
      <c r="M304" s="276"/>
      <c r="N304" s="290">
        <f t="shared" si="220"/>
        <v>0</v>
      </c>
      <c r="O304" s="276"/>
      <c r="P304" s="290">
        <f t="shared" si="220"/>
        <v>0</v>
      </c>
      <c r="Q304" s="276"/>
      <c r="R304" s="290">
        <f t="shared" si="221"/>
        <v>0</v>
      </c>
      <c r="S304" s="276"/>
      <c r="T304" s="290">
        <f t="shared" si="222"/>
        <v>0</v>
      </c>
      <c r="U304" s="276"/>
      <c r="V304" s="290">
        <f t="shared" si="223"/>
        <v>0</v>
      </c>
      <c r="W304" s="276"/>
      <c r="X304" s="290">
        <f t="shared" si="224"/>
        <v>0</v>
      </c>
      <c r="Y304" s="271">
        <f t="shared" si="187"/>
        <v>0</v>
      </c>
      <c r="Z304" s="290">
        <f t="shared" si="188"/>
        <v>0</v>
      </c>
    </row>
    <row r="305" spans="2:26" ht="19.8" customHeight="1" x14ac:dyDescent="0.6">
      <c r="B305" s="268">
        <v>14</v>
      </c>
      <c r="C305" s="261" t="s">
        <v>56</v>
      </c>
      <c r="D305" s="303"/>
      <c r="E305" s="276"/>
      <c r="G305" s="290"/>
      <c r="I305" s="290"/>
      <c r="J305" s="298"/>
      <c r="K305" s="316"/>
      <c r="L305" s="271"/>
      <c r="M305" s="276"/>
      <c r="N305" s="290"/>
      <c r="O305" s="276"/>
      <c r="P305" s="290"/>
      <c r="Q305" s="276"/>
      <c r="R305" s="290"/>
      <c r="S305" s="276"/>
      <c r="T305" s="290"/>
      <c r="U305" s="276"/>
      <c r="V305" s="290"/>
      <c r="W305" s="276"/>
      <c r="X305" s="290"/>
      <c r="Y305" s="271">
        <f t="shared" si="187"/>
        <v>0</v>
      </c>
      <c r="Z305" s="290">
        <f t="shared" si="188"/>
        <v>0</v>
      </c>
    </row>
    <row r="306" spans="2:26" ht="19.8" customHeight="1" x14ac:dyDescent="0.6">
      <c r="B306" s="268"/>
      <c r="C306" s="261" t="s">
        <v>397</v>
      </c>
      <c r="D306" s="303" t="s">
        <v>532</v>
      </c>
      <c r="E306" s="276" t="s">
        <v>57</v>
      </c>
      <c r="G306" s="290"/>
      <c r="I306" s="290">
        <v>802.05</v>
      </c>
      <c r="J306" s="298">
        <f t="shared" ref="J306:J307" si="225">IF(G306="-","-",IF(D306&gt;0,ROUNDDOWN(I306*D306,0),""))</f>
        <v>4010</v>
      </c>
      <c r="K306" s="316">
        <v>4010</v>
      </c>
      <c r="L306" s="271"/>
      <c r="M306" s="276"/>
      <c r="N306" s="290">
        <f t="shared" ref="N306:P307" si="226">ROUNDDOWN(M306*$I306,0)</f>
        <v>0</v>
      </c>
      <c r="O306" s="276"/>
      <c r="P306" s="290">
        <f t="shared" si="226"/>
        <v>0</v>
      </c>
      <c r="Q306" s="276"/>
      <c r="R306" s="290">
        <f t="shared" ref="R306:R307" si="227">ROUNDDOWN(Q306*$I306,0)</f>
        <v>0</v>
      </c>
      <c r="S306" s="276"/>
      <c r="T306" s="290">
        <f t="shared" ref="T306:T307" si="228">ROUNDDOWN(S306*$I306,0)</f>
        <v>0</v>
      </c>
      <c r="U306" s="276"/>
      <c r="V306" s="290">
        <f t="shared" ref="V306:V307" si="229">ROUNDDOWN(U306*$I306,0)</f>
        <v>0</v>
      </c>
      <c r="W306" s="276"/>
      <c r="X306" s="290">
        <f t="shared" ref="X306:X307" si="230">ROUNDDOWN(W306*$I306,0)</f>
        <v>0</v>
      </c>
      <c r="Y306" s="271">
        <f t="shared" si="187"/>
        <v>0</v>
      </c>
      <c r="Z306" s="290">
        <f t="shared" si="188"/>
        <v>0</v>
      </c>
    </row>
    <row r="307" spans="2:26" ht="19.8" customHeight="1" x14ac:dyDescent="0.6">
      <c r="B307" s="268"/>
      <c r="C307" s="261" t="s">
        <v>430</v>
      </c>
      <c r="D307" s="303" t="s">
        <v>389</v>
      </c>
      <c r="E307" s="276" t="s">
        <v>58</v>
      </c>
      <c r="G307" s="290"/>
      <c r="I307" s="290">
        <v>4438.1000000000004</v>
      </c>
      <c r="J307" s="298">
        <f t="shared" si="225"/>
        <v>4438</v>
      </c>
      <c r="K307" s="316">
        <v>4438</v>
      </c>
      <c r="L307" s="271"/>
      <c r="M307" s="276"/>
      <c r="N307" s="290">
        <f t="shared" si="226"/>
        <v>0</v>
      </c>
      <c r="O307" s="276"/>
      <c r="P307" s="290">
        <f t="shared" si="226"/>
        <v>0</v>
      </c>
      <c r="Q307" s="276"/>
      <c r="R307" s="290">
        <f t="shared" si="227"/>
        <v>0</v>
      </c>
      <c r="S307" s="276"/>
      <c r="T307" s="290">
        <f t="shared" si="228"/>
        <v>0</v>
      </c>
      <c r="U307" s="276"/>
      <c r="V307" s="290">
        <f t="shared" si="229"/>
        <v>0</v>
      </c>
      <c r="W307" s="276"/>
      <c r="X307" s="290">
        <f t="shared" si="230"/>
        <v>0</v>
      </c>
      <c r="Y307" s="271">
        <f t="shared" si="187"/>
        <v>0</v>
      </c>
      <c r="Z307" s="290">
        <f t="shared" si="188"/>
        <v>0</v>
      </c>
    </row>
    <row r="308" spans="2:26" ht="19.8" customHeight="1" x14ac:dyDescent="0.6">
      <c r="B308" s="268">
        <v>15</v>
      </c>
      <c r="C308" s="261" t="s">
        <v>431</v>
      </c>
      <c r="D308" s="303"/>
      <c r="E308" s="276"/>
      <c r="G308" s="290"/>
      <c r="I308" s="290"/>
      <c r="J308" s="298"/>
      <c r="K308" s="316"/>
      <c r="L308" s="271"/>
      <c r="M308" s="276"/>
      <c r="N308" s="290"/>
      <c r="O308" s="276"/>
      <c r="P308" s="290"/>
      <c r="Q308" s="276"/>
      <c r="R308" s="290"/>
      <c r="S308" s="276"/>
      <c r="T308" s="290"/>
      <c r="U308" s="276"/>
      <c r="V308" s="290"/>
      <c r="W308" s="276"/>
      <c r="X308" s="290"/>
      <c r="Y308" s="271">
        <f t="shared" si="187"/>
        <v>0</v>
      </c>
      <c r="Z308" s="290">
        <f t="shared" si="188"/>
        <v>0</v>
      </c>
    </row>
    <row r="309" spans="2:26" ht="19.8" customHeight="1" x14ac:dyDescent="0.6">
      <c r="B309" s="268">
        <v>16</v>
      </c>
      <c r="C309" s="261" t="s">
        <v>379</v>
      </c>
      <c r="D309" s="303" t="s">
        <v>333</v>
      </c>
      <c r="E309" s="276" t="s">
        <v>61</v>
      </c>
      <c r="G309" s="290"/>
      <c r="I309" s="290">
        <v>23917.83</v>
      </c>
      <c r="J309" s="298">
        <f t="shared" ref="J309" si="231">IF(G309="-","-",IF(D309&gt;0,ROUNDDOWN(I309*D309,0),""))</f>
        <v>119589</v>
      </c>
      <c r="K309" s="316">
        <v>119589</v>
      </c>
      <c r="L309" s="271"/>
      <c r="M309" s="276"/>
      <c r="N309" s="290">
        <f t="shared" ref="N309:P309" si="232">ROUNDDOWN(M309*$I309,0)</f>
        <v>0</v>
      </c>
      <c r="O309" s="276"/>
      <c r="P309" s="290">
        <f t="shared" si="232"/>
        <v>0</v>
      </c>
      <c r="Q309" s="276"/>
      <c r="R309" s="290">
        <f t="shared" ref="R309" si="233">ROUNDDOWN(Q309*$I309,0)</f>
        <v>0</v>
      </c>
      <c r="S309" s="276"/>
      <c r="T309" s="290">
        <f t="shared" ref="T309" si="234">ROUNDDOWN(S309*$I309,0)</f>
        <v>0</v>
      </c>
      <c r="U309" s="276"/>
      <c r="V309" s="290">
        <f t="shared" ref="V309" si="235">ROUNDDOWN(U309*$I309,0)</f>
        <v>0</v>
      </c>
      <c r="W309" s="276"/>
      <c r="X309" s="290">
        <f t="shared" ref="X309" si="236">ROUNDDOWN(W309*$I309,0)</f>
        <v>0</v>
      </c>
      <c r="Y309" s="271">
        <f t="shared" si="187"/>
        <v>0</v>
      </c>
      <c r="Z309" s="290">
        <f t="shared" si="188"/>
        <v>0</v>
      </c>
    </row>
    <row r="310" spans="2:26" ht="19.8" customHeight="1" x14ac:dyDescent="0.6">
      <c r="B310" s="268"/>
      <c r="C310" s="261" t="s">
        <v>52</v>
      </c>
      <c r="D310" s="303"/>
      <c r="E310" s="276"/>
      <c r="G310" s="290"/>
      <c r="I310" s="290"/>
      <c r="J310" s="298"/>
      <c r="K310" s="316"/>
      <c r="L310" s="271"/>
      <c r="M310" s="276"/>
      <c r="N310" s="290"/>
      <c r="O310" s="276"/>
      <c r="P310" s="290"/>
      <c r="Q310" s="276"/>
      <c r="R310" s="290"/>
      <c r="S310" s="276"/>
      <c r="T310" s="290"/>
      <c r="U310" s="276"/>
      <c r="V310" s="290"/>
      <c r="W310" s="276"/>
      <c r="X310" s="290"/>
      <c r="Y310" s="271">
        <f t="shared" si="187"/>
        <v>0</v>
      </c>
      <c r="Z310" s="290">
        <f t="shared" si="188"/>
        <v>0</v>
      </c>
    </row>
    <row r="311" spans="2:26" ht="19.8" customHeight="1" x14ac:dyDescent="0.6">
      <c r="B311" s="268">
        <v>17</v>
      </c>
      <c r="C311" s="261" t="s">
        <v>550</v>
      </c>
      <c r="D311" s="303" t="s">
        <v>410</v>
      </c>
      <c r="E311" s="276" t="s">
        <v>61</v>
      </c>
      <c r="G311" s="290"/>
      <c r="I311" s="290">
        <v>17176.25</v>
      </c>
      <c r="J311" s="298">
        <f t="shared" ref="J311" si="237">IF(G311="-","-",IF(D311&gt;0,ROUNDDOWN(I311*D311,0),""))</f>
        <v>34352</v>
      </c>
      <c r="K311" s="316">
        <v>34352</v>
      </c>
      <c r="L311" s="271"/>
      <c r="M311" s="276"/>
      <c r="N311" s="290">
        <f t="shared" ref="N311:P311" si="238">ROUNDDOWN(M311*$I311,0)</f>
        <v>0</v>
      </c>
      <c r="O311" s="276"/>
      <c r="P311" s="290">
        <f t="shared" si="238"/>
        <v>0</v>
      </c>
      <c r="Q311" s="276"/>
      <c r="R311" s="290">
        <f t="shared" ref="R311" si="239">ROUNDDOWN(Q311*$I311,0)</f>
        <v>0</v>
      </c>
      <c r="S311" s="276"/>
      <c r="T311" s="290">
        <f t="shared" ref="T311" si="240">ROUNDDOWN(S311*$I311,0)</f>
        <v>0</v>
      </c>
      <c r="U311" s="276"/>
      <c r="V311" s="290">
        <f t="shared" ref="V311" si="241">ROUNDDOWN(U311*$I311,0)</f>
        <v>0</v>
      </c>
      <c r="W311" s="276"/>
      <c r="X311" s="290">
        <f t="shared" ref="X311" si="242">ROUNDDOWN(W311*$I311,0)</f>
        <v>0</v>
      </c>
      <c r="Y311" s="271">
        <f t="shared" si="187"/>
        <v>0</v>
      </c>
      <c r="Z311" s="290">
        <f t="shared" si="188"/>
        <v>0</v>
      </c>
    </row>
    <row r="312" spans="2:26" ht="19.8" customHeight="1" x14ac:dyDescent="0.6">
      <c r="B312" s="268"/>
      <c r="C312" s="261" t="s">
        <v>52</v>
      </c>
      <c r="D312" s="303"/>
      <c r="E312" s="276"/>
      <c r="G312" s="290"/>
      <c r="I312" s="290"/>
      <c r="J312" s="298"/>
      <c r="K312" s="316"/>
      <c r="L312" s="271"/>
      <c r="M312" s="276"/>
      <c r="N312" s="290"/>
      <c r="O312" s="276"/>
      <c r="P312" s="290"/>
      <c r="Q312" s="276"/>
      <c r="R312" s="290"/>
      <c r="S312" s="276"/>
      <c r="T312" s="290"/>
      <c r="U312" s="276"/>
      <c r="V312" s="290"/>
      <c r="W312" s="276"/>
      <c r="X312" s="290"/>
      <c r="Y312" s="271">
        <f t="shared" si="187"/>
        <v>0</v>
      </c>
      <c r="Z312" s="290">
        <f t="shared" si="188"/>
        <v>0</v>
      </c>
    </row>
    <row r="313" spans="2:26" ht="19.8" customHeight="1" x14ac:dyDescent="0.6">
      <c r="B313" s="268"/>
      <c r="C313" s="261"/>
      <c r="D313" s="303"/>
      <c r="E313" s="276"/>
      <c r="G313" s="290"/>
      <c r="I313" s="290"/>
      <c r="J313" s="298"/>
      <c r="K313" s="316"/>
      <c r="L313" s="271"/>
      <c r="M313" s="276"/>
      <c r="N313" s="290"/>
      <c r="O313" s="276"/>
      <c r="P313" s="290"/>
      <c r="Q313" s="276"/>
      <c r="R313" s="290"/>
      <c r="S313" s="276"/>
      <c r="T313" s="290"/>
      <c r="U313" s="276"/>
      <c r="V313" s="290"/>
      <c r="W313" s="276"/>
      <c r="X313" s="290"/>
      <c r="Y313" s="271">
        <f t="shared" si="187"/>
        <v>0</v>
      </c>
      <c r="Z313" s="290">
        <f t="shared" si="188"/>
        <v>0</v>
      </c>
    </row>
    <row r="314" spans="2:26" ht="19.8" customHeight="1" x14ac:dyDescent="0.6">
      <c r="B314" s="817" t="s">
        <v>556</v>
      </c>
      <c r="C314" s="818"/>
      <c r="D314" s="294" t="s">
        <v>532</v>
      </c>
      <c r="E314" s="257" t="s">
        <v>57</v>
      </c>
      <c r="F314" s="296"/>
      <c r="G314" s="293"/>
      <c r="H314" s="297"/>
      <c r="I314" s="293"/>
      <c r="J314" s="299">
        <f>SUM(J291:J313)</f>
        <v>333944</v>
      </c>
      <c r="K314" s="319">
        <v>333944</v>
      </c>
      <c r="L314" s="262"/>
      <c r="M314" s="257"/>
      <c r="N314" s="293">
        <f>SUM(N291:N313)</f>
        <v>0</v>
      </c>
      <c r="O314" s="257"/>
      <c r="P314" s="293">
        <f>SUM(P291:P313)</f>
        <v>0</v>
      </c>
      <c r="Q314" s="257"/>
      <c r="R314" s="293">
        <f>SUM(R291:R313)</f>
        <v>0</v>
      </c>
      <c r="S314" s="257"/>
      <c r="T314" s="293">
        <f>SUM(T291:T313)</f>
        <v>0</v>
      </c>
      <c r="U314" s="257"/>
      <c r="V314" s="293">
        <f>SUM(V291:V313)</f>
        <v>0</v>
      </c>
      <c r="W314" s="257"/>
      <c r="X314" s="293">
        <f>SUM(X291:X313)</f>
        <v>0</v>
      </c>
      <c r="Y314" s="262">
        <f t="shared" si="187"/>
        <v>0</v>
      </c>
      <c r="Z314" s="293">
        <f t="shared" si="188"/>
        <v>0</v>
      </c>
    </row>
    <row r="315" spans="2:26" ht="19.8" customHeight="1" x14ac:dyDescent="0.6">
      <c r="B315" s="306">
        <v>1.1200000000000001</v>
      </c>
      <c r="C315" s="261" t="s">
        <v>70</v>
      </c>
      <c r="D315" s="303"/>
      <c r="E315" s="276"/>
      <c r="G315" s="290"/>
      <c r="I315" s="290"/>
      <c r="J315" s="298"/>
      <c r="K315" s="316"/>
      <c r="L315" s="271"/>
      <c r="M315" s="276"/>
      <c r="N315" s="290"/>
      <c r="O315" s="276"/>
      <c r="P315" s="290"/>
      <c r="Q315" s="276"/>
      <c r="R315" s="290"/>
      <c r="S315" s="276"/>
      <c r="T315" s="290"/>
      <c r="U315" s="276"/>
      <c r="V315" s="290"/>
      <c r="W315" s="276"/>
      <c r="X315" s="290"/>
      <c r="Y315" s="271">
        <f t="shared" si="187"/>
        <v>0</v>
      </c>
      <c r="Z315" s="290">
        <f t="shared" si="188"/>
        <v>0</v>
      </c>
    </row>
    <row r="316" spans="2:26" ht="19.8" customHeight="1" x14ac:dyDescent="0.6">
      <c r="B316" s="268"/>
      <c r="C316" s="261" t="s">
        <v>557</v>
      </c>
      <c r="D316" s="303"/>
      <c r="E316" s="276"/>
      <c r="G316" s="290"/>
      <c r="I316" s="290"/>
      <c r="J316" s="298"/>
      <c r="K316" s="316"/>
      <c r="L316" s="271"/>
      <c r="M316" s="276"/>
      <c r="N316" s="290"/>
      <c r="O316" s="276"/>
      <c r="P316" s="290"/>
      <c r="Q316" s="276"/>
      <c r="R316" s="290"/>
      <c r="S316" s="276"/>
      <c r="T316" s="290"/>
      <c r="U316" s="276"/>
      <c r="V316" s="290"/>
      <c r="W316" s="276"/>
      <c r="X316" s="290"/>
      <c r="Y316" s="271">
        <f t="shared" si="187"/>
        <v>0</v>
      </c>
      <c r="Z316" s="290">
        <f t="shared" si="188"/>
        <v>0</v>
      </c>
    </row>
    <row r="317" spans="2:26" ht="19.8" customHeight="1" x14ac:dyDescent="0.6">
      <c r="B317" s="268"/>
      <c r="C317" s="261" t="s">
        <v>558</v>
      </c>
      <c r="D317" s="303"/>
      <c r="E317" s="276"/>
      <c r="G317" s="290"/>
      <c r="I317" s="290"/>
      <c r="J317" s="298"/>
      <c r="K317" s="316"/>
      <c r="L317" s="271"/>
      <c r="M317" s="276"/>
      <c r="N317" s="290"/>
      <c r="O317" s="276"/>
      <c r="P317" s="290"/>
      <c r="Q317" s="276"/>
      <c r="R317" s="290"/>
      <c r="S317" s="276"/>
      <c r="T317" s="290"/>
      <c r="U317" s="276"/>
      <c r="V317" s="290"/>
      <c r="W317" s="276"/>
      <c r="X317" s="290"/>
      <c r="Y317" s="271">
        <f t="shared" si="187"/>
        <v>0</v>
      </c>
      <c r="Z317" s="290">
        <f t="shared" si="188"/>
        <v>0</v>
      </c>
    </row>
    <row r="318" spans="2:26" ht="19.8" customHeight="1" x14ac:dyDescent="0.6">
      <c r="B318" s="268">
        <v>1</v>
      </c>
      <c r="C318" s="261" t="s">
        <v>195</v>
      </c>
      <c r="D318" s="303" t="s">
        <v>561</v>
      </c>
      <c r="E318" s="276" t="s">
        <v>55</v>
      </c>
      <c r="G318" s="290"/>
      <c r="I318" s="290">
        <v>38.44</v>
      </c>
      <c r="J318" s="298">
        <f t="shared" ref="J318:J324" si="243">IF(G318="-","-",IF(D318&gt;0,ROUNDDOWN(I318*D318,0),""))</f>
        <v>13108</v>
      </c>
      <c r="K318" s="316">
        <v>13108</v>
      </c>
      <c r="L318" s="271"/>
      <c r="M318" s="276"/>
      <c r="N318" s="290">
        <f t="shared" ref="N318:P324" si="244">ROUNDDOWN(M318*$I318,0)</f>
        <v>0</v>
      </c>
      <c r="O318" s="276"/>
      <c r="P318" s="290">
        <f t="shared" si="244"/>
        <v>0</v>
      </c>
      <c r="Q318" s="276"/>
      <c r="R318" s="290">
        <f t="shared" ref="R318:R324" si="245">ROUNDDOWN(Q318*$I318,0)</f>
        <v>0</v>
      </c>
      <c r="S318" s="276"/>
      <c r="T318" s="290">
        <f t="shared" ref="T318:T324" si="246">ROUNDDOWN(S318*$I318,0)</f>
        <v>0</v>
      </c>
      <c r="U318" s="276"/>
      <c r="V318" s="290">
        <f t="shared" ref="V318:V324" si="247">ROUNDDOWN(U318*$I318,0)</f>
        <v>0</v>
      </c>
      <c r="W318" s="276"/>
      <c r="X318" s="290">
        <f t="shared" ref="X318:X324" si="248">ROUNDDOWN(W318*$I318,0)</f>
        <v>0</v>
      </c>
      <c r="Y318" s="271">
        <f t="shared" si="187"/>
        <v>0</v>
      </c>
      <c r="Z318" s="290">
        <f t="shared" si="188"/>
        <v>0</v>
      </c>
    </row>
    <row r="319" spans="2:26" ht="19.8" customHeight="1" x14ac:dyDescent="0.6">
      <c r="B319" s="268">
        <v>4</v>
      </c>
      <c r="C319" s="261" t="s">
        <v>440</v>
      </c>
      <c r="D319" s="303" t="s">
        <v>562</v>
      </c>
      <c r="E319" s="276" t="s">
        <v>62</v>
      </c>
      <c r="G319" s="290"/>
      <c r="I319" s="290">
        <v>721.05</v>
      </c>
      <c r="J319" s="298">
        <f t="shared" si="243"/>
        <v>75710</v>
      </c>
      <c r="K319" s="316">
        <v>75710</v>
      </c>
      <c r="L319" s="271"/>
      <c r="M319" s="276"/>
      <c r="N319" s="290">
        <f t="shared" si="244"/>
        <v>0</v>
      </c>
      <c r="O319" s="276"/>
      <c r="P319" s="290">
        <f t="shared" si="244"/>
        <v>0</v>
      </c>
      <c r="Q319" s="276"/>
      <c r="R319" s="290">
        <f t="shared" si="245"/>
        <v>0</v>
      </c>
      <c r="S319" s="276"/>
      <c r="T319" s="290">
        <f t="shared" si="246"/>
        <v>0</v>
      </c>
      <c r="U319" s="276"/>
      <c r="V319" s="290">
        <f t="shared" si="247"/>
        <v>0</v>
      </c>
      <c r="W319" s="276"/>
      <c r="X319" s="290">
        <f t="shared" si="248"/>
        <v>0</v>
      </c>
      <c r="Y319" s="271">
        <f t="shared" si="187"/>
        <v>0</v>
      </c>
      <c r="Z319" s="290">
        <f t="shared" si="188"/>
        <v>0</v>
      </c>
    </row>
    <row r="320" spans="2:26" ht="19.8" customHeight="1" x14ac:dyDescent="0.6">
      <c r="B320" s="268">
        <v>5</v>
      </c>
      <c r="C320" s="261" t="s">
        <v>197</v>
      </c>
      <c r="D320" s="303" t="s">
        <v>339</v>
      </c>
      <c r="E320" s="276" t="s">
        <v>54</v>
      </c>
      <c r="G320" s="290"/>
      <c r="I320" s="290">
        <v>104.6</v>
      </c>
      <c r="J320" s="298">
        <f t="shared" si="243"/>
        <v>15585</v>
      </c>
      <c r="K320" s="316">
        <v>15585</v>
      </c>
      <c r="L320" s="271"/>
      <c r="M320" s="276"/>
      <c r="N320" s="290">
        <f t="shared" si="244"/>
        <v>0</v>
      </c>
      <c r="O320" s="276"/>
      <c r="P320" s="290">
        <f t="shared" si="244"/>
        <v>0</v>
      </c>
      <c r="Q320" s="276"/>
      <c r="R320" s="290">
        <f t="shared" si="245"/>
        <v>0</v>
      </c>
      <c r="S320" s="276"/>
      <c r="T320" s="290">
        <f t="shared" si="246"/>
        <v>0</v>
      </c>
      <c r="U320" s="276"/>
      <c r="V320" s="290">
        <f t="shared" si="247"/>
        <v>0</v>
      </c>
      <c r="W320" s="276"/>
      <c r="X320" s="290">
        <f t="shared" si="248"/>
        <v>0</v>
      </c>
      <c r="Y320" s="271">
        <f t="shared" si="187"/>
        <v>0</v>
      </c>
      <c r="Z320" s="290">
        <f t="shared" si="188"/>
        <v>0</v>
      </c>
    </row>
    <row r="321" spans="2:26" ht="19.8" customHeight="1" x14ac:dyDescent="0.6">
      <c r="B321" s="268">
        <v>6</v>
      </c>
      <c r="C321" s="261" t="s">
        <v>216</v>
      </c>
      <c r="D321" s="303" t="s">
        <v>560</v>
      </c>
      <c r="E321" s="276" t="s">
        <v>55</v>
      </c>
      <c r="G321" s="290"/>
      <c r="I321" s="290">
        <v>82.27</v>
      </c>
      <c r="J321" s="298">
        <f t="shared" si="243"/>
        <v>18099</v>
      </c>
      <c r="K321" s="316">
        <v>18099</v>
      </c>
      <c r="L321" s="271"/>
      <c r="M321" s="276"/>
      <c r="N321" s="290">
        <f t="shared" si="244"/>
        <v>0</v>
      </c>
      <c r="O321" s="276"/>
      <c r="P321" s="290">
        <f t="shared" si="244"/>
        <v>0</v>
      </c>
      <c r="Q321" s="276"/>
      <c r="R321" s="290">
        <f t="shared" si="245"/>
        <v>0</v>
      </c>
      <c r="S321" s="276"/>
      <c r="T321" s="290">
        <f t="shared" si="246"/>
        <v>0</v>
      </c>
      <c r="U321" s="276"/>
      <c r="V321" s="290">
        <f t="shared" si="247"/>
        <v>0</v>
      </c>
      <c r="W321" s="276"/>
      <c r="X321" s="290">
        <f t="shared" si="248"/>
        <v>0</v>
      </c>
      <c r="Y321" s="271">
        <f t="shared" si="187"/>
        <v>0</v>
      </c>
      <c r="Z321" s="290">
        <f t="shared" si="188"/>
        <v>0</v>
      </c>
    </row>
    <row r="322" spans="2:26" ht="19.8" customHeight="1" x14ac:dyDescent="0.6">
      <c r="B322" s="268">
        <v>7</v>
      </c>
      <c r="C322" s="261" t="s">
        <v>448</v>
      </c>
      <c r="D322" s="303" t="s">
        <v>559</v>
      </c>
      <c r="E322" s="276" t="s">
        <v>57</v>
      </c>
      <c r="G322" s="290"/>
      <c r="I322" s="290">
        <v>4950.37</v>
      </c>
      <c r="J322" s="298">
        <f t="shared" si="243"/>
        <v>153461</v>
      </c>
      <c r="K322" s="316">
        <v>153461</v>
      </c>
      <c r="L322" s="271"/>
      <c r="M322" s="276"/>
      <c r="N322" s="290">
        <f t="shared" si="244"/>
        <v>0</v>
      </c>
      <c r="O322" s="276"/>
      <c r="P322" s="290">
        <f t="shared" si="244"/>
        <v>0</v>
      </c>
      <c r="Q322" s="276"/>
      <c r="R322" s="290">
        <f t="shared" si="245"/>
        <v>0</v>
      </c>
      <c r="S322" s="276"/>
      <c r="T322" s="290">
        <f t="shared" si="246"/>
        <v>0</v>
      </c>
      <c r="U322" s="276"/>
      <c r="V322" s="290">
        <f t="shared" si="247"/>
        <v>0</v>
      </c>
      <c r="W322" s="276"/>
      <c r="X322" s="290">
        <f t="shared" si="248"/>
        <v>0</v>
      </c>
      <c r="Y322" s="271">
        <f t="shared" si="187"/>
        <v>0</v>
      </c>
      <c r="Z322" s="290">
        <f t="shared" si="188"/>
        <v>0</v>
      </c>
    </row>
    <row r="323" spans="2:26" ht="19.8" customHeight="1" x14ac:dyDescent="0.6">
      <c r="B323" s="268">
        <v>8</v>
      </c>
      <c r="C323" s="261" t="s">
        <v>450</v>
      </c>
      <c r="D323" s="303" t="s">
        <v>473</v>
      </c>
      <c r="E323" s="276" t="s">
        <v>57</v>
      </c>
      <c r="G323" s="290"/>
      <c r="I323" s="290">
        <v>3308.61</v>
      </c>
      <c r="J323" s="298">
        <f t="shared" si="243"/>
        <v>11580</v>
      </c>
      <c r="K323" s="316">
        <v>11580</v>
      </c>
      <c r="L323" s="271"/>
      <c r="M323" s="276"/>
      <c r="N323" s="290">
        <f t="shared" si="244"/>
        <v>0</v>
      </c>
      <c r="O323" s="276"/>
      <c r="P323" s="290">
        <f t="shared" si="244"/>
        <v>0</v>
      </c>
      <c r="Q323" s="276"/>
      <c r="R323" s="290">
        <f t="shared" si="245"/>
        <v>0</v>
      </c>
      <c r="S323" s="276"/>
      <c r="T323" s="290">
        <f t="shared" si="246"/>
        <v>0</v>
      </c>
      <c r="U323" s="276"/>
      <c r="V323" s="290">
        <f t="shared" si="247"/>
        <v>0</v>
      </c>
      <c r="W323" s="276"/>
      <c r="X323" s="290">
        <f t="shared" si="248"/>
        <v>0</v>
      </c>
      <c r="Y323" s="271">
        <f t="shared" si="187"/>
        <v>0</v>
      </c>
      <c r="Z323" s="290">
        <f t="shared" si="188"/>
        <v>0</v>
      </c>
    </row>
    <row r="324" spans="2:26" ht="19.8" customHeight="1" x14ac:dyDescent="0.6">
      <c r="B324" s="268">
        <v>9</v>
      </c>
      <c r="C324" s="261" t="s">
        <v>212</v>
      </c>
      <c r="D324" s="303" t="s">
        <v>563</v>
      </c>
      <c r="E324" s="276" t="s">
        <v>57</v>
      </c>
      <c r="G324" s="290"/>
      <c r="I324" s="290">
        <v>3101.93</v>
      </c>
      <c r="J324" s="298">
        <f t="shared" si="243"/>
        <v>107016</v>
      </c>
      <c r="K324" s="316">
        <v>107016</v>
      </c>
      <c r="L324" s="271"/>
      <c r="M324" s="276"/>
      <c r="N324" s="290">
        <f t="shared" si="244"/>
        <v>0</v>
      </c>
      <c r="O324" s="276"/>
      <c r="P324" s="290">
        <f t="shared" si="244"/>
        <v>0</v>
      </c>
      <c r="Q324" s="276"/>
      <c r="R324" s="290">
        <f t="shared" si="245"/>
        <v>0</v>
      </c>
      <c r="S324" s="276"/>
      <c r="T324" s="290">
        <f t="shared" si="246"/>
        <v>0</v>
      </c>
      <c r="U324" s="276"/>
      <c r="V324" s="290">
        <f t="shared" si="247"/>
        <v>0</v>
      </c>
      <c r="W324" s="276"/>
      <c r="X324" s="290">
        <f t="shared" si="248"/>
        <v>0</v>
      </c>
      <c r="Y324" s="271">
        <f t="shared" si="187"/>
        <v>0</v>
      </c>
      <c r="Z324" s="290">
        <f t="shared" si="188"/>
        <v>0</v>
      </c>
    </row>
    <row r="325" spans="2:26" ht="19.8" customHeight="1" x14ac:dyDescent="0.6">
      <c r="B325" s="268">
        <v>10</v>
      </c>
      <c r="C325" s="261" t="s">
        <v>56</v>
      </c>
      <c r="D325" s="303"/>
      <c r="E325" s="276"/>
      <c r="G325" s="290"/>
      <c r="I325" s="290"/>
      <c r="J325" s="298"/>
      <c r="K325" s="316"/>
      <c r="L325" s="271"/>
      <c r="M325" s="276"/>
      <c r="N325" s="290"/>
      <c r="O325" s="276"/>
      <c r="P325" s="290"/>
      <c r="Q325" s="276"/>
      <c r="R325" s="290"/>
      <c r="S325" s="276"/>
      <c r="T325" s="290"/>
      <c r="U325" s="276"/>
      <c r="V325" s="290"/>
      <c r="W325" s="276"/>
      <c r="X325" s="290"/>
      <c r="Y325" s="271">
        <f t="shared" si="187"/>
        <v>0</v>
      </c>
      <c r="Z325" s="290">
        <f t="shared" si="188"/>
        <v>0</v>
      </c>
    </row>
    <row r="326" spans="2:26" ht="19.8" customHeight="1" x14ac:dyDescent="0.6">
      <c r="B326" s="268"/>
      <c r="C326" s="261" t="s">
        <v>397</v>
      </c>
      <c r="D326" s="303" t="s">
        <v>330</v>
      </c>
      <c r="E326" s="276" t="s">
        <v>57</v>
      </c>
      <c r="G326" s="290"/>
      <c r="I326" s="290">
        <v>802.05</v>
      </c>
      <c r="J326" s="298">
        <f t="shared" ref="J326:J327" si="249">IF(G326="-","-",IF(D326&gt;0,ROUNDDOWN(I326*D326,0),""))</f>
        <v>24061</v>
      </c>
      <c r="K326" s="316">
        <v>24061</v>
      </c>
      <c r="L326" s="271"/>
      <c r="M326" s="276"/>
      <c r="N326" s="290">
        <f t="shared" ref="N326:P327" si="250">ROUNDDOWN(M326*$I326,0)</f>
        <v>0</v>
      </c>
      <c r="O326" s="276"/>
      <c r="P326" s="290">
        <f t="shared" si="250"/>
        <v>0</v>
      </c>
      <c r="Q326" s="276"/>
      <c r="R326" s="290">
        <f t="shared" ref="R326:R327" si="251">ROUNDDOWN(Q326*$I326,0)</f>
        <v>0</v>
      </c>
      <c r="S326" s="276"/>
      <c r="T326" s="290">
        <f t="shared" ref="T326:T327" si="252">ROUNDDOWN(S326*$I326,0)</f>
        <v>0</v>
      </c>
      <c r="U326" s="276"/>
      <c r="V326" s="290">
        <f t="shared" ref="V326:V327" si="253">ROUNDDOWN(U326*$I326,0)</f>
        <v>0</v>
      </c>
      <c r="W326" s="276"/>
      <c r="X326" s="290">
        <f t="shared" ref="X326:X327" si="254">ROUNDDOWN(W326*$I326,0)</f>
        <v>0</v>
      </c>
      <c r="Y326" s="271">
        <f t="shared" si="187"/>
        <v>0</v>
      </c>
      <c r="Z326" s="290">
        <f t="shared" si="188"/>
        <v>0</v>
      </c>
    </row>
    <row r="327" spans="2:26" ht="19.8" customHeight="1" x14ac:dyDescent="0.6">
      <c r="B327" s="268"/>
      <c r="C327" s="261" t="s">
        <v>564</v>
      </c>
      <c r="D327" s="303" t="s">
        <v>389</v>
      </c>
      <c r="E327" s="276" t="s">
        <v>58</v>
      </c>
      <c r="G327" s="290"/>
      <c r="I327" s="290">
        <v>4438.1000000000004</v>
      </c>
      <c r="J327" s="298">
        <f t="shared" si="249"/>
        <v>4438</v>
      </c>
      <c r="K327" s="316">
        <v>4438</v>
      </c>
      <c r="L327" s="271"/>
      <c r="M327" s="276"/>
      <c r="N327" s="290">
        <f t="shared" si="250"/>
        <v>0</v>
      </c>
      <c r="O327" s="276"/>
      <c r="P327" s="290">
        <f t="shared" si="250"/>
        <v>0</v>
      </c>
      <c r="Q327" s="276"/>
      <c r="R327" s="290">
        <f t="shared" si="251"/>
        <v>0</v>
      </c>
      <c r="S327" s="276"/>
      <c r="T327" s="290">
        <f t="shared" si="252"/>
        <v>0</v>
      </c>
      <c r="U327" s="276"/>
      <c r="V327" s="290">
        <f t="shared" si="253"/>
        <v>0</v>
      </c>
      <c r="W327" s="276"/>
      <c r="X327" s="290">
        <f t="shared" si="254"/>
        <v>0</v>
      </c>
      <c r="Y327" s="271">
        <f t="shared" si="187"/>
        <v>0</v>
      </c>
      <c r="Z327" s="290">
        <f t="shared" si="188"/>
        <v>0</v>
      </c>
    </row>
    <row r="328" spans="2:26" ht="19.8" customHeight="1" x14ac:dyDescent="0.6">
      <c r="B328" s="268">
        <v>11</v>
      </c>
      <c r="C328" s="261" t="s">
        <v>59</v>
      </c>
      <c r="D328" s="303"/>
      <c r="E328" s="276"/>
      <c r="G328" s="290"/>
      <c r="I328" s="290"/>
      <c r="J328" s="298"/>
      <c r="K328" s="316"/>
      <c r="L328" s="271"/>
      <c r="M328" s="276"/>
      <c r="N328" s="290"/>
      <c r="O328" s="276"/>
      <c r="P328" s="290"/>
      <c r="Q328" s="276"/>
      <c r="R328" s="290"/>
      <c r="S328" s="276"/>
      <c r="T328" s="290"/>
      <c r="U328" s="276"/>
      <c r="V328" s="290"/>
      <c r="W328" s="276"/>
      <c r="X328" s="290"/>
      <c r="Y328" s="271">
        <f t="shared" si="187"/>
        <v>0</v>
      </c>
      <c r="Z328" s="290">
        <f t="shared" si="188"/>
        <v>0</v>
      </c>
    </row>
    <row r="329" spans="2:26" ht="19.8" customHeight="1" x14ac:dyDescent="0.6">
      <c r="B329" s="268">
        <v>12</v>
      </c>
      <c r="C329" s="261" t="s">
        <v>455</v>
      </c>
      <c r="D329" s="303" t="s">
        <v>567</v>
      </c>
      <c r="E329" s="276" t="s">
        <v>61</v>
      </c>
      <c r="G329" s="290"/>
      <c r="I329" s="290">
        <v>21869.91</v>
      </c>
      <c r="J329" s="298">
        <f t="shared" ref="J329" si="255">IF(G329="-","-",IF(D329&gt;0,ROUNDDOWN(I329*D329,0),""))</f>
        <v>831056</v>
      </c>
      <c r="K329" s="316">
        <v>831056</v>
      </c>
      <c r="L329" s="271"/>
      <c r="M329" s="276"/>
      <c r="N329" s="290">
        <f t="shared" ref="N329:P329" si="256">ROUNDDOWN(M329*$I329,0)</f>
        <v>0</v>
      </c>
      <c r="O329" s="276"/>
      <c r="P329" s="290">
        <f t="shared" si="256"/>
        <v>0</v>
      </c>
      <c r="Q329" s="276"/>
      <c r="R329" s="290">
        <f t="shared" ref="R329" si="257">ROUNDDOWN(Q329*$I329,0)</f>
        <v>0</v>
      </c>
      <c r="S329" s="276"/>
      <c r="T329" s="290">
        <f t="shared" ref="T329" si="258">ROUNDDOWN(S329*$I329,0)</f>
        <v>0</v>
      </c>
      <c r="U329" s="276"/>
      <c r="V329" s="290">
        <f t="shared" ref="V329" si="259">ROUNDDOWN(U329*$I329,0)</f>
        <v>0</v>
      </c>
      <c r="W329" s="276"/>
      <c r="X329" s="290">
        <f t="shared" ref="X329" si="260">ROUNDDOWN(W329*$I329,0)</f>
        <v>0</v>
      </c>
      <c r="Y329" s="271">
        <f t="shared" si="187"/>
        <v>0</v>
      </c>
      <c r="Z329" s="290">
        <f t="shared" si="188"/>
        <v>0</v>
      </c>
    </row>
    <row r="330" spans="2:26" ht="19.8" customHeight="1" x14ac:dyDescent="0.6">
      <c r="B330" s="268"/>
      <c r="C330" s="261" t="s">
        <v>52</v>
      </c>
      <c r="D330" s="303"/>
      <c r="E330" s="276"/>
      <c r="G330" s="290"/>
      <c r="I330" s="290"/>
      <c r="J330" s="298"/>
      <c r="K330" s="316"/>
      <c r="L330" s="271"/>
      <c r="M330" s="276"/>
      <c r="N330" s="290"/>
      <c r="O330" s="276"/>
      <c r="P330" s="290"/>
      <c r="Q330" s="276"/>
      <c r="R330" s="290"/>
      <c r="S330" s="276"/>
      <c r="T330" s="290"/>
      <c r="U330" s="276"/>
      <c r="V330" s="290"/>
      <c r="W330" s="276"/>
      <c r="X330" s="290"/>
      <c r="Y330" s="271">
        <f t="shared" si="187"/>
        <v>0</v>
      </c>
      <c r="Z330" s="290">
        <f t="shared" si="188"/>
        <v>0</v>
      </c>
    </row>
    <row r="331" spans="2:26" ht="19.8" customHeight="1" x14ac:dyDescent="0.6">
      <c r="B331" s="268">
        <v>13</v>
      </c>
      <c r="C331" s="261" t="s">
        <v>565</v>
      </c>
      <c r="D331" s="303" t="s">
        <v>566</v>
      </c>
      <c r="E331" s="276" t="s">
        <v>61</v>
      </c>
      <c r="G331" s="290"/>
      <c r="I331" s="290">
        <v>11069.01</v>
      </c>
      <c r="J331" s="298">
        <f t="shared" ref="J331" si="261">IF(G331="-","-",IF(D331&gt;0,ROUNDDOWN(I331*D331,0),""))</f>
        <v>343139</v>
      </c>
      <c r="K331" s="316">
        <v>343139</v>
      </c>
      <c r="L331" s="271"/>
      <c r="M331" s="276"/>
      <c r="N331" s="290">
        <f t="shared" ref="N331:P331" si="262">ROUNDDOWN(M331*$I331,0)</f>
        <v>0</v>
      </c>
      <c r="O331" s="276"/>
      <c r="P331" s="290">
        <f t="shared" si="262"/>
        <v>0</v>
      </c>
      <c r="Q331" s="276"/>
      <c r="R331" s="290">
        <f t="shared" ref="R331" si="263">ROUNDDOWN(Q331*$I331,0)</f>
        <v>0</v>
      </c>
      <c r="S331" s="276"/>
      <c r="T331" s="290">
        <f t="shared" ref="T331" si="264">ROUNDDOWN(S331*$I331,0)</f>
        <v>0</v>
      </c>
      <c r="U331" s="276"/>
      <c r="V331" s="290">
        <f t="shared" ref="V331" si="265">ROUNDDOWN(U331*$I331,0)</f>
        <v>0</v>
      </c>
      <c r="W331" s="276"/>
      <c r="X331" s="290">
        <f t="shared" ref="X331" si="266">ROUNDDOWN(W331*$I331,0)</f>
        <v>0</v>
      </c>
      <c r="Y331" s="271">
        <f t="shared" si="187"/>
        <v>0</v>
      </c>
      <c r="Z331" s="290">
        <f t="shared" si="188"/>
        <v>0</v>
      </c>
    </row>
    <row r="332" spans="2:26" ht="19.8" customHeight="1" x14ac:dyDescent="0.6">
      <c r="B332" s="268"/>
      <c r="C332" s="261" t="s">
        <v>52</v>
      </c>
      <c r="D332" s="303"/>
      <c r="E332" s="276"/>
      <c r="G332" s="290"/>
      <c r="I332" s="290"/>
      <c r="J332" s="298"/>
      <c r="K332" s="316"/>
      <c r="L332" s="271"/>
      <c r="M332" s="276"/>
      <c r="N332" s="290"/>
      <c r="O332" s="276"/>
      <c r="P332" s="290"/>
      <c r="Q332" s="276"/>
      <c r="R332" s="290"/>
      <c r="S332" s="276"/>
      <c r="T332" s="290"/>
      <c r="U332" s="276"/>
      <c r="V332" s="290"/>
      <c r="W332" s="276"/>
      <c r="X332" s="290"/>
      <c r="Y332" s="271">
        <f t="shared" si="187"/>
        <v>0</v>
      </c>
      <c r="Z332" s="290">
        <f t="shared" si="188"/>
        <v>0</v>
      </c>
    </row>
    <row r="333" spans="2:26" ht="19.8" customHeight="1" x14ac:dyDescent="0.6">
      <c r="B333" s="268"/>
      <c r="C333" s="261"/>
      <c r="D333" s="303"/>
      <c r="E333" s="276"/>
      <c r="G333" s="290"/>
      <c r="I333" s="290"/>
      <c r="J333" s="298"/>
      <c r="K333" s="316"/>
      <c r="L333" s="271"/>
      <c r="M333" s="276"/>
      <c r="N333" s="290"/>
      <c r="O333" s="276"/>
      <c r="P333" s="290"/>
      <c r="Q333" s="276"/>
      <c r="R333" s="290"/>
      <c r="S333" s="276"/>
      <c r="T333" s="290"/>
      <c r="U333" s="276"/>
      <c r="V333" s="290"/>
      <c r="W333" s="276"/>
      <c r="X333" s="290"/>
      <c r="Y333" s="271">
        <f t="shared" ref="Y333:Y396" si="267">M333+O333</f>
        <v>0</v>
      </c>
      <c r="Z333" s="290">
        <f t="shared" ref="Z333:Z396" si="268">N333+P333</f>
        <v>0</v>
      </c>
    </row>
    <row r="334" spans="2:26" ht="19.8" customHeight="1" x14ac:dyDescent="0.6">
      <c r="B334" s="826" t="s">
        <v>568</v>
      </c>
      <c r="C334" s="827"/>
      <c r="D334" s="294" t="s">
        <v>559</v>
      </c>
      <c r="E334" s="257" t="s">
        <v>57</v>
      </c>
      <c r="F334" s="296"/>
      <c r="G334" s="293"/>
      <c r="H334" s="297"/>
      <c r="I334" s="293"/>
      <c r="J334" s="299">
        <f>SUM(J315:J333)</f>
        <v>1597253</v>
      </c>
      <c r="K334" s="319">
        <v>1597253</v>
      </c>
      <c r="L334" s="262"/>
      <c r="M334" s="257"/>
      <c r="N334" s="293">
        <f>SUM(N315:N333)</f>
        <v>0</v>
      </c>
      <c r="O334" s="257"/>
      <c r="P334" s="293">
        <f>SUM(P315:P333)</f>
        <v>0</v>
      </c>
      <c r="Q334" s="257"/>
      <c r="R334" s="293">
        <f>SUM(R315:R333)</f>
        <v>0</v>
      </c>
      <c r="S334" s="257"/>
      <c r="T334" s="293">
        <f>SUM(T315:T333)</f>
        <v>0</v>
      </c>
      <c r="U334" s="257"/>
      <c r="V334" s="293">
        <f>SUM(V315:V333)</f>
        <v>0</v>
      </c>
      <c r="W334" s="257"/>
      <c r="X334" s="293">
        <f>SUM(X315:X333)</f>
        <v>0</v>
      </c>
      <c r="Y334" s="270">
        <f t="shared" si="267"/>
        <v>0</v>
      </c>
      <c r="Z334" s="289">
        <f t="shared" si="268"/>
        <v>0</v>
      </c>
    </row>
    <row r="335" spans="2:26" ht="19.8" customHeight="1" x14ac:dyDescent="0.6">
      <c r="B335" s="829" t="s">
        <v>569</v>
      </c>
      <c r="C335" s="830"/>
      <c r="D335" s="420" t="s">
        <v>570</v>
      </c>
      <c r="E335" s="257" t="s">
        <v>57</v>
      </c>
      <c r="F335" s="307"/>
      <c r="G335" s="293"/>
      <c r="H335" s="297"/>
      <c r="I335" s="293"/>
      <c r="J335" s="299"/>
      <c r="K335" s="319">
        <v>79532172</v>
      </c>
      <c r="L335" s="262"/>
      <c r="M335" s="257"/>
      <c r="N335" s="293"/>
      <c r="O335" s="257"/>
      <c r="P335" s="293"/>
      <c r="Q335" s="257"/>
      <c r="R335" s="293"/>
      <c r="S335" s="257"/>
      <c r="T335" s="293"/>
      <c r="U335" s="257"/>
      <c r="V335" s="293"/>
      <c r="W335" s="257"/>
      <c r="X335" s="293"/>
      <c r="Y335" s="262">
        <f t="shared" si="267"/>
        <v>0</v>
      </c>
      <c r="Z335" s="293">
        <f t="shared" si="268"/>
        <v>0</v>
      </c>
    </row>
    <row r="336" spans="2:26" ht="19.8" customHeight="1" x14ac:dyDescent="0.6">
      <c r="B336" s="306">
        <v>2</v>
      </c>
      <c r="C336" s="261" t="s">
        <v>71</v>
      </c>
      <c r="D336" s="303"/>
      <c r="E336" s="276"/>
      <c r="G336" s="290"/>
      <c r="I336" s="290"/>
      <c r="J336" s="298"/>
      <c r="K336" s="316"/>
      <c r="L336" s="271"/>
      <c r="M336" s="276"/>
      <c r="N336" s="290"/>
      <c r="O336" s="276"/>
      <c r="P336" s="290"/>
      <c r="Q336" s="276"/>
      <c r="R336" s="290"/>
      <c r="S336" s="276"/>
      <c r="T336" s="290"/>
      <c r="U336" s="276"/>
      <c r="V336" s="290"/>
      <c r="W336" s="276"/>
      <c r="X336" s="290"/>
      <c r="Y336" s="271">
        <f t="shared" si="267"/>
        <v>0</v>
      </c>
      <c r="Z336" s="290">
        <f t="shared" si="268"/>
        <v>0</v>
      </c>
    </row>
    <row r="337" spans="2:26" ht="19.8" customHeight="1" x14ac:dyDescent="0.6">
      <c r="B337" s="306" t="s">
        <v>571</v>
      </c>
      <c r="C337" s="261" t="s">
        <v>72</v>
      </c>
      <c r="D337" s="303"/>
      <c r="E337" s="276"/>
      <c r="G337" s="290"/>
      <c r="I337" s="290"/>
      <c r="J337" s="298"/>
      <c r="K337" s="316"/>
      <c r="L337" s="271"/>
      <c r="M337" s="276"/>
      <c r="N337" s="290"/>
      <c r="O337" s="276"/>
      <c r="P337" s="290"/>
      <c r="Q337" s="276"/>
      <c r="R337" s="290"/>
      <c r="S337" s="276"/>
      <c r="T337" s="290"/>
      <c r="U337" s="276"/>
      <c r="V337" s="290"/>
      <c r="W337" s="276"/>
      <c r="X337" s="290"/>
      <c r="Y337" s="271">
        <f t="shared" si="267"/>
        <v>0</v>
      </c>
      <c r="Z337" s="290">
        <f t="shared" si="268"/>
        <v>0</v>
      </c>
    </row>
    <row r="338" spans="2:26" ht="19.8" customHeight="1" x14ac:dyDescent="0.6">
      <c r="B338" s="268">
        <v>1</v>
      </c>
      <c r="C338" s="261" t="s">
        <v>219</v>
      </c>
      <c r="D338" s="303"/>
      <c r="E338" s="276"/>
      <c r="G338" s="290"/>
      <c r="I338" s="290"/>
      <c r="J338" s="298"/>
      <c r="K338" s="316"/>
      <c r="L338" s="271"/>
      <c r="M338" s="276"/>
      <c r="N338" s="290"/>
      <c r="O338" s="276"/>
      <c r="P338" s="290"/>
      <c r="Q338" s="276"/>
      <c r="R338" s="290"/>
      <c r="S338" s="276"/>
      <c r="T338" s="290"/>
      <c r="U338" s="276"/>
      <c r="V338" s="290"/>
      <c r="W338" s="276"/>
      <c r="X338" s="290"/>
      <c r="Y338" s="271">
        <f t="shared" si="267"/>
        <v>0</v>
      </c>
      <c r="Z338" s="290">
        <f t="shared" si="268"/>
        <v>0</v>
      </c>
    </row>
    <row r="339" spans="2:26" ht="19.8" customHeight="1" x14ac:dyDescent="0.6">
      <c r="B339" s="268"/>
      <c r="C339" s="261" t="s">
        <v>220</v>
      </c>
      <c r="D339" s="303" t="s">
        <v>572</v>
      </c>
      <c r="E339" s="276" t="s">
        <v>61</v>
      </c>
      <c r="G339" s="290"/>
      <c r="I339" s="290">
        <v>19949.47</v>
      </c>
      <c r="J339" s="298">
        <f t="shared" ref="J339:J345" si="269">IF(G339="-","-",IF(D339&gt;0,ROUNDDOWN(I339*D339,0),""))</f>
        <v>199494</v>
      </c>
      <c r="K339" s="316">
        <v>199494</v>
      </c>
      <c r="L339" s="271" t="s">
        <v>573</v>
      </c>
      <c r="M339" s="276"/>
      <c r="N339" s="290">
        <f t="shared" ref="N339:P345" si="270">ROUNDDOWN(M339*$I339,0)</f>
        <v>0</v>
      </c>
      <c r="O339" s="276"/>
      <c r="P339" s="290">
        <f t="shared" si="270"/>
        <v>0</v>
      </c>
      <c r="Q339" s="276"/>
      <c r="R339" s="290">
        <f t="shared" ref="R339:R345" si="271">ROUNDDOWN(Q339*$I339,0)</f>
        <v>0</v>
      </c>
      <c r="S339" s="276"/>
      <c r="T339" s="290">
        <f t="shared" ref="T339:T345" si="272">ROUNDDOWN(S339*$I339,0)</f>
        <v>0</v>
      </c>
      <c r="U339" s="276"/>
      <c r="V339" s="290">
        <f t="shared" ref="V339:V345" si="273">ROUNDDOWN(U339*$I339,0)</f>
        <v>0</v>
      </c>
      <c r="W339" s="276"/>
      <c r="X339" s="290">
        <f t="shared" ref="X339:X345" si="274">ROUNDDOWN(W339*$I339,0)</f>
        <v>0</v>
      </c>
      <c r="Y339" s="271">
        <f t="shared" si="267"/>
        <v>0</v>
      </c>
      <c r="Z339" s="290">
        <f t="shared" si="268"/>
        <v>0</v>
      </c>
    </row>
    <row r="340" spans="2:26" ht="19.8" customHeight="1" x14ac:dyDescent="0.6">
      <c r="B340" s="268"/>
      <c r="C340" s="261" t="s">
        <v>221</v>
      </c>
      <c r="D340" s="303" t="s">
        <v>574</v>
      </c>
      <c r="E340" s="276" t="s">
        <v>57</v>
      </c>
      <c r="G340" s="290"/>
      <c r="I340" s="290">
        <v>3306.85</v>
      </c>
      <c r="J340" s="298">
        <f t="shared" si="269"/>
        <v>158728</v>
      </c>
      <c r="K340" s="316">
        <v>158728</v>
      </c>
      <c r="L340" s="271"/>
      <c r="M340" s="276"/>
      <c r="N340" s="290">
        <f t="shared" si="270"/>
        <v>0</v>
      </c>
      <c r="O340" s="276"/>
      <c r="P340" s="290">
        <f t="shared" si="270"/>
        <v>0</v>
      </c>
      <c r="Q340" s="276"/>
      <c r="R340" s="290">
        <f t="shared" si="271"/>
        <v>0</v>
      </c>
      <c r="S340" s="276"/>
      <c r="T340" s="290">
        <f t="shared" si="272"/>
        <v>0</v>
      </c>
      <c r="U340" s="276"/>
      <c r="V340" s="290">
        <f t="shared" si="273"/>
        <v>0</v>
      </c>
      <c r="W340" s="276"/>
      <c r="X340" s="290">
        <f t="shared" si="274"/>
        <v>0</v>
      </c>
      <c r="Y340" s="271">
        <f t="shared" si="267"/>
        <v>0</v>
      </c>
      <c r="Z340" s="290">
        <f t="shared" si="268"/>
        <v>0</v>
      </c>
    </row>
    <row r="341" spans="2:26" ht="19.8" customHeight="1" x14ac:dyDescent="0.6">
      <c r="B341" s="268"/>
      <c r="C341" s="261" t="s">
        <v>222</v>
      </c>
      <c r="D341" s="303" t="s">
        <v>530</v>
      </c>
      <c r="E341" s="276" t="s">
        <v>54</v>
      </c>
      <c r="G341" s="290"/>
      <c r="I341" s="290">
        <v>1757.62</v>
      </c>
      <c r="J341" s="298">
        <f t="shared" si="269"/>
        <v>77335</v>
      </c>
      <c r="K341" s="316">
        <v>77335</v>
      </c>
      <c r="L341" s="271"/>
      <c r="M341" s="276"/>
      <c r="N341" s="290">
        <f t="shared" si="270"/>
        <v>0</v>
      </c>
      <c r="O341" s="276"/>
      <c r="P341" s="290">
        <f t="shared" si="270"/>
        <v>0</v>
      </c>
      <c r="Q341" s="276"/>
      <c r="R341" s="290">
        <f t="shared" si="271"/>
        <v>0</v>
      </c>
      <c r="S341" s="276"/>
      <c r="T341" s="290">
        <f t="shared" si="272"/>
        <v>0</v>
      </c>
      <c r="U341" s="276"/>
      <c r="V341" s="290">
        <f t="shared" si="273"/>
        <v>0</v>
      </c>
      <c r="W341" s="276"/>
      <c r="X341" s="290">
        <f t="shared" si="274"/>
        <v>0</v>
      </c>
      <c r="Y341" s="271">
        <f t="shared" si="267"/>
        <v>0</v>
      </c>
      <c r="Z341" s="290">
        <f t="shared" si="268"/>
        <v>0</v>
      </c>
    </row>
    <row r="342" spans="2:26" ht="19.8" customHeight="1" x14ac:dyDescent="0.6">
      <c r="B342" s="268"/>
      <c r="C342" s="261" t="s">
        <v>223</v>
      </c>
      <c r="D342" s="303" t="s">
        <v>530</v>
      </c>
      <c r="E342" s="276" t="s">
        <v>57</v>
      </c>
      <c r="G342" s="290"/>
      <c r="I342" s="290">
        <v>3185.39</v>
      </c>
      <c r="J342" s="298">
        <f t="shared" si="269"/>
        <v>140157</v>
      </c>
      <c r="K342" s="316">
        <v>140157</v>
      </c>
      <c r="L342" s="271"/>
      <c r="M342" s="276"/>
      <c r="N342" s="290">
        <f t="shared" si="270"/>
        <v>0</v>
      </c>
      <c r="O342" s="276"/>
      <c r="P342" s="290">
        <f t="shared" si="270"/>
        <v>0</v>
      </c>
      <c r="Q342" s="276"/>
      <c r="R342" s="290">
        <f t="shared" si="271"/>
        <v>0</v>
      </c>
      <c r="S342" s="276"/>
      <c r="T342" s="290">
        <f t="shared" si="272"/>
        <v>0</v>
      </c>
      <c r="U342" s="276"/>
      <c r="V342" s="290">
        <f t="shared" si="273"/>
        <v>0</v>
      </c>
      <c r="W342" s="276"/>
      <c r="X342" s="290">
        <f t="shared" si="274"/>
        <v>0</v>
      </c>
      <c r="Y342" s="271">
        <f t="shared" si="267"/>
        <v>0</v>
      </c>
      <c r="Z342" s="290">
        <f t="shared" si="268"/>
        <v>0</v>
      </c>
    </row>
    <row r="343" spans="2:26" ht="19.8" customHeight="1" x14ac:dyDescent="0.6">
      <c r="B343" s="268">
        <v>2</v>
      </c>
      <c r="C343" s="261" t="s">
        <v>224</v>
      </c>
      <c r="D343" s="303" t="s">
        <v>575</v>
      </c>
      <c r="E343" s="276" t="s">
        <v>55</v>
      </c>
      <c r="G343" s="290"/>
      <c r="I343" s="290">
        <v>84.49</v>
      </c>
      <c r="J343" s="298">
        <f t="shared" si="269"/>
        <v>104936</v>
      </c>
      <c r="K343" s="316">
        <v>104936</v>
      </c>
      <c r="L343" s="271"/>
      <c r="M343" s="276"/>
      <c r="N343" s="290">
        <f t="shared" si="270"/>
        <v>0</v>
      </c>
      <c r="O343" s="276"/>
      <c r="P343" s="290">
        <f t="shared" si="270"/>
        <v>0</v>
      </c>
      <c r="Q343" s="276"/>
      <c r="R343" s="290">
        <f t="shared" si="271"/>
        <v>0</v>
      </c>
      <c r="S343" s="276"/>
      <c r="T343" s="290">
        <f t="shared" si="272"/>
        <v>0</v>
      </c>
      <c r="U343" s="276"/>
      <c r="V343" s="290">
        <f t="shared" si="273"/>
        <v>0</v>
      </c>
      <c r="W343" s="276"/>
      <c r="X343" s="290">
        <f t="shared" si="274"/>
        <v>0</v>
      </c>
      <c r="Y343" s="271">
        <f t="shared" si="267"/>
        <v>0</v>
      </c>
      <c r="Z343" s="290">
        <f t="shared" si="268"/>
        <v>0</v>
      </c>
    </row>
    <row r="344" spans="2:26" ht="19.8" customHeight="1" x14ac:dyDescent="0.6">
      <c r="B344" s="268">
        <v>3</v>
      </c>
      <c r="C344" s="261" t="s">
        <v>243</v>
      </c>
      <c r="D344" s="303" t="s">
        <v>576</v>
      </c>
      <c r="E344" s="276" t="s">
        <v>55</v>
      </c>
      <c r="G344" s="290"/>
      <c r="I344" s="290">
        <v>638.07000000000005</v>
      </c>
      <c r="J344" s="298">
        <f t="shared" si="269"/>
        <v>66997</v>
      </c>
      <c r="K344" s="316">
        <v>66997</v>
      </c>
      <c r="L344" s="271"/>
      <c r="M344" s="276"/>
      <c r="N344" s="290">
        <f t="shared" si="270"/>
        <v>0</v>
      </c>
      <c r="O344" s="276"/>
      <c r="P344" s="290">
        <f t="shared" si="270"/>
        <v>0</v>
      </c>
      <c r="Q344" s="276"/>
      <c r="R344" s="290">
        <f t="shared" si="271"/>
        <v>0</v>
      </c>
      <c r="S344" s="276"/>
      <c r="T344" s="290">
        <f t="shared" si="272"/>
        <v>0</v>
      </c>
      <c r="U344" s="276"/>
      <c r="V344" s="290">
        <f t="shared" si="273"/>
        <v>0</v>
      </c>
      <c r="W344" s="276"/>
      <c r="X344" s="290">
        <f t="shared" si="274"/>
        <v>0</v>
      </c>
      <c r="Y344" s="271">
        <f t="shared" si="267"/>
        <v>0</v>
      </c>
      <c r="Z344" s="290">
        <f t="shared" si="268"/>
        <v>0</v>
      </c>
    </row>
    <row r="345" spans="2:26" ht="19.8" customHeight="1" x14ac:dyDescent="0.6">
      <c r="B345" s="268">
        <v>4</v>
      </c>
      <c r="C345" s="261" t="s">
        <v>225</v>
      </c>
      <c r="D345" s="303" t="s">
        <v>577</v>
      </c>
      <c r="E345" s="276" t="s">
        <v>54</v>
      </c>
      <c r="G345" s="290"/>
      <c r="I345" s="290">
        <v>461.86</v>
      </c>
      <c r="J345" s="298">
        <f t="shared" si="269"/>
        <v>484953</v>
      </c>
      <c r="K345" s="316">
        <v>484953</v>
      </c>
      <c r="L345" s="271"/>
      <c r="M345" s="276"/>
      <c r="N345" s="290">
        <f t="shared" si="270"/>
        <v>0</v>
      </c>
      <c r="O345" s="276"/>
      <c r="P345" s="290">
        <f t="shared" si="270"/>
        <v>0</v>
      </c>
      <c r="Q345" s="276"/>
      <c r="R345" s="290">
        <f t="shared" si="271"/>
        <v>0</v>
      </c>
      <c r="S345" s="276"/>
      <c r="T345" s="290">
        <f t="shared" si="272"/>
        <v>0</v>
      </c>
      <c r="U345" s="276"/>
      <c r="V345" s="290">
        <f t="shared" si="273"/>
        <v>0</v>
      </c>
      <c r="W345" s="276"/>
      <c r="X345" s="290">
        <f t="shared" si="274"/>
        <v>0</v>
      </c>
      <c r="Y345" s="271">
        <f t="shared" si="267"/>
        <v>0</v>
      </c>
      <c r="Z345" s="290">
        <f t="shared" si="268"/>
        <v>0</v>
      </c>
    </row>
    <row r="346" spans="2:26" ht="19.8" customHeight="1" x14ac:dyDescent="0.6">
      <c r="B346" s="268"/>
      <c r="C346" s="261" t="s">
        <v>226</v>
      </c>
      <c r="D346" s="303"/>
      <c r="E346" s="276"/>
      <c r="G346" s="290"/>
      <c r="I346" s="290"/>
      <c r="J346" s="298"/>
      <c r="K346" s="316"/>
      <c r="L346" s="271"/>
      <c r="M346" s="276"/>
      <c r="N346" s="290"/>
      <c r="O346" s="276"/>
      <c r="P346" s="290"/>
      <c r="Q346" s="276"/>
      <c r="R346" s="290"/>
      <c r="S346" s="276"/>
      <c r="T346" s="290"/>
      <c r="U346" s="276"/>
      <c r="V346" s="290"/>
      <c r="W346" s="276"/>
      <c r="X346" s="290"/>
      <c r="Y346" s="271">
        <f t="shared" si="267"/>
        <v>0</v>
      </c>
      <c r="Z346" s="290">
        <f t="shared" si="268"/>
        <v>0</v>
      </c>
    </row>
    <row r="347" spans="2:26" ht="19.8" customHeight="1" x14ac:dyDescent="0.6">
      <c r="B347" s="268">
        <v>5</v>
      </c>
      <c r="C347" s="261" t="s">
        <v>227</v>
      </c>
      <c r="D347" s="309" t="s">
        <v>176</v>
      </c>
      <c r="E347" s="276" t="s">
        <v>54</v>
      </c>
      <c r="G347" s="290"/>
      <c r="I347" s="290"/>
      <c r="J347" s="298"/>
      <c r="K347" s="308" t="s">
        <v>176</v>
      </c>
      <c r="L347" s="271"/>
      <c r="M347" s="276"/>
      <c r="N347" s="290"/>
      <c r="O347" s="276"/>
      <c r="P347" s="290"/>
      <c r="Q347" s="276"/>
      <c r="R347" s="290"/>
      <c r="S347" s="276"/>
      <c r="T347" s="290"/>
      <c r="U347" s="276"/>
      <c r="V347" s="290"/>
      <c r="W347" s="276"/>
      <c r="X347" s="290"/>
      <c r="Y347" s="271">
        <f t="shared" si="267"/>
        <v>0</v>
      </c>
      <c r="Z347" s="290">
        <f t="shared" si="268"/>
        <v>0</v>
      </c>
    </row>
    <row r="348" spans="2:26" ht="19.8" customHeight="1" x14ac:dyDescent="0.6">
      <c r="B348" s="268">
        <v>6</v>
      </c>
      <c r="C348" s="261" t="s">
        <v>228</v>
      </c>
      <c r="D348" s="303" t="s">
        <v>389</v>
      </c>
      <c r="E348" s="276" t="s">
        <v>73</v>
      </c>
      <c r="G348" s="290"/>
      <c r="I348" s="290">
        <v>193514.53</v>
      </c>
      <c r="J348" s="298">
        <f t="shared" ref="J348:J350" si="275">IF(G348="-","-",IF(D348&gt;0,ROUNDDOWN(I348*D348,0),""))</f>
        <v>193514</v>
      </c>
      <c r="K348" s="316">
        <v>193514</v>
      </c>
      <c r="L348" s="271"/>
      <c r="M348" s="276"/>
      <c r="N348" s="290">
        <f t="shared" ref="N348:P350" si="276">ROUNDDOWN(M348*$I348,0)</f>
        <v>0</v>
      </c>
      <c r="O348" s="276"/>
      <c r="P348" s="290">
        <f t="shared" si="276"/>
        <v>0</v>
      </c>
      <c r="Q348" s="276"/>
      <c r="R348" s="290">
        <f t="shared" ref="R348:R350" si="277">ROUNDDOWN(Q348*$I348,0)</f>
        <v>0</v>
      </c>
      <c r="S348" s="276"/>
      <c r="T348" s="290">
        <f t="shared" ref="T348:T350" si="278">ROUNDDOWN(S348*$I348,0)</f>
        <v>0</v>
      </c>
      <c r="U348" s="276"/>
      <c r="V348" s="290">
        <f t="shared" ref="V348:V350" si="279">ROUNDDOWN(U348*$I348,0)</f>
        <v>0</v>
      </c>
      <c r="W348" s="276"/>
      <c r="X348" s="290">
        <f t="shared" ref="X348:X350" si="280">ROUNDDOWN(W348*$I348,0)</f>
        <v>0</v>
      </c>
      <c r="Y348" s="271">
        <f t="shared" si="267"/>
        <v>0</v>
      </c>
      <c r="Z348" s="290">
        <f t="shared" si="268"/>
        <v>0</v>
      </c>
    </row>
    <row r="349" spans="2:26" ht="19.8" customHeight="1" x14ac:dyDescent="0.6">
      <c r="B349" s="268">
        <v>7</v>
      </c>
      <c r="C349" s="261" t="s">
        <v>229</v>
      </c>
      <c r="D349" s="303" t="s">
        <v>578</v>
      </c>
      <c r="E349" s="276" t="s">
        <v>57</v>
      </c>
      <c r="G349" s="290"/>
      <c r="I349" s="290">
        <v>17291.61</v>
      </c>
      <c r="J349" s="298">
        <f t="shared" si="275"/>
        <v>1106663</v>
      </c>
      <c r="K349" s="316">
        <v>1106663</v>
      </c>
      <c r="L349" s="271"/>
      <c r="M349" s="276"/>
      <c r="N349" s="290">
        <f t="shared" si="276"/>
        <v>0</v>
      </c>
      <c r="O349" s="276"/>
      <c r="P349" s="290">
        <f t="shared" si="276"/>
        <v>0</v>
      </c>
      <c r="Q349" s="276"/>
      <c r="R349" s="290">
        <f t="shared" si="277"/>
        <v>0</v>
      </c>
      <c r="S349" s="276"/>
      <c r="T349" s="290">
        <f t="shared" si="278"/>
        <v>0</v>
      </c>
      <c r="U349" s="276"/>
      <c r="V349" s="290">
        <f t="shared" si="279"/>
        <v>0</v>
      </c>
      <c r="W349" s="276"/>
      <c r="X349" s="290">
        <f t="shared" si="280"/>
        <v>0</v>
      </c>
      <c r="Y349" s="271">
        <f t="shared" si="267"/>
        <v>0</v>
      </c>
      <c r="Z349" s="290">
        <f t="shared" si="268"/>
        <v>0</v>
      </c>
    </row>
    <row r="350" spans="2:26" ht="19.8" customHeight="1" x14ac:dyDescent="0.6">
      <c r="B350" s="268">
        <v>8</v>
      </c>
      <c r="C350" s="261" t="s">
        <v>230</v>
      </c>
      <c r="D350" s="303" t="s">
        <v>442</v>
      </c>
      <c r="E350" s="276" t="s">
        <v>58</v>
      </c>
      <c r="G350" s="290"/>
      <c r="I350" s="290">
        <v>64946.23</v>
      </c>
      <c r="J350" s="298">
        <f t="shared" si="275"/>
        <v>454623</v>
      </c>
      <c r="K350" s="316">
        <v>454623</v>
      </c>
      <c r="L350" s="271"/>
      <c r="M350" s="276"/>
      <c r="N350" s="290">
        <f t="shared" si="276"/>
        <v>0</v>
      </c>
      <c r="O350" s="276"/>
      <c r="P350" s="290">
        <f t="shared" si="276"/>
        <v>0</v>
      </c>
      <c r="Q350" s="276"/>
      <c r="R350" s="290">
        <f t="shared" si="277"/>
        <v>0</v>
      </c>
      <c r="S350" s="276"/>
      <c r="T350" s="290">
        <f t="shared" si="278"/>
        <v>0</v>
      </c>
      <c r="U350" s="276"/>
      <c r="V350" s="290">
        <f t="shared" si="279"/>
        <v>0</v>
      </c>
      <c r="W350" s="276"/>
      <c r="X350" s="290">
        <f t="shared" si="280"/>
        <v>0</v>
      </c>
      <c r="Y350" s="271">
        <f t="shared" si="267"/>
        <v>0</v>
      </c>
      <c r="Z350" s="290">
        <f t="shared" si="268"/>
        <v>0</v>
      </c>
    </row>
    <row r="351" spans="2:26" ht="19.8" customHeight="1" x14ac:dyDescent="0.6">
      <c r="B351" s="268"/>
      <c r="C351" s="261" t="s">
        <v>231</v>
      </c>
      <c r="D351" s="303"/>
      <c r="E351" s="276"/>
      <c r="G351" s="290"/>
      <c r="I351" s="290"/>
      <c r="J351" s="298"/>
      <c r="K351" s="316"/>
      <c r="L351" s="271"/>
      <c r="M351" s="276"/>
      <c r="N351" s="290"/>
      <c r="O351" s="276"/>
      <c r="P351" s="290"/>
      <c r="Q351" s="276"/>
      <c r="R351" s="290"/>
      <c r="S351" s="276"/>
      <c r="T351" s="290"/>
      <c r="U351" s="276"/>
      <c r="V351" s="290"/>
      <c r="W351" s="276"/>
      <c r="X351" s="290"/>
      <c r="Y351" s="271">
        <f t="shared" si="267"/>
        <v>0</v>
      </c>
      <c r="Z351" s="290">
        <f t="shared" si="268"/>
        <v>0</v>
      </c>
    </row>
    <row r="352" spans="2:26" ht="19.8" customHeight="1" x14ac:dyDescent="0.6">
      <c r="B352" s="268">
        <v>9</v>
      </c>
      <c r="C352" s="261" t="s">
        <v>244</v>
      </c>
      <c r="D352" s="303" t="s">
        <v>389</v>
      </c>
      <c r="E352" s="276" t="s">
        <v>73</v>
      </c>
      <c r="G352" s="290"/>
      <c r="I352" s="290">
        <v>310034.31</v>
      </c>
      <c r="J352" s="298">
        <f t="shared" ref="J352" si="281">IF(G352="-","-",IF(D352&gt;0,ROUNDDOWN(I352*D352,0),""))</f>
        <v>310034</v>
      </c>
      <c r="K352" s="316">
        <v>310034</v>
      </c>
      <c r="L352" s="271"/>
      <c r="M352" s="276"/>
      <c r="N352" s="290">
        <f t="shared" ref="N352:P352" si="282">ROUNDDOWN(M352*$I352,0)</f>
        <v>0</v>
      </c>
      <c r="O352" s="276"/>
      <c r="P352" s="290">
        <f t="shared" si="282"/>
        <v>0</v>
      </c>
      <c r="Q352" s="276"/>
      <c r="R352" s="290">
        <f t="shared" ref="R352" si="283">ROUNDDOWN(Q352*$I352,0)</f>
        <v>0</v>
      </c>
      <c r="S352" s="276"/>
      <c r="T352" s="290">
        <f t="shared" ref="T352" si="284">ROUNDDOWN(S352*$I352,0)</f>
        <v>0</v>
      </c>
      <c r="U352" s="276"/>
      <c r="V352" s="290">
        <f t="shared" ref="V352" si="285">ROUNDDOWN(U352*$I352,0)</f>
        <v>0</v>
      </c>
      <c r="W352" s="276"/>
      <c r="X352" s="290">
        <f t="shared" ref="X352" si="286">ROUNDDOWN(W352*$I352,0)</f>
        <v>0</v>
      </c>
      <c r="Y352" s="271">
        <f t="shared" si="267"/>
        <v>0</v>
      </c>
      <c r="Z352" s="290">
        <f t="shared" si="268"/>
        <v>0</v>
      </c>
    </row>
    <row r="353" spans="2:26" ht="19.8" customHeight="1" x14ac:dyDescent="0.6">
      <c r="B353" s="268">
        <v>10</v>
      </c>
      <c r="C353" s="261" t="s">
        <v>59</v>
      </c>
      <c r="D353" s="303"/>
      <c r="E353" s="276"/>
      <c r="G353" s="290"/>
      <c r="I353" s="290"/>
      <c r="J353" s="298"/>
      <c r="K353" s="316"/>
      <c r="L353" s="271"/>
      <c r="M353" s="276"/>
      <c r="N353" s="290"/>
      <c r="O353" s="276"/>
      <c r="P353" s="290"/>
      <c r="Q353" s="276"/>
      <c r="R353" s="290"/>
      <c r="S353" s="276"/>
      <c r="T353" s="290"/>
      <c r="U353" s="276"/>
      <c r="V353" s="290"/>
      <c r="W353" s="276"/>
      <c r="X353" s="290"/>
      <c r="Y353" s="271">
        <f t="shared" si="267"/>
        <v>0</v>
      </c>
      <c r="Z353" s="290">
        <f t="shared" si="268"/>
        <v>0</v>
      </c>
    </row>
    <row r="354" spans="2:26" ht="19.8" customHeight="1" x14ac:dyDescent="0.6">
      <c r="B354" s="268"/>
      <c r="C354" s="261"/>
      <c r="D354" s="303"/>
      <c r="E354" s="276"/>
      <c r="G354" s="290"/>
      <c r="I354" s="290"/>
      <c r="J354" s="298"/>
      <c r="K354" s="316"/>
      <c r="L354" s="271"/>
      <c r="M354" s="276"/>
      <c r="N354" s="290"/>
      <c r="O354" s="276"/>
      <c r="P354" s="290"/>
      <c r="Q354" s="276"/>
      <c r="R354" s="290"/>
      <c r="S354" s="276"/>
      <c r="T354" s="290"/>
      <c r="U354" s="276"/>
      <c r="V354" s="290"/>
      <c r="W354" s="276"/>
      <c r="X354" s="290"/>
      <c r="Y354" s="271">
        <f t="shared" si="267"/>
        <v>0</v>
      </c>
      <c r="Z354" s="290">
        <f t="shared" si="268"/>
        <v>0</v>
      </c>
    </row>
    <row r="355" spans="2:26" ht="19.8" customHeight="1" x14ac:dyDescent="0.6">
      <c r="B355" s="826" t="s">
        <v>579</v>
      </c>
      <c r="C355" s="827"/>
      <c r="D355" s="294" t="s">
        <v>389</v>
      </c>
      <c r="E355" s="257" t="s">
        <v>73</v>
      </c>
      <c r="F355" s="296"/>
      <c r="G355" s="293"/>
      <c r="H355" s="297"/>
      <c r="I355" s="293"/>
      <c r="J355" s="299">
        <f>SUM(J336:J354)</f>
        <v>3297434</v>
      </c>
      <c r="K355" s="319">
        <v>3297434</v>
      </c>
      <c r="L355" s="262"/>
      <c r="M355" s="257"/>
      <c r="N355" s="293">
        <f>SUM(N336:N354)</f>
        <v>0</v>
      </c>
      <c r="O355" s="257"/>
      <c r="P355" s="293">
        <f>SUM(P336:P354)</f>
        <v>0</v>
      </c>
      <c r="Q355" s="257"/>
      <c r="R355" s="293">
        <f>SUM(R336:R354)</f>
        <v>0</v>
      </c>
      <c r="S355" s="257"/>
      <c r="T355" s="293">
        <f>SUM(T336:T354)</f>
        <v>0</v>
      </c>
      <c r="U355" s="257"/>
      <c r="V355" s="293">
        <f>SUM(V336:V354)</f>
        <v>0</v>
      </c>
      <c r="W355" s="257"/>
      <c r="X355" s="293">
        <f>SUM(X336:X354)</f>
        <v>0</v>
      </c>
      <c r="Y355" s="262">
        <f t="shared" si="267"/>
        <v>0</v>
      </c>
      <c r="Z355" s="293">
        <f t="shared" si="268"/>
        <v>0</v>
      </c>
    </row>
    <row r="356" spans="2:26" ht="19.8" customHeight="1" x14ac:dyDescent="0.6">
      <c r="B356" s="306">
        <v>2.2000000000000002</v>
      </c>
      <c r="C356" s="261" t="s">
        <v>74</v>
      </c>
      <c r="D356" s="303"/>
      <c r="E356" s="276"/>
      <c r="G356" s="290"/>
      <c r="I356" s="290"/>
      <c r="J356" s="298"/>
      <c r="K356" s="316"/>
      <c r="L356" s="271"/>
      <c r="M356" s="276"/>
      <c r="N356" s="290"/>
      <c r="O356" s="276"/>
      <c r="P356" s="290"/>
      <c r="Q356" s="276"/>
      <c r="R356" s="290"/>
      <c r="S356" s="276"/>
      <c r="T356" s="290"/>
      <c r="U356" s="276"/>
      <c r="V356" s="290"/>
      <c r="W356" s="276"/>
      <c r="X356" s="290"/>
      <c r="Y356" s="271">
        <f t="shared" si="267"/>
        <v>0</v>
      </c>
      <c r="Z356" s="290">
        <f t="shared" si="268"/>
        <v>0</v>
      </c>
    </row>
    <row r="357" spans="2:26" ht="19.8" customHeight="1" x14ac:dyDescent="0.6">
      <c r="B357" s="268"/>
      <c r="C357" s="261" t="s">
        <v>75</v>
      </c>
      <c r="D357" s="303"/>
      <c r="E357" s="276"/>
      <c r="G357" s="290"/>
      <c r="I357" s="290"/>
      <c r="J357" s="298"/>
      <c r="K357" s="316"/>
      <c r="L357" s="271"/>
      <c r="M357" s="276"/>
      <c r="N357" s="290"/>
      <c r="O357" s="276"/>
      <c r="P357" s="290"/>
      <c r="Q357" s="276"/>
      <c r="R357" s="290"/>
      <c r="S357" s="276"/>
      <c r="T357" s="290"/>
      <c r="U357" s="276"/>
      <c r="V357" s="290"/>
      <c r="W357" s="276"/>
      <c r="X357" s="290"/>
      <c r="Y357" s="271">
        <f t="shared" si="267"/>
        <v>0</v>
      </c>
      <c r="Z357" s="290">
        <f t="shared" si="268"/>
        <v>0</v>
      </c>
    </row>
    <row r="358" spans="2:26" ht="19.8" customHeight="1" x14ac:dyDescent="0.6">
      <c r="B358" s="268">
        <v>1</v>
      </c>
      <c r="C358" s="261" t="s">
        <v>76</v>
      </c>
      <c r="D358" s="303" t="s">
        <v>580</v>
      </c>
      <c r="E358" s="276" t="s">
        <v>55</v>
      </c>
      <c r="G358" s="290"/>
      <c r="I358" s="290">
        <v>267.19</v>
      </c>
      <c r="J358" s="298">
        <f t="shared" ref="J358:J367" si="287">IF(G358="-","-",IF(D358&gt;0,ROUNDDOWN(I358*D358,0),""))</f>
        <v>478270</v>
      </c>
      <c r="K358" s="316">
        <v>478270</v>
      </c>
      <c r="L358" s="271"/>
      <c r="M358" s="276"/>
      <c r="N358" s="290">
        <f t="shared" ref="N358:P367" si="288">ROUNDDOWN(M358*$I358,0)</f>
        <v>0</v>
      </c>
      <c r="O358" s="276"/>
      <c r="P358" s="290">
        <f t="shared" si="288"/>
        <v>0</v>
      </c>
      <c r="Q358" s="276"/>
      <c r="R358" s="290">
        <f t="shared" ref="R358:R367" si="289">ROUNDDOWN(Q358*$I358,0)</f>
        <v>0</v>
      </c>
      <c r="S358" s="276"/>
      <c r="T358" s="290">
        <f t="shared" ref="T358:T367" si="290">ROUNDDOWN(S358*$I358,0)</f>
        <v>0</v>
      </c>
      <c r="U358" s="276"/>
      <c r="V358" s="290">
        <f t="shared" ref="V358:V367" si="291">ROUNDDOWN(U358*$I358,0)</f>
        <v>0</v>
      </c>
      <c r="W358" s="276"/>
      <c r="X358" s="290">
        <f t="shared" ref="X358:X367" si="292">ROUNDDOWN(W358*$I358,0)</f>
        <v>0</v>
      </c>
      <c r="Y358" s="271">
        <f t="shared" si="267"/>
        <v>0</v>
      </c>
      <c r="Z358" s="290">
        <f t="shared" si="268"/>
        <v>0</v>
      </c>
    </row>
    <row r="359" spans="2:26" ht="19.8" customHeight="1" x14ac:dyDescent="0.6">
      <c r="B359" s="268">
        <v>2</v>
      </c>
      <c r="C359" s="261" t="s">
        <v>77</v>
      </c>
      <c r="D359" s="303" t="s">
        <v>410</v>
      </c>
      <c r="E359" s="276" t="s">
        <v>78</v>
      </c>
      <c r="G359" s="290"/>
      <c r="I359" s="290">
        <v>17862</v>
      </c>
      <c r="J359" s="298">
        <f t="shared" si="287"/>
        <v>35724</v>
      </c>
      <c r="K359" s="316">
        <v>35724</v>
      </c>
      <c r="L359" s="271"/>
      <c r="M359" s="276">
        <v>2</v>
      </c>
      <c r="N359" s="290">
        <f t="shared" si="288"/>
        <v>35724</v>
      </c>
      <c r="O359" s="276"/>
      <c r="P359" s="290">
        <f t="shared" si="288"/>
        <v>0</v>
      </c>
      <c r="Q359" s="276"/>
      <c r="R359" s="290">
        <f t="shared" si="289"/>
        <v>0</v>
      </c>
      <c r="S359" s="276"/>
      <c r="T359" s="290">
        <f t="shared" si="290"/>
        <v>0</v>
      </c>
      <c r="U359" s="276">
        <v>2</v>
      </c>
      <c r="V359" s="290">
        <f t="shared" si="291"/>
        <v>35724</v>
      </c>
      <c r="W359" s="276">
        <v>2</v>
      </c>
      <c r="X359" s="290">
        <f t="shared" si="292"/>
        <v>35724</v>
      </c>
      <c r="Y359" s="271">
        <f t="shared" si="267"/>
        <v>2</v>
      </c>
      <c r="Z359" s="290">
        <f t="shared" si="268"/>
        <v>35724</v>
      </c>
    </row>
    <row r="360" spans="2:26" ht="19.8" customHeight="1" x14ac:dyDescent="0.6">
      <c r="B360" s="268">
        <v>3</v>
      </c>
      <c r="C360" s="261" t="s">
        <v>79</v>
      </c>
      <c r="D360" s="303" t="s">
        <v>581</v>
      </c>
      <c r="E360" s="276" t="s">
        <v>61</v>
      </c>
      <c r="G360" s="290"/>
      <c r="I360" s="290">
        <v>31543.1</v>
      </c>
      <c r="J360" s="298">
        <f t="shared" si="287"/>
        <v>2050301</v>
      </c>
      <c r="K360" s="316">
        <v>2050301</v>
      </c>
      <c r="L360" s="271"/>
      <c r="M360" s="276"/>
      <c r="N360" s="290">
        <f t="shared" si="288"/>
        <v>0</v>
      </c>
      <c r="O360" s="276"/>
      <c r="P360" s="290">
        <f t="shared" si="288"/>
        <v>0</v>
      </c>
      <c r="Q360" s="276"/>
      <c r="R360" s="290">
        <f t="shared" si="289"/>
        <v>0</v>
      </c>
      <c r="S360" s="276"/>
      <c r="T360" s="290">
        <f t="shared" si="290"/>
        <v>0</v>
      </c>
      <c r="U360" s="276"/>
      <c r="V360" s="290">
        <f t="shared" si="291"/>
        <v>0</v>
      </c>
      <c r="W360" s="276"/>
      <c r="X360" s="290">
        <f t="shared" si="292"/>
        <v>0</v>
      </c>
      <c r="Y360" s="271">
        <f t="shared" si="267"/>
        <v>0</v>
      </c>
      <c r="Z360" s="290">
        <f t="shared" si="268"/>
        <v>0</v>
      </c>
    </row>
    <row r="361" spans="2:26" ht="19.8" customHeight="1" x14ac:dyDescent="0.6">
      <c r="B361" s="268">
        <v>4</v>
      </c>
      <c r="C361" s="261" t="s">
        <v>80</v>
      </c>
      <c r="D361" s="303" t="s">
        <v>582</v>
      </c>
      <c r="E361" s="276" t="s">
        <v>61</v>
      </c>
      <c r="G361" s="290"/>
      <c r="I361" s="290">
        <v>29771.19</v>
      </c>
      <c r="J361" s="298">
        <f t="shared" si="287"/>
        <v>3840483</v>
      </c>
      <c r="K361" s="316">
        <v>3840483</v>
      </c>
      <c r="L361" s="271"/>
      <c r="M361" s="276"/>
      <c r="N361" s="290">
        <f t="shared" si="288"/>
        <v>0</v>
      </c>
      <c r="O361" s="276"/>
      <c r="P361" s="290">
        <f t="shared" si="288"/>
        <v>0</v>
      </c>
      <c r="Q361" s="276"/>
      <c r="R361" s="290">
        <f t="shared" si="289"/>
        <v>0</v>
      </c>
      <c r="S361" s="276"/>
      <c r="T361" s="290">
        <f t="shared" si="290"/>
        <v>0</v>
      </c>
      <c r="U361" s="276"/>
      <c r="V361" s="290">
        <f t="shared" si="291"/>
        <v>0</v>
      </c>
      <c r="W361" s="276"/>
      <c r="X361" s="290">
        <f t="shared" si="292"/>
        <v>0</v>
      </c>
      <c r="Y361" s="271">
        <f t="shared" si="267"/>
        <v>0</v>
      </c>
      <c r="Z361" s="290">
        <f t="shared" si="268"/>
        <v>0</v>
      </c>
    </row>
    <row r="362" spans="2:26" ht="19.8" customHeight="1" x14ac:dyDescent="0.6">
      <c r="B362" s="268"/>
      <c r="C362" s="261" t="s">
        <v>81</v>
      </c>
      <c r="D362" s="303" t="s">
        <v>583</v>
      </c>
      <c r="E362" s="276" t="s">
        <v>61</v>
      </c>
      <c r="G362" s="290"/>
      <c r="I362" s="290">
        <v>416.78</v>
      </c>
      <c r="J362" s="298">
        <f t="shared" si="287"/>
        <v>80855</v>
      </c>
      <c r="K362" s="316">
        <v>80855</v>
      </c>
      <c r="L362" s="271"/>
      <c r="M362" s="276"/>
      <c r="N362" s="290">
        <f t="shared" si="288"/>
        <v>0</v>
      </c>
      <c r="O362" s="276"/>
      <c r="P362" s="290">
        <f t="shared" si="288"/>
        <v>0</v>
      </c>
      <c r="Q362" s="276"/>
      <c r="R362" s="290">
        <f t="shared" si="289"/>
        <v>0</v>
      </c>
      <c r="S362" s="276"/>
      <c r="T362" s="290">
        <f t="shared" si="290"/>
        <v>0</v>
      </c>
      <c r="U362" s="276"/>
      <c r="V362" s="290">
        <f t="shared" si="291"/>
        <v>0</v>
      </c>
      <c r="W362" s="276"/>
      <c r="X362" s="290">
        <f t="shared" si="292"/>
        <v>0</v>
      </c>
      <c r="Y362" s="271">
        <f t="shared" si="267"/>
        <v>0</v>
      </c>
      <c r="Z362" s="290">
        <f t="shared" si="268"/>
        <v>0</v>
      </c>
    </row>
    <row r="363" spans="2:26" ht="19.8" customHeight="1" x14ac:dyDescent="0.6">
      <c r="B363" s="268">
        <v>5</v>
      </c>
      <c r="C363" s="261" t="s">
        <v>82</v>
      </c>
      <c r="D363" s="303" t="s">
        <v>583</v>
      </c>
      <c r="E363" s="276" t="s">
        <v>61</v>
      </c>
      <c r="G363" s="290"/>
      <c r="I363" s="290">
        <v>833.56</v>
      </c>
      <c r="J363" s="298">
        <f t="shared" si="287"/>
        <v>161710</v>
      </c>
      <c r="K363" s="316">
        <v>161710</v>
      </c>
      <c r="L363" s="271"/>
      <c r="M363" s="276"/>
      <c r="N363" s="290">
        <f t="shared" si="288"/>
        <v>0</v>
      </c>
      <c r="O363" s="276"/>
      <c r="P363" s="290">
        <f t="shared" si="288"/>
        <v>0</v>
      </c>
      <c r="Q363" s="276"/>
      <c r="R363" s="290">
        <f t="shared" si="289"/>
        <v>0</v>
      </c>
      <c r="S363" s="276"/>
      <c r="T363" s="290">
        <f t="shared" si="290"/>
        <v>0</v>
      </c>
      <c r="U363" s="276"/>
      <c r="V363" s="290">
        <f t="shared" si="291"/>
        <v>0</v>
      </c>
      <c r="W363" s="276"/>
      <c r="X363" s="290">
        <f t="shared" si="292"/>
        <v>0</v>
      </c>
      <c r="Y363" s="271">
        <f t="shared" si="267"/>
        <v>0</v>
      </c>
      <c r="Z363" s="290">
        <f t="shared" si="268"/>
        <v>0</v>
      </c>
    </row>
    <row r="364" spans="2:26" ht="19.8" customHeight="1" x14ac:dyDescent="0.6">
      <c r="B364" s="268">
        <v>6</v>
      </c>
      <c r="C364" s="261" t="s">
        <v>83</v>
      </c>
      <c r="D364" s="303" t="s">
        <v>584</v>
      </c>
      <c r="E364" s="276" t="s">
        <v>55</v>
      </c>
      <c r="G364" s="290"/>
      <c r="I364" s="290">
        <v>133.37</v>
      </c>
      <c r="J364" s="298">
        <f t="shared" si="287"/>
        <v>21605</v>
      </c>
      <c r="K364" s="316">
        <v>21605</v>
      </c>
      <c r="L364" s="271"/>
      <c r="M364" s="276"/>
      <c r="N364" s="290">
        <f t="shared" si="288"/>
        <v>0</v>
      </c>
      <c r="O364" s="276"/>
      <c r="P364" s="290">
        <f t="shared" si="288"/>
        <v>0</v>
      </c>
      <c r="Q364" s="276"/>
      <c r="R364" s="290">
        <f t="shared" si="289"/>
        <v>0</v>
      </c>
      <c r="S364" s="276"/>
      <c r="T364" s="290">
        <f t="shared" si="290"/>
        <v>0</v>
      </c>
      <c r="U364" s="276"/>
      <c r="V364" s="290">
        <f t="shared" si="291"/>
        <v>0</v>
      </c>
      <c r="W364" s="276"/>
      <c r="X364" s="290">
        <f t="shared" si="292"/>
        <v>0</v>
      </c>
      <c r="Y364" s="271">
        <f t="shared" si="267"/>
        <v>0</v>
      </c>
      <c r="Z364" s="290">
        <f t="shared" si="268"/>
        <v>0</v>
      </c>
    </row>
    <row r="365" spans="2:26" ht="19.8" customHeight="1" x14ac:dyDescent="0.6">
      <c r="B365" s="268">
        <v>7</v>
      </c>
      <c r="C365" s="261" t="s">
        <v>84</v>
      </c>
      <c r="D365" s="303" t="s">
        <v>531</v>
      </c>
      <c r="E365" s="276" t="s">
        <v>55</v>
      </c>
      <c r="G365" s="290"/>
      <c r="I365" s="290">
        <v>564.83000000000004</v>
      </c>
      <c r="J365" s="298">
        <f t="shared" si="287"/>
        <v>8472</v>
      </c>
      <c r="K365" s="316">
        <v>8472</v>
      </c>
      <c r="L365" s="271"/>
      <c r="M365" s="276"/>
      <c r="N365" s="290">
        <f t="shared" si="288"/>
        <v>0</v>
      </c>
      <c r="O365" s="276"/>
      <c r="P365" s="290">
        <f t="shared" si="288"/>
        <v>0</v>
      </c>
      <c r="Q365" s="276"/>
      <c r="R365" s="290">
        <f t="shared" si="289"/>
        <v>0</v>
      </c>
      <c r="S365" s="276"/>
      <c r="T365" s="290">
        <f t="shared" si="290"/>
        <v>0</v>
      </c>
      <c r="U365" s="276"/>
      <c r="V365" s="290">
        <f t="shared" si="291"/>
        <v>0</v>
      </c>
      <c r="W365" s="276"/>
      <c r="X365" s="290">
        <f t="shared" si="292"/>
        <v>0</v>
      </c>
      <c r="Y365" s="271">
        <f t="shared" si="267"/>
        <v>0</v>
      </c>
      <c r="Z365" s="290">
        <f t="shared" si="268"/>
        <v>0</v>
      </c>
    </row>
    <row r="366" spans="2:26" ht="19.8" customHeight="1" x14ac:dyDescent="0.6">
      <c r="B366" s="268">
        <v>8</v>
      </c>
      <c r="C366" s="261" t="s">
        <v>85</v>
      </c>
      <c r="D366" s="303" t="s">
        <v>422</v>
      </c>
      <c r="E366" s="276" t="s">
        <v>55</v>
      </c>
      <c r="G366" s="290"/>
      <c r="I366" s="290">
        <v>2205.64</v>
      </c>
      <c r="J366" s="298">
        <f t="shared" si="287"/>
        <v>13233</v>
      </c>
      <c r="K366" s="316">
        <v>13233</v>
      </c>
      <c r="L366" s="271"/>
      <c r="M366" s="276"/>
      <c r="N366" s="290">
        <f t="shared" si="288"/>
        <v>0</v>
      </c>
      <c r="O366" s="276"/>
      <c r="P366" s="290">
        <f t="shared" si="288"/>
        <v>0</v>
      </c>
      <c r="Q366" s="276"/>
      <c r="R366" s="290">
        <f t="shared" si="289"/>
        <v>0</v>
      </c>
      <c r="S366" s="276"/>
      <c r="T366" s="290">
        <f t="shared" si="290"/>
        <v>0</v>
      </c>
      <c r="U366" s="276"/>
      <c r="V366" s="290">
        <f t="shared" si="291"/>
        <v>0</v>
      </c>
      <c r="W366" s="276"/>
      <c r="X366" s="290">
        <f t="shared" si="292"/>
        <v>0</v>
      </c>
      <c r="Y366" s="271">
        <f t="shared" si="267"/>
        <v>0</v>
      </c>
      <c r="Z366" s="290">
        <f t="shared" si="268"/>
        <v>0</v>
      </c>
    </row>
    <row r="367" spans="2:26" ht="19.8" customHeight="1" x14ac:dyDescent="0.6">
      <c r="B367" s="268">
        <v>9</v>
      </c>
      <c r="C367" s="261" t="s">
        <v>86</v>
      </c>
      <c r="D367" s="303" t="s">
        <v>585</v>
      </c>
      <c r="E367" s="276" t="s">
        <v>55</v>
      </c>
      <c r="G367" s="290"/>
      <c r="I367" s="290">
        <v>2503.2800000000002</v>
      </c>
      <c r="J367" s="298">
        <f t="shared" si="287"/>
        <v>3071524</v>
      </c>
      <c r="K367" s="316">
        <v>3071524</v>
      </c>
      <c r="L367" s="271"/>
      <c r="M367" s="276"/>
      <c r="N367" s="290">
        <f t="shared" si="288"/>
        <v>0</v>
      </c>
      <c r="O367" s="276"/>
      <c r="P367" s="290">
        <f t="shared" si="288"/>
        <v>0</v>
      </c>
      <c r="Q367" s="276"/>
      <c r="R367" s="290">
        <f t="shared" si="289"/>
        <v>0</v>
      </c>
      <c r="S367" s="276"/>
      <c r="T367" s="290">
        <f t="shared" si="290"/>
        <v>0</v>
      </c>
      <c r="U367" s="276"/>
      <c r="V367" s="290">
        <f t="shared" si="291"/>
        <v>0</v>
      </c>
      <c r="W367" s="276"/>
      <c r="X367" s="290">
        <f t="shared" si="292"/>
        <v>0</v>
      </c>
      <c r="Y367" s="271">
        <f t="shared" si="267"/>
        <v>0</v>
      </c>
      <c r="Z367" s="290">
        <f t="shared" si="268"/>
        <v>0</v>
      </c>
    </row>
    <row r="368" spans="2:26" ht="19.8" customHeight="1" x14ac:dyDescent="0.6">
      <c r="B368" s="268">
        <v>10</v>
      </c>
      <c r="C368" s="261" t="s">
        <v>87</v>
      </c>
      <c r="D368" s="303"/>
      <c r="E368" s="276"/>
      <c r="G368" s="290"/>
      <c r="I368" s="290"/>
      <c r="J368" s="298"/>
      <c r="K368" s="316"/>
      <c r="L368" s="271"/>
      <c r="M368" s="276"/>
      <c r="N368" s="290"/>
      <c r="O368" s="276"/>
      <c r="P368" s="290"/>
      <c r="Q368" s="276"/>
      <c r="R368" s="290"/>
      <c r="S368" s="276"/>
      <c r="T368" s="290"/>
      <c r="U368" s="276"/>
      <c r="V368" s="290"/>
      <c r="W368" s="276"/>
      <c r="X368" s="290"/>
      <c r="Y368" s="271">
        <f t="shared" si="267"/>
        <v>0</v>
      </c>
      <c r="Z368" s="290">
        <f t="shared" si="268"/>
        <v>0</v>
      </c>
    </row>
    <row r="369" spans="2:26" ht="19.8" customHeight="1" x14ac:dyDescent="0.6">
      <c r="B369" s="268"/>
      <c r="C369" s="261" t="s">
        <v>88</v>
      </c>
      <c r="D369" s="303" t="s">
        <v>586</v>
      </c>
      <c r="E369" s="276" t="s">
        <v>54</v>
      </c>
      <c r="G369" s="290"/>
      <c r="I369" s="290">
        <v>192.91</v>
      </c>
      <c r="J369" s="298">
        <f t="shared" ref="J369:J373" si="293">IF(G369="-","-",IF(D369&gt;0,ROUNDDOWN(I369*D369,0),""))</f>
        <v>1103059</v>
      </c>
      <c r="K369" s="316">
        <v>1103059</v>
      </c>
      <c r="L369" s="271"/>
      <c r="M369" s="276"/>
      <c r="N369" s="290">
        <f t="shared" ref="N369:P373" si="294">ROUNDDOWN(M369*$I369,0)</f>
        <v>0</v>
      </c>
      <c r="O369" s="276"/>
      <c r="P369" s="290">
        <f t="shared" si="294"/>
        <v>0</v>
      </c>
      <c r="Q369" s="276"/>
      <c r="R369" s="290">
        <f t="shared" ref="R369:R373" si="295">ROUNDDOWN(Q369*$I369,0)</f>
        <v>0</v>
      </c>
      <c r="S369" s="276"/>
      <c r="T369" s="290">
        <f t="shared" ref="T369:T373" si="296">ROUNDDOWN(S369*$I369,0)</f>
        <v>0</v>
      </c>
      <c r="U369" s="276"/>
      <c r="V369" s="290">
        <f t="shared" ref="V369:V373" si="297">ROUNDDOWN(U369*$I369,0)</f>
        <v>0</v>
      </c>
      <c r="W369" s="276"/>
      <c r="X369" s="290">
        <f t="shared" ref="X369:X373" si="298">ROUNDDOWN(W369*$I369,0)</f>
        <v>0</v>
      </c>
      <c r="Y369" s="271">
        <f t="shared" si="267"/>
        <v>0</v>
      </c>
      <c r="Z369" s="290">
        <f t="shared" si="268"/>
        <v>0</v>
      </c>
    </row>
    <row r="370" spans="2:26" ht="19.8" customHeight="1" x14ac:dyDescent="0.6">
      <c r="B370" s="268"/>
      <c r="C370" s="261" t="s">
        <v>89</v>
      </c>
      <c r="D370" s="303" t="s">
        <v>587</v>
      </c>
      <c r="E370" s="276" t="s">
        <v>90</v>
      </c>
      <c r="G370" s="290"/>
      <c r="I370" s="290">
        <v>667.74</v>
      </c>
      <c r="J370" s="298">
        <f t="shared" si="293"/>
        <v>2672963</v>
      </c>
      <c r="K370" s="316">
        <v>2672963</v>
      </c>
      <c r="L370" s="271"/>
      <c r="M370" s="276"/>
      <c r="N370" s="290">
        <f t="shared" si="294"/>
        <v>0</v>
      </c>
      <c r="O370" s="276"/>
      <c r="P370" s="290">
        <f t="shared" si="294"/>
        <v>0</v>
      </c>
      <c r="Q370" s="276"/>
      <c r="R370" s="290">
        <f t="shared" si="295"/>
        <v>0</v>
      </c>
      <c r="S370" s="276"/>
      <c r="T370" s="290">
        <f t="shared" si="296"/>
        <v>0</v>
      </c>
      <c r="U370" s="276"/>
      <c r="V370" s="290">
        <f t="shared" si="297"/>
        <v>0</v>
      </c>
      <c r="W370" s="276"/>
      <c r="X370" s="290">
        <f t="shared" si="298"/>
        <v>0</v>
      </c>
      <c r="Y370" s="271">
        <f t="shared" si="267"/>
        <v>0</v>
      </c>
      <c r="Z370" s="290">
        <f t="shared" si="268"/>
        <v>0</v>
      </c>
    </row>
    <row r="371" spans="2:26" ht="19.8" customHeight="1" x14ac:dyDescent="0.6">
      <c r="B371" s="268"/>
      <c r="C371" s="261" t="s">
        <v>91</v>
      </c>
      <c r="D371" s="303" t="s">
        <v>366</v>
      </c>
      <c r="E371" s="276" t="s">
        <v>90</v>
      </c>
      <c r="G371" s="290"/>
      <c r="I371" s="290">
        <v>667.74</v>
      </c>
      <c r="J371" s="298">
        <f t="shared" si="293"/>
        <v>801288</v>
      </c>
      <c r="K371" s="316">
        <v>801288</v>
      </c>
      <c r="L371" s="271"/>
      <c r="M371" s="276"/>
      <c r="N371" s="290">
        <f t="shared" si="294"/>
        <v>0</v>
      </c>
      <c r="O371" s="276"/>
      <c r="P371" s="290">
        <f t="shared" si="294"/>
        <v>0</v>
      </c>
      <c r="Q371" s="276"/>
      <c r="R371" s="290">
        <f t="shared" si="295"/>
        <v>0</v>
      </c>
      <c r="S371" s="276"/>
      <c r="T371" s="290">
        <f t="shared" si="296"/>
        <v>0</v>
      </c>
      <c r="U371" s="276"/>
      <c r="V371" s="290">
        <f t="shared" si="297"/>
        <v>0</v>
      </c>
      <c r="W371" s="276"/>
      <c r="X371" s="290">
        <f t="shared" si="298"/>
        <v>0</v>
      </c>
      <c r="Y371" s="271">
        <f t="shared" si="267"/>
        <v>0</v>
      </c>
      <c r="Z371" s="290">
        <f t="shared" si="268"/>
        <v>0</v>
      </c>
    </row>
    <row r="372" spans="2:26" ht="19.8" customHeight="1" x14ac:dyDescent="0.6">
      <c r="B372" s="268"/>
      <c r="C372" s="261" t="s">
        <v>92</v>
      </c>
      <c r="D372" s="303" t="s">
        <v>588</v>
      </c>
      <c r="E372" s="276" t="s">
        <v>61</v>
      </c>
      <c r="G372" s="290"/>
      <c r="I372" s="290">
        <v>72.64</v>
      </c>
      <c r="J372" s="298">
        <f t="shared" si="293"/>
        <v>152544</v>
      </c>
      <c r="K372" s="316">
        <v>152544</v>
      </c>
      <c r="L372" s="271"/>
      <c r="M372" s="276"/>
      <c r="N372" s="290">
        <f t="shared" si="294"/>
        <v>0</v>
      </c>
      <c r="O372" s="276"/>
      <c r="P372" s="290">
        <f t="shared" si="294"/>
        <v>0</v>
      </c>
      <c r="Q372" s="276"/>
      <c r="R372" s="290">
        <f t="shared" si="295"/>
        <v>0</v>
      </c>
      <c r="S372" s="276"/>
      <c r="T372" s="290">
        <f t="shared" si="296"/>
        <v>0</v>
      </c>
      <c r="U372" s="276"/>
      <c r="V372" s="290">
        <f t="shared" si="297"/>
        <v>0</v>
      </c>
      <c r="W372" s="276"/>
      <c r="X372" s="290">
        <f t="shared" si="298"/>
        <v>0</v>
      </c>
      <c r="Y372" s="271">
        <f t="shared" si="267"/>
        <v>0</v>
      </c>
      <c r="Z372" s="290">
        <f t="shared" si="268"/>
        <v>0</v>
      </c>
    </row>
    <row r="373" spans="2:26" ht="19.8" customHeight="1" x14ac:dyDescent="0.6">
      <c r="B373" s="268"/>
      <c r="C373" s="261" t="s">
        <v>93</v>
      </c>
      <c r="D373" s="303" t="s">
        <v>589</v>
      </c>
      <c r="E373" s="276" t="s">
        <v>94</v>
      </c>
      <c r="G373" s="290"/>
      <c r="I373" s="290">
        <v>54.54</v>
      </c>
      <c r="J373" s="298">
        <f t="shared" si="293"/>
        <v>77937</v>
      </c>
      <c r="K373" s="316">
        <v>77937</v>
      </c>
      <c r="L373" s="271"/>
      <c r="M373" s="276"/>
      <c r="N373" s="290">
        <f t="shared" si="294"/>
        <v>0</v>
      </c>
      <c r="O373" s="276"/>
      <c r="P373" s="290">
        <f t="shared" si="294"/>
        <v>0</v>
      </c>
      <c r="Q373" s="276"/>
      <c r="R373" s="290">
        <f t="shared" si="295"/>
        <v>0</v>
      </c>
      <c r="S373" s="276"/>
      <c r="T373" s="290">
        <f t="shared" si="296"/>
        <v>0</v>
      </c>
      <c r="U373" s="276"/>
      <c r="V373" s="290">
        <f t="shared" si="297"/>
        <v>0</v>
      </c>
      <c r="W373" s="276"/>
      <c r="X373" s="290">
        <f t="shared" si="298"/>
        <v>0</v>
      </c>
      <c r="Y373" s="271">
        <f t="shared" si="267"/>
        <v>0</v>
      </c>
      <c r="Z373" s="290">
        <f t="shared" si="268"/>
        <v>0</v>
      </c>
    </row>
    <row r="374" spans="2:26" ht="19.8" customHeight="1" x14ac:dyDescent="0.6">
      <c r="B374" s="268">
        <v>11</v>
      </c>
      <c r="C374" s="261" t="s">
        <v>95</v>
      </c>
      <c r="D374" s="303"/>
      <c r="E374" s="276"/>
      <c r="G374" s="290"/>
      <c r="I374" s="290"/>
      <c r="J374" s="298"/>
      <c r="K374" s="316"/>
      <c r="L374" s="271"/>
      <c r="M374" s="276"/>
      <c r="N374" s="290"/>
      <c r="O374" s="276"/>
      <c r="P374" s="290"/>
      <c r="Q374" s="276"/>
      <c r="R374" s="290"/>
      <c r="S374" s="276"/>
      <c r="T374" s="290"/>
      <c r="U374" s="276"/>
      <c r="V374" s="290"/>
      <c r="W374" s="276"/>
      <c r="X374" s="290"/>
      <c r="Y374" s="271">
        <f t="shared" si="267"/>
        <v>0</v>
      </c>
      <c r="Z374" s="290">
        <f t="shared" si="268"/>
        <v>0</v>
      </c>
    </row>
    <row r="375" spans="2:26" ht="19.8" customHeight="1" x14ac:dyDescent="0.6">
      <c r="B375" s="268"/>
      <c r="C375" s="261" t="s">
        <v>96</v>
      </c>
      <c r="D375" s="303" t="s">
        <v>590</v>
      </c>
      <c r="E375" s="276" t="s">
        <v>94</v>
      </c>
      <c r="G375" s="290"/>
      <c r="I375" s="290">
        <v>36.19</v>
      </c>
      <c r="J375" s="298">
        <f t="shared" ref="J375:J384" si="299">IF(G375="-","-",IF(D375&gt;0,ROUNDDOWN(I375*D375,0),""))</f>
        <v>42921</v>
      </c>
      <c r="K375" s="316">
        <v>42921</v>
      </c>
      <c r="L375" s="271"/>
      <c r="M375" s="276"/>
      <c r="N375" s="290">
        <f t="shared" ref="N375:P384" si="300">ROUNDDOWN(M375*$I375,0)</f>
        <v>0</v>
      </c>
      <c r="O375" s="276"/>
      <c r="P375" s="290">
        <f t="shared" si="300"/>
        <v>0</v>
      </c>
      <c r="Q375" s="276"/>
      <c r="R375" s="290">
        <f t="shared" ref="R375:R384" si="301">ROUNDDOWN(Q375*$I375,0)</f>
        <v>0</v>
      </c>
      <c r="S375" s="276"/>
      <c r="T375" s="290">
        <f t="shared" ref="T375:T384" si="302">ROUNDDOWN(S375*$I375,0)</f>
        <v>0</v>
      </c>
      <c r="U375" s="276"/>
      <c r="V375" s="290">
        <f t="shared" ref="V375:V384" si="303">ROUNDDOWN(U375*$I375,0)</f>
        <v>0</v>
      </c>
      <c r="W375" s="276"/>
      <c r="X375" s="290">
        <f t="shared" ref="X375:X384" si="304">ROUNDDOWN(W375*$I375,0)</f>
        <v>0</v>
      </c>
      <c r="Y375" s="271">
        <f t="shared" si="267"/>
        <v>0</v>
      </c>
      <c r="Z375" s="290">
        <f t="shared" si="268"/>
        <v>0</v>
      </c>
    </row>
    <row r="376" spans="2:26" ht="19.8" customHeight="1" x14ac:dyDescent="0.6">
      <c r="B376" s="268"/>
      <c r="C376" s="261" t="s">
        <v>97</v>
      </c>
      <c r="D376" s="303" t="s">
        <v>591</v>
      </c>
      <c r="E376" s="276" t="s">
        <v>94</v>
      </c>
      <c r="G376" s="290"/>
      <c r="I376" s="290">
        <v>36.07</v>
      </c>
      <c r="J376" s="298">
        <f t="shared" si="299"/>
        <v>173099</v>
      </c>
      <c r="K376" s="316">
        <v>173099</v>
      </c>
      <c r="L376" s="271"/>
      <c r="M376" s="276"/>
      <c r="N376" s="290">
        <f t="shared" si="300"/>
        <v>0</v>
      </c>
      <c r="O376" s="276"/>
      <c r="P376" s="290">
        <f t="shared" si="300"/>
        <v>0</v>
      </c>
      <c r="Q376" s="276"/>
      <c r="R376" s="290">
        <f t="shared" si="301"/>
        <v>0</v>
      </c>
      <c r="S376" s="276"/>
      <c r="T376" s="290">
        <f t="shared" si="302"/>
        <v>0</v>
      </c>
      <c r="U376" s="276"/>
      <c r="V376" s="290">
        <f t="shared" si="303"/>
        <v>0</v>
      </c>
      <c r="W376" s="276"/>
      <c r="X376" s="290">
        <f t="shared" si="304"/>
        <v>0</v>
      </c>
      <c r="Y376" s="271">
        <f t="shared" si="267"/>
        <v>0</v>
      </c>
      <c r="Z376" s="290">
        <f t="shared" si="268"/>
        <v>0</v>
      </c>
    </row>
    <row r="377" spans="2:26" ht="19.8" customHeight="1" x14ac:dyDescent="0.6">
      <c r="B377" s="268"/>
      <c r="C377" s="261" t="s">
        <v>98</v>
      </c>
      <c r="D377" s="303" t="s">
        <v>592</v>
      </c>
      <c r="E377" s="276" t="s">
        <v>94</v>
      </c>
      <c r="G377" s="290"/>
      <c r="I377" s="290">
        <v>32.840000000000003</v>
      </c>
      <c r="J377" s="298">
        <f t="shared" si="299"/>
        <v>932163</v>
      </c>
      <c r="K377" s="316">
        <v>932163</v>
      </c>
      <c r="L377" s="271"/>
      <c r="M377" s="276"/>
      <c r="N377" s="290">
        <f t="shared" si="300"/>
        <v>0</v>
      </c>
      <c r="O377" s="276"/>
      <c r="P377" s="290">
        <f t="shared" si="300"/>
        <v>0</v>
      </c>
      <c r="Q377" s="276"/>
      <c r="R377" s="290">
        <f t="shared" si="301"/>
        <v>0</v>
      </c>
      <c r="S377" s="276"/>
      <c r="T377" s="290">
        <f t="shared" si="302"/>
        <v>0</v>
      </c>
      <c r="U377" s="276"/>
      <c r="V377" s="290">
        <f t="shared" si="303"/>
        <v>0</v>
      </c>
      <c r="W377" s="276"/>
      <c r="X377" s="290">
        <f t="shared" si="304"/>
        <v>0</v>
      </c>
      <c r="Y377" s="271">
        <f t="shared" si="267"/>
        <v>0</v>
      </c>
      <c r="Z377" s="290">
        <f t="shared" si="268"/>
        <v>0</v>
      </c>
    </row>
    <row r="378" spans="2:26" ht="19.8" customHeight="1" x14ac:dyDescent="0.6">
      <c r="B378" s="268"/>
      <c r="C378" s="261" t="s">
        <v>99</v>
      </c>
      <c r="D378" s="303" t="s">
        <v>593</v>
      </c>
      <c r="E378" s="276" t="s">
        <v>94</v>
      </c>
      <c r="G378" s="290"/>
      <c r="I378" s="290">
        <v>32.5</v>
      </c>
      <c r="J378" s="298">
        <f t="shared" si="299"/>
        <v>1897870</v>
      </c>
      <c r="K378" s="316">
        <v>1897870</v>
      </c>
      <c r="L378" s="271"/>
      <c r="M378" s="276"/>
      <c r="N378" s="290">
        <f t="shared" si="300"/>
        <v>0</v>
      </c>
      <c r="O378" s="276"/>
      <c r="P378" s="290">
        <f t="shared" si="300"/>
        <v>0</v>
      </c>
      <c r="Q378" s="276"/>
      <c r="R378" s="290">
        <f t="shared" si="301"/>
        <v>0</v>
      </c>
      <c r="S378" s="276"/>
      <c r="T378" s="290">
        <f t="shared" si="302"/>
        <v>0</v>
      </c>
      <c r="U378" s="276"/>
      <c r="V378" s="290">
        <f t="shared" si="303"/>
        <v>0</v>
      </c>
      <c r="W378" s="276"/>
      <c r="X378" s="290">
        <f t="shared" si="304"/>
        <v>0</v>
      </c>
      <c r="Y378" s="271">
        <f t="shared" si="267"/>
        <v>0</v>
      </c>
      <c r="Z378" s="290">
        <f t="shared" si="268"/>
        <v>0</v>
      </c>
    </row>
    <row r="379" spans="2:26" ht="19.8" customHeight="1" x14ac:dyDescent="0.6">
      <c r="B379" s="268"/>
      <c r="C379" s="261" t="s">
        <v>100</v>
      </c>
      <c r="D379" s="303" t="s">
        <v>594</v>
      </c>
      <c r="E379" s="276" t="s">
        <v>94</v>
      </c>
      <c r="G379" s="290"/>
      <c r="I379" s="290">
        <v>31.29</v>
      </c>
      <c r="J379" s="298">
        <f t="shared" si="299"/>
        <v>3273059</v>
      </c>
      <c r="K379" s="316">
        <v>3273059</v>
      </c>
      <c r="L379" s="271"/>
      <c r="M379" s="276"/>
      <c r="N379" s="290">
        <f t="shared" si="300"/>
        <v>0</v>
      </c>
      <c r="O379" s="276"/>
      <c r="P379" s="290">
        <f t="shared" si="300"/>
        <v>0</v>
      </c>
      <c r="Q379" s="276"/>
      <c r="R379" s="290">
        <f t="shared" si="301"/>
        <v>0</v>
      </c>
      <c r="S379" s="276"/>
      <c r="T379" s="290">
        <f t="shared" si="302"/>
        <v>0</v>
      </c>
      <c r="U379" s="276"/>
      <c r="V379" s="290">
        <f t="shared" si="303"/>
        <v>0</v>
      </c>
      <c r="W379" s="276"/>
      <c r="X379" s="290">
        <f t="shared" si="304"/>
        <v>0</v>
      </c>
      <c r="Y379" s="271">
        <f t="shared" si="267"/>
        <v>0</v>
      </c>
      <c r="Z379" s="290">
        <f t="shared" si="268"/>
        <v>0</v>
      </c>
    </row>
    <row r="380" spans="2:26" ht="19.8" customHeight="1" x14ac:dyDescent="0.6">
      <c r="B380" s="268"/>
      <c r="C380" s="261" t="s">
        <v>101</v>
      </c>
      <c r="D380" s="303" t="s">
        <v>595</v>
      </c>
      <c r="E380" s="276" t="s">
        <v>94</v>
      </c>
      <c r="G380" s="290"/>
      <c r="I380" s="290">
        <v>54.78</v>
      </c>
      <c r="J380" s="298">
        <f t="shared" si="299"/>
        <v>324352</v>
      </c>
      <c r="K380" s="316">
        <v>324352</v>
      </c>
      <c r="L380" s="271"/>
      <c r="M380" s="276"/>
      <c r="N380" s="290">
        <f t="shared" si="300"/>
        <v>0</v>
      </c>
      <c r="O380" s="276"/>
      <c r="P380" s="290">
        <f t="shared" si="300"/>
        <v>0</v>
      </c>
      <c r="Q380" s="276"/>
      <c r="R380" s="290">
        <f t="shared" si="301"/>
        <v>0</v>
      </c>
      <c r="S380" s="276"/>
      <c r="T380" s="290">
        <f t="shared" si="302"/>
        <v>0</v>
      </c>
      <c r="U380" s="276"/>
      <c r="V380" s="290">
        <f t="shared" si="303"/>
        <v>0</v>
      </c>
      <c r="W380" s="276"/>
      <c r="X380" s="290">
        <f t="shared" si="304"/>
        <v>0</v>
      </c>
      <c r="Y380" s="271">
        <f t="shared" si="267"/>
        <v>0</v>
      </c>
      <c r="Z380" s="290">
        <f t="shared" si="268"/>
        <v>0</v>
      </c>
    </row>
    <row r="381" spans="2:26" ht="19.8" customHeight="1" x14ac:dyDescent="0.6">
      <c r="B381" s="268">
        <v>12</v>
      </c>
      <c r="C381" s="261" t="s">
        <v>232</v>
      </c>
      <c r="D381" s="303" t="s">
        <v>596</v>
      </c>
      <c r="E381" s="276" t="s">
        <v>54</v>
      </c>
      <c r="G381" s="290"/>
      <c r="I381" s="290">
        <v>506.09</v>
      </c>
      <c r="J381" s="298">
        <f t="shared" si="299"/>
        <v>792536</v>
      </c>
      <c r="K381" s="316">
        <v>792536</v>
      </c>
      <c r="L381" s="271"/>
      <c r="M381" s="276"/>
      <c r="N381" s="290">
        <f t="shared" si="300"/>
        <v>0</v>
      </c>
      <c r="O381" s="276"/>
      <c r="P381" s="290">
        <f t="shared" si="300"/>
        <v>0</v>
      </c>
      <c r="Q381" s="276"/>
      <c r="R381" s="290">
        <f t="shared" si="301"/>
        <v>0</v>
      </c>
      <c r="S381" s="276"/>
      <c r="T381" s="290">
        <f t="shared" si="302"/>
        <v>0</v>
      </c>
      <c r="U381" s="276"/>
      <c r="V381" s="290">
        <f t="shared" si="303"/>
        <v>0</v>
      </c>
      <c r="W381" s="276"/>
      <c r="X381" s="290">
        <f t="shared" si="304"/>
        <v>0</v>
      </c>
      <c r="Y381" s="271">
        <f t="shared" si="267"/>
        <v>0</v>
      </c>
      <c r="Z381" s="290">
        <f t="shared" si="268"/>
        <v>0</v>
      </c>
    </row>
    <row r="382" spans="2:26" ht="19.8" customHeight="1" x14ac:dyDescent="0.6">
      <c r="B382" s="268">
        <v>13</v>
      </c>
      <c r="C382" s="261" t="s">
        <v>102</v>
      </c>
      <c r="D382" s="303" t="s">
        <v>597</v>
      </c>
      <c r="E382" s="276" t="s">
        <v>57</v>
      </c>
      <c r="G382" s="290"/>
      <c r="I382" s="290">
        <v>3113.94</v>
      </c>
      <c r="J382" s="298">
        <f t="shared" si="299"/>
        <v>696868</v>
      </c>
      <c r="K382" s="316">
        <v>696868</v>
      </c>
      <c r="L382" s="271"/>
      <c r="M382" s="276"/>
      <c r="N382" s="290">
        <f t="shared" si="300"/>
        <v>0</v>
      </c>
      <c r="O382" s="276"/>
      <c r="P382" s="290">
        <f t="shared" si="300"/>
        <v>0</v>
      </c>
      <c r="Q382" s="276"/>
      <c r="R382" s="290">
        <f t="shared" si="301"/>
        <v>0</v>
      </c>
      <c r="S382" s="276"/>
      <c r="T382" s="290">
        <f t="shared" si="302"/>
        <v>0</v>
      </c>
      <c r="U382" s="276"/>
      <c r="V382" s="290">
        <f t="shared" si="303"/>
        <v>0</v>
      </c>
      <c r="W382" s="276"/>
      <c r="X382" s="290">
        <f t="shared" si="304"/>
        <v>0</v>
      </c>
      <c r="Y382" s="271">
        <f t="shared" si="267"/>
        <v>0</v>
      </c>
      <c r="Z382" s="290">
        <f t="shared" si="268"/>
        <v>0</v>
      </c>
    </row>
    <row r="383" spans="2:26" ht="19.8" customHeight="1" x14ac:dyDescent="0.6">
      <c r="B383" s="268">
        <v>14</v>
      </c>
      <c r="C383" s="261" t="s">
        <v>103</v>
      </c>
      <c r="D383" s="303" t="s">
        <v>598</v>
      </c>
      <c r="E383" s="276" t="s">
        <v>57</v>
      </c>
      <c r="G383" s="290"/>
      <c r="I383" s="290">
        <v>482.26</v>
      </c>
      <c r="J383" s="298">
        <f t="shared" si="299"/>
        <v>27006</v>
      </c>
      <c r="K383" s="316">
        <v>27006</v>
      </c>
      <c r="L383" s="271"/>
      <c r="M383" s="276"/>
      <c r="N383" s="290">
        <f t="shared" si="300"/>
        <v>0</v>
      </c>
      <c r="O383" s="276"/>
      <c r="P383" s="290">
        <f t="shared" si="300"/>
        <v>0</v>
      </c>
      <c r="Q383" s="276"/>
      <c r="R383" s="290">
        <f t="shared" si="301"/>
        <v>0</v>
      </c>
      <c r="S383" s="276"/>
      <c r="T383" s="290">
        <f t="shared" si="302"/>
        <v>0</v>
      </c>
      <c r="U383" s="276"/>
      <c r="V383" s="290">
        <f t="shared" si="303"/>
        <v>0</v>
      </c>
      <c r="W383" s="276"/>
      <c r="X383" s="290">
        <f t="shared" si="304"/>
        <v>0</v>
      </c>
      <c r="Y383" s="271">
        <f t="shared" si="267"/>
        <v>0</v>
      </c>
      <c r="Z383" s="290">
        <f t="shared" si="268"/>
        <v>0</v>
      </c>
    </row>
    <row r="384" spans="2:26" ht="19.8" customHeight="1" x14ac:dyDescent="0.6">
      <c r="B384" s="268">
        <v>15</v>
      </c>
      <c r="C384" s="261" t="s">
        <v>104</v>
      </c>
      <c r="D384" s="303" t="s">
        <v>532</v>
      </c>
      <c r="E384" s="276" t="s">
        <v>54</v>
      </c>
      <c r="G384" s="290"/>
      <c r="I384" s="290">
        <v>366.77</v>
      </c>
      <c r="J384" s="298">
        <f t="shared" si="299"/>
        <v>1833</v>
      </c>
      <c r="K384" s="316">
        <v>1833</v>
      </c>
      <c r="L384" s="271"/>
      <c r="M384" s="276"/>
      <c r="N384" s="290">
        <f t="shared" si="300"/>
        <v>0</v>
      </c>
      <c r="O384" s="276"/>
      <c r="P384" s="290">
        <f t="shared" si="300"/>
        <v>0</v>
      </c>
      <c r="Q384" s="276"/>
      <c r="R384" s="290">
        <f t="shared" si="301"/>
        <v>0</v>
      </c>
      <c r="S384" s="276"/>
      <c r="T384" s="290">
        <f t="shared" si="302"/>
        <v>0</v>
      </c>
      <c r="U384" s="276"/>
      <c r="V384" s="290">
        <f t="shared" si="303"/>
        <v>0</v>
      </c>
      <c r="W384" s="276"/>
      <c r="X384" s="290">
        <f t="shared" si="304"/>
        <v>0</v>
      </c>
      <c r="Y384" s="271">
        <f t="shared" si="267"/>
        <v>0</v>
      </c>
      <c r="Z384" s="290">
        <f t="shared" si="268"/>
        <v>0</v>
      </c>
    </row>
    <row r="385" spans="1:26" ht="19.8" customHeight="1" x14ac:dyDescent="0.6">
      <c r="B385" s="268">
        <v>16</v>
      </c>
      <c r="C385" s="261" t="s">
        <v>59</v>
      </c>
      <c r="D385" s="303"/>
      <c r="E385" s="276"/>
      <c r="G385" s="290"/>
      <c r="I385" s="290"/>
      <c r="J385" s="298"/>
      <c r="K385" s="316"/>
      <c r="L385" s="271"/>
      <c r="M385" s="276"/>
      <c r="N385" s="290"/>
      <c r="O385" s="276"/>
      <c r="P385" s="290"/>
      <c r="Q385" s="276"/>
      <c r="R385" s="290"/>
      <c r="S385" s="276"/>
      <c r="T385" s="290"/>
      <c r="U385" s="276"/>
      <c r="V385" s="290"/>
      <c r="W385" s="276"/>
      <c r="X385" s="290"/>
      <c r="Y385" s="271">
        <f t="shared" si="267"/>
        <v>0</v>
      </c>
      <c r="Z385" s="290">
        <f t="shared" si="268"/>
        <v>0</v>
      </c>
    </row>
    <row r="386" spans="1:26" ht="19.8" customHeight="1" x14ac:dyDescent="0.6">
      <c r="B386" s="268"/>
      <c r="C386" s="261"/>
      <c r="D386" s="303"/>
      <c r="E386" s="276"/>
      <c r="G386" s="290"/>
      <c r="I386" s="290"/>
      <c r="J386" s="298"/>
      <c r="K386" s="316"/>
      <c r="L386" s="271"/>
      <c r="M386" s="276"/>
      <c r="N386" s="290"/>
      <c r="O386" s="276"/>
      <c r="P386" s="290"/>
      <c r="Q386" s="276"/>
      <c r="R386" s="290"/>
      <c r="S386" s="276"/>
      <c r="T386" s="290"/>
      <c r="U386" s="276"/>
      <c r="V386" s="290"/>
      <c r="W386" s="276"/>
      <c r="X386" s="290"/>
      <c r="Y386" s="271">
        <f t="shared" si="267"/>
        <v>0</v>
      </c>
      <c r="Z386" s="290">
        <f t="shared" si="268"/>
        <v>0</v>
      </c>
    </row>
    <row r="387" spans="1:26" ht="19.8" customHeight="1" x14ac:dyDescent="0.6">
      <c r="B387" s="826" t="s">
        <v>599</v>
      </c>
      <c r="C387" s="827"/>
      <c r="D387" s="310" t="s">
        <v>389</v>
      </c>
      <c r="E387" s="275" t="s">
        <v>73</v>
      </c>
      <c r="F387" s="284"/>
      <c r="G387" s="289"/>
      <c r="H387" s="263"/>
      <c r="I387" s="289"/>
      <c r="J387" s="299">
        <f>SUM(J356:J386)</f>
        <v>22731675</v>
      </c>
      <c r="K387" s="320">
        <v>22731675</v>
      </c>
      <c r="L387" s="270"/>
      <c r="M387" s="257"/>
      <c r="N387" s="293">
        <f>SUM(N356:N386)</f>
        <v>35724</v>
      </c>
      <c r="O387" s="257"/>
      <c r="P387" s="293">
        <f>SUM(P356:P386)</f>
        <v>0</v>
      </c>
      <c r="Q387" s="257"/>
      <c r="R387" s="293">
        <f>SUM(R356:R386)</f>
        <v>0</v>
      </c>
      <c r="S387" s="257"/>
      <c r="T387" s="293">
        <f>SUM(T356:T386)</f>
        <v>0</v>
      </c>
      <c r="U387" s="257"/>
      <c r="V387" s="293">
        <f>SUM(V356:V386)</f>
        <v>35724</v>
      </c>
      <c r="W387" s="257"/>
      <c r="X387" s="293">
        <f>SUM(X356:X386)</f>
        <v>35724</v>
      </c>
      <c r="Y387" s="270">
        <f t="shared" si="267"/>
        <v>0</v>
      </c>
      <c r="Z387" s="289">
        <f t="shared" si="268"/>
        <v>35724</v>
      </c>
    </row>
    <row r="388" spans="1:26" ht="19.8" customHeight="1" x14ac:dyDescent="0.6">
      <c r="A388" s="311"/>
      <c r="B388" s="817" t="s">
        <v>600</v>
      </c>
      <c r="C388" s="818"/>
      <c r="D388" s="294"/>
      <c r="E388" s="257"/>
      <c r="F388" s="296"/>
      <c r="G388" s="293"/>
      <c r="H388" s="297"/>
      <c r="I388" s="293"/>
      <c r="J388" s="299"/>
      <c r="K388" s="319">
        <v>26029109</v>
      </c>
      <c r="L388" s="262"/>
      <c r="M388" s="257"/>
      <c r="N388" s="293"/>
      <c r="O388" s="257"/>
      <c r="P388" s="293"/>
      <c r="Q388" s="257"/>
      <c r="R388" s="293"/>
      <c r="S388" s="257"/>
      <c r="T388" s="293"/>
      <c r="U388" s="257"/>
      <c r="V388" s="293"/>
      <c r="W388" s="257"/>
      <c r="X388" s="293"/>
      <c r="Y388" s="262">
        <f t="shared" si="267"/>
        <v>0</v>
      </c>
      <c r="Z388" s="293">
        <f t="shared" si="268"/>
        <v>0</v>
      </c>
    </row>
    <row r="389" spans="1:26" ht="19.8" customHeight="1" x14ac:dyDescent="0.6">
      <c r="B389" s="312" t="s">
        <v>323</v>
      </c>
      <c r="C389" s="313" t="s">
        <v>29</v>
      </c>
      <c r="D389" s="303"/>
      <c r="E389" s="276"/>
      <c r="G389" s="290"/>
      <c r="I389" s="290"/>
      <c r="J389" s="298"/>
      <c r="K389" s="316"/>
      <c r="L389" s="271"/>
      <c r="M389" s="276"/>
      <c r="N389" s="290"/>
      <c r="O389" s="276"/>
      <c r="P389" s="290"/>
      <c r="Q389" s="276"/>
      <c r="R389" s="290"/>
      <c r="S389" s="276"/>
      <c r="T389" s="290"/>
      <c r="U389" s="276"/>
      <c r="V389" s="290"/>
      <c r="W389" s="276"/>
      <c r="X389" s="290"/>
      <c r="Y389" s="271">
        <f t="shared" si="267"/>
        <v>0</v>
      </c>
      <c r="Z389" s="290">
        <f t="shared" si="268"/>
        <v>0</v>
      </c>
    </row>
    <row r="390" spans="1:26" ht="19.8" customHeight="1" x14ac:dyDescent="0.6">
      <c r="B390" s="306" t="s">
        <v>601</v>
      </c>
      <c r="C390" s="261" t="s">
        <v>105</v>
      </c>
      <c r="D390" s="303"/>
      <c r="E390" s="276"/>
      <c r="G390" s="290"/>
      <c r="I390" s="290"/>
      <c r="J390" s="298"/>
      <c r="K390" s="316"/>
      <c r="L390" s="271"/>
      <c r="M390" s="276"/>
      <c r="N390" s="290"/>
      <c r="O390" s="276"/>
      <c r="P390" s="290"/>
      <c r="Q390" s="276"/>
      <c r="R390" s="290"/>
      <c r="S390" s="276"/>
      <c r="T390" s="290"/>
      <c r="U390" s="276"/>
      <c r="V390" s="290"/>
      <c r="W390" s="276"/>
      <c r="X390" s="290"/>
      <c r="Y390" s="271">
        <f t="shared" si="267"/>
        <v>0</v>
      </c>
      <c r="Z390" s="290">
        <f t="shared" si="268"/>
        <v>0</v>
      </c>
    </row>
    <row r="391" spans="1:26" ht="19.8" customHeight="1" x14ac:dyDescent="0.6">
      <c r="B391" s="268"/>
      <c r="C391" s="261" t="s">
        <v>602</v>
      </c>
      <c r="D391" s="303"/>
      <c r="E391" s="276"/>
      <c r="G391" s="290"/>
      <c r="I391" s="290"/>
      <c r="J391" s="298"/>
      <c r="K391" s="316"/>
      <c r="L391" s="271"/>
      <c r="M391" s="276"/>
      <c r="N391" s="290"/>
      <c r="O391" s="276"/>
      <c r="P391" s="290"/>
      <c r="Q391" s="276"/>
      <c r="R391" s="290"/>
      <c r="S391" s="276"/>
      <c r="T391" s="290"/>
      <c r="U391" s="276"/>
      <c r="V391" s="290"/>
      <c r="W391" s="276"/>
      <c r="X391" s="290"/>
      <c r="Y391" s="271">
        <f t="shared" si="267"/>
        <v>0</v>
      </c>
      <c r="Z391" s="290">
        <f t="shared" si="268"/>
        <v>0</v>
      </c>
    </row>
    <row r="392" spans="1:26" ht="19.8" customHeight="1" x14ac:dyDescent="0.6">
      <c r="B392" s="268"/>
      <c r="C392" s="261" t="s">
        <v>603</v>
      </c>
      <c r="D392" s="303"/>
      <c r="E392" s="276"/>
      <c r="G392" s="290"/>
      <c r="I392" s="290"/>
      <c r="J392" s="298"/>
      <c r="K392" s="316"/>
      <c r="L392" s="271"/>
      <c r="M392" s="276"/>
      <c r="N392" s="290"/>
      <c r="O392" s="276"/>
      <c r="P392" s="290"/>
      <c r="Q392" s="276"/>
      <c r="R392" s="290"/>
      <c r="S392" s="276"/>
      <c r="T392" s="290"/>
      <c r="U392" s="276"/>
      <c r="V392" s="290"/>
      <c r="W392" s="276"/>
      <c r="X392" s="290"/>
      <c r="Y392" s="271">
        <f t="shared" si="267"/>
        <v>0</v>
      </c>
      <c r="Z392" s="290">
        <f t="shared" si="268"/>
        <v>0</v>
      </c>
    </row>
    <row r="393" spans="1:26" ht="19.8" customHeight="1" x14ac:dyDescent="0.6">
      <c r="B393" s="268">
        <v>1</v>
      </c>
      <c r="C393" s="261" t="s">
        <v>245</v>
      </c>
      <c r="D393" s="304" t="s">
        <v>176</v>
      </c>
      <c r="E393" s="276" t="s">
        <v>54</v>
      </c>
      <c r="G393" s="290"/>
      <c r="I393" s="290"/>
      <c r="J393" s="298"/>
      <c r="K393" s="316"/>
      <c r="L393" s="271"/>
      <c r="M393" s="276"/>
      <c r="N393" s="290"/>
      <c r="O393" s="276"/>
      <c r="P393" s="290"/>
      <c r="Q393" s="276"/>
      <c r="R393" s="290"/>
      <c r="S393" s="276"/>
      <c r="T393" s="290"/>
      <c r="U393" s="276"/>
      <c r="V393" s="290"/>
      <c r="W393" s="276"/>
      <c r="X393" s="290"/>
      <c r="Y393" s="271">
        <f t="shared" si="267"/>
        <v>0</v>
      </c>
      <c r="Z393" s="290">
        <f t="shared" si="268"/>
        <v>0</v>
      </c>
    </row>
    <row r="394" spans="1:26" ht="19.8" customHeight="1" x14ac:dyDescent="0.6">
      <c r="B394" s="268">
        <v>2</v>
      </c>
      <c r="C394" s="261" t="s">
        <v>604</v>
      </c>
      <c r="D394" s="303" t="s">
        <v>607</v>
      </c>
      <c r="E394" s="276" t="s">
        <v>57</v>
      </c>
      <c r="G394" s="290"/>
      <c r="I394" s="290">
        <v>126.78</v>
      </c>
      <c r="J394" s="298">
        <f>IF(G394="-","-",IF(D394&gt;0,ROUNDDOWN(I394*D394,0),""))</f>
        <v>28398</v>
      </c>
      <c r="K394" s="316">
        <v>28398</v>
      </c>
      <c r="L394" s="271"/>
      <c r="M394" s="276"/>
      <c r="N394" s="290">
        <f t="shared" ref="N394:P399" si="305">ROUNDDOWN(M394*$I394,0)</f>
        <v>0</v>
      </c>
      <c r="O394" s="276"/>
      <c r="P394" s="290">
        <f t="shared" si="305"/>
        <v>0</v>
      </c>
      <c r="Q394" s="276"/>
      <c r="R394" s="290"/>
      <c r="S394" s="276"/>
      <c r="T394" s="290"/>
      <c r="U394" s="276"/>
      <c r="V394" s="290">
        <f t="shared" ref="V394:V399" si="306">ROUNDDOWN(U394*$I394,0)</f>
        <v>0</v>
      </c>
      <c r="W394" s="276"/>
      <c r="X394" s="290">
        <f t="shared" ref="X394:X396" si="307">ROUNDDOWN(W394*$I394,0)</f>
        <v>0</v>
      </c>
      <c r="Y394" s="271">
        <f t="shared" si="267"/>
        <v>0</v>
      </c>
      <c r="Z394" s="290">
        <f t="shared" si="268"/>
        <v>0</v>
      </c>
    </row>
    <row r="395" spans="1:26" ht="19.8" customHeight="1" x14ac:dyDescent="0.6">
      <c r="B395" s="268">
        <v>3</v>
      </c>
      <c r="C395" s="261" t="s">
        <v>195</v>
      </c>
      <c r="D395" s="303" t="s">
        <v>608</v>
      </c>
      <c r="E395" s="276" t="s">
        <v>55</v>
      </c>
      <c r="G395" s="290"/>
      <c r="I395" s="290">
        <v>38.21</v>
      </c>
      <c r="J395" s="298">
        <f t="shared" ref="J395:J399" si="308">IF(G395="-","-",IF(D395&gt;0,ROUNDDOWN(I395*D395,0),""))</f>
        <v>91245</v>
      </c>
      <c r="K395" s="316">
        <v>91245</v>
      </c>
      <c r="L395" s="271"/>
      <c r="M395" s="276"/>
      <c r="N395" s="290">
        <f t="shared" si="305"/>
        <v>0</v>
      </c>
      <c r="O395" s="276"/>
      <c r="P395" s="290">
        <f t="shared" si="305"/>
        <v>0</v>
      </c>
      <c r="Q395" s="276"/>
      <c r="R395" s="290"/>
      <c r="S395" s="276"/>
      <c r="T395" s="290"/>
      <c r="U395" s="276"/>
      <c r="V395" s="290">
        <f t="shared" si="306"/>
        <v>0</v>
      </c>
      <c r="W395" s="276"/>
      <c r="X395" s="290">
        <f t="shared" si="307"/>
        <v>0</v>
      </c>
      <c r="Y395" s="271">
        <f t="shared" si="267"/>
        <v>0</v>
      </c>
      <c r="Z395" s="290">
        <f t="shared" si="268"/>
        <v>0</v>
      </c>
    </row>
    <row r="396" spans="1:26" ht="19.8" customHeight="1" x14ac:dyDescent="0.6">
      <c r="B396" s="268">
        <v>4</v>
      </c>
      <c r="C396" s="261" t="s">
        <v>215</v>
      </c>
      <c r="D396" s="303" t="s">
        <v>605</v>
      </c>
      <c r="E396" s="276" t="s">
        <v>55</v>
      </c>
      <c r="G396" s="290"/>
      <c r="I396" s="290">
        <v>328.91</v>
      </c>
      <c r="J396" s="298">
        <f t="shared" si="308"/>
        <v>526256</v>
      </c>
      <c r="K396" s="316">
        <v>526256</v>
      </c>
      <c r="L396" s="271"/>
      <c r="M396" s="276"/>
      <c r="N396" s="290">
        <f t="shared" si="305"/>
        <v>0</v>
      </c>
      <c r="O396" s="276"/>
      <c r="P396" s="290">
        <f t="shared" si="305"/>
        <v>0</v>
      </c>
      <c r="Q396" s="276"/>
      <c r="R396" s="290"/>
      <c r="S396" s="276"/>
      <c r="T396" s="290"/>
      <c r="U396" s="276"/>
      <c r="V396" s="290">
        <f t="shared" si="306"/>
        <v>0</v>
      </c>
      <c r="W396" s="276"/>
      <c r="X396" s="290">
        <f t="shared" si="307"/>
        <v>0</v>
      </c>
      <c r="Y396" s="271">
        <f t="shared" si="267"/>
        <v>0</v>
      </c>
      <c r="Z396" s="290">
        <f t="shared" si="268"/>
        <v>0</v>
      </c>
    </row>
    <row r="397" spans="1:26" ht="19.8" customHeight="1" x14ac:dyDescent="0.6">
      <c r="B397" s="268">
        <v>5</v>
      </c>
      <c r="C397" s="261" t="s">
        <v>229</v>
      </c>
      <c r="D397" s="303" t="s">
        <v>606</v>
      </c>
      <c r="E397" s="276" t="s">
        <v>57</v>
      </c>
      <c r="G397" s="290"/>
      <c r="I397" s="290">
        <v>16735.45</v>
      </c>
      <c r="J397" s="298">
        <f t="shared" si="308"/>
        <v>4819809</v>
      </c>
      <c r="K397" s="316">
        <v>4819809</v>
      </c>
      <c r="L397" s="271" t="s">
        <v>886</v>
      </c>
      <c r="M397" s="276"/>
      <c r="N397" s="290">
        <f t="shared" si="305"/>
        <v>0</v>
      </c>
      <c r="O397" s="276">
        <v>280</v>
      </c>
      <c r="P397" s="290">
        <v>3340000</v>
      </c>
      <c r="Q397" s="276"/>
      <c r="R397" s="290"/>
      <c r="S397" s="276"/>
      <c r="T397" s="290"/>
      <c r="U397" s="276"/>
      <c r="V397" s="290">
        <f>N397+P397</f>
        <v>3340000</v>
      </c>
      <c r="W397" s="276"/>
      <c r="X397" s="290">
        <f>P397+R397</f>
        <v>3340000</v>
      </c>
      <c r="Y397" s="271">
        <f>M397+O397+Q397</f>
        <v>280</v>
      </c>
      <c r="Z397" s="290">
        <f>N397+P397+R397</f>
        <v>3340000</v>
      </c>
    </row>
    <row r="398" spans="1:26" ht="19.8" customHeight="1" x14ac:dyDescent="0.6">
      <c r="B398" s="268">
        <v>8</v>
      </c>
      <c r="C398" s="261" t="s">
        <v>233</v>
      </c>
      <c r="D398" s="303" t="s">
        <v>609</v>
      </c>
      <c r="E398" s="276" t="s">
        <v>57</v>
      </c>
      <c r="G398" s="290"/>
      <c r="I398" s="290">
        <v>1452.28</v>
      </c>
      <c r="J398" s="298">
        <f t="shared" si="308"/>
        <v>49377</v>
      </c>
      <c r="K398" s="316">
        <v>49377</v>
      </c>
      <c r="L398" s="271"/>
      <c r="M398" s="276"/>
      <c r="N398" s="290">
        <f t="shared" si="305"/>
        <v>0</v>
      </c>
      <c r="O398" s="276"/>
      <c r="P398" s="290">
        <f t="shared" si="305"/>
        <v>0</v>
      </c>
      <c r="Q398" s="276"/>
      <c r="R398" s="290"/>
      <c r="S398" s="276"/>
      <c r="T398" s="290"/>
      <c r="U398" s="276"/>
      <c r="V398" s="290">
        <f t="shared" si="306"/>
        <v>0</v>
      </c>
      <c r="W398" s="276"/>
      <c r="X398" s="290">
        <f t="shared" ref="X398:X399" si="309">ROUNDDOWN(W398*$I398,0)</f>
        <v>0</v>
      </c>
      <c r="Y398" s="271">
        <f t="shared" ref="Y398:Y399" si="310">M398+O398+Q398</f>
        <v>0</v>
      </c>
      <c r="Z398" s="290">
        <f t="shared" ref="Z398:Z460" si="311">N398+P398</f>
        <v>0</v>
      </c>
    </row>
    <row r="399" spans="1:26" ht="19.8" customHeight="1" x14ac:dyDescent="0.6">
      <c r="B399" s="268">
        <v>9</v>
      </c>
      <c r="C399" s="261" t="s">
        <v>610</v>
      </c>
      <c r="D399" s="303" t="s">
        <v>330</v>
      </c>
      <c r="E399" s="276" t="s">
        <v>57</v>
      </c>
      <c r="G399" s="290"/>
      <c r="I399" s="290">
        <v>1240.5899999999999</v>
      </c>
      <c r="J399" s="298">
        <f t="shared" si="308"/>
        <v>37217</v>
      </c>
      <c r="K399" s="316">
        <v>37217</v>
      </c>
      <c r="L399" s="271"/>
      <c r="M399" s="276"/>
      <c r="N399" s="290">
        <f t="shared" si="305"/>
        <v>0</v>
      </c>
      <c r="O399" s="276"/>
      <c r="P399" s="290">
        <f t="shared" si="305"/>
        <v>0</v>
      </c>
      <c r="Q399" s="276"/>
      <c r="R399" s="290"/>
      <c r="S399" s="276"/>
      <c r="T399" s="290"/>
      <c r="U399" s="276"/>
      <c r="V399" s="290">
        <f t="shared" si="306"/>
        <v>0</v>
      </c>
      <c r="W399" s="276"/>
      <c r="X399" s="290">
        <f t="shared" si="309"/>
        <v>0</v>
      </c>
      <c r="Y399" s="271">
        <f t="shared" si="310"/>
        <v>0</v>
      </c>
      <c r="Z399" s="290">
        <f t="shared" si="311"/>
        <v>0</v>
      </c>
    </row>
    <row r="400" spans="1:26" ht="19.8" customHeight="1" x14ac:dyDescent="0.6">
      <c r="B400" s="268"/>
      <c r="C400" s="255" t="s">
        <v>235</v>
      </c>
      <c r="D400" s="303"/>
      <c r="E400" s="276"/>
      <c r="G400" s="290"/>
      <c r="I400" s="290"/>
      <c r="J400" s="298"/>
      <c r="K400" s="316"/>
      <c r="L400" s="271"/>
      <c r="M400" s="276"/>
      <c r="N400" s="290"/>
      <c r="O400" s="276"/>
      <c r="P400" s="290"/>
      <c r="Q400" s="276"/>
      <c r="R400" s="290"/>
      <c r="S400" s="276"/>
      <c r="T400" s="290"/>
      <c r="U400" s="276"/>
      <c r="V400" s="290"/>
      <c r="W400" s="276"/>
      <c r="X400" s="290"/>
      <c r="Y400" s="271">
        <f t="shared" ref="Y400:Y460" si="312">M400+O400</f>
        <v>0</v>
      </c>
      <c r="Z400" s="290">
        <f t="shared" si="311"/>
        <v>0</v>
      </c>
    </row>
    <row r="401" spans="2:26" ht="19.8" customHeight="1" x14ac:dyDescent="0.6">
      <c r="B401" s="268">
        <v>10</v>
      </c>
      <c r="C401" s="255" t="s">
        <v>106</v>
      </c>
      <c r="D401" s="303"/>
      <c r="E401" s="276"/>
      <c r="G401" s="290"/>
      <c r="I401" s="290"/>
      <c r="J401" s="298"/>
      <c r="K401" s="316"/>
      <c r="L401" s="271"/>
      <c r="M401" s="276"/>
      <c r="N401" s="290"/>
      <c r="O401" s="276"/>
      <c r="P401" s="290"/>
      <c r="Q401" s="276"/>
      <c r="R401" s="290"/>
      <c r="S401" s="276"/>
      <c r="T401" s="290"/>
      <c r="U401" s="276"/>
      <c r="V401" s="290"/>
      <c r="W401" s="276"/>
      <c r="X401" s="290"/>
      <c r="Y401" s="271">
        <f t="shared" si="312"/>
        <v>0</v>
      </c>
      <c r="Z401" s="290">
        <f t="shared" si="311"/>
        <v>0</v>
      </c>
    </row>
    <row r="402" spans="2:26" ht="19.8" customHeight="1" x14ac:dyDescent="0.6">
      <c r="B402" s="268"/>
      <c r="C402" s="261" t="s">
        <v>397</v>
      </c>
      <c r="D402" s="303" t="s">
        <v>612</v>
      </c>
      <c r="E402" s="276" t="s">
        <v>57</v>
      </c>
      <c r="G402" s="290"/>
      <c r="I402" s="290">
        <v>810.21</v>
      </c>
      <c r="J402" s="298">
        <f t="shared" ref="J402:J410" si="313">IF(G402="-","-",IF(D402&gt;0,ROUNDDOWN(I402*D402,0),""))</f>
        <v>891231</v>
      </c>
      <c r="K402" s="316">
        <v>891231</v>
      </c>
      <c r="L402" s="271"/>
      <c r="M402" s="276"/>
      <c r="N402" s="290">
        <f t="shared" ref="N402:P410" si="314">ROUNDDOWN(M402*$I402,0)</f>
        <v>0</v>
      </c>
      <c r="O402" s="276"/>
      <c r="P402" s="290">
        <f t="shared" si="314"/>
        <v>0</v>
      </c>
      <c r="Q402" s="276"/>
      <c r="R402" s="290"/>
      <c r="S402" s="276"/>
      <c r="T402" s="290"/>
      <c r="U402" s="276"/>
      <c r="V402" s="290">
        <f t="shared" ref="V402:V410" si="315">ROUNDDOWN(U402*$I402,0)</f>
        <v>0</v>
      </c>
      <c r="W402" s="276"/>
      <c r="X402" s="290">
        <f t="shared" ref="X402:X410" si="316">ROUNDDOWN(W402*$I402,0)</f>
        <v>0</v>
      </c>
      <c r="Y402" s="271">
        <f t="shared" si="312"/>
        <v>0</v>
      </c>
      <c r="Z402" s="290">
        <f t="shared" si="311"/>
        <v>0</v>
      </c>
    </row>
    <row r="403" spans="2:26" ht="19.8" customHeight="1" x14ac:dyDescent="0.6">
      <c r="B403" s="268"/>
      <c r="C403" s="261" t="s">
        <v>611</v>
      </c>
      <c r="D403" s="303" t="s">
        <v>544</v>
      </c>
      <c r="E403" s="276" t="s">
        <v>58</v>
      </c>
      <c r="G403" s="290"/>
      <c r="I403" s="290">
        <v>4483.2299999999996</v>
      </c>
      <c r="J403" s="298">
        <f t="shared" si="313"/>
        <v>121047</v>
      </c>
      <c r="K403" s="316">
        <v>121047</v>
      </c>
      <c r="L403" s="271"/>
      <c r="M403" s="276"/>
      <c r="N403" s="290">
        <f t="shared" si="314"/>
        <v>0</v>
      </c>
      <c r="O403" s="276"/>
      <c r="P403" s="290">
        <f t="shared" si="314"/>
        <v>0</v>
      </c>
      <c r="Q403" s="276"/>
      <c r="R403" s="290"/>
      <c r="S403" s="276"/>
      <c r="T403" s="290"/>
      <c r="U403" s="276"/>
      <c r="V403" s="290">
        <f t="shared" si="315"/>
        <v>0</v>
      </c>
      <c r="W403" s="276"/>
      <c r="X403" s="290">
        <f t="shared" si="316"/>
        <v>0</v>
      </c>
      <c r="Y403" s="271">
        <f t="shared" si="312"/>
        <v>0</v>
      </c>
      <c r="Z403" s="290">
        <f t="shared" si="311"/>
        <v>0</v>
      </c>
    </row>
    <row r="404" spans="2:26" ht="19.8" customHeight="1" x14ac:dyDescent="0.6">
      <c r="B404" s="268">
        <v>11</v>
      </c>
      <c r="C404" s="255" t="s">
        <v>516</v>
      </c>
      <c r="D404" s="303" t="s">
        <v>410</v>
      </c>
      <c r="E404" s="276" t="s">
        <v>73</v>
      </c>
      <c r="G404" s="290"/>
      <c r="I404" s="290">
        <v>644063.1</v>
      </c>
      <c r="J404" s="298">
        <f t="shared" si="313"/>
        <v>1288126</v>
      </c>
      <c r="K404" s="316">
        <v>1288126</v>
      </c>
      <c r="L404" s="271"/>
      <c r="M404" s="276"/>
      <c r="N404" s="290">
        <f t="shared" si="314"/>
        <v>0</v>
      </c>
      <c r="O404" s="276"/>
      <c r="P404" s="290">
        <f t="shared" si="314"/>
        <v>0</v>
      </c>
      <c r="Q404" s="276"/>
      <c r="R404" s="290"/>
      <c r="S404" s="276"/>
      <c r="T404" s="290"/>
      <c r="U404" s="276"/>
      <c r="V404" s="290">
        <f t="shared" si="315"/>
        <v>0</v>
      </c>
      <c r="W404" s="276"/>
      <c r="X404" s="290">
        <f t="shared" si="316"/>
        <v>0</v>
      </c>
      <c r="Y404" s="271">
        <f t="shared" si="312"/>
        <v>0</v>
      </c>
      <c r="Z404" s="290">
        <f t="shared" si="311"/>
        <v>0</v>
      </c>
    </row>
    <row r="405" spans="2:26" ht="19.8" customHeight="1" x14ac:dyDescent="0.6">
      <c r="B405" s="268">
        <v>12</v>
      </c>
      <c r="C405" s="255" t="s">
        <v>247</v>
      </c>
      <c r="D405" s="303" t="s">
        <v>613</v>
      </c>
      <c r="E405" s="276" t="s">
        <v>55</v>
      </c>
      <c r="G405" s="290"/>
      <c r="I405" s="290">
        <v>324.95</v>
      </c>
      <c r="J405" s="298">
        <f t="shared" si="313"/>
        <v>640151</v>
      </c>
      <c r="K405" s="316">
        <v>640151</v>
      </c>
      <c r="L405" s="271"/>
      <c r="M405" s="276"/>
      <c r="N405" s="290">
        <f t="shared" si="314"/>
        <v>0</v>
      </c>
      <c r="O405" s="276"/>
      <c r="P405" s="290">
        <f t="shared" si="314"/>
        <v>0</v>
      </c>
      <c r="Q405" s="276"/>
      <c r="R405" s="290"/>
      <c r="S405" s="276"/>
      <c r="T405" s="290"/>
      <c r="U405" s="276"/>
      <c r="V405" s="290">
        <f t="shared" si="315"/>
        <v>0</v>
      </c>
      <c r="W405" s="276"/>
      <c r="X405" s="290">
        <f t="shared" si="316"/>
        <v>0</v>
      </c>
      <c r="Y405" s="271">
        <f t="shared" si="312"/>
        <v>0</v>
      </c>
      <c r="Z405" s="290">
        <f t="shared" si="311"/>
        <v>0</v>
      </c>
    </row>
    <row r="406" spans="2:26" ht="19.8" customHeight="1" x14ac:dyDescent="0.6">
      <c r="B406" s="268">
        <v>16</v>
      </c>
      <c r="C406" s="255" t="s">
        <v>614</v>
      </c>
      <c r="D406" s="303" t="s">
        <v>839</v>
      </c>
      <c r="E406" s="276" t="s">
        <v>55</v>
      </c>
      <c r="G406" s="290"/>
      <c r="I406" s="290">
        <v>303.06</v>
      </c>
      <c r="J406" s="298">
        <f t="shared" si="313"/>
        <v>197595</v>
      </c>
      <c r="K406" s="316">
        <v>197595</v>
      </c>
      <c r="L406" s="271"/>
      <c r="M406" s="276"/>
      <c r="N406" s="290">
        <f t="shared" si="314"/>
        <v>0</v>
      </c>
      <c r="O406" s="276"/>
      <c r="P406" s="290">
        <f t="shared" si="314"/>
        <v>0</v>
      </c>
      <c r="Q406" s="276"/>
      <c r="R406" s="290"/>
      <c r="S406" s="276"/>
      <c r="T406" s="290"/>
      <c r="U406" s="276"/>
      <c r="V406" s="290">
        <f t="shared" si="315"/>
        <v>0</v>
      </c>
      <c r="W406" s="276"/>
      <c r="X406" s="290">
        <f t="shared" si="316"/>
        <v>0</v>
      </c>
      <c r="Y406" s="271">
        <f t="shared" si="312"/>
        <v>0</v>
      </c>
      <c r="Z406" s="290">
        <f t="shared" si="311"/>
        <v>0</v>
      </c>
    </row>
    <row r="407" spans="2:26" ht="19.8" customHeight="1" x14ac:dyDescent="0.6">
      <c r="B407" s="268">
        <v>18</v>
      </c>
      <c r="C407" s="255" t="s">
        <v>252</v>
      </c>
      <c r="D407" s="303" t="s">
        <v>615</v>
      </c>
      <c r="E407" s="276" t="s">
        <v>57</v>
      </c>
      <c r="G407" s="290"/>
      <c r="I407" s="290">
        <v>4192.8</v>
      </c>
      <c r="J407" s="298">
        <f t="shared" si="313"/>
        <v>750511</v>
      </c>
      <c r="K407" s="316">
        <v>750511</v>
      </c>
      <c r="L407" s="271"/>
      <c r="M407" s="276"/>
      <c r="N407" s="290">
        <f t="shared" si="314"/>
        <v>0</v>
      </c>
      <c r="O407" s="276"/>
      <c r="P407" s="290">
        <f t="shared" si="314"/>
        <v>0</v>
      </c>
      <c r="Q407" s="276"/>
      <c r="R407" s="290"/>
      <c r="S407" s="276"/>
      <c r="T407" s="290"/>
      <c r="U407" s="276"/>
      <c r="V407" s="290">
        <f t="shared" si="315"/>
        <v>0</v>
      </c>
      <c r="W407" s="276"/>
      <c r="X407" s="290">
        <f t="shared" si="316"/>
        <v>0</v>
      </c>
      <c r="Y407" s="271">
        <f t="shared" si="312"/>
        <v>0</v>
      </c>
      <c r="Z407" s="290">
        <f t="shared" si="311"/>
        <v>0</v>
      </c>
    </row>
    <row r="408" spans="2:26" ht="19.8" customHeight="1" x14ac:dyDescent="0.6">
      <c r="B408" s="268">
        <v>19</v>
      </c>
      <c r="C408" s="255" t="s">
        <v>616</v>
      </c>
      <c r="D408" s="303" t="s">
        <v>617</v>
      </c>
      <c r="E408" s="276" t="s">
        <v>57</v>
      </c>
      <c r="G408" s="290"/>
      <c r="I408" s="290">
        <v>745.67</v>
      </c>
      <c r="J408" s="298">
        <f t="shared" si="313"/>
        <v>973845</v>
      </c>
      <c r="K408" s="316">
        <v>973845</v>
      </c>
      <c r="L408" s="271"/>
      <c r="M408" s="276"/>
      <c r="N408" s="290">
        <f t="shared" si="314"/>
        <v>0</v>
      </c>
      <c r="O408" s="276"/>
      <c r="P408" s="290">
        <f t="shared" si="314"/>
        <v>0</v>
      </c>
      <c r="Q408" s="276"/>
      <c r="R408" s="290"/>
      <c r="S408" s="276"/>
      <c r="T408" s="290"/>
      <c r="U408" s="276"/>
      <c r="V408" s="290">
        <f t="shared" si="315"/>
        <v>0</v>
      </c>
      <c r="W408" s="276"/>
      <c r="X408" s="290">
        <f t="shared" si="316"/>
        <v>0</v>
      </c>
      <c r="Y408" s="271">
        <f t="shared" si="312"/>
        <v>0</v>
      </c>
      <c r="Z408" s="290">
        <f t="shared" si="311"/>
        <v>0</v>
      </c>
    </row>
    <row r="409" spans="2:26" ht="19.8" customHeight="1" x14ac:dyDescent="0.6">
      <c r="B409" s="268">
        <v>20</v>
      </c>
      <c r="C409" s="255" t="s">
        <v>254</v>
      </c>
      <c r="D409" s="303" t="s">
        <v>618</v>
      </c>
      <c r="E409" s="276" t="s">
        <v>57</v>
      </c>
      <c r="G409" s="290"/>
      <c r="I409" s="290">
        <v>433.34</v>
      </c>
      <c r="J409" s="298">
        <f t="shared" si="313"/>
        <v>152102</v>
      </c>
      <c r="K409" s="316">
        <v>152102</v>
      </c>
      <c r="L409" s="271"/>
      <c r="M409" s="276"/>
      <c r="N409" s="290">
        <f t="shared" si="314"/>
        <v>0</v>
      </c>
      <c r="O409" s="276"/>
      <c r="P409" s="290">
        <f t="shared" si="314"/>
        <v>0</v>
      </c>
      <c r="Q409" s="276"/>
      <c r="R409" s="290"/>
      <c r="S409" s="276"/>
      <c r="T409" s="290"/>
      <c r="U409" s="276"/>
      <c r="V409" s="290">
        <f t="shared" si="315"/>
        <v>0</v>
      </c>
      <c r="W409" s="276"/>
      <c r="X409" s="290">
        <f t="shared" si="316"/>
        <v>0</v>
      </c>
      <c r="Y409" s="271">
        <f t="shared" si="312"/>
        <v>0</v>
      </c>
      <c r="Z409" s="290">
        <f t="shared" si="311"/>
        <v>0</v>
      </c>
    </row>
    <row r="410" spans="2:26" ht="19.8" customHeight="1" x14ac:dyDescent="0.6">
      <c r="B410" s="268">
        <v>21</v>
      </c>
      <c r="C410" s="255" t="s">
        <v>620</v>
      </c>
      <c r="D410" s="303" t="s">
        <v>619</v>
      </c>
      <c r="E410" s="276" t="s">
        <v>54</v>
      </c>
      <c r="G410" s="290"/>
      <c r="I410" s="290">
        <v>368.8</v>
      </c>
      <c r="J410" s="298">
        <f t="shared" si="313"/>
        <v>468744</v>
      </c>
      <c r="K410" s="316">
        <v>468744</v>
      </c>
      <c r="L410" s="271"/>
      <c r="M410" s="276"/>
      <c r="N410" s="290">
        <f t="shared" si="314"/>
        <v>0</v>
      </c>
      <c r="O410" s="276"/>
      <c r="P410" s="290">
        <f t="shared" si="314"/>
        <v>0</v>
      </c>
      <c r="Q410" s="276"/>
      <c r="R410" s="290"/>
      <c r="S410" s="276"/>
      <c r="T410" s="290"/>
      <c r="U410" s="276"/>
      <c r="V410" s="290">
        <f t="shared" si="315"/>
        <v>0</v>
      </c>
      <c r="W410" s="276"/>
      <c r="X410" s="290">
        <f t="shared" si="316"/>
        <v>0</v>
      </c>
      <c r="Y410" s="271">
        <f t="shared" si="312"/>
        <v>0</v>
      </c>
      <c r="Z410" s="290">
        <f t="shared" si="311"/>
        <v>0</v>
      </c>
    </row>
    <row r="411" spans="2:26" ht="19.8" customHeight="1" x14ac:dyDescent="0.6">
      <c r="B411" s="268"/>
      <c r="C411" s="255" t="s">
        <v>226</v>
      </c>
      <c r="D411" s="303"/>
      <c r="E411" s="276"/>
      <c r="G411" s="290"/>
      <c r="I411" s="290"/>
      <c r="J411" s="298"/>
      <c r="K411" s="316"/>
      <c r="L411" s="271"/>
      <c r="M411" s="276"/>
      <c r="N411" s="290"/>
      <c r="O411" s="276"/>
      <c r="P411" s="290"/>
      <c r="Q411" s="276"/>
      <c r="R411" s="290"/>
      <c r="S411" s="276"/>
      <c r="T411" s="290"/>
      <c r="U411" s="276"/>
      <c r="V411" s="290"/>
      <c r="W411" s="276"/>
      <c r="X411" s="290"/>
      <c r="Y411" s="271">
        <f t="shared" si="312"/>
        <v>0</v>
      </c>
      <c r="Z411" s="290">
        <f t="shared" si="311"/>
        <v>0</v>
      </c>
    </row>
    <row r="412" spans="2:26" ht="19.8" customHeight="1" x14ac:dyDescent="0.6">
      <c r="B412" s="268">
        <v>22</v>
      </c>
      <c r="C412" s="255" t="s">
        <v>256</v>
      </c>
      <c r="D412" s="303" t="s">
        <v>619</v>
      </c>
      <c r="E412" s="276" t="s">
        <v>54</v>
      </c>
      <c r="G412" s="290"/>
      <c r="I412" s="290">
        <v>1286.19</v>
      </c>
      <c r="J412" s="298">
        <f t="shared" ref="J412" si="317">IF(G412="-","-",IF(D412&gt;0,ROUNDDOWN(I412*D412,0),""))</f>
        <v>1634747</v>
      </c>
      <c r="K412" s="316">
        <v>1634747</v>
      </c>
      <c r="L412" s="271"/>
      <c r="M412" s="276"/>
      <c r="N412" s="290">
        <f t="shared" ref="N412:P412" si="318">ROUNDDOWN(M412*$I412,0)</f>
        <v>0</v>
      </c>
      <c r="O412" s="276"/>
      <c r="P412" s="290">
        <f t="shared" si="318"/>
        <v>0</v>
      </c>
      <c r="Q412" s="276"/>
      <c r="R412" s="290"/>
      <c r="S412" s="276"/>
      <c r="T412" s="290"/>
      <c r="U412" s="276"/>
      <c r="V412" s="290">
        <f t="shared" ref="V412" si="319">ROUNDDOWN(U412*$I412,0)</f>
        <v>0</v>
      </c>
      <c r="W412" s="276"/>
      <c r="X412" s="290">
        <f t="shared" ref="X412" si="320">ROUNDDOWN(W412*$I412,0)</f>
        <v>0</v>
      </c>
      <c r="Y412" s="271">
        <f t="shared" si="312"/>
        <v>0</v>
      </c>
      <c r="Z412" s="290">
        <f t="shared" si="311"/>
        <v>0</v>
      </c>
    </row>
    <row r="413" spans="2:26" ht="19.8" customHeight="1" x14ac:dyDescent="0.6">
      <c r="B413" s="268">
        <v>23</v>
      </c>
      <c r="C413" s="255" t="s">
        <v>59</v>
      </c>
      <c r="D413" s="303"/>
      <c r="E413" s="276"/>
      <c r="G413" s="290"/>
      <c r="I413" s="290"/>
      <c r="J413" s="298"/>
      <c r="K413" s="316"/>
      <c r="L413" s="271"/>
      <c r="M413" s="276"/>
      <c r="N413" s="290"/>
      <c r="O413" s="276"/>
      <c r="P413" s="290"/>
      <c r="Q413" s="276"/>
      <c r="R413" s="290"/>
      <c r="S413" s="276"/>
      <c r="T413" s="290"/>
      <c r="U413" s="276"/>
      <c r="V413" s="290"/>
      <c r="W413" s="276"/>
      <c r="X413" s="290"/>
      <c r="Y413" s="271">
        <f t="shared" si="312"/>
        <v>0</v>
      </c>
      <c r="Z413" s="290">
        <f t="shared" si="311"/>
        <v>0</v>
      </c>
    </row>
    <row r="414" spans="2:26" ht="19.8" customHeight="1" x14ac:dyDescent="0.6">
      <c r="B414" s="268"/>
      <c r="C414" s="259" t="s">
        <v>621</v>
      </c>
      <c r="D414" s="303"/>
      <c r="E414" s="276"/>
      <c r="G414" s="290"/>
      <c r="I414" s="290"/>
      <c r="J414" s="298"/>
      <c r="K414" s="316"/>
      <c r="L414" s="271"/>
      <c r="M414" s="276"/>
      <c r="N414" s="290"/>
      <c r="O414" s="276"/>
      <c r="P414" s="290"/>
      <c r="Q414" s="276"/>
      <c r="R414" s="290"/>
      <c r="S414" s="276"/>
      <c r="T414" s="290"/>
      <c r="U414" s="276"/>
      <c r="V414" s="290"/>
      <c r="W414" s="276"/>
      <c r="X414" s="290"/>
      <c r="Y414" s="271">
        <f t="shared" si="312"/>
        <v>0</v>
      </c>
      <c r="Z414" s="290">
        <f t="shared" si="311"/>
        <v>0</v>
      </c>
    </row>
    <row r="415" spans="2:26" ht="19.8" customHeight="1" x14ac:dyDescent="0.6">
      <c r="B415" s="268">
        <v>24</v>
      </c>
      <c r="C415" s="255" t="s">
        <v>259</v>
      </c>
      <c r="D415" s="303" t="s">
        <v>637</v>
      </c>
      <c r="E415" s="276" t="s">
        <v>54</v>
      </c>
      <c r="G415" s="290"/>
      <c r="I415" s="290">
        <v>108.36</v>
      </c>
      <c r="J415" s="298">
        <f t="shared" ref="J415:J427" si="321">IF(G415="-","-",IF(D415&gt;0,ROUNDDOWN(I415*D415,0),""))</f>
        <v>49303</v>
      </c>
      <c r="K415" s="316">
        <v>49303</v>
      </c>
      <c r="L415" s="271"/>
      <c r="M415" s="276"/>
      <c r="N415" s="290">
        <f t="shared" ref="N415:P427" si="322">ROUNDDOWN(M415*$I415,0)</f>
        <v>0</v>
      </c>
      <c r="O415" s="276"/>
      <c r="P415" s="290">
        <f t="shared" si="322"/>
        <v>0</v>
      </c>
      <c r="Q415" s="276"/>
      <c r="R415" s="290"/>
      <c r="S415" s="276"/>
      <c r="T415" s="290"/>
      <c r="U415" s="276"/>
      <c r="V415" s="290">
        <f t="shared" ref="V415:V427" si="323">ROUNDDOWN(U415*$I415,0)</f>
        <v>0</v>
      </c>
      <c r="W415" s="276"/>
      <c r="X415" s="290">
        <f t="shared" ref="X415:X427" si="324">ROUNDDOWN(W415*$I415,0)</f>
        <v>0</v>
      </c>
      <c r="Y415" s="271">
        <f t="shared" si="312"/>
        <v>0</v>
      </c>
      <c r="Z415" s="290">
        <f t="shared" si="311"/>
        <v>0</v>
      </c>
    </row>
    <row r="416" spans="2:26" ht="19.8" customHeight="1" x14ac:dyDescent="0.6">
      <c r="B416" s="268">
        <v>25</v>
      </c>
      <c r="C416" s="255" t="s">
        <v>243</v>
      </c>
      <c r="D416" s="303" t="s">
        <v>638</v>
      </c>
      <c r="E416" s="276" t="s">
        <v>55</v>
      </c>
      <c r="G416" s="290"/>
      <c r="I416" s="290">
        <v>617.54</v>
      </c>
      <c r="J416" s="298">
        <f t="shared" si="321"/>
        <v>24084</v>
      </c>
      <c r="K416" s="316">
        <v>24084</v>
      </c>
      <c r="L416" s="271"/>
      <c r="M416" s="276"/>
      <c r="N416" s="290">
        <f t="shared" si="322"/>
        <v>0</v>
      </c>
      <c r="O416" s="276"/>
      <c r="P416" s="290">
        <f t="shared" si="322"/>
        <v>0</v>
      </c>
      <c r="Q416" s="276"/>
      <c r="R416" s="290"/>
      <c r="S416" s="276"/>
      <c r="T416" s="290"/>
      <c r="U416" s="276"/>
      <c r="V416" s="290">
        <f t="shared" si="323"/>
        <v>0</v>
      </c>
      <c r="W416" s="276"/>
      <c r="X416" s="290">
        <f t="shared" si="324"/>
        <v>0</v>
      </c>
      <c r="Y416" s="271">
        <f t="shared" si="312"/>
        <v>0</v>
      </c>
      <c r="Z416" s="290">
        <f t="shared" si="311"/>
        <v>0</v>
      </c>
    </row>
    <row r="417" spans="2:26" ht="19.8" customHeight="1" x14ac:dyDescent="0.6">
      <c r="B417" s="268">
        <v>26</v>
      </c>
      <c r="C417" s="255" t="s">
        <v>622</v>
      </c>
      <c r="D417" s="303" t="s">
        <v>639</v>
      </c>
      <c r="E417" s="276" t="s">
        <v>54</v>
      </c>
      <c r="G417" s="290"/>
      <c r="I417" s="290">
        <v>447.01</v>
      </c>
      <c r="J417" s="298">
        <f t="shared" si="321"/>
        <v>173439</v>
      </c>
      <c r="K417" s="316">
        <v>173439</v>
      </c>
      <c r="L417" s="271"/>
      <c r="M417" s="276"/>
      <c r="N417" s="290">
        <f t="shared" si="322"/>
        <v>0</v>
      </c>
      <c r="O417" s="276"/>
      <c r="P417" s="290">
        <f t="shared" si="322"/>
        <v>0</v>
      </c>
      <c r="Q417" s="276"/>
      <c r="R417" s="290"/>
      <c r="S417" s="276"/>
      <c r="T417" s="290"/>
      <c r="U417" s="276"/>
      <c r="V417" s="290">
        <f t="shared" si="323"/>
        <v>0</v>
      </c>
      <c r="W417" s="276"/>
      <c r="X417" s="290">
        <f t="shared" si="324"/>
        <v>0</v>
      </c>
      <c r="Y417" s="271">
        <f t="shared" si="312"/>
        <v>0</v>
      </c>
      <c r="Z417" s="290">
        <f t="shared" si="311"/>
        <v>0</v>
      </c>
    </row>
    <row r="418" spans="2:26" ht="19.8" customHeight="1" x14ac:dyDescent="0.6">
      <c r="B418" s="268">
        <v>27</v>
      </c>
      <c r="C418" s="255" t="s">
        <v>623</v>
      </c>
      <c r="D418" s="303" t="s">
        <v>640</v>
      </c>
      <c r="E418" s="276" t="s">
        <v>57</v>
      </c>
      <c r="G418" s="290"/>
      <c r="I418" s="290">
        <v>277.14</v>
      </c>
      <c r="J418" s="298">
        <f t="shared" si="321"/>
        <v>1197</v>
      </c>
      <c r="K418" s="316">
        <v>1197</v>
      </c>
      <c r="L418" s="271"/>
      <c r="M418" s="276"/>
      <c r="N418" s="290">
        <f t="shared" si="322"/>
        <v>0</v>
      </c>
      <c r="O418" s="276"/>
      <c r="P418" s="290">
        <f t="shared" si="322"/>
        <v>0</v>
      </c>
      <c r="Q418" s="276"/>
      <c r="R418" s="290"/>
      <c r="S418" s="276"/>
      <c r="T418" s="290"/>
      <c r="U418" s="276"/>
      <c r="V418" s="290">
        <f t="shared" si="323"/>
        <v>0</v>
      </c>
      <c r="W418" s="276"/>
      <c r="X418" s="290">
        <f t="shared" si="324"/>
        <v>0</v>
      </c>
      <c r="Y418" s="271">
        <f t="shared" si="312"/>
        <v>0</v>
      </c>
      <c r="Z418" s="290">
        <f t="shared" si="311"/>
        <v>0</v>
      </c>
    </row>
    <row r="419" spans="2:26" ht="19.8" customHeight="1" x14ac:dyDescent="0.6">
      <c r="B419" s="268">
        <v>28</v>
      </c>
      <c r="C419" s="255" t="s">
        <v>624</v>
      </c>
      <c r="D419" s="303" t="s">
        <v>641</v>
      </c>
      <c r="E419" s="276" t="s">
        <v>57</v>
      </c>
      <c r="G419" s="290"/>
      <c r="I419" s="290">
        <v>181.83</v>
      </c>
      <c r="J419" s="298">
        <f t="shared" si="321"/>
        <v>6676</v>
      </c>
      <c r="K419" s="316">
        <v>6676</v>
      </c>
      <c r="L419" s="271"/>
      <c r="M419" s="276"/>
      <c r="N419" s="290">
        <f t="shared" si="322"/>
        <v>0</v>
      </c>
      <c r="O419" s="276"/>
      <c r="P419" s="290">
        <f t="shared" si="322"/>
        <v>0</v>
      </c>
      <c r="Q419" s="276"/>
      <c r="R419" s="290"/>
      <c r="S419" s="276"/>
      <c r="T419" s="290"/>
      <c r="U419" s="276"/>
      <c r="V419" s="290">
        <f t="shared" si="323"/>
        <v>0</v>
      </c>
      <c r="W419" s="276"/>
      <c r="X419" s="290">
        <f t="shared" si="324"/>
        <v>0</v>
      </c>
      <c r="Y419" s="271">
        <f t="shared" si="312"/>
        <v>0</v>
      </c>
      <c r="Z419" s="290">
        <f>N419+P419</f>
        <v>0</v>
      </c>
    </row>
    <row r="420" spans="2:26" ht="19.8" customHeight="1" x14ac:dyDescent="0.6">
      <c r="B420" s="268">
        <v>29</v>
      </c>
      <c r="C420" s="255" t="s">
        <v>625</v>
      </c>
      <c r="D420" s="303" t="s">
        <v>642</v>
      </c>
      <c r="E420" s="276" t="s">
        <v>57</v>
      </c>
      <c r="G420" s="290"/>
      <c r="I420" s="290">
        <v>63.47</v>
      </c>
      <c r="J420" s="298">
        <f t="shared" si="321"/>
        <v>12389</v>
      </c>
      <c r="K420" s="316">
        <v>12389</v>
      </c>
      <c r="L420" s="271"/>
      <c r="M420" s="276"/>
      <c r="N420" s="290">
        <f t="shared" si="322"/>
        <v>0</v>
      </c>
      <c r="O420" s="276"/>
      <c r="P420" s="290">
        <f t="shared" si="322"/>
        <v>0</v>
      </c>
      <c r="Q420" s="276"/>
      <c r="R420" s="290"/>
      <c r="S420" s="276"/>
      <c r="T420" s="290"/>
      <c r="U420" s="276"/>
      <c r="V420" s="290">
        <f t="shared" si="323"/>
        <v>0</v>
      </c>
      <c r="W420" s="276"/>
      <c r="X420" s="290">
        <f t="shared" si="324"/>
        <v>0</v>
      </c>
      <c r="Y420" s="271">
        <f t="shared" si="312"/>
        <v>0</v>
      </c>
      <c r="Z420" s="290">
        <f t="shared" si="311"/>
        <v>0</v>
      </c>
    </row>
    <row r="421" spans="2:26" ht="19.8" customHeight="1" x14ac:dyDescent="0.6">
      <c r="B421" s="268">
        <v>30</v>
      </c>
      <c r="C421" s="255" t="s">
        <v>630</v>
      </c>
      <c r="D421" s="303" t="s">
        <v>636</v>
      </c>
      <c r="E421" s="276" t="s">
        <v>54</v>
      </c>
      <c r="G421" s="290"/>
      <c r="I421" s="290">
        <v>16.96</v>
      </c>
      <c r="J421" s="298">
        <f t="shared" si="321"/>
        <v>167106</v>
      </c>
      <c r="K421" s="316">
        <v>167106</v>
      </c>
      <c r="L421" s="271"/>
      <c r="M421" s="276"/>
      <c r="N421" s="290">
        <f t="shared" si="322"/>
        <v>0</v>
      </c>
      <c r="O421" s="276"/>
      <c r="P421" s="290">
        <f t="shared" si="322"/>
        <v>0</v>
      </c>
      <c r="Q421" s="276"/>
      <c r="R421" s="290"/>
      <c r="S421" s="276"/>
      <c r="T421" s="290"/>
      <c r="U421" s="276"/>
      <c r="V421" s="290">
        <f t="shared" si="323"/>
        <v>0</v>
      </c>
      <c r="W421" s="276"/>
      <c r="X421" s="290">
        <f t="shared" si="324"/>
        <v>0</v>
      </c>
      <c r="Y421" s="271">
        <f t="shared" si="312"/>
        <v>0</v>
      </c>
      <c r="Z421" s="290">
        <f t="shared" si="311"/>
        <v>0</v>
      </c>
    </row>
    <row r="422" spans="2:26" ht="19.8" customHeight="1" x14ac:dyDescent="0.6">
      <c r="B422" s="268">
        <v>31</v>
      </c>
      <c r="C422" s="255" t="s">
        <v>631</v>
      </c>
      <c r="D422" s="303" t="s">
        <v>636</v>
      </c>
      <c r="E422" s="276" t="s">
        <v>54</v>
      </c>
      <c r="G422" s="290"/>
      <c r="I422" s="290">
        <v>293.86</v>
      </c>
      <c r="J422" s="298">
        <f t="shared" si="321"/>
        <v>2895402</v>
      </c>
      <c r="K422" s="316">
        <v>2895402</v>
      </c>
      <c r="L422" s="271"/>
      <c r="M422" s="276"/>
      <c r="N422" s="290">
        <f t="shared" si="322"/>
        <v>0</v>
      </c>
      <c r="O422" s="276"/>
      <c r="P422" s="290">
        <f t="shared" si="322"/>
        <v>0</v>
      </c>
      <c r="Q422" s="276"/>
      <c r="R422" s="290"/>
      <c r="S422" s="276"/>
      <c r="T422" s="290"/>
      <c r="U422" s="276"/>
      <c r="V422" s="290">
        <f t="shared" si="323"/>
        <v>0</v>
      </c>
      <c r="W422" s="276"/>
      <c r="X422" s="290">
        <f t="shared" si="324"/>
        <v>0</v>
      </c>
      <c r="Y422" s="271">
        <f t="shared" si="312"/>
        <v>0</v>
      </c>
      <c r="Z422" s="290">
        <f t="shared" si="311"/>
        <v>0</v>
      </c>
    </row>
    <row r="423" spans="2:26" ht="19.8" customHeight="1" x14ac:dyDescent="0.6">
      <c r="B423" s="268">
        <v>32</v>
      </c>
      <c r="C423" s="255" t="s">
        <v>632</v>
      </c>
      <c r="D423" s="303" t="s">
        <v>635</v>
      </c>
      <c r="E423" s="276" t="s">
        <v>54</v>
      </c>
      <c r="G423" s="290"/>
      <c r="I423" s="290">
        <v>575.12</v>
      </c>
      <c r="J423" s="298">
        <f t="shared" si="321"/>
        <v>1155416</v>
      </c>
      <c r="K423" s="316">
        <v>1155416</v>
      </c>
      <c r="L423" s="271"/>
      <c r="M423" s="276"/>
      <c r="N423" s="290">
        <f t="shared" si="322"/>
        <v>0</v>
      </c>
      <c r="O423" s="276"/>
      <c r="P423" s="290">
        <f t="shared" si="322"/>
        <v>0</v>
      </c>
      <c r="Q423" s="276"/>
      <c r="R423" s="290"/>
      <c r="S423" s="276"/>
      <c r="T423" s="290"/>
      <c r="U423" s="276"/>
      <c r="V423" s="290">
        <f t="shared" si="323"/>
        <v>0</v>
      </c>
      <c r="W423" s="276"/>
      <c r="X423" s="290">
        <f t="shared" si="324"/>
        <v>0</v>
      </c>
      <c r="Y423" s="271">
        <f t="shared" si="312"/>
        <v>0</v>
      </c>
      <c r="Z423" s="290">
        <f t="shared" si="311"/>
        <v>0</v>
      </c>
    </row>
    <row r="424" spans="2:26" ht="19.8" customHeight="1" x14ac:dyDescent="0.6">
      <c r="B424" s="268">
        <v>33</v>
      </c>
      <c r="C424" s="255" t="s">
        <v>626</v>
      </c>
      <c r="D424" s="303" t="s">
        <v>635</v>
      </c>
      <c r="E424" s="276" t="s">
        <v>54</v>
      </c>
      <c r="G424" s="290"/>
      <c r="I424" s="290">
        <v>16.96</v>
      </c>
      <c r="J424" s="298">
        <f t="shared" si="321"/>
        <v>34072</v>
      </c>
      <c r="K424" s="316">
        <v>34072</v>
      </c>
      <c r="L424" s="271"/>
      <c r="M424" s="276"/>
      <c r="N424" s="290">
        <f t="shared" si="322"/>
        <v>0</v>
      </c>
      <c r="O424" s="276"/>
      <c r="P424" s="290">
        <f t="shared" si="322"/>
        <v>0</v>
      </c>
      <c r="Q424" s="276"/>
      <c r="R424" s="290"/>
      <c r="S424" s="276"/>
      <c r="T424" s="290"/>
      <c r="U424" s="276"/>
      <c r="V424" s="290">
        <f t="shared" si="323"/>
        <v>0</v>
      </c>
      <c r="W424" s="276"/>
      <c r="X424" s="290">
        <f t="shared" si="324"/>
        <v>0</v>
      </c>
      <c r="Y424" s="271">
        <f t="shared" si="312"/>
        <v>0</v>
      </c>
      <c r="Z424" s="290">
        <f t="shared" si="311"/>
        <v>0</v>
      </c>
    </row>
    <row r="425" spans="2:26" ht="19.8" customHeight="1" x14ac:dyDescent="0.6">
      <c r="B425" s="268">
        <v>34</v>
      </c>
      <c r="C425" s="255" t="s">
        <v>627</v>
      </c>
      <c r="D425" s="303" t="s">
        <v>635</v>
      </c>
      <c r="E425" s="276" t="s">
        <v>54</v>
      </c>
      <c r="G425" s="290"/>
      <c r="I425" s="290">
        <v>293.86</v>
      </c>
      <c r="J425" s="298">
        <f t="shared" si="321"/>
        <v>590364</v>
      </c>
      <c r="K425" s="316">
        <v>590364</v>
      </c>
      <c r="L425" s="271"/>
      <c r="M425" s="276"/>
      <c r="N425" s="290">
        <f t="shared" si="322"/>
        <v>0</v>
      </c>
      <c r="O425" s="276"/>
      <c r="P425" s="290">
        <f t="shared" si="322"/>
        <v>0</v>
      </c>
      <c r="Q425" s="276"/>
      <c r="R425" s="290"/>
      <c r="S425" s="276"/>
      <c r="T425" s="290"/>
      <c r="U425" s="276"/>
      <c r="V425" s="290">
        <f t="shared" si="323"/>
        <v>0</v>
      </c>
      <c r="W425" s="276"/>
      <c r="X425" s="290">
        <f t="shared" si="324"/>
        <v>0</v>
      </c>
      <c r="Y425" s="271">
        <f t="shared" si="312"/>
        <v>0</v>
      </c>
      <c r="Z425" s="290">
        <f t="shared" si="311"/>
        <v>0</v>
      </c>
    </row>
    <row r="426" spans="2:26" ht="19.8" customHeight="1" x14ac:dyDescent="0.6">
      <c r="B426" s="268">
        <v>35</v>
      </c>
      <c r="C426" s="255" t="s">
        <v>628</v>
      </c>
      <c r="D426" s="303" t="s">
        <v>634</v>
      </c>
      <c r="E426" s="276" t="s">
        <v>57</v>
      </c>
      <c r="G426" s="290"/>
      <c r="I426" s="290">
        <v>6327.23</v>
      </c>
      <c r="J426" s="298">
        <f t="shared" si="321"/>
        <v>1233809</v>
      </c>
      <c r="K426" s="316">
        <v>1233809</v>
      </c>
      <c r="L426" s="271"/>
      <c r="M426" s="276"/>
      <c r="N426" s="290">
        <f t="shared" si="322"/>
        <v>0</v>
      </c>
      <c r="O426" s="276"/>
      <c r="P426" s="290">
        <f t="shared" si="322"/>
        <v>0</v>
      </c>
      <c r="Q426" s="276"/>
      <c r="R426" s="290"/>
      <c r="S426" s="276"/>
      <c r="T426" s="290"/>
      <c r="U426" s="276"/>
      <c r="V426" s="290">
        <f t="shared" si="323"/>
        <v>0</v>
      </c>
      <c r="W426" s="276"/>
      <c r="X426" s="290">
        <f t="shared" si="324"/>
        <v>0</v>
      </c>
      <c r="Y426" s="271">
        <f t="shared" si="312"/>
        <v>0</v>
      </c>
      <c r="Z426" s="290">
        <f t="shared" si="311"/>
        <v>0</v>
      </c>
    </row>
    <row r="427" spans="2:26" ht="19.8" customHeight="1" x14ac:dyDescent="0.6">
      <c r="B427" s="268">
        <v>36</v>
      </c>
      <c r="C427" s="255" t="s">
        <v>629</v>
      </c>
      <c r="D427" s="303" t="s">
        <v>549</v>
      </c>
      <c r="E427" s="276" t="s">
        <v>58</v>
      </c>
      <c r="G427" s="290"/>
      <c r="I427" s="290">
        <v>69211.08</v>
      </c>
      <c r="J427" s="298">
        <f t="shared" si="321"/>
        <v>1522643</v>
      </c>
      <c r="K427" s="316">
        <v>1522643</v>
      </c>
      <c r="L427" s="271"/>
      <c r="M427" s="276"/>
      <c r="N427" s="290">
        <f t="shared" si="322"/>
        <v>0</v>
      </c>
      <c r="O427" s="276"/>
      <c r="P427" s="290">
        <f t="shared" si="322"/>
        <v>0</v>
      </c>
      <c r="Q427" s="276"/>
      <c r="R427" s="290"/>
      <c r="S427" s="276"/>
      <c r="T427" s="290"/>
      <c r="U427" s="276"/>
      <c r="V427" s="290">
        <f t="shared" si="323"/>
        <v>0</v>
      </c>
      <c r="W427" s="276"/>
      <c r="X427" s="290">
        <f t="shared" si="324"/>
        <v>0</v>
      </c>
      <c r="Y427" s="271">
        <f t="shared" si="312"/>
        <v>0</v>
      </c>
      <c r="Z427" s="290">
        <f t="shared" si="311"/>
        <v>0</v>
      </c>
    </row>
    <row r="428" spans="2:26" ht="19.8" customHeight="1" x14ac:dyDescent="0.6">
      <c r="B428" s="268"/>
      <c r="C428" s="255" t="s">
        <v>231</v>
      </c>
      <c r="D428" s="303"/>
      <c r="E428" s="276"/>
      <c r="G428" s="290"/>
      <c r="I428" s="290"/>
      <c r="J428" s="298"/>
      <c r="K428" s="316"/>
      <c r="L428" s="271"/>
      <c r="M428" s="276"/>
      <c r="N428" s="290"/>
      <c r="O428" s="276"/>
      <c r="P428" s="290"/>
      <c r="Q428" s="276"/>
      <c r="R428" s="290"/>
      <c r="S428" s="276"/>
      <c r="T428" s="290"/>
      <c r="U428" s="276"/>
      <c r="V428" s="290"/>
      <c r="W428" s="276"/>
      <c r="X428" s="290"/>
      <c r="Y428" s="271">
        <f t="shared" si="312"/>
        <v>0</v>
      </c>
      <c r="Z428" s="290">
        <f t="shared" si="311"/>
        <v>0</v>
      </c>
    </row>
    <row r="429" spans="2:26" ht="19.8" customHeight="1" x14ac:dyDescent="0.6">
      <c r="B429" s="268">
        <v>37</v>
      </c>
      <c r="C429" s="255" t="s">
        <v>633</v>
      </c>
      <c r="D429" s="303" t="s">
        <v>555</v>
      </c>
      <c r="E429" s="276" t="s">
        <v>57</v>
      </c>
      <c r="G429" s="290"/>
      <c r="I429" s="290">
        <v>3085.95</v>
      </c>
      <c r="J429" s="298">
        <f t="shared" ref="J429" si="325">IF(G429="-","-",IF(D429&gt;0,ROUNDDOWN(I429*D429,0),""))</f>
        <v>43203</v>
      </c>
      <c r="K429" s="316">
        <v>43203</v>
      </c>
      <c r="L429" s="271"/>
      <c r="M429" s="276"/>
      <c r="N429" s="290">
        <f t="shared" ref="N429:P429" si="326">ROUNDDOWN(M429*$I429,0)</f>
        <v>0</v>
      </c>
      <c r="O429" s="276"/>
      <c r="P429" s="290">
        <f t="shared" si="326"/>
        <v>0</v>
      </c>
      <c r="Q429" s="276"/>
      <c r="R429" s="290"/>
      <c r="S429" s="276"/>
      <c r="T429" s="290"/>
      <c r="U429" s="276"/>
      <c r="V429" s="290">
        <f t="shared" ref="V429" si="327">ROUNDDOWN(U429*$I429,0)</f>
        <v>0</v>
      </c>
      <c r="W429" s="276"/>
      <c r="X429" s="290">
        <f t="shared" ref="X429" si="328">ROUNDDOWN(W429*$I429,0)</f>
        <v>0</v>
      </c>
      <c r="Y429" s="271">
        <f t="shared" si="312"/>
        <v>0</v>
      </c>
      <c r="Z429" s="290">
        <f t="shared" si="311"/>
        <v>0</v>
      </c>
    </row>
    <row r="430" spans="2:26" ht="19.8" customHeight="1" x14ac:dyDescent="0.6">
      <c r="B430" s="268"/>
      <c r="D430" s="303"/>
      <c r="E430" s="276"/>
      <c r="G430" s="290"/>
      <c r="I430" s="290"/>
      <c r="J430" s="298"/>
      <c r="K430" s="316"/>
      <c r="L430" s="271"/>
      <c r="M430" s="276"/>
      <c r="N430" s="290"/>
      <c r="O430" s="276"/>
      <c r="P430" s="290"/>
      <c r="Q430" s="276"/>
      <c r="R430" s="290"/>
      <c r="S430" s="276"/>
      <c r="T430" s="290"/>
      <c r="U430" s="276"/>
      <c r="V430" s="290"/>
      <c r="W430" s="276"/>
      <c r="X430" s="290"/>
      <c r="Y430" s="271">
        <f t="shared" si="312"/>
        <v>0</v>
      </c>
      <c r="Z430" s="290">
        <f t="shared" si="311"/>
        <v>0</v>
      </c>
    </row>
    <row r="431" spans="2:26" ht="19.8" customHeight="1" x14ac:dyDescent="0.6">
      <c r="B431" s="826" t="s">
        <v>643</v>
      </c>
      <c r="C431" s="827"/>
      <c r="D431" s="294" t="s">
        <v>644</v>
      </c>
      <c r="E431" s="257" t="s">
        <v>57</v>
      </c>
      <c r="F431" s="296"/>
      <c r="G431" s="293"/>
      <c r="H431" s="297"/>
      <c r="I431" s="293"/>
      <c r="J431" s="299">
        <f>SUM(J389:J430)</f>
        <v>20579504</v>
      </c>
      <c r="K431" s="319">
        <v>20579504</v>
      </c>
      <c r="L431" s="262"/>
      <c r="M431" s="257"/>
      <c r="N431" s="293">
        <f>SUM(N389:N430)</f>
        <v>0</v>
      </c>
      <c r="O431" s="257"/>
      <c r="P431" s="293">
        <f>SUM(P389:P430)</f>
        <v>3340000</v>
      </c>
      <c r="Q431" s="257"/>
      <c r="R431" s="293">
        <f>SUM(R389:R430)</f>
        <v>0</v>
      </c>
      <c r="S431" s="257"/>
      <c r="T431" s="293">
        <f>SUM(T389:T430)</f>
        <v>0</v>
      </c>
      <c r="U431" s="257"/>
      <c r="V431" s="293">
        <f>SUM(V389:V430)</f>
        <v>3340000</v>
      </c>
      <c r="W431" s="257"/>
      <c r="X431" s="293">
        <f>SUM(X389:X430)</f>
        <v>3340000</v>
      </c>
      <c r="Y431" s="262">
        <f t="shared" si="312"/>
        <v>0</v>
      </c>
      <c r="Z431" s="293">
        <f>N431+P431+R431</f>
        <v>3340000</v>
      </c>
    </row>
    <row r="432" spans="2:26" ht="19.8" customHeight="1" x14ac:dyDescent="0.6">
      <c r="B432" s="306" t="s">
        <v>653</v>
      </c>
      <c r="C432" s="255" t="s">
        <v>645</v>
      </c>
      <c r="D432" s="303"/>
      <c r="E432" s="276"/>
      <c r="G432" s="290"/>
      <c r="I432" s="290"/>
      <c r="J432" s="298"/>
      <c r="K432" s="316"/>
      <c r="L432" s="271"/>
      <c r="M432" s="276"/>
      <c r="N432" s="290"/>
      <c r="O432" s="276"/>
      <c r="P432" s="290"/>
      <c r="Q432" s="276"/>
      <c r="R432" s="290"/>
      <c r="S432" s="276"/>
      <c r="T432" s="290"/>
      <c r="U432" s="276"/>
      <c r="V432" s="290"/>
      <c r="W432" s="276"/>
      <c r="X432" s="290"/>
      <c r="Y432" s="271">
        <f t="shared" si="312"/>
        <v>0</v>
      </c>
      <c r="Z432" s="290">
        <f t="shared" si="311"/>
        <v>0</v>
      </c>
    </row>
    <row r="433" spans="2:26" ht="19.8" customHeight="1" x14ac:dyDescent="0.6">
      <c r="B433" s="268"/>
      <c r="C433" s="255" t="s">
        <v>646</v>
      </c>
      <c r="D433" s="303"/>
      <c r="E433" s="276"/>
      <c r="G433" s="290"/>
      <c r="I433" s="290"/>
      <c r="J433" s="298"/>
      <c r="K433" s="316"/>
      <c r="L433" s="271"/>
      <c r="M433" s="276"/>
      <c r="N433" s="290"/>
      <c r="O433" s="276"/>
      <c r="P433" s="290"/>
      <c r="Q433" s="276"/>
      <c r="R433" s="290"/>
      <c r="S433" s="276"/>
      <c r="T433" s="290"/>
      <c r="U433" s="276"/>
      <c r="V433" s="290"/>
      <c r="W433" s="276"/>
      <c r="X433" s="290"/>
      <c r="Y433" s="271">
        <f t="shared" si="312"/>
        <v>0</v>
      </c>
      <c r="Z433" s="290">
        <f t="shared" si="311"/>
        <v>0</v>
      </c>
    </row>
    <row r="434" spans="2:26" ht="19.8" customHeight="1" x14ac:dyDescent="0.6">
      <c r="B434" s="268"/>
      <c r="C434" s="255" t="s">
        <v>647</v>
      </c>
      <c r="D434" s="303"/>
      <c r="E434" s="276"/>
      <c r="G434" s="290"/>
      <c r="I434" s="290"/>
      <c r="J434" s="298"/>
      <c r="K434" s="316"/>
      <c r="L434" s="271"/>
      <c r="M434" s="276"/>
      <c r="N434" s="290"/>
      <c r="O434" s="276"/>
      <c r="P434" s="290"/>
      <c r="Q434" s="276"/>
      <c r="R434" s="290"/>
      <c r="S434" s="276"/>
      <c r="T434" s="290"/>
      <c r="U434" s="276"/>
      <c r="V434" s="290"/>
      <c r="W434" s="276"/>
      <c r="X434" s="290"/>
      <c r="Y434" s="271">
        <f t="shared" si="312"/>
        <v>0</v>
      </c>
      <c r="Z434" s="290">
        <f t="shared" si="311"/>
        <v>0</v>
      </c>
    </row>
    <row r="435" spans="2:26" ht="19.8" customHeight="1" x14ac:dyDescent="0.6">
      <c r="B435" s="268">
        <v>2</v>
      </c>
      <c r="C435" s="255" t="s">
        <v>246</v>
      </c>
      <c r="D435" s="303" t="s">
        <v>656</v>
      </c>
      <c r="E435" s="276" t="s">
        <v>57</v>
      </c>
      <c r="G435" s="290"/>
      <c r="I435" s="290">
        <v>126.78</v>
      </c>
      <c r="J435" s="298">
        <f t="shared" ref="J435:J444" si="329">IF(G435="-","-",IF(D435&gt;0,ROUNDDOWN(I435*D435,0),""))</f>
        <v>52740</v>
      </c>
      <c r="K435" s="316">
        <v>52740</v>
      </c>
      <c r="L435" s="271"/>
      <c r="M435" s="276"/>
      <c r="N435" s="290">
        <f t="shared" ref="N435:P444" si="330">ROUNDDOWN(M435*$I435,0)</f>
        <v>0</v>
      </c>
      <c r="O435" s="276"/>
      <c r="P435" s="290">
        <f t="shared" si="330"/>
        <v>0</v>
      </c>
      <c r="Q435" s="276"/>
      <c r="R435" s="290"/>
      <c r="S435" s="276"/>
      <c r="T435" s="290"/>
      <c r="U435" s="276"/>
      <c r="V435" s="290">
        <f t="shared" ref="V435:V444" si="331">ROUNDDOWN(U435*$I435,0)</f>
        <v>0</v>
      </c>
      <c r="W435" s="276"/>
      <c r="X435" s="290">
        <f t="shared" ref="X435:X444" si="332">ROUNDDOWN(W435*$I435,0)</f>
        <v>0</v>
      </c>
      <c r="Y435" s="271">
        <f t="shared" si="312"/>
        <v>0</v>
      </c>
      <c r="Z435" s="290">
        <f t="shared" si="311"/>
        <v>0</v>
      </c>
    </row>
    <row r="436" spans="2:26" ht="19.8" customHeight="1" x14ac:dyDescent="0.6">
      <c r="B436" s="268">
        <v>3</v>
      </c>
      <c r="C436" s="255" t="s">
        <v>195</v>
      </c>
      <c r="D436" s="303" t="s">
        <v>657</v>
      </c>
      <c r="E436" s="276" t="s">
        <v>55</v>
      </c>
      <c r="G436" s="290"/>
      <c r="I436" s="290">
        <v>38.21</v>
      </c>
      <c r="J436" s="298">
        <f t="shared" si="329"/>
        <v>100568</v>
      </c>
      <c r="K436" s="316">
        <v>100568</v>
      </c>
      <c r="L436" s="271"/>
      <c r="M436" s="276"/>
      <c r="N436" s="290">
        <f t="shared" si="330"/>
        <v>0</v>
      </c>
      <c r="O436" s="276"/>
      <c r="P436" s="290">
        <f t="shared" si="330"/>
        <v>0</v>
      </c>
      <c r="Q436" s="276"/>
      <c r="R436" s="290"/>
      <c r="S436" s="276"/>
      <c r="T436" s="290"/>
      <c r="U436" s="276"/>
      <c r="V436" s="290">
        <f t="shared" si="331"/>
        <v>0</v>
      </c>
      <c r="W436" s="276"/>
      <c r="X436" s="290">
        <f t="shared" si="332"/>
        <v>0</v>
      </c>
      <c r="Y436" s="271">
        <f t="shared" si="312"/>
        <v>0</v>
      </c>
      <c r="Z436" s="290">
        <f t="shared" si="311"/>
        <v>0</v>
      </c>
    </row>
    <row r="437" spans="2:26" ht="19.8" customHeight="1" x14ac:dyDescent="0.6">
      <c r="B437" s="268">
        <v>4</v>
      </c>
      <c r="C437" s="255" t="s">
        <v>229</v>
      </c>
      <c r="D437" s="303" t="s">
        <v>658</v>
      </c>
      <c r="E437" s="276" t="s">
        <v>57</v>
      </c>
      <c r="G437" s="290"/>
      <c r="I437" s="290">
        <v>16735.45</v>
      </c>
      <c r="J437" s="298">
        <f t="shared" si="329"/>
        <v>6175381</v>
      </c>
      <c r="K437" s="316">
        <v>6175381</v>
      </c>
      <c r="L437" s="271" t="s">
        <v>888</v>
      </c>
      <c r="M437" s="276"/>
      <c r="N437" s="290">
        <f t="shared" si="330"/>
        <v>0</v>
      </c>
      <c r="O437" s="276"/>
      <c r="P437" s="290">
        <f t="shared" si="330"/>
        <v>0</v>
      </c>
      <c r="Q437" s="276">
        <v>360</v>
      </c>
      <c r="R437" s="290">
        <v>4810000</v>
      </c>
      <c r="S437" s="276">
        <v>360</v>
      </c>
      <c r="T437" s="290">
        <v>4810000</v>
      </c>
      <c r="U437" s="276"/>
      <c r="V437" s="290">
        <f t="shared" si="331"/>
        <v>0</v>
      </c>
      <c r="W437" s="276"/>
      <c r="X437" s="290">
        <f t="shared" si="332"/>
        <v>0</v>
      </c>
      <c r="Y437" s="271">
        <f>M437+O437+Q437</f>
        <v>360</v>
      </c>
      <c r="Z437" s="290">
        <f>N437+P437+R437</f>
        <v>4810000</v>
      </c>
    </row>
    <row r="438" spans="2:26" ht="19.8" customHeight="1" x14ac:dyDescent="0.6">
      <c r="B438" s="268">
        <v>7</v>
      </c>
      <c r="C438" s="255" t="s">
        <v>215</v>
      </c>
      <c r="D438" s="303" t="s">
        <v>659</v>
      </c>
      <c r="E438" s="276" t="s">
        <v>55</v>
      </c>
      <c r="G438" s="290"/>
      <c r="I438" s="290">
        <v>328.91</v>
      </c>
      <c r="J438" s="298">
        <f t="shared" si="329"/>
        <v>492707</v>
      </c>
      <c r="K438" s="316">
        <v>492707</v>
      </c>
      <c r="L438" s="271"/>
      <c r="M438" s="276"/>
      <c r="N438" s="290">
        <f t="shared" si="330"/>
        <v>0</v>
      </c>
      <c r="O438" s="276"/>
      <c r="P438" s="290">
        <f t="shared" si="330"/>
        <v>0</v>
      </c>
      <c r="Q438" s="276"/>
      <c r="R438" s="290"/>
      <c r="S438" s="276"/>
      <c r="T438" s="290"/>
      <c r="U438" s="276"/>
      <c r="V438" s="290">
        <f t="shared" si="331"/>
        <v>0</v>
      </c>
      <c r="W438" s="276"/>
      <c r="X438" s="290">
        <f t="shared" si="332"/>
        <v>0</v>
      </c>
      <c r="Y438" s="271">
        <f t="shared" si="312"/>
        <v>0</v>
      </c>
      <c r="Z438" s="290">
        <f t="shared" si="311"/>
        <v>0</v>
      </c>
    </row>
    <row r="439" spans="2:26" ht="19.8" customHeight="1" x14ac:dyDescent="0.6">
      <c r="B439" s="268">
        <v>8</v>
      </c>
      <c r="C439" s="255" t="s">
        <v>247</v>
      </c>
      <c r="D439" s="303" t="s">
        <v>660</v>
      </c>
      <c r="E439" s="276" t="s">
        <v>55</v>
      </c>
      <c r="G439" s="290"/>
      <c r="I439" s="290">
        <v>324.95</v>
      </c>
      <c r="J439" s="298">
        <f t="shared" si="329"/>
        <v>198544</v>
      </c>
      <c r="K439" s="316">
        <v>198544</v>
      </c>
      <c r="L439" s="271"/>
      <c r="M439" s="276"/>
      <c r="N439" s="290">
        <f t="shared" si="330"/>
        <v>0</v>
      </c>
      <c r="O439" s="276"/>
      <c r="P439" s="290">
        <f t="shared" si="330"/>
        <v>0</v>
      </c>
      <c r="Q439" s="276"/>
      <c r="R439" s="290"/>
      <c r="S439" s="276"/>
      <c r="T439" s="290"/>
      <c r="U439" s="276"/>
      <c r="V439" s="290">
        <f t="shared" si="331"/>
        <v>0</v>
      </c>
      <c r="W439" s="276"/>
      <c r="X439" s="290">
        <f t="shared" si="332"/>
        <v>0</v>
      </c>
      <c r="Y439" s="271">
        <f t="shared" si="312"/>
        <v>0</v>
      </c>
      <c r="Z439" s="290">
        <f t="shared" si="311"/>
        <v>0</v>
      </c>
    </row>
    <row r="440" spans="2:26" ht="19.8" customHeight="1" x14ac:dyDescent="0.6">
      <c r="B440" s="268">
        <v>12</v>
      </c>
      <c r="C440" s="255" t="s">
        <v>654</v>
      </c>
      <c r="D440" s="303" t="s">
        <v>661</v>
      </c>
      <c r="E440" s="276" t="s">
        <v>54</v>
      </c>
      <c r="G440" s="290"/>
      <c r="I440" s="290">
        <v>303.06</v>
      </c>
      <c r="J440" s="298">
        <f t="shared" si="329"/>
        <v>131528</v>
      </c>
      <c r="K440" s="316">
        <v>131528</v>
      </c>
      <c r="L440" s="271"/>
      <c r="M440" s="276"/>
      <c r="N440" s="290">
        <f t="shared" si="330"/>
        <v>0</v>
      </c>
      <c r="O440" s="276"/>
      <c r="P440" s="290">
        <f t="shared" si="330"/>
        <v>0</v>
      </c>
      <c r="Q440" s="276"/>
      <c r="R440" s="290"/>
      <c r="S440" s="276"/>
      <c r="T440" s="290"/>
      <c r="U440" s="276"/>
      <c r="V440" s="290">
        <f t="shared" si="331"/>
        <v>0</v>
      </c>
      <c r="W440" s="276"/>
      <c r="X440" s="290">
        <f t="shared" si="332"/>
        <v>0</v>
      </c>
      <c r="Y440" s="271">
        <f t="shared" si="312"/>
        <v>0</v>
      </c>
      <c r="Z440" s="290">
        <f t="shared" si="311"/>
        <v>0</v>
      </c>
    </row>
    <row r="441" spans="2:26" ht="19.8" customHeight="1" x14ac:dyDescent="0.6">
      <c r="B441" s="268">
        <v>14</v>
      </c>
      <c r="C441" s="255" t="s">
        <v>257</v>
      </c>
      <c r="D441" s="303" t="s">
        <v>662</v>
      </c>
      <c r="E441" s="276" t="s">
        <v>54</v>
      </c>
      <c r="G441" s="290"/>
      <c r="I441" s="290">
        <v>354.97</v>
      </c>
      <c r="J441" s="298">
        <f t="shared" si="329"/>
        <v>33012</v>
      </c>
      <c r="K441" s="316">
        <v>33012</v>
      </c>
      <c r="L441" s="271"/>
      <c r="M441" s="276"/>
      <c r="N441" s="290">
        <f t="shared" si="330"/>
        <v>0</v>
      </c>
      <c r="O441" s="276"/>
      <c r="P441" s="290">
        <f t="shared" si="330"/>
        <v>0</v>
      </c>
      <c r="Q441" s="276"/>
      <c r="R441" s="290"/>
      <c r="S441" s="276"/>
      <c r="T441" s="290"/>
      <c r="U441" s="276"/>
      <c r="V441" s="290">
        <f t="shared" si="331"/>
        <v>0</v>
      </c>
      <c r="W441" s="276"/>
      <c r="X441" s="290">
        <f t="shared" si="332"/>
        <v>0</v>
      </c>
      <c r="Y441" s="271">
        <f t="shared" si="312"/>
        <v>0</v>
      </c>
      <c r="Z441" s="290">
        <f t="shared" si="311"/>
        <v>0</v>
      </c>
    </row>
    <row r="442" spans="2:26" ht="19.8" customHeight="1" x14ac:dyDescent="0.6">
      <c r="B442" s="268">
        <v>15</v>
      </c>
      <c r="C442" s="255" t="s">
        <v>253</v>
      </c>
      <c r="D442" s="303" t="s">
        <v>663</v>
      </c>
      <c r="E442" s="276" t="s">
        <v>57</v>
      </c>
      <c r="G442" s="290"/>
      <c r="I442" s="290">
        <v>745.67</v>
      </c>
      <c r="J442" s="298">
        <f t="shared" si="329"/>
        <v>299013</v>
      </c>
      <c r="K442" s="316">
        <v>299013</v>
      </c>
      <c r="L442" s="271"/>
      <c r="M442" s="276"/>
      <c r="N442" s="290">
        <f t="shared" si="330"/>
        <v>0</v>
      </c>
      <c r="O442" s="276"/>
      <c r="P442" s="290">
        <f t="shared" si="330"/>
        <v>0</v>
      </c>
      <c r="Q442" s="276"/>
      <c r="R442" s="290"/>
      <c r="S442" s="276"/>
      <c r="T442" s="290"/>
      <c r="U442" s="276"/>
      <c r="V442" s="290">
        <f t="shared" si="331"/>
        <v>0</v>
      </c>
      <c r="W442" s="276"/>
      <c r="X442" s="290">
        <f t="shared" si="332"/>
        <v>0</v>
      </c>
      <c r="Y442" s="271">
        <f t="shared" si="312"/>
        <v>0</v>
      </c>
      <c r="Z442" s="290">
        <f t="shared" si="311"/>
        <v>0</v>
      </c>
    </row>
    <row r="443" spans="2:26" ht="19.8" customHeight="1" x14ac:dyDescent="0.6">
      <c r="B443" s="268">
        <v>16</v>
      </c>
      <c r="C443" s="255" t="s">
        <v>254</v>
      </c>
      <c r="D443" s="303" t="s">
        <v>663</v>
      </c>
      <c r="E443" s="276" t="s">
        <v>57</v>
      </c>
      <c r="G443" s="290"/>
      <c r="I443" s="290">
        <v>433.34</v>
      </c>
      <c r="J443" s="298">
        <f t="shared" si="329"/>
        <v>173769</v>
      </c>
      <c r="K443" s="316">
        <v>173769</v>
      </c>
      <c r="L443" s="271"/>
      <c r="M443" s="276"/>
      <c r="N443" s="290">
        <f t="shared" si="330"/>
        <v>0</v>
      </c>
      <c r="O443" s="276"/>
      <c r="P443" s="290">
        <f t="shared" si="330"/>
        <v>0</v>
      </c>
      <c r="Q443" s="276"/>
      <c r="R443" s="290"/>
      <c r="S443" s="276"/>
      <c r="T443" s="290"/>
      <c r="U443" s="276"/>
      <c r="V443" s="290">
        <f t="shared" si="331"/>
        <v>0</v>
      </c>
      <c r="W443" s="276"/>
      <c r="X443" s="290">
        <f t="shared" si="332"/>
        <v>0</v>
      </c>
      <c r="Y443" s="271">
        <f t="shared" si="312"/>
        <v>0</v>
      </c>
      <c r="Z443" s="290">
        <f t="shared" si="311"/>
        <v>0</v>
      </c>
    </row>
    <row r="444" spans="2:26" ht="19.8" customHeight="1" x14ac:dyDescent="0.6">
      <c r="B444" s="268">
        <v>17</v>
      </c>
      <c r="C444" s="255" t="s">
        <v>255</v>
      </c>
      <c r="D444" s="303" t="s">
        <v>664</v>
      </c>
      <c r="E444" s="276" t="s">
        <v>54</v>
      </c>
      <c r="G444" s="290"/>
      <c r="I444" s="290">
        <v>368.8</v>
      </c>
      <c r="J444" s="298">
        <f t="shared" si="329"/>
        <v>199889</v>
      </c>
      <c r="K444" s="316">
        <v>199889</v>
      </c>
      <c r="L444" s="271"/>
      <c r="M444" s="276"/>
      <c r="N444" s="290">
        <f t="shared" si="330"/>
        <v>0</v>
      </c>
      <c r="O444" s="276"/>
      <c r="P444" s="290">
        <f t="shared" si="330"/>
        <v>0</v>
      </c>
      <c r="Q444" s="276"/>
      <c r="R444" s="290"/>
      <c r="S444" s="276"/>
      <c r="T444" s="290"/>
      <c r="U444" s="276"/>
      <c r="V444" s="290">
        <f t="shared" si="331"/>
        <v>0</v>
      </c>
      <c r="W444" s="276"/>
      <c r="X444" s="290">
        <f t="shared" si="332"/>
        <v>0</v>
      </c>
      <c r="Y444" s="271">
        <f t="shared" si="312"/>
        <v>0</v>
      </c>
      <c r="Z444" s="290">
        <f t="shared" si="311"/>
        <v>0</v>
      </c>
    </row>
    <row r="445" spans="2:26" ht="19.8" customHeight="1" x14ac:dyDescent="0.6">
      <c r="B445" s="268"/>
      <c r="C445" s="255" t="s">
        <v>226</v>
      </c>
      <c r="D445" s="303"/>
      <c r="E445" s="276"/>
      <c r="G445" s="290"/>
      <c r="I445" s="290"/>
      <c r="J445" s="298"/>
      <c r="K445" s="316"/>
      <c r="L445" s="271"/>
      <c r="M445" s="276"/>
      <c r="N445" s="290"/>
      <c r="O445" s="276"/>
      <c r="P445" s="290"/>
      <c r="Q445" s="276"/>
      <c r="R445" s="290"/>
      <c r="S445" s="276"/>
      <c r="T445" s="290"/>
      <c r="U445" s="276"/>
      <c r="V445" s="290"/>
      <c r="W445" s="276"/>
      <c r="X445" s="290"/>
      <c r="Y445" s="271">
        <f t="shared" si="312"/>
        <v>0</v>
      </c>
      <c r="Z445" s="290">
        <f t="shared" si="311"/>
        <v>0</v>
      </c>
    </row>
    <row r="446" spans="2:26" ht="19.8" customHeight="1" x14ac:dyDescent="0.6">
      <c r="B446" s="268">
        <v>18</v>
      </c>
      <c r="C446" s="255" t="s">
        <v>258</v>
      </c>
      <c r="D446" s="303" t="s">
        <v>665</v>
      </c>
      <c r="E446" s="276" t="s">
        <v>54</v>
      </c>
      <c r="G446" s="290"/>
      <c r="I446" s="290">
        <v>420.66</v>
      </c>
      <c r="J446" s="298">
        <f t="shared" ref="J446:J447" si="333">IF(G446="-","-",IF(D446&gt;0,ROUNDDOWN(I446*D446,0),""))</f>
        <v>30287</v>
      </c>
      <c r="K446" s="316">
        <v>30287</v>
      </c>
      <c r="L446" s="271"/>
      <c r="M446" s="276"/>
      <c r="N446" s="290">
        <f t="shared" ref="N446:P447" si="334">ROUNDDOWN(M446*$I446,0)</f>
        <v>0</v>
      </c>
      <c r="O446" s="276"/>
      <c r="P446" s="290">
        <f t="shared" si="334"/>
        <v>0</v>
      </c>
      <c r="Q446" s="276"/>
      <c r="R446" s="290"/>
      <c r="S446" s="276"/>
      <c r="T446" s="290"/>
      <c r="U446" s="276"/>
      <c r="V446" s="290">
        <f t="shared" ref="V446:V447" si="335">ROUNDDOWN(U446*$I446,0)</f>
        <v>0</v>
      </c>
      <c r="W446" s="276"/>
      <c r="X446" s="290">
        <f t="shared" ref="X446:X447" si="336">ROUNDDOWN(W446*$I446,0)</f>
        <v>0</v>
      </c>
      <c r="Y446" s="271">
        <f t="shared" si="312"/>
        <v>0</v>
      </c>
      <c r="Z446" s="290">
        <f t="shared" si="311"/>
        <v>0</v>
      </c>
    </row>
    <row r="447" spans="2:26" ht="19.8" customHeight="1" x14ac:dyDescent="0.6">
      <c r="B447" s="268">
        <v>19</v>
      </c>
      <c r="C447" s="255" t="s">
        <v>256</v>
      </c>
      <c r="D447" s="303" t="s">
        <v>664</v>
      </c>
      <c r="E447" s="276" t="s">
        <v>54</v>
      </c>
      <c r="G447" s="290"/>
      <c r="I447" s="290">
        <v>1286.19</v>
      </c>
      <c r="J447" s="298">
        <f t="shared" si="333"/>
        <v>697114</v>
      </c>
      <c r="K447" s="316">
        <v>697114</v>
      </c>
      <c r="L447" s="271"/>
      <c r="M447" s="276"/>
      <c r="N447" s="290">
        <f t="shared" si="334"/>
        <v>0</v>
      </c>
      <c r="O447" s="276"/>
      <c r="P447" s="290">
        <f t="shared" si="334"/>
        <v>0</v>
      </c>
      <c r="Q447" s="276"/>
      <c r="R447" s="290"/>
      <c r="S447" s="276"/>
      <c r="T447" s="290"/>
      <c r="U447" s="276"/>
      <c r="V447" s="290">
        <f t="shared" si="335"/>
        <v>0</v>
      </c>
      <c r="W447" s="276"/>
      <c r="X447" s="290">
        <f t="shared" si="336"/>
        <v>0</v>
      </c>
      <c r="Y447" s="271">
        <f t="shared" si="312"/>
        <v>0</v>
      </c>
      <c r="Z447" s="290">
        <f t="shared" si="311"/>
        <v>0</v>
      </c>
    </row>
    <row r="448" spans="2:26" ht="19.8" customHeight="1" x14ac:dyDescent="0.6">
      <c r="B448" s="268">
        <v>20</v>
      </c>
      <c r="C448" s="255" t="s">
        <v>59</v>
      </c>
      <c r="D448" s="303"/>
      <c r="E448" s="276"/>
      <c r="G448" s="290"/>
      <c r="I448" s="290"/>
      <c r="J448" s="298"/>
      <c r="K448" s="316"/>
      <c r="L448" s="271"/>
      <c r="M448" s="276"/>
      <c r="N448" s="290"/>
      <c r="O448" s="276"/>
      <c r="P448" s="290"/>
      <c r="Q448" s="276"/>
      <c r="R448" s="290"/>
      <c r="S448" s="276"/>
      <c r="T448" s="290"/>
      <c r="U448" s="276"/>
      <c r="V448" s="290"/>
      <c r="W448" s="276"/>
      <c r="X448" s="290"/>
      <c r="Y448" s="271">
        <f t="shared" si="312"/>
        <v>0</v>
      </c>
      <c r="Z448" s="290">
        <f t="shared" si="311"/>
        <v>0</v>
      </c>
    </row>
    <row r="449" spans="2:26" ht="19.8" customHeight="1" x14ac:dyDescent="0.6">
      <c r="B449" s="268"/>
      <c r="C449" s="255" t="s">
        <v>648</v>
      </c>
      <c r="D449" s="303"/>
      <c r="E449" s="276"/>
      <c r="G449" s="290"/>
      <c r="I449" s="290"/>
      <c r="J449" s="298"/>
      <c r="K449" s="316"/>
      <c r="L449" s="271"/>
      <c r="M449" s="276"/>
      <c r="N449" s="290"/>
      <c r="O449" s="276"/>
      <c r="P449" s="290"/>
      <c r="Q449" s="276"/>
      <c r="R449" s="290"/>
      <c r="S449" s="276"/>
      <c r="T449" s="290"/>
      <c r="U449" s="276"/>
      <c r="V449" s="290"/>
      <c r="W449" s="276"/>
      <c r="X449" s="290"/>
      <c r="Y449" s="271">
        <f t="shared" si="312"/>
        <v>0</v>
      </c>
      <c r="Z449" s="290">
        <f t="shared" si="311"/>
        <v>0</v>
      </c>
    </row>
    <row r="450" spans="2:26" ht="19.8" customHeight="1" x14ac:dyDescent="0.6">
      <c r="B450" s="268">
        <v>21</v>
      </c>
      <c r="C450" s="255" t="s">
        <v>259</v>
      </c>
      <c r="D450" s="303" t="s">
        <v>666</v>
      </c>
      <c r="E450" s="276" t="s">
        <v>54</v>
      </c>
      <c r="G450" s="290"/>
      <c r="I450" s="290">
        <v>108.36</v>
      </c>
      <c r="J450" s="298">
        <f t="shared" ref="J450:J456" si="337">IF(G450="-","-",IF(D450&gt;0,ROUNDDOWN(I450*D450,0),""))</f>
        <v>270466</v>
      </c>
      <c r="K450" s="316">
        <v>270466</v>
      </c>
      <c r="L450" s="271"/>
      <c r="M450" s="276"/>
      <c r="N450" s="290">
        <f t="shared" ref="N450:P459" si="338">ROUNDDOWN(M450*$I450,0)</f>
        <v>0</v>
      </c>
      <c r="O450" s="276"/>
      <c r="P450" s="290">
        <f t="shared" si="338"/>
        <v>0</v>
      </c>
      <c r="Q450" s="276"/>
      <c r="R450" s="290"/>
      <c r="S450" s="276"/>
      <c r="T450" s="290"/>
      <c r="U450" s="276"/>
      <c r="V450" s="290">
        <f t="shared" ref="V450:V459" si="339">ROUNDDOWN(U450*$I450,0)</f>
        <v>0</v>
      </c>
      <c r="W450" s="276"/>
      <c r="X450" s="290">
        <f t="shared" ref="X450:X459" si="340">ROUNDDOWN(W450*$I450,0)</f>
        <v>0</v>
      </c>
      <c r="Y450" s="271">
        <f t="shared" si="312"/>
        <v>0</v>
      </c>
      <c r="Z450" s="290">
        <f t="shared" si="311"/>
        <v>0</v>
      </c>
    </row>
    <row r="451" spans="2:26" ht="19.8" customHeight="1" x14ac:dyDescent="0.6">
      <c r="B451" s="268">
        <v>22</v>
      </c>
      <c r="C451" s="255" t="s">
        <v>243</v>
      </c>
      <c r="D451" s="303" t="s">
        <v>667</v>
      </c>
      <c r="E451" s="276" t="s">
        <v>55</v>
      </c>
      <c r="G451" s="290"/>
      <c r="I451" s="290">
        <v>617.54</v>
      </c>
      <c r="J451" s="298">
        <f t="shared" si="337"/>
        <v>208296</v>
      </c>
      <c r="K451" s="316">
        <v>208296</v>
      </c>
      <c r="L451" s="271"/>
      <c r="M451" s="276"/>
      <c r="N451" s="290">
        <f t="shared" si="338"/>
        <v>0</v>
      </c>
      <c r="O451" s="276"/>
      <c r="P451" s="290">
        <f t="shared" si="338"/>
        <v>0</v>
      </c>
      <c r="Q451" s="276"/>
      <c r="R451" s="290"/>
      <c r="S451" s="276"/>
      <c r="T451" s="290"/>
      <c r="U451" s="276"/>
      <c r="V451" s="290">
        <f t="shared" si="339"/>
        <v>0</v>
      </c>
      <c r="W451" s="276"/>
      <c r="X451" s="290">
        <f t="shared" si="340"/>
        <v>0</v>
      </c>
      <c r="Y451" s="271">
        <f t="shared" si="312"/>
        <v>0</v>
      </c>
      <c r="Z451" s="290">
        <f t="shared" si="311"/>
        <v>0</v>
      </c>
    </row>
    <row r="452" spans="2:26" ht="19.8" customHeight="1" x14ac:dyDescent="0.6">
      <c r="B452" s="268">
        <v>23</v>
      </c>
      <c r="C452" s="255" t="s">
        <v>622</v>
      </c>
      <c r="D452" s="303" t="s">
        <v>668</v>
      </c>
      <c r="E452" s="276" t="s">
        <v>54</v>
      </c>
      <c r="G452" s="290"/>
      <c r="I452" s="290">
        <v>447.01</v>
      </c>
      <c r="J452" s="298">
        <f t="shared" si="337"/>
        <v>1507764</v>
      </c>
      <c r="K452" s="316">
        <v>1507764</v>
      </c>
      <c r="L452" s="271"/>
      <c r="M452" s="276"/>
      <c r="N452" s="290">
        <f t="shared" si="338"/>
        <v>0</v>
      </c>
      <c r="O452" s="276"/>
      <c r="P452" s="290">
        <f t="shared" si="338"/>
        <v>0</v>
      </c>
      <c r="Q452" s="276"/>
      <c r="R452" s="290"/>
      <c r="S452" s="276"/>
      <c r="T452" s="290"/>
      <c r="U452" s="276"/>
      <c r="V452" s="290">
        <f t="shared" si="339"/>
        <v>0</v>
      </c>
      <c r="W452" s="276"/>
      <c r="X452" s="290">
        <f t="shared" si="340"/>
        <v>0</v>
      </c>
      <c r="Y452" s="271">
        <f t="shared" si="312"/>
        <v>0</v>
      </c>
      <c r="Z452" s="290">
        <f t="shared" si="311"/>
        <v>0</v>
      </c>
    </row>
    <row r="453" spans="2:26" ht="19.8" customHeight="1" x14ac:dyDescent="0.6">
      <c r="B453" s="268">
        <v>24</v>
      </c>
      <c r="C453" s="255" t="s">
        <v>630</v>
      </c>
      <c r="D453" s="303" t="s">
        <v>668</v>
      </c>
      <c r="E453" s="276" t="s">
        <v>54</v>
      </c>
      <c r="G453" s="290"/>
      <c r="I453" s="290">
        <v>16.96</v>
      </c>
      <c r="J453" s="298">
        <f t="shared" si="337"/>
        <v>57206</v>
      </c>
      <c r="K453" s="316">
        <v>57206</v>
      </c>
      <c r="L453" s="271"/>
      <c r="M453" s="276"/>
      <c r="N453" s="290">
        <f t="shared" si="338"/>
        <v>0</v>
      </c>
      <c r="O453" s="276"/>
      <c r="P453" s="290">
        <f t="shared" si="338"/>
        <v>0</v>
      </c>
      <c r="Q453" s="276"/>
      <c r="R453" s="290"/>
      <c r="S453" s="276"/>
      <c r="T453" s="290"/>
      <c r="U453" s="276"/>
      <c r="V453" s="290">
        <f t="shared" si="339"/>
        <v>0</v>
      </c>
      <c r="W453" s="276"/>
      <c r="X453" s="290">
        <f t="shared" si="340"/>
        <v>0</v>
      </c>
      <c r="Y453" s="271">
        <f t="shared" si="312"/>
        <v>0</v>
      </c>
      <c r="Z453" s="290">
        <f t="shared" si="311"/>
        <v>0</v>
      </c>
    </row>
    <row r="454" spans="2:26" ht="19.8" customHeight="1" x14ac:dyDescent="0.6">
      <c r="B454" s="268">
        <v>25</v>
      </c>
      <c r="C454" s="255" t="s">
        <v>250</v>
      </c>
      <c r="D454" s="303" t="s">
        <v>668</v>
      </c>
      <c r="E454" s="276" t="s">
        <v>54</v>
      </c>
      <c r="G454" s="290"/>
      <c r="I454" s="290">
        <v>293.86</v>
      </c>
      <c r="J454" s="298">
        <f t="shared" si="337"/>
        <v>991189</v>
      </c>
      <c r="K454" s="316">
        <v>991189</v>
      </c>
      <c r="L454" s="271"/>
      <c r="M454" s="276"/>
      <c r="N454" s="290">
        <f t="shared" si="338"/>
        <v>0</v>
      </c>
      <c r="O454" s="276"/>
      <c r="P454" s="290">
        <f t="shared" si="338"/>
        <v>0</v>
      </c>
      <c r="Q454" s="276"/>
      <c r="R454" s="290"/>
      <c r="S454" s="276"/>
      <c r="T454" s="290"/>
      <c r="U454" s="276"/>
      <c r="V454" s="290">
        <f t="shared" si="339"/>
        <v>0</v>
      </c>
      <c r="W454" s="276"/>
      <c r="X454" s="290">
        <f t="shared" si="340"/>
        <v>0</v>
      </c>
      <c r="Y454" s="271">
        <f t="shared" si="312"/>
        <v>0</v>
      </c>
      <c r="Z454" s="290">
        <f t="shared" si="311"/>
        <v>0</v>
      </c>
    </row>
    <row r="455" spans="2:26" ht="19.8" customHeight="1" x14ac:dyDescent="0.6">
      <c r="B455" s="268">
        <v>26</v>
      </c>
      <c r="C455" s="255" t="s">
        <v>649</v>
      </c>
      <c r="D455" s="303" t="s">
        <v>656</v>
      </c>
      <c r="E455" s="276" t="s">
        <v>57</v>
      </c>
      <c r="G455" s="290"/>
      <c r="I455" s="290">
        <v>6580.78</v>
      </c>
      <c r="J455" s="298">
        <f t="shared" si="337"/>
        <v>2737604</v>
      </c>
      <c r="K455" s="316">
        <v>2737604</v>
      </c>
      <c r="L455" s="271"/>
      <c r="M455" s="276"/>
      <c r="N455" s="290">
        <f t="shared" si="338"/>
        <v>0</v>
      </c>
      <c r="O455" s="276"/>
      <c r="P455" s="290">
        <f t="shared" si="338"/>
        <v>0</v>
      </c>
      <c r="Q455" s="276"/>
      <c r="R455" s="290"/>
      <c r="S455" s="276"/>
      <c r="T455" s="290"/>
      <c r="U455" s="276"/>
      <c r="V455" s="290">
        <f t="shared" si="339"/>
        <v>0</v>
      </c>
      <c r="W455" s="276"/>
      <c r="X455" s="290">
        <f t="shared" si="340"/>
        <v>0</v>
      </c>
      <c r="Y455" s="271">
        <f t="shared" si="312"/>
        <v>0</v>
      </c>
      <c r="Z455" s="290">
        <f t="shared" si="311"/>
        <v>0</v>
      </c>
    </row>
    <row r="456" spans="2:26" ht="19.8" customHeight="1" x14ac:dyDescent="0.6">
      <c r="B456" s="268">
        <v>27</v>
      </c>
      <c r="C456" s="255" t="s">
        <v>234</v>
      </c>
      <c r="D456" s="303" t="s">
        <v>669</v>
      </c>
      <c r="E456" s="276" t="s">
        <v>57</v>
      </c>
      <c r="G456" s="290"/>
      <c r="I456" s="290">
        <v>1240.5899999999999</v>
      </c>
      <c r="J456" s="298">
        <f t="shared" si="337"/>
        <v>207178</v>
      </c>
      <c r="K456" s="316">
        <v>207178</v>
      </c>
      <c r="L456" s="271"/>
      <c r="M456" s="276"/>
      <c r="N456" s="290">
        <f t="shared" si="338"/>
        <v>0</v>
      </c>
      <c r="O456" s="276"/>
      <c r="P456" s="290">
        <f t="shared" si="338"/>
        <v>0</v>
      </c>
      <c r="Q456" s="276"/>
      <c r="R456" s="290"/>
      <c r="S456" s="276"/>
      <c r="T456" s="290"/>
      <c r="U456" s="276"/>
      <c r="V456" s="290">
        <f t="shared" si="339"/>
        <v>0</v>
      </c>
      <c r="W456" s="276"/>
      <c r="X456" s="290">
        <f t="shared" si="340"/>
        <v>0</v>
      </c>
      <c r="Y456" s="271">
        <f t="shared" si="312"/>
        <v>0</v>
      </c>
      <c r="Z456" s="290">
        <f t="shared" si="311"/>
        <v>0</v>
      </c>
    </row>
    <row r="457" spans="2:26" ht="19.8" customHeight="1" x14ac:dyDescent="0.6">
      <c r="B457" s="268">
        <v>28</v>
      </c>
      <c r="C457" s="255" t="s">
        <v>650</v>
      </c>
      <c r="D457" s="303" t="s">
        <v>670</v>
      </c>
      <c r="E457" s="276" t="s">
        <v>58</v>
      </c>
      <c r="G457" s="290"/>
      <c r="I457" s="290">
        <v>19515.28</v>
      </c>
      <c r="J457" s="298">
        <f t="shared" ref="J457:J459" si="341">IF(G457="-","-",IF(D457&gt;0,ROUNDDOWN(I457*D457,0),""))</f>
        <v>565943</v>
      </c>
      <c r="K457" s="316">
        <v>565943</v>
      </c>
      <c r="L457" s="271"/>
      <c r="M457" s="276"/>
      <c r="N457" s="290">
        <f t="shared" si="338"/>
        <v>0</v>
      </c>
      <c r="O457" s="276"/>
      <c r="P457" s="290">
        <f t="shared" si="338"/>
        <v>0</v>
      </c>
      <c r="Q457" s="276"/>
      <c r="R457" s="290"/>
      <c r="S457" s="276"/>
      <c r="T457" s="290"/>
      <c r="U457" s="276"/>
      <c r="V457" s="290">
        <f t="shared" si="339"/>
        <v>0</v>
      </c>
      <c r="W457" s="276"/>
      <c r="X457" s="290">
        <f t="shared" si="340"/>
        <v>0</v>
      </c>
      <c r="Y457" s="271">
        <f t="shared" si="312"/>
        <v>0</v>
      </c>
      <c r="Z457" s="290">
        <f t="shared" si="311"/>
        <v>0</v>
      </c>
    </row>
    <row r="458" spans="2:26" ht="19.8" customHeight="1" x14ac:dyDescent="0.6">
      <c r="B458" s="268">
        <v>29</v>
      </c>
      <c r="C458" s="255" t="s">
        <v>651</v>
      </c>
      <c r="D458" s="303" t="s">
        <v>671</v>
      </c>
      <c r="E458" s="276" t="s">
        <v>58</v>
      </c>
      <c r="G458" s="290"/>
      <c r="I458" s="290">
        <v>21151.83</v>
      </c>
      <c r="J458" s="298">
        <f t="shared" si="341"/>
        <v>846073</v>
      </c>
      <c r="K458" s="316">
        <v>846073</v>
      </c>
      <c r="L458" s="271"/>
      <c r="M458" s="276"/>
      <c r="N458" s="290">
        <f t="shared" si="338"/>
        <v>0</v>
      </c>
      <c r="O458" s="276"/>
      <c r="P458" s="290">
        <f t="shared" si="338"/>
        <v>0</v>
      </c>
      <c r="Q458" s="276"/>
      <c r="R458" s="290"/>
      <c r="S458" s="276"/>
      <c r="T458" s="290"/>
      <c r="U458" s="276"/>
      <c r="V458" s="290">
        <f t="shared" si="339"/>
        <v>0</v>
      </c>
      <c r="W458" s="276"/>
      <c r="X458" s="290">
        <f t="shared" si="340"/>
        <v>0</v>
      </c>
      <c r="Y458" s="271">
        <f t="shared" si="312"/>
        <v>0</v>
      </c>
      <c r="Z458" s="290">
        <f t="shared" si="311"/>
        <v>0</v>
      </c>
    </row>
    <row r="459" spans="2:26" ht="19.8" customHeight="1" x14ac:dyDescent="0.6">
      <c r="B459" s="268">
        <v>30</v>
      </c>
      <c r="C459" s="255" t="s">
        <v>652</v>
      </c>
      <c r="D459" s="303" t="s">
        <v>655</v>
      </c>
      <c r="E459" s="276" t="s">
        <v>58</v>
      </c>
      <c r="G459" s="290"/>
      <c r="I459" s="290">
        <v>55999.98</v>
      </c>
      <c r="J459" s="298">
        <f t="shared" si="341"/>
        <v>1847999</v>
      </c>
      <c r="K459" s="316">
        <v>1847999</v>
      </c>
      <c r="L459" s="271"/>
      <c r="M459" s="276"/>
      <c r="N459" s="290">
        <f t="shared" si="338"/>
        <v>0</v>
      </c>
      <c r="O459" s="276"/>
      <c r="P459" s="290">
        <f t="shared" si="338"/>
        <v>0</v>
      </c>
      <c r="Q459" s="276"/>
      <c r="R459" s="290"/>
      <c r="S459" s="276"/>
      <c r="T459" s="290"/>
      <c r="U459" s="276"/>
      <c r="V459" s="290">
        <f t="shared" si="339"/>
        <v>0</v>
      </c>
      <c r="W459" s="276"/>
      <c r="X459" s="290">
        <f t="shared" si="340"/>
        <v>0</v>
      </c>
      <c r="Y459" s="271">
        <f t="shared" si="312"/>
        <v>0</v>
      </c>
      <c r="Z459" s="290">
        <f t="shared" si="311"/>
        <v>0</v>
      </c>
    </row>
    <row r="460" spans="2:26" ht="19.8" customHeight="1" x14ac:dyDescent="0.6">
      <c r="B460" s="268"/>
      <c r="C460" s="255" t="s">
        <v>231</v>
      </c>
      <c r="D460" s="303"/>
      <c r="E460" s="276"/>
      <c r="G460" s="290"/>
      <c r="I460" s="290"/>
      <c r="J460" s="298"/>
      <c r="K460" s="316"/>
      <c r="L460" s="271"/>
      <c r="M460" s="276"/>
      <c r="N460" s="290"/>
      <c r="O460" s="276"/>
      <c r="P460" s="290"/>
      <c r="Q460" s="276"/>
      <c r="R460" s="290"/>
      <c r="S460" s="276"/>
      <c r="T460" s="290"/>
      <c r="U460" s="276"/>
      <c r="V460" s="290"/>
      <c r="W460" s="276"/>
      <c r="X460" s="290"/>
      <c r="Y460" s="271">
        <f t="shared" si="312"/>
        <v>0</v>
      </c>
      <c r="Z460" s="290">
        <f t="shared" si="311"/>
        <v>0</v>
      </c>
    </row>
    <row r="461" spans="2:26" ht="19.8" customHeight="1" x14ac:dyDescent="0.6">
      <c r="B461" s="268"/>
      <c r="D461" s="303"/>
      <c r="E461" s="276"/>
      <c r="G461" s="290"/>
      <c r="I461" s="290"/>
      <c r="J461" s="298"/>
      <c r="K461" s="316"/>
      <c r="L461" s="271"/>
      <c r="M461" s="276"/>
      <c r="N461" s="290"/>
      <c r="O461" s="276"/>
      <c r="P461" s="290"/>
      <c r="Q461" s="276"/>
      <c r="R461" s="290"/>
      <c r="S461" s="276"/>
      <c r="T461" s="290"/>
      <c r="U461" s="276"/>
      <c r="V461" s="290"/>
      <c r="W461" s="276"/>
      <c r="X461" s="290"/>
      <c r="Y461" s="271">
        <f t="shared" ref="Y461:Y524" si="342">M461+O461</f>
        <v>0</v>
      </c>
      <c r="Z461" s="290">
        <f t="shared" ref="Z461:Z523" si="343">N461+P461</f>
        <v>0</v>
      </c>
    </row>
    <row r="462" spans="2:26" ht="19.8" customHeight="1" x14ac:dyDescent="0.6">
      <c r="B462" s="826" t="s">
        <v>672</v>
      </c>
      <c r="C462" s="827"/>
      <c r="D462" s="294" t="s">
        <v>656</v>
      </c>
      <c r="E462" s="257" t="s">
        <v>57</v>
      </c>
      <c r="F462" s="296"/>
      <c r="G462" s="293"/>
      <c r="H462" s="297"/>
      <c r="I462" s="293"/>
      <c r="J462" s="299">
        <f>SUM(J432:J461)</f>
        <v>17824270</v>
      </c>
      <c r="K462" s="319">
        <v>17824270</v>
      </c>
      <c r="L462" s="301"/>
      <c r="M462" s="431"/>
      <c r="N462" s="326">
        <f>SUM(N432:N461)</f>
        <v>0</v>
      </c>
      <c r="O462" s="431"/>
      <c r="P462" s="326">
        <f>SUM(P432:P461)</f>
        <v>0</v>
      </c>
      <c r="Q462" s="431"/>
      <c r="R462" s="326">
        <f>SUM(R432:R461)</f>
        <v>4810000</v>
      </c>
      <c r="S462" s="431"/>
      <c r="T462" s="326">
        <f>SUM(T432:T461)</f>
        <v>4810000</v>
      </c>
      <c r="U462" s="431"/>
      <c r="V462" s="326">
        <f>SUM(V432:V461)</f>
        <v>0</v>
      </c>
      <c r="W462" s="431"/>
      <c r="X462" s="326">
        <f>SUM(X432:X461)</f>
        <v>0</v>
      </c>
      <c r="Y462" s="262">
        <f t="shared" si="342"/>
        <v>0</v>
      </c>
      <c r="Z462" s="293">
        <f>N462+P462+R462</f>
        <v>4810000</v>
      </c>
    </row>
    <row r="463" spans="2:26" ht="19.8" customHeight="1" x14ac:dyDescent="0.6">
      <c r="B463" s="306" t="s">
        <v>676</v>
      </c>
      <c r="C463" s="255" t="s">
        <v>673</v>
      </c>
      <c r="D463" s="303"/>
      <c r="E463" s="276"/>
      <c r="G463" s="290"/>
      <c r="I463" s="290"/>
      <c r="J463" s="298"/>
      <c r="K463" s="316"/>
      <c r="L463" s="271"/>
      <c r="M463" s="276"/>
      <c r="N463" s="290"/>
      <c r="O463" s="276"/>
      <c r="P463" s="290"/>
      <c r="Q463" s="276"/>
      <c r="R463" s="290"/>
      <c r="S463" s="276"/>
      <c r="T463" s="290"/>
      <c r="U463" s="276"/>
      <c r="V463" s="290"/>
      <c r="W463" s="276"/>
      <c r="X463" s="290"/>
      <c r="Y463" s="271">
        <f t="shared" si="342"/>
        <v>0</v>
      </c>
      <c r="Z463" s="290">
        <f t="shared" si="343"/>
        <v>0</v>
      </c>
    </row>
    <row r="464" spans="2:26" ht="19.8" customHeight="1" x14ac:dyDescent="0.6">
      <c r="B464" s="268"/>
      <c r="C464" s="255" t="s">
        <v>674</v>
      </c>
      <c r="D464" s="303"/>
      <c r="E464" s="276"/>
      <c r="G464" s="290"/>
      <c r="I464" s="290"/>
      <c r="J464" s="298"/>
      <c r="K464" s="316"/>
      <c r="L464" s="271"/>
      <c r="M464" s="276"/>
      <c r="N464" s="290"/>
      <c r="O464" s="276"/>
      <c r="P464" s="290"/>
      <c r="Q464" s="276"/>
      <c r="R464" s="290"/>
      <c r="S464" s="276"/>
      <c r="T464" s="290"/>
      <c r="U464" s="276"/>
      <c r="V464" s="290"/>
      <c r="W464" s="276"/>
      <c r="X464" s="290"/>
      <c r="Y464" s="271">
        <f t="shared" si="342"/>
        <v>0</v>
      </c>
      <c r="Z464" s="290">
        <f t="shared" si="343"/>
        <v>0</v>
      </c>
    </row>
    <row r="465" spans="2:26" ht="19.8" customHeight="1" x14ac:dyDescent="0.6">
      <c r="B465" s="268"/>
      <c r="C465" s="255" t="s">
        <v>675</v>
      </c>
      <c r="D465" s="303"/>
      <c r="E465" s="276"/>
      <c r="G465" s="290"/>
      <c r="I465" s="290"/>
      <c r="J465" s="298"/>
      <c r="K465" s="316"/>
      <c r="L465" s="271"/>
      <c r="M465" s="276"/>
      <c r="N465" s="290"/>
      <c r="O465" s="276"/>
      <c r="P465" s="290"/>
      <c r="Q465" s="276"/>
      <c r="R465" s="290"/>
      <c r="S465" s="276"/>
      <c r="T465" s="290"/>
      <c r="U465" s="276"/>
      <c r="V465" s="290"/>
      <c r="W465" s="276"/>
      <c r="X465" s="290"/>
      <c r="Y465" s="271">
        <f t="shared" si="342"/>
        <v>0</v>
      </c>
      <c r="Z465" s="290">
        <f t="shared" si="343"/>
        <v>0</v>
      </c>
    </row>
    <row r="466" spans="2:26" ht="19.8" customHeight="1" x14ac:dyDescent="0.6">
      <c r="B466" s="268">
        <v>3</v>
      </c>
      <c r="C466" s="255" t="s">
        <v>246</v>
      </c>
      <c r="D466" s="303" t="s">
        <v>688</v>
      </c>
      <c r="E466" s="276" t="s">
        <v>57</v>
      </c>
      <c r="G466" s="290"/>
      <c r="I466" s="290">
        <v>126.78</v>
      </c>
      <c r="J466" s="298">
        <f t="shared" ref="J466:J474" si="344">IF(G466="-","-",IF(D466&gt;0,ROUNDDOWN(I466*D466,0),""))</f>
        <v>87604</v>
      </c>
      <c r="K466" s="316">
        <v>87604</v>
      </c>
      <c r="L466" s="271"/>
      <c r="M466" s="276"/>
      <c r="N466" s="290">
        <f t="shared" ref="N466:P474" si="345">ROUNDDOWN(M466*$I466,0)</f>
        <v>0</v>
      </c>
      <c r="O466" s="276"/>
      <c r="P466" s="290">
        <f t="shared" si="345"/>
        <v>0</v>
      </c>
      <c r="Q466" s="276"/>
      <c r="R466" s="290"/>
      <c r="S466" s="276"/>
      <c r="T466" s="290"/>
      <c r="U466" s="276"/>
      <c r="V466" s="290">
        <f t="shared" ref="V466:V474" si="346">ROUNDDOWN(U466*$I466,0)</f>
        <v>0</v>
      </c>
      <c r="W466" s="276"/>
      <c r="X466" s="290">
        <f t="shared" ref="X466:X467" si="347">ROUNDDOWN(W466*$I466,0)</f>
        <v>0</v>
      </c>
      <c r="Y466" s="271">
        <f t="shared" si="342"/>
        <v>0</v>
      </c>
      <c r="Z466" s="290">
        <f t="shared" si="343"/>
        <v>0</v>
      </c>
    </row>
    <row r="467" spans="2:26" ht="19.8" customHeight="1" x14ac:dyDescent="0.6">
      <c r="B467" s="268">
        <v>4</v>
      </c>
      <c r="C467" s="255" t="s">
        <v>195</v>
      </c>
      <c r="D467" s="303" t="s">
        <v>689</v>
      </c>
      <c r="E467" s="276" t="s">
        <v>55</v>
      </c>
      <c r="G467" s="290"/>
      <c r="I467" s="290">
        <v>38.21</v>
      </c>
      <c r="J467" s="298">
        <f t="shared" si="344"/>
        <v>122692</v>
      </c>
      <c r="K467" s="316">
        <v>122692</v>
      </c>
      <c r="L467" s="271"/>
      <c r="M467" s="276"/>
      <c r="N467" s="290">
        <f t="shared" si="345"/>
        <v>0</v>
      </c>
      <c r="O467" s="276"/>
      <c r="P467" s="290">
        <f t="shared" si="345"/>
        <v>0</v>
      </c>
      <c r="Q467" s="276"/>
      <c r="R467" s="290"/>
      <c r="S467" s="276"/>
      <c r="T467" s="290"/>
      <c r="U467" s="276"/>
      <c r="V467" s="290">
        <f t="shared" si="346"/>
        <v>0</v>
      </c>
      <c r="W467" s="276"/>
      <c r="X467" s="290">
        <f t="shared" si="347"/>
        <v>0</v>
      </c>
      <c r="Y467" s="271">
        <f t="shared" si="342"/>
        <v>0</v>
      </c>
      <c r="Z467" s="290">
        <f t="shared" si="343"/>
        <v>0</v>
      </c>
    </row>
    <row r="468" spans="2:26" ht="19.8" customHeight="1" x14ac:dyDescent="0.6">
      <c r="B468" s="268">
        <v>5</v>
      </c>
      <c r="C468" s="255" t="s">
        <v>229</v>
      </c>
      <c r="D468" s="303" t="s">
        <v>690</v>
      </c>
      <c r="E468" s="276" t="s">
        <v>57</v>
      </c>
      <c r="G468" s="290"/>
      <c r="I468" s="290">
        <v>16735.45</v>
      </c>
      <c r="J468" s="298">
        <f t="shared" si="344"/>
        <v>7196243</v>
      </c>
      <c r="K468" s="316">
        <v>7196243</v>
      </c>
      <c r="L468" s="271" t="s">
        <v>892</v>
      </c>
      <c r="M468" s="276"/>
      <c r="N468" s="290">
        <f t="shared" si="345"/>
        <v>0</v>
      </c>
      <c r="O468" s="276">
        <f>200+200</f>
        <v>400</v>
      </c>
      <c r="P468" s="290">
        <f>2670000+2670000</f>
        <v>5340000</v>
      </c>
      <c r="Q468" s="276"/>
      <c r="R468" s="290"/>
      <c r="S468" s="276"/>
      <c r="T468" s="290"/>
      <c r="U468" s="276"/>
      <c r="V468" s="290">
        <f>N468+P468</f>
        <v>5340000</v>
      </c>
      <c r="W468" s="276"/>
      <c r="X468" s="290">
        <f>P468+R468</f>
        <v>5340000</v>
      </c>
      <c r="Y468" s="271">
        <f t="shared" si="342"/>
        <v>400</v>
      </c>
      <c r="Z468" s="290">
        <f t="shared" si="343"/>
        <v>5340000</v>
      </c>
    </row>
    <row r="469" spans="2:26" ht="19.8" customHeight="1" x14ac:dyDescent="0.6">
      <c r="B469" s="268">
        <v>8</v>
      </c>
      <c r="C469" s="255" t="s">
        <v>215</v>
      </c>
      <c r="D469" s="303" t="s">
        <v>691</v>
      </c>
      <c r="E469" s="276" t="s">
        <v>55</v>
      </c>
      <c r="G469" s="290"/>
      <c r="I469" s="290">
        <v>328.91</v>
      </c>
      <c r="J469" s="298">
        <f t="shared" si="344"/>
        <v>618679</v>
      </c>
      <c r="K469" s="316">
        <v>618679</v>
      </c>
      <c r="L469" s="271"/>
      <c r="M469" s="276"/>
      <c r="N469" s="290">
        <f t="shared" si="345"/>
        <v>0</v>
      </c>
      <c r="O469" s="276"/>
      <c r="P469" s="290">
        <f t="shared" si="345"/>
        <v>0</v>
      </c>
      <c r="Q469" s="276"/>
      <c r="R469" s="290"/>
      <c r="S469" s="276"/>
      <c r="T469" s="290"/>
      <c r="U469" s="276"/>
      <c r="V469" s="290">
        <f t="shared" si="346"/>
        <v>0</v>
      </c>
      <c r="W469" s="276"/>
      <c r="X469" s="290">
        <f t="shared" ref="X469:X474" si="348">ROUNDDOWN(W469*$I469,0)</f>
        <v>0</v>
      </c>
      <c r="Y469" s="271">
        <f t="shared" si="342"/>
        <v>0</v>
      </c>
      <c r="Z469" s="290">
        <f t="shared" si="343"/>
        <v>0</v>
      </c>
    </row>
    <row r="470" spans="2:26" ht="19.8" customHeight="1" x14ac:dyDescent="0.6">
      <c r="B470" s="268">
        <v>9</v>
      </c>
      <c r="C470" s="255" t="s">
        <v>247</v>
      </c>
      <c r="D470" s="303" t="s">
        <v>692</v>
      </c>
      <c r="E470" s="276" t="s">
        <v>55</v>
      </c>
      <c r="G470" s="290"/>
      <c r="I470" s="290">
        <v>324.95</v>
      </c>
      <c r="J470" s="298">
        <f t="shared" si="344"/>
        <v>404595</v>
      </c>
      <c r="K470" s="316">
        <v>404595</v>
      </c>
      <c r="L470" s="271"/>
      <c r="M470" s="276"/>
      <c r="N470" s="290">
        <f t="shared" si="345"/>
        <v>0</v>
      </c>
      <c r="O470" s="276"/>
      <c r="P470" s="290">
        <f t="shared" si="345"/>
        <v>0</v>
      </c>
      <c r="Q470" s="276"/>
      <c r="R470" s="290"/>
      <c r="S470" s="276"/>
      <c r="T470" s="290"/>
      <c r="U470" s="276"/>
      <c r="V470" s="290">
        <f t="shared" si="346"/>
        <v>0</v>
      </c>
      <c r="W470" s="276"/>
      <c r="X470" s="290">
        <f t="shared" si="348"/>
        <v>0</v>
      </c>
      <c r="Y470" s="271">
        <f t="shared" si="342"/>
        <v>0</v>
      </c>
      <c r="Z470" s="290">
        <f t="shared" si="343"/>
        <v>0</v>
      </c>
    </row>
    <row r="471" spans="2:26" ht="19.8" customHeight="1" x14ac:dyDescent="0.6">
      <c r="B471" s="268">
        <v>13</v>
      </c>
      <c r="C471" s="255" t="s">
        <v>257</v>
      </c>
      <c r="D471" s="303" t="s">
        <v>693</v>
      </c>
      <c r="E471" s="276" t="s">
        <v>54</v>
      </c>
      <c r="G471" s="290"/>
      <c r="I471" s="290">
        <v>354.97</v>
      </c>
      <c r="J471" s="298">
        <f t="shared" si="344"/>
        <v>55020</v>
      </c>
      <c r="K471" s="316">
        <v>55020</v>
      </c>
      <c r="L471" s="271"/>
      <c r="M471" s="276"/>
      <c r="N471" s="290">
        <f t="shared" si="345"/>
        <v>0</v>
      </c>
      <c r="O471" s="276"/>
      <c r="P471" s="290">
        <f t="shared" si="345"/>
        <v>0</v>
      </c>
      <c r="Q471" s="276"/>
      <c r="R471" s="290"/>
      <c r="S471" s="276"/>
      <c r="T471" s="290"/>
      <c r="U471" s="276"/>
      <c r="V471" s="290">
        <f t="shared" si="346"/>
        <v>0</v>
      </c>
      <c r="W471" s="276"/>
      <c r="X471" s="290">
        <f t="shared" si="348"/>
        <v>0</v>
      </c>
      <c r="Y471" s="271">
        <f t="shared" si="342"/>
        <v>0</v>
      </c>
      <c r="Z471" s="290">
        <f t="shared" si="343"/>
        <v>0</v>
      </c>
    </row>
    <row r="472" spans="2:26" ht="19.8" customHeight="1" x14ac:dyDescent="0.6">
      <c r="B472" s="268">
        <v>14</v>
      </c>
      <c r="C472" s="255" t="s">
        <v>253</v>
      </c>
      <c r="D472" s="303" t="s">
        <v>694</v>
      </c>
      <c r="E472" s="276" t="s">
        <v>57</v>
      </c>
      <c r="G472" s="290"/>
      <c r="I472" s="290">
        <v>745.67</v>
      </c>
      <c r="J472" s="298">
        <f t="shared" si="344"/>
        <v>572674</v>
      </c>
      <c r="K472" s="316">
        <v>572674</v>
      </c>
      <c r="L472" s="271"/>
      <c r="M472" s="276"/>
      <c r="N472" s="290">
        <f t="shared" si="345"/>
        <v>0</v>
      </c>
      <c r="O472" s="276"/>
      <c r="P472" s="290">
        <f t="shared" si="345"/>
        <v>0</v>
      </c>
      <c r="Q472" s="276"/>
      <c r="R472" s="290"/>
      <c r="S472" s="276"/>
      <c r="T472" s="290"/>
      <c r="U472" s="276"/>
      <c r="V472" s="290">
        <f t="shared" si="346"/>
        <v>0</v>
      </c>
      <c r="W472" s="276"/>
      <c r="X472" s="290">
        <f t="shared" si="348"/>
        <v>0</v>
      </c>
      <c r="Y472" s="271">
        <f t="shared" si="342"/>
        <v>0</v>
      </c>
      <c r="Z472" s="290">
        <f t="shared" si="343"/>
        <v>0</v>
      </c>
    </row>
    <row r="473" spans="2:26" ht="19.8" customHeight="1" x14ac:dyDescent="0.6">
      <c r="B473" s="268">
        <v>15</v>
      </c>
      <c r="C473" s="255" t="s">
        <v>254</v>
      </c>
      <c r="D473" s="303" t="s">
        <v>694</v>
      </c>
      <c r="E473" s="276" t="s">
        <v>57</v>
      </c>
      <c r="G473" s="290"/>
      <c r="I473" s="290">
        <v>433.34</v>
      </c>
      <c r="J473" s="298">
        <f t="shared" si="344"/>
        <v>332805</v>
      </c>
      <c r="K473" s="316">
        <v>332805</v>
      </c>
      <c r="L473" s="271"/>
      <c r="M473" s="276"/>
      <c r="N473" s="290">
        <f t="shared" si="345"/>
        <v>0</v>
      </c>
      <c r="O473" s="276"/>
      <c r="P473" s="290">
        <f t="shared" si="345"/>
        <v>0</v>
      </c>
      <c r="Q473" s="276"/>
      <c r="R473" s="290"/>
      <c r="S473" s="276"/>
      <c r="T473" s="290"/>
      <c r="U473" s="276"/>
      <c r="V473" s="290">
        <f t="shared" si="346"/>
        <v>0</v>
      </c>
      <c r="W473" s="276"/>
      <c r="X473" s="290">
        <f t="shared" si="348"/>
        <v>0</v>
      </c>
      <c r="Y473" s="271">
        <f t="shared" si="342"/>
        <v>0</v>
      </c>
      <c r="Z473" s="290">
        <f t="shared" si="343"/>
        <v>0</v>
      </c>
    </row>
    <row r="474" spans="2:26" ht="19.8" customHeight="1" x14ac:dyDescent="0.6">
      <c r="B474" s="268">
        <v>16</v>
      </c>
      <c r="C474" s="255" t="s">
        <v>255</v>
      </c>
      <c r="D474" s="303" t="s">
        <v>695</v>
      </c>
      <c r="E474" s="276" t="s">
        <v>54</v>
      </c>
      <c r="G474" s="290"/>
      <c r="I474" s="290">
        <v>368.8</v>
      </c>
      <c r="J474" s="298">
        <f t="shared" si="344"/>
        <v>424857</v>
      </c>
      <c r="K474" s="316">
        <v>424857</v>
      </c>
      <c r="L474" s="271"/>
      <c r="M474" s="276"/>
      <c r="N474" s="290">
        <f t="shared" si="345"/>
        <v>0</v>
      </c>
      <c r="O474" s="276"/>
      <c r="P474" s="290">
        <f t="shared" si="345"/>
        <v>0</v>
      </c>
      <c r="Q474" s="276"/>
      <c r="R474" s="290"/>
      <c r="S474" s="276"/>
      <c r="T474" s="290"/>
      <c r="U474" s="276"/>
      <c r="V474" s="290">
        <f t="shared" si="346"/>
        <v>0</v>
      </c>
      <c r="W474" s="276"/>
      <c r="X474" s="290">
        <f t="shared" si="348"/>
        <v>0</v>
      </c>
      <c r="Y474" s="271">
        <f t="shared" si="342"/>
        <v>0</v>
      </c>
      <c r="Z474" s="290">
        <f t="shared" si="343"/>
        <v>0</v>
      </c>
    </row>
    <row r="475" spans="2:26" ht="19.8" customHeight="1" x14ac:dyDescent="0.6">
      <c r="B475" s="268"/>
      <c r="C475" s="255" t="s">
        <v>226</v>
      </c>
      <c r="D475" s="303"/>
      <c r="E475" s="276"/>
      <c r="G475" s="290"/>
      <c r="I475" s="290"/>
      <c r="J475" s="298"/>
      <c r="K475" s="316"/>
      <c r="L475" s="271"/>
      <c r="M475" s="276"/>
      <c r="N475" s="290"/>
      <c r="O475" s="276"/>
      <c r="P475" s="290"/>
      <c r="Q475" s="276"/>
      <c r="R475" s="290"/>
      <c r="S475" s="276"/>
      <c r="T475" s="290"/>
      <c r="U475" s="276"/>
      <c r="V475" s="290"/>
      <c r="W475" s="276"/>
      <c r="X475" s="290"/>
      <c r="Y475" s="271">
        <f t="shared" si="342"/>
        <v>0</v>
      </c>
      <c r="Z475" s="290">
        <f t="shared" si="343"/>
        <v>0</v>
      </c>
    </row>
    <row r="476" spans="2:26" ht="19.8" customHeight="1" x14ac:dyDescent="0.6">
      <c r="B476" s="268">
        <v>17</v>
      </c>
      <c r="C476" s="255" t="s">
        <v>258</v>
      </c>
      <c r="D476" s="303" t="s">
        <v>665</v>
      </c>
      <c r="E476" s="276" t="s">
        <v>54</v>
      </c>
      <c r="G476" s="290"/>
      <c r="I476" s="290">
        <v>420.66</v>
      </c>
      <c r="J476" s="298">
        <f t="shared" ref="J476:J477" si="349">IF(G476="-","-",IF(D476&gt;0,ROUNDDOWN(I476*D476,0),""))</f>
        <v>30287</v>
      </c>
      <c r="K476" s="316">
        <v>30287</v>
      </c>
      <c r="L476" s="271"/>
      <c r="M476" s="276"/>
      <c r="N476" s="290">
        <f t="shared" ref="N476:P477" si="350">ROUNDDOWN(M476*$I476,0)</f>
        <v>0</v>
      </c>
      <c r="O476" s="276"/>
      <c r="P476" s="290">
        <f t="shared" si="350"/>
        <v>0</v>
      </c>
      <c r="Q476" s="276"/>
      <c r="R476" s="290"/>
      <c r="S476" s="276"/>
      <c r="T476" s="290"/>
      <c r="U476" s="276"/>
      <c r="V476" s="290">
        <f t="shared" ref="V476:V477" si="351">ROUNDDOWN(U476*$I476,0)</f>
        <v>0</v>
      </c>
      <c r="W476" s="276"/>
      <c r="X476" s="290">
        <f t="shared" ref="X476:X477" si="352">ROUNDDOWN(W476*$I476,0)</f>
        <v>0</v>
      </c>
      <c r="Y476" s="271">
        <f t="shared" si="342"/>
        <v>0</v>
      </c>
      <c r="Z476" s="290">
        <f t="shared" si="343"/>
        <v>0</v>
      </c>
    </row>
    <row r="477" spans="2:26" ht="19.8" customHeight="1" x14ac:dyDescent="0.6">
      <c r="B477" s="268">
        <v>18</v>
      </c>
      <c r="C477" s="255" t="s">
        <v>256</v>
      </c>
      <c r="D477" s="303" t="s">
        <v>695</v>
      </c>
      <c r="E477" s="276" t="s">
        <v>54</v>
      </c>
      <c r="G477" s="290"/>
      <c r="I477" s="290">
        <v>1286.19</v>
      </c>
      <c r="J477" s="298">
        <f t="shared" si="349"/>
        <v>1481690</v>
      </c>
      <c r="K477" s="316">
        <v>1481690</v>
      </c>
      <c r="L477" s="271"/>
      <c r="M477" s="276"/>
      <c r="N477" s="290">
        <f t="shared" si="350"/>
        <v>0</v>
      </c>
      <c r="O477" s="276"/>
      <c r="P477" s="290">
        <f t="shared" si="350"/>
        <v>0</v>
      </c>
      <c r="Q477" s="276"/>
      <c r="R477" s="290"/>
      <c r="S477" s="276"/>
      <c r="T477" s="290"/>
      <c r="U477" s="276"/>
      <c r="V477" s="290">
        <f t="shared" si="351"/>
        <v>0</v>
      </c>
      <c r="W477" s="276"/>
      <c r="X477" s="290">
        <f t="shared" si="352"/>
        <v>0</v>
      </c>
      <c r="Y477" s="271">
        <f t="shared" si="342"/>
        <v>0</v>
      </c>
      <c r="Z477" s="290">
        <f t="shared" si="343"/>
        <v>0</v>
      </c>
    </row>
    <row r="478" spans="2:26" ht="19.8" customHeight="1" x14ac:dyDescent="0.6">
      <c r="B478" s="268">
        <v>19</v>
      </c>
      <c r="C478" s="255" t="s">
        <v>59</v>
      </c>
      <c r="D478" s="303"/>
      <c r="E478" s="276"/>
      <c r="G478" s="290"/>
      <c r="I478" s="290"/>
      <c r="J478" s="298"/>
      <c r="K478" s="316"/>
      <c r="L478" s="271"/>
      <c r="M478" s="276"/>
      <c r="N478" s="290"/>
      <c r="O478" s="276"/>
      <c r="P478" s="290"/>
      <c r="Q478" s="276"/>
      <c r="R478" s="290"/>
      <c r="S478" s="276"/>
      <c r="T478" s="290"/>
      <c r="U478" s="276"/>
      <c r="V478" s="290"/>
      <c r="W478" s="276"/>
      <c r="X478" s="290"/>
      <c r="Y478" s="271">
        <f t="shared" si="342"/>
        <v>0</v>
      </c>
      <c r="Z478" s="290">
        <f t="shared" si="343"/>
        <v>0</v>
      </c>
    </row>
    <row r="479" spans="2:26" ht="19.8" customHeight="1" x14ac:dyDescent="0.6">
      <c r="B479" s="268"/>
      <c r="C479" s="255" t="s">
        <v>648</v>
      </c>
      <c r="D479" s="303"/>
      <c r="E479" s="276"/>
      <c r="G479" s="290"/>
      <c r="I479" s="290"/>
      <c r="J479" s="298"/>
      <c r="K479" s="316"/>
      <c r="L479" s="271"/>
      <c r="M479" s="276"/>
      <c r="N479" s="290"/>
      <c r="O479" s="276"/>
      <c r="P479" s="290"/>
      <c r="Q479" s="276"/>
      <c r="R479" s="290"/>
      <c r="S479" s="276"/>
      <c r="T479" s="290"/>
      <c r="U479" s="276"/>
      <c r="V479" s="290"/>
      <c r="W479" s="276"/>
      <c r="X479" s="290"/>
      <c r="Y479" s="271">
        <f t="shared" si="342"/>
        <v>0</v>
      </c>
      <c r="Z479" s="290">
        <f t="shared" si="343"/>
        <v>0</v>
      </c>
    </row>
    <row r="480" spans="2:26" ht="19.8" customHeight="1" x14ac:dyDescent="0.6">
      <c r="B480" s="268">
        <v>20</v>
      </c>
      <c r="C480" s="255" t="s">
        <v>259</v>
      </c>
      <c r="D480" s="303" t="s">
        <v>696</v>
      </c>
      <c r="E480" s="276" t="s">
        <v>54</v>
      </c>
      <c r="G480" s="290"/>
      <c r="I480" s="290">
        <v>108.36</v>
      </c>
      <c r="J480" s="298">
        <f t="shared" ref="J480:J490" si="353">IF(G480="-","-",IF(D480&gt;0,ROUNDDOWN(I480*D480,0),""))</f>
        <v>449260</v>
      </c>
      <c r="K480" s="316">
        <v>449260</v>
      </c>
      <c r="L480" s="271"/>
      <c r="M480" s="276"/>
      <c r="N480" s="290">
        <f t="shared" ref="N480:P490" si="354">ROUNDDOWN(M480*$I480,0)</f>
        <v>0</v>
      </c>
      <c r="O480" s="276"/>
      <c r="P480" s="290">
        <f t="shared" si="354"/>
        <v>0</v>
      </c>
      <c r="Q480" s="276"/>
      <c r="R480" s="290"/>
      <c r="S480" s="276"/>
      <c r="T480" s="290"/>
      <c r="U480" s="276"/>
      <c r="V480" s="290">
        <f t="shared" ref="V480:V490" si="355">ROUNDDOWN(U480*$I480,0)</f>
        <v>0</v>
      </c>
      <c r="W480" s="276"/>
      <c r="X480" s="290">
        <f t="shared" ref="X480:X490" si="356">ROUNDDOWN(W480*$I480,0)</f>
        <v>0</v>
      </c>
      <c r="Y480" s="271">
        <f t="shared" si="342"/>
        <v>0</v>
      </c>
      <c r="Z480" s="290">
        <f t="shared" si="343"/>
        <v>0</v>
      </c>
    </row>
    <row r="481" spans="2:26" ht="19.8" customHeight="1" x14ac:dyDescent="0.6">
      <c r="B481" s="268">
        <v>21</v>
      </c>
      <c r="C481" s="255" t="s">
        <v>243</v>
      </c>
      <c r="D481" s="303" t="s">
        <v>697</v>
      </c>
      <c r="E481" s="276" t="s">
        <v>55</v>
      </c>
      <c r="G481" s="290"/>
      <c r="I481" s="290">
        <v>617.54</v>
      </c>
      <c r="J481" s="298">
        <f t="shared" si="353"/>
        <v>384449</v>
      </c>
      <c r="K481" s="316">
        <v>384449</v>
      </c>
      <c r="L481" s="271"/>
      <c r="M481" s="276"/>
      <c r="N481" s="290">
        <f t="shared" si="354"/>
        <v>0</v>
      </c>
      <c r="O481" s="276"/>
      <c r="P481" s="290">
        <f t="shared" si="354"/>
        <v>0</v>
      </c>
      <c r="Q481" s="276"/>
      <c r="R481" s="290"/>
      <c r="S481" s="276"/>
      <c r="T481" s="290"/>
      <c r="U481" s="276"/>
      <c r="V481" s="290">
        <f t="shared" si="355"/>
        <v>0</v>
      </c>
      <c r="W481" s="276"/>
      <c r="X481" s="290">
        <f t="shared" si="356"/>
        <v>0</v>
      </c>
      <c r="Y481" s="271">
        <f t="shared" si="342"/>
        <v>0</v>
      </c>
      <c r="Z481" s="290">
        <f t="shared" si="343"/>
        <v>0</v>
      </c>
    </row>
    <row r="482" spans="2:26" ht="19.8" customHeight="1" x14ac:dyDescent="0.6">
      <c r="B482" s="268">
        <v>22</v>
      </c>
      <c r="C482" s="255" t="s">
        <v>622</v>
      </c>
      <c r="D482" s="303" t="s">
        <v>687</v>
      </c>
      <c r="E482" s="276" t="s">
        <v>54</v>
      </c>
      <c r="G482" s="290"/>
      <c r="I482" s="290">
        <v>447.01</v>
      </c>
      <c r="J482" s="298">
        <f t="shared" si="353"/>
        <v>2782860</v>
      </c>
      <c r="K482" s="316">
        <v>2782860</v>
      </c>
      <c r="L482" s="271"/>
      <c r="M482" s="276"/>
      <c r="N482" s="290">
        <f t="shared" si="354"/>
        <v>0</v>
      </c>
      <c r="O482" s="276"/>
      <c r="P482" s="290">
        <f t="shared" si="354"/>
        <v>0</v>
      </c>
      <c r="Q482" s="276"/>
      <c r="R482" s="290"/>
      <c r="S482" s="276"/>
      <c r="T482" s="290"/>
      <c r="U482" s="276"/>
      <c r="V482" s="290">
        <f t="shared" si="355"/>
        <v>0</v>
      </c>
      <c r="W482" s="276"/>
      <c r="X482" s="290">
        <f t="shared" si="356"/>
        <v>0</v>
      </c>
      <c r="Y482" s="271">
        <f t="shared" si="342"/>
        <v>0</v>
      </c>
      <c r="Z482" s="290">
        <f t="shared" si="343"/>
        <v>0</v>
      </c>
    </row>
    <row r="483" spans="2:26" ht="19.8" customHeight="1" x14ac:dyDescent="0.6">
      <c r="B483" s="268">
        <v>23</v>
      </c>
      <c r="C483" s="255" t="s">
        <v>630</v>
      </c>
      <c r="D483" s="303" t="s">
        <v>687</v>
      </c>
      <c r="E483" s="276" t="s">
        <v>54</v>
      </c>
      <c r="G483" s="290"/>
      <c r="I483" s="290">
        <v>16.96</v>
      </c>
      <c r="J483" s="298">
        <f t="shared" si="353"/>
        <v>105584</v>
      </c>
      <c r="K483" s="316">
        <v>105584</v>
      </c>
      <c r="L483" s="271"/>
      <c r="M483" s="276"/>
      <c r="N483" s="290">
        <f t="shared" si="354"/>
        <v>0</v>
      </c>
      <c r="O483" s="276"/>
      <c r="P483" s="290">
        <f t="shared" si="354"/>
        <v>0</v>
      </c>
      <c r="Q483" s="276"/>
      <c r="R483" s="290"/>
      <c r="S483" s="276"/>
      <c r="T483" s="290"/>
      <c r="U483" s="276"/>
      <c r="V483" s="290">
        <f t="shared" si="355"/>
        <v>0</v>
      </c>
      <c r="W483" s="276"/>
      <c r="X483" s="290">
        <f t="shared" si="356"/>
        <v>0</v>
      </c>
      <c r="Y483" s="271">
        <f t="shared" si="342"/>
        <v>0</v>
      </c>
      <c r="Z483" s="290">
        <f t="shared" si="343"/>
        <v>0</v>
      </c>
    </row>
    <row r="484" spans="2:26" ht="19.8" customHeight="1" x14ac:dyDescent="0.6">
      <c r="B484" s="268">
        <v>24</v>
      </c>
      <c r="C484" s="255" t="s">
        <v>677</v>
      </c>
      <c r="D484" s="303" t="s">
        <v>687</v>
      </c>
      <c r="E484" s="276" t="s">
        <v>54</v>
      </c>
      <c r="G484" s="290"/>
      <c r="I484" s="290">
        <v>293.86</v>
      </c>
      <c r="J484" s="298">
        <f t="shared" si="353"/>
        <v>1829425</v>
      </c>
      <c r="K484" s="316">
        <v>1829425</v>
      </c>
      <c r="L484" s="271"/>
      <c r="M484" s="276"/>
      <c r="N484" s="290">
        <f t="shared" si="354"/>
        <v>0</v>
      </c>
      <c r="O484" s="276"/>
      <c r="P484" s="290">
        <f t="shared" si="354"/>
        <v>0</v>
      </c>
      <c r="Q484" s="276"/>
      <c r="R484" s="290"/>
      <c r="S484" s="276"/>
      <c r="T484" s="290"/>
      <c r="U484" s="276"/>
      <c r="V484" s="290">
        <f t="shared" si="355"/>
        <v>0</v>
      </c>
      <c r="W484" s="276"/>
      <c r="X484" s="290">
        <f t="shared" si="356"/>
        <v>0</v>
      </c>
      <c r="Y484" s="271">
        <f t="shared" si="342"/>
        <v>0</v>
      </c>
      <c r="Z484" s="290">
        <f t="shared" si="343"/>
        <v>0</v>
      </c>
    </row>
    <row r="485" spans="2:26" ht="19.8" customHeight="1" x14ac:dyDescent="0.6">
      <c r="B485" s="268">
        <v>25</v>
      </c>
      <c r="C485" s="255" t="s">
        <v>678</v>
      </c>
      <c r="D485" s="303" t="s">
        <v>686</v>
      </c>
      <c r="E485" s="276" t="s">
        <v>54</v>
      </c>
      <c r="G485" s="290"/>
      <c r="I485" s="290">
        <v>303.06</v>
      </c>
      <c r="J485" s="298">
        <f t="shared" si="353"/>
        <v>110010</v>
      </c>
      <c r="K485" s="316">
        <v>110010</v>
      </c>
      <c r="L485" s="271"/>
      <c r="M485" s="276"/>
      <c r="N485" s="290">
        <f t="shared" si="354"/>
        <v>0</v>
      </c>
      <c r="O485" s="276"/>
      <c r="P485" s="290">
        <f t="shared" si="354"/>
        <v>0</v>
      </c>
      <c r="Q485" s="276"/>
      <c r="R485" s="290"/>
      <c r="S485" s="276"/>
      <c r="T485" s="290"/>
      <c r="U485" s="276"/>
      <c r="V485" s="290">
        <f t="shared" si="355"/>
        <v>0</v>
      </c>
      <c r="W485" s="276"/>
      <c r="X485" s="290">
        <f t="shared" si="356"/>
        <v>0</v>
      </c>
      <c r="Y485" s="271">
        <f t="shared" si="342"/>
        <v>0</v>
      </c>
      <c r="Z485" s="290">
        <f t="shared" si="343"/>
        <v>0</v>
      </c>
    </row>
    <row r="486" spans="2:26" ht="19.8" customHeight="1" x14ac:dyDescent="0.6">
      <c r="B486" s="268">
        <v>26</v>
      </c>
      <c r="C486" s="255" t="s">
        <v>649</v>
      </c>
      <c r="D486" s="303" t="s">
        <v>685</v>
      </c>
      <c r="E486" s="276" t="s">
        <v>57</v>
      </c>
      <c r="G486" s="290"/>
      <c r="I486" s="290">
        <v>6580.78</v>
      </c>
      <c r="J486" s="298">
        <f t="shared" si="353"/>
        <v>3185097</v>
      </c>
      <c r="K486" s="316">
        <v>3185097</v>
      </c>
      <c r="L486" s="271"/>
      <c r="M486" s="276"/>
      <c r="N486" s="290">
        <f t="shared" si="354"/>
        <v>0</v>
      </c>
      <c r="O486" s="276"/>
      <c r="P486" s="290">
        <f t="shared" si="354"/>
        <v>0</v>
      </c>
      <c r="Q486" s="276"/>
      <c r="R486" s="290"/>
      <c r="S486" s="276"/>
      <c r="T486" s="290"/>
      <c r="U486" s="276"/>
      <c r="V486" s="290">
        <f t="shared" si="355"/>
        <v>0</v>
      </c>
      <c r="W486" s="276"/>
      <c r="X486" s="290">
        <f t="shared" si="356"/>
        <v>0</v>
      </c>
      <c r="Y486" s="271">
        <f t="shared" si="342"/>
        <v>0</v>
      </c>
      <c r="Z486" s="290">
        <f t="shared" si="343"/>
        <v>0</v>
      </c>
    </row>
    <row r="487" spans="2:26" ht="19.8" customHeight="1" x14ac:dyDescent="0.6">
      <c r="B487" s="268">
        <v>27</v>
      </c>
      <c r="C487" s="255" t="s">
        <v>679</v>
      </c>
      <c r="D487" s="303" t="s">
        <v>684</v>
      </c>
      <c r="E487" s="276" t="s">
        <v>57</v>
      </c>
      <c r="G487" s="290"/>
      <c r="I487" s="290">
        <v>1240.5899999999999</v>
      </c>
      <c r="J487" s="298">
        <f t="shared" si="353"/>
        <v>393887</v>
      </c>
      <c r="K487" s="316">
        <v>393887</v>
      </c>
      <c r="L487" s="271"/>
      <c r="M487" s="276"/>
      <c r="N487" s="290">
        <f t="shared" si="354"/>
        <v>0</v>
      </c>
      <c r="O487" s="276"/>
      <c r="P487" s="290">
        <f t="shared" si="354"/>
        <v>0</v>
      </c>
      <c r="Q487" s="276"/>
      <c r="R487" s="290"/>
      <c r="S487" s="276"/>
      <c r="T487" s="290"/>
      <c r="U487" s="276"/>
      <c r="V487" s="290">
        <f t="shared" si="355"/>
        <v>0</v>
      </c>
      <c r="W487" s="276"/>
      <c r="X487" s="290">
        <f t="shared" si="356"/>
        <v>0</v>
      </c>
      <c r="Y487" s="271">
        <f t="shared" si="342"/>
        <v>0</v>
      </c>
      <c r="Z487" s="290">
        <f t="shared" si="343"/>
        <v>0</v>
      </c>
    </row>
    <row r="488" spans="2:26" ht="19.8" customHeight="1" x14ac:dyDescent="0.6">
      <c r="B488" s="268">
        <v>28</v>
      </c>
      <c r="C488" s="255" t="s">
        <v>680</v>
      </c>
      <c r="D488" s="303" t="s">
        <v>683</v>
      </c>
      <c r="E488" s="276" t="s">
        <v>58</v>
      </c>
      <c r="G488" s="290"/>
      <c r="I488" s="290">
        <v>19515.28</v>
      </c>
      <c r="J488" s="298">
        <f t="shared" si="353"/>
        <v>702550</v>
      </c>
      <c r="K488" s="316">
        <v>702550</v>
      </c>
      <c r="L488" s="271"/>
      <c r="M488" s="276"/>
      <c r="N488" s="290">
        <f t="shared" si="354"/>
        <v>0</v>
      </c>
      <c r="O488" s="276"/>
      <c r="P488" s="290">
        <f t="shared" si="354"/>
        <v>0</v>
      </c>
      <c r="Q488" s="276"/>
      <c r="R488" s="290"/>
      <c r="S488" s="276"/>
      <c r="T488" s="290"/>
      <c r="U488" s="276"/>
      <c r="V488" s="290">
        <f t="shared" si="355"/>
        <v>0</v>
      </c>
      <c r="W488" s="276"/>
      <c r="X488" s="290">
        <f t="shared" si="356"/>
        <v>0</v>
      </c>
      <c r="Y488" s="271">
        <f t="shared" si="342"/>
        <v>0</v>
      </c>
      <c r="Z488" s="290">
        <f t="shared" si="343"/>
        <v>0</v>
      </c>
    </row>
    <row r="489" spans="2:26" ht="19.8" customHeight="1" x14ac:dyDescent="0.6">
      <c r="B489" s="268">
        <v>29</v>
      </c>
      <c r="C489" s="255" t="s">
        <v>651</v>
      </c>
      <c r="D489" s="303" t="s">
        <v>682</v>
      </c>
      <c r="E489" s="276" t="s">
        <v>58</v>
      </c>
      <c r="G489" s="290"/>
      <c r="I489" s="290">
        <v>21151.83</v>
      </c>
      <c r="J489" s="298">
        <f t="shared" si="353"/>
        <v>1311413</v>
      </c>
      <c r="K489" s="316">
        <v>1311413</v>
      </c>
      <c r="L489" s="271"/>
      <c r="M489" s="276"/>
      <c r="N489" s="290">
        <f t="shared" si="354"/>
        <v>0</v>
      </c>
      <c r="O489" s="276"/>
      <c r="P489" s="290">
        <f t="shared" si="354"/>
        <v>0</v>
      </c>
      <c r="Q489" s="276"/>
      <c r="R489" s="290"/>
      <c r="S489" s="276"/>
      <c r="T489" s="290"/>
      <c r="U489" s="276"/>
      <c r="V489" s="290">
        <f t="shared" si="355"/>
        <v>0</v>
      </c>
      <c r="W489" s="276"/>
      <c r="X489" s="290">
        <f t="shared" si="356"/>
        <v>0</v>
      </c>
      <c r="Y489" s="271">
        <f t="shared" si="342"/>
        <v>0</v>
      </c>
      <c r="Z489" s="290">
        <f t="shared" si="343"/>
        <v>0</v>
      </c>
    </row>
    <row r="490" spans="2:26" ht="19.8" customHeight="1" x14ac:dyDescent="0.6">
      <c r="B490" s="268">
        <v>30</v>
      </c>
      <c r="C490" s="255" t="s">
        <v>681</v>
      </c>
      <c r="D490" s="303" t="s">
        <v>567</v>
      </c>
      <c r="E490" s="276" t="s">
        <v>58</v>
      </c>
      <c r="G490" s="290"/>
      <c r="I490" s="290">
        <v>57555.85</v>
      </c>
      <c r="J490" s="298">
        <f t="shared" si="353"/>
        <v>2187122</v>
      </c>
      <c r="K490" s="316">
        <v>2187122</v>
      </c>
      <c r="L490" s="271"/>
      <c r="M490" s="276"/>
      <c r="N490" s="290">
        <f t="shared" si="354"/>
        <v>0</v>
      </c>
      <c r="O490" s="276"/>
      <c r="P490" s="290">
        <f t="shared" si="354"/>
        <v>0</v>
      </c>
      <c r="Q490" s="276"/>
      <c r="R490" s="290"/>
      <c r="S490" s="276"/>
      <c r="T490" s="290"/>
      <c r="U490" s="276"/>
      <c r="V490" s="290">
        <f t="shared" si="355"/>
        <v>0</v>
      </c>
      <c r="W490" s="276"/>
      <c r="X490" s="290">
        <f t="shared" si="356"/>
        <v>0</v>
      </c>
      <c r="Y490" s="271">
        <f t="shared" si="342"/>
        <v>0</v>
      </c>
      <c r="Z490" s="290">
        <f t="shared" si="343"/>
        <v>0</v>
      </c>
    </row>
    <row r="491" spans="2:26" ht="19.8" customHeight="1" x14ac:dyDescent="0.6">
      <c r="B491" s="268"/>
      <c r="C491" s="255" t="s">
        <v>231</v>
      </c>
      <c r="D491" s="303"/>
      <c r="E491" s="276"/>
      <c r="G491" s="290"/>
      <c r="I491" s="290"/>
      <c r="J491" s="298"/>
      <c r="K491" s="316"/>
      <c r="L491" s="271"/>
      <c r="M491" s="276"/>
      <c r="N491" s="290"/>
      <c r="O491" s="276"/>
      <c r="P491" s="290"/>
      <c r="Q491" s="276"/>
      <c r="R491" s="290"/>
      <c r="S491" s="276"/>
      <c r="T491" s="290"/>
      <c r="U491" s="276"/>
      <c r="V491" s="290"/>
      <c r="W491" s="276"/>
      <c r="X491" s="290"/>
      <c r="Y491" s="271">
        <f t="shared" si="342"/>
        <v>0</v>
      </c>
      <c r="Z491" s="290">
        <f t="shared" si="343"/>
        <v>0</v>
      </c>
    </row>
    <row r="492" spans="2:26" ht="19.8" customHeight="1" x14ac:dyDescent="0.6">
      <c r="B492" s="268"/>
      <c r="D492" s="303"/>
      <c r="E492" s="276"/>
      <c r="G492" s="290"/>
      <c r="I492" s="290"/>
      <c r="J492" s="298"/>
      <c r="K492" s="316"/>
      <c r="L492" s="271"/>
      <c r="M492" s="276"/>
      <c r="N492" s="290"/>
      <c r="O492" s="276"/>
      <c r="P492" s="290"/>
      <c r="Q492" s="276"/>
      <c r="R492" s="290"/>
      <c r="S492" s="276"/>
      <c r="T492" s="290"/>
      <c r="U492" s="276"/>
      <c r="V492" s="290"/>
      <c r="W492" s="276"/>
      <c r="X492" s="290"/>
      <c r="Y492" s="271">
        <f t="shared" si="342"/>
        <v>0</v>
      </c>
      <c r="Z492" s="290">
        <f t="shared" si="343"/>
        <v>0</v>
      </c>
    </row>
    <row r="493" spans="2:26" ht="19.8" customHeight="1" x14ac:dyDescent="0.6">
      <c r="B493" s="826" t="s">
        <v>698</v>
      </c>
      <c r="C493" s="827"/>
      <c r="D493" s="294" t="s">
        <v>688</v>
      </c>
      <c r="E493" s="257" t="s">
        <v>57</v>
      </c>
      <c r="F493" s="296"/>
      <c r="G493" s="293"/>
      <c r="H493" s="297"/>
      <c r="I493" s="293"/>
      <c r="J493" s="299">
        <f>SUM(J463:J492)</f>
        <v>24768803</v>
      </c>
      <c r="K493" s="319">
        <v>24768803</v>
      </c>
      <c r="L493" s="262"/>
      <c r="M493" s="257"/>
      <c r="N493" s="326">
        <f>SUM(N463:N492)</f>
        <v>0</v>
      </c>
      <c r="O493" s="257"/>
      <c r="P493" s="326">
        <f>SUM(P463:P492)</f>
        <v>5340000</v>
      </c>
      <c r="Q493" s="257"/>
      <c r="R493" s="326">
        <f>SUM(R463:R492)</f>
        <v>0</v>
      </c>
      <c r="S493" s="257"/>
      <c r="T493" s="326">
        <f>SUM(T463:T492)</f>
        <v>0</v>
      </c>
      <c r="U493" s="257"/>
      <c r="V493" s="326">
        <f>SUM(V463:V492)</f>
        <v>5340000</v>
      </c>
      <c r="W493" s="257"/>
      <c r="X493" s="326">
        <f>SUM(X463:X492)</f>
        <v>5340000</v>
      </c>
      <c r="Y493" s="262">
        <f t="shared" si="342"/>
        <v>0</v>
      </c>
      <c r="Z493" s="293">
        <f>N493+P493+R493</f>
        <v>5340000</v>
      </c>
    </row>
    <row r="494" spans="2:26" ht="19.8" customHeight="1" x14ac:dyDescent="0.6">
      <c r="B494" s="306" t="s">
        <v>699</v>
      </c>
      <c r="C494" s="255" t="s">
        <v>109</v>
      </c>
      <c r="D494" s="303"/>
      <c r="E494" s="276"/>
      <c r="G494" s="290"/>
      <c r="I494" s="290"/>
      <c r="J494" s="298"/>
      <c r="K494" s="316"/>
      <c r="L494" s="271"/>
      <c r="M494" s="276"/>
      <c r="N494" s="290"/>
      <c r="O494" s="276"/>
      <c r="P494" s="290"/>
      <c r="Q494" s="276"/>
      <c r="R494" s="290"/>
      <c r="S494" s="276"/>
      <c r="T494" s="290"/>
      <c r="U494" s="276"/>
      <c r="V494" s="290"/>
      <c r="W494" s="276"/>
      <c r="X494" s="290"/>
      <c r="Y494" s="271">
        <f t="shared" si="342"/>
        <v>0</v>
      </c>
      <c r="Z494" s="290">
        <f t="shared" si="343"/>
        <v>0</v>
      </c>
    </row>
    <row r="495" spans="2:26" ht="19.8" customHeight="1" x14ac:dyDescent="0.6">
      <c r="B495" s="268"/>
      <c r="C495" s="255" t="s">
        <v>700</v>
      </c>
      <c r="D495" s="303"/>
      <c r="E495" s="276"/>
      <c r="G495" s="290"/>
      <c r="I495" s="290"/>
      <c r="J495" s="298"/>
      <c r="K495" s="316"/>
      <c r="L495" s="271"/>
      <c r="M495" s="276"/>
      <c r="N495" s="290"/>
      <c r="O495" s="276"/>
      <c r="P495" s="290"/>
      <c r="Q495" s="276"/>
      <c r="R495" s="290"/>
      <c r="S495" s="276"/>
      <c r="T495" s="290"/>
      <c r="U495" s="276"/>
      <c r="V495" s="290"/>
      <c r="W495" s="276"/>
      <c r="X495" s="290"/>
      <c r="Y495" s="271">
        <f t="shared" si="342"/>
        <v>0</v>
      </c>
      <c r="Z495" s="290">
        <f t="shared" si="343"/>
        <v>0</v>
      </c>
    </row>
    <row r="496" spans="2:26" ht="19.8" customHeight="1" x14ac:dyDescent="0.6">
      <c r="B496" s="268"/>
      <c r="C496" s="255" t="s">
        <v>701</v>
      </c>
      <c r="D496" s="303"/>
      <c r="E496" s="276"/>
      <c r="G496" s="290"/>
      <c r="I496" s="290"/>
      <c r="J496" s="298"/>
      <c r="K496" s="316"/>
      <c r="L496" s="271"/>
      <c r="M496" s="276"/>
      <c r="N496" s="290"/>
      <c r="O496" s="276"/>
      <c r="P496" s="290"/>
      <c r="Q496" s="276"/>
      <c r="R496" s="290"/>
      <c r="S496" s="276"/>
      <c r="T496" s="290"/>
      <c r="U496" s="276"/>
      <c r="V496" s="290"/>
      <c r="W496" s="276"/>
      <c r="X496" s="290"/>
      <c r="Y496" s="271">
        <f t="shared" si="342"/>
        <v>0</v>
      </c>
      <c r="Z496" s="290">
        <f t="shared" si="343"/>
        <v>0</v>
      </c>
    </row>
    <row r="497" spans="2:26" ht="19.8" customHeight="1" x14ac:dyDescent="0.6">
      <c r="B497" s="268">
        <v>1</v>
      </c>
      <c r="C497" s="255" t="s">
        <v>247</v>
      </c>
      <c r="D497" s="303" t="s">
        <v>702</v>
      </c>
      <c r="E497" s="276" t="s">
        <v>55</v>
      </c>
      <c r="G497" s="290"/>
      <c r="I497" s="290">
        <v>324.95</v>
      </c>
      <c r="J497" s="298">
        <f t="shared" ref="J497:J504" si="357">IF(G497="-","-",IF(D497&gt;0,ROUNDDOWN(I497*D497,0),""))</f>
        <v>246637</v>
      </c>
      <c r="K497" s="316">
        <v>246637</v>
      </c>
      <c r="L497" s="271"/>
      <c r="M497" s="276"/>
      <c r="N497" s="290">
        <f t="shared" ref="N497:P504" si="358">ROUNDDOWN(M497*$I497,0)</f>
        <v>0</v>
      </c>
      <c r="O497" s="276"/>
      <c r="P497" s="290">
        <f t="shared" si="358"/>
        <v>0</v>
      </c>
      <c r="Q497" s="276"/>
      <c r="R497" s="290"/>
      <c r="S497" s="276"/>
      <c r="T497" s="290"/>
      <c r="U497" s="276"/>
      <c r="V497" s="290">
        <f t="shared" ref="V497:V504" si="359">ROUNDDOWN(U497*$I497,0)</f>
        <v>0</v>
      </c>
      <c r="W497" s="276"/>
      <c r="X497" s="290">
        <f t="shared" ref="X497:X504" si="360">ROUNDDOWN(W497*$I497,0)</f>
        <v>0</v>
      </c>
      <c r="Y497" s="271">
        <f t="shared" si="342"/>
        <v>0</v>
      </c>
      <c r="Z497" s="290">
        <f t="shared" si="343"/>
        <v>0</v>
      </c>
    </row>
    <row r="498" spans="2:26" ht="19.8" customHeight="1" x14ac:dyDescent="0.6">
      <c r="B498" s="268">
        <v>2</v>
      </c>
      <c r="C498" s="255" t="s">
        <v>248</v>
      </c>
      <c r="D498" s="303" t="s">
        <v>703</v>
      </c>
      <c r="E498" s="276" t="s">
        <v>55</v>
      </c>
      <c r="G498" s="290"/>
      <c r="I498" s="290">
        <v>778.24</v>
      </c>
      <c r="J498" s="298">
        <f t="shared" si="357"/>
        <v>554885</v>
      </c>
      <c r="K498" s="316">
        <v>554885</v>
      </c>
      <c r="L498" s="271"/>
      <c r="M498" s="276"/>
      <c r="N498" s="290">
        <f t="shared" si="358"/>
        <v>0</v>
      </c>
      <c r="O498" s="276"/>
      <c r="P498" s="290">
        <f t="shared" si="358"/>
        <v>0</v>
      </c>
      <c r="Q498" s="276"/>
      <c r="R498" s="290"/>
      <c r="S498" s="276"/>
      <c r="T498" s="290"/>
      <c r="U498" s="276"/>
      <c r="V498" s="290">
        <f t="shared" si="359"/>
        <v>0</v>
      </c>
      <c r="W498" s="276"/>
      <c r="X498" s="290">
        <f t="shared" si="360"/>
        <v>0</v>
      </c>
      <c r="Y498" s="271">
        <f t="shared" si="342"/>
        <v>0</v>
      </c>
      <c r="Z498" s="290">
        <f t="shared" si="343"/>
        <v>0</v>
      </c>
    </row>
    <row r="499" spans="2:26" ht="19.8" customHeight="1" x14ac:dyDescent="0.6">
      <c r="B499" s="268">
        <v>3</v>
      </c>
      <c r="C499" s="255" t="s">
        <v>249</v>
      </c>
      <c r="D499" s="303" t="s">
        <v>704</v>
      </c>
      <c r="E499" s="276" t="s">
        <v>54</v>
      </c>
      <c r="G499" s="290"/>
      <c r="I499" s="290">
        <v>45.02</v>
      </c>
      <c r="J499" s="298">
        <f t="shared" si="357"/>
        <v>166574</v>
      </c>
      <c r="K499" s="316">
        <v>166574</v>
      </c>
      <c r="L499" s="271"/>
      <c r="M499" s="276"/>
      <c r="N499" s="290">
        <f t="shared" si="358"/>
        <v>0</v>
      </c>
      <c r="O499" s="276"/>
      <c r="P499" s="290">
        <f t="shared" si="358"/>
        <v>0</v>
      </c>
      <c r="Q499" s="276"/>
      <c r="R499" s="290"/>
      <c r="S499" s="276"/>
      <c r="T499" s="290"/>
      <c r="U499" s="276"/>
      <c r="V499" s="290">
        <f t="shared" si="359"/>
        <v>0</v>
      </c>
      <c r="W499" s="276"/>
      <c r="X499" s="290">
        <f t="shared" si="360"/>
        <v>0</v>
      </c>
      <c r="Y499" s="271">
        <f t="shared" si="342"/>
        <v>0</v>
      </c>
      <c r="Z499" s="290">
        <f t="shared" si="343"/>
        <v>0</v>
      </c>
    </row>
    <row r="500" spans="2:26" ht="19.8" customHeight="1" x14ac:dyDescent="0.6">
      <c r="B500" s="268">
        <v>4</v>
      </c>
      <c r="C500" s="255" t="s">
        <v>250</v>
      </c>
      <c r="D500" s="303" t="s">
        <v>705</v>
      </c>
      <c r="E500" s="276" t="s">
        <v>54</v>
      </c>
      <c r="G500" s="290"/>
      <c r="I500" s="290">
        <v>293.86</v>
      </c>
      <c r="J500" s="298">
        <f t="shared" si="357"/>
        <v>1013817</v>
      </c>
      <c r="K500" s="316">
        <v>1013817</v>
      </c>
      <c r="L500" s="271"/>
      <c r="M500" s="276"/>
      <c r="N500" s="290">
        <f t="shared" si="358"/>
        <v>0</v>
      </c>
      <c r="O500" s="276"/>
      <c r="P500" s="290">
        <f t="shared" si="358"/>
        <v>0</v>
      </c>
      <c r="Q500" s="276"/>
      <c r="R500" s="290"/>
      <c r="S500" s="276"/>
      <c r="T500" s="290"/>
      <c r="U500" s="276"/>
      <c r="V500" s="290">
        <f t="shared" si="359"/>
        <v>0</v>
      </c>
      <c r="W500" s="276"/>
      <c r="X500" s="290">
        <f t="shared" si="360"/>
        <v>0</v>
      </c>
      <c r="Y500" s="271">
        <f t="shared" si="342"/>
        <v>0</v>
      </c>
      <c r="Z500" s="290">
        <f t="shared" si="343"/>
        <v>0</v>
      </c>
    </row>
    <row r="501" spans="2:26" ht="19.8" customHeight="1" x14ac:dyDescent="0.6">
      <c r="B501" s="268">
        <v>5</v>
      </c>
      <c r="C501" s="255" t="s">
        <v>251</v>
      </c>
      <c r="D501" s="303" t="s">
        <v>706</v>
      </c>
      <c r="E501" s="276" t="s">
        <v>54</v>
      </c>
      <c r="G501" s="290"/>
      <c r="I501" s="290">
        <v>303.06</v>
      </c>
      <c r="J501" s="298">
        <f t="shared" si="357"/>
        <v>75765</v>
      </c>
      <c r="K501" s="316">
        <v>75765</v>
      </c>
      <c r="L501" s="271"/>
      <c r="M501" s="276"/>
      <c r="N501" s="290">
        <f t="shared" si="358"/>
        <v>0</v>
      </c>
      <c r="O501" s="276"/>
      <c r="P501" s="290">
        <f t="shared" si="358"/>
        <v>0</v>
      </c>
      <c r="Q501" s="276"/>
      <c r="R501" s="290"/>
      <c r="S501" s="276"/>
      <c r="T501" s="290"/>
      <c r="U501" s="276"/>
      <c r="V501" s="290">
        <f t="shared" si="359"/>
        <v>0</v>
      </c>
      <c r="W501" s="276"/>
      <c r="X501" s="290">
        <f t="shared" si="360"/>
        <v>0</v>
      </c>
      <c r="Y501" s="271">
        <f t="shared" si="342"/>
        <v>0</v>
      </c>
      <c r="Z501" s="290">
        <f t="shared" si="343"/>
        <v>0</v>
      </c>
    </row>
    <row r="502" spans="2:26" ht="19.8" customHeight="1" x14ac:dyDescent="0.6">
      <c r="B502" s="268">
        <v>6</v>
      </c>
      <c r="C502" s="255" t="s">
        <v>260</v>
      </c>
      <c r="D502" s="303" t="s">
        <v>707</v>
      </c>
      <c r="E502" s="276" t="s">
        <v>55</v>
      </c>
      <c r="G502" s="290"/>
      <c r="I502" s="290">
        <v>778.24</v>
      </c>
      <c r="J502" s="298">
        <f t="shared" si="357"/>
        <v>62259</v>
      </c>
      <c r="K502" s="316">
        <v>62259</v>
      </c>
      <c r="L502" s="271"/>
      <c r="M502" s="276"/>
      <c r="N502" s="290">
        <f t="shared" si="358"/>
        <v>0</v>
      </c>
      <c r="O502" s="276"/>
      <c r="P502" s="290">
        <f t="shared" si="358"/>
        <v>0</v>
      </c>
      <c r="Q502" s="276"/>
      <c r="R502" s="290"/>
      <c r="S502" s="276"/>
      <c r="T502" s="290"/>
      <c r="U502" s="276"/>
      <c r="V502" s="290">
        <f t="shared" si="359"/>
        <v>0</v>
      </c>
      <c r="W502" s="276"/>
      <c r="X502" s="290">
        <f t="shared" si="360"/>
        <v>0</v>
      </c>
      <c r="Y502" s="271">
        <f t="shared" si="342"/>
        <v>0</v>
      </c>
      <c r="Z502" s="290">
        <f t="shared" si="343"/>
        <v>0</v>
      </c>
    </row>
    <row r="503" spans="2:26" ht="19.8" customHeight="1" x14ac:dyDescent="0.6">
      <c r="B503" s="268">
        <v>8</v>
      </c>
      <c r="C503" s="255" t="s">
        <v>257</v>
      </c>
      <c r="D503" s="303" t="s">
        <v>708</v>
      </c>
      <c r="E503" s="276" t="s">
        <v>54</v>
      </c>
      <c r="G503" s="290"/>
      <c r="I503" s="290">
        <v>354.97</v>
      </c>
      <c r="J503" s="298">
        <f t="shared" si="357"/>
        <v>45791</v>
      </c>
      <c r="K503" s="316">
        <v>45791</v>
      </c>
      <c r="L503" s="271"/>
      <c r="M503" s="276"/>
      <c r="N503" s="290">
        <f t="shared" si="358"/>
        <v>0</v>
      </c>
      <c r="O503" s="276"/>
      <c r="P503" s="290">
        <f t="shared" si="358"/>
        <v>0</v>
      </c>
      <c r="Q503" s="276"/>
      <c r="R503" s="290"/>
      <c r="S503" s="276"/>
      <c r="T503" s="290"/>
      <c r="U503" s="276"/>
      <c r="V503" s="290">
        <f t="shared" si="359"/>
        <v>0</v>
      </c>
      <c r="W503" s="276"/>
      <c r="X503" s="290">
        <f t="shared" si="360"/>
        <v>0</v>
      </c>
      <c r="Y503" s="271">
        <f t="shared" si="342"/>
        <v>0</v>
      </c>
      <c r="Z503" s="290">
        <f t="shared" si="343"/>
        <v>0</v>
      </c>
    </row>
    <row r="504" spans="2:26" ht="19.8" customHeight="1" x14ac:dyDescent="0.6">
      <c r="B504" s="268">
        <v>9</v>
      </c>
      <c r="C504" s="255" t="s">
        <v>233</v>
      </c>
      <c r="D504" s="303" t="s">
        <v>454</v>
      </c>
      <c r="E504" s="276" t="s">
        <v>57</v>
      </c>
      <c r="G504" s="290"/>
      <c r="I504" s="290">
        <v>1452.28</v>
      </c>
      <c r="J504" s="298">
        <f t="shared" si="357"/>
        <v>87136</v>
      </c>
      <c r="K504" s="316">
        <v>87136</v>
      </c>
      <c r="L504" s="271"/>
      <c r="M504" s="276"/>
      <c r="N504" s="290">
        <f t="shared" si="358"/>
        <v>0</v>
      </c>
      <c r="O504" s="276"/>
      <c r="P504" s="290">
        <f t="shared" si="358"/>
        <v>0</v>
      </c>
      <c r="Q504" s="276"/>
      <c r="R504" s="290"/>
      <c r="S504" s="276"/>
      <c r="T504" s="290"/>
      <c r="U504" s="276"/>
      <c r="V504" s="290">
        <f t="shared" si="359"/>
        <v>0</v>
      </c>
      <c r="W504" s="276"/>
      <c r="X504" s="290">
        <f t="shared" si="360"/>
        <v>0</v>
      </c>
      <c r="Y504" s="271">
        <f t="shared" si="342"/>
        <v>0</v>
      </c>
      <c r="Z504" s="290">
        <f t="shared" si="343"/>
        <v>0</v>
      </c>
    </row>
    <row r="505" spans="2:26" ht="19.8" customHeight="1" x14ac:dyDescent="0.6">
      <c r="B505" s="268">
        <v>10</v>
      </c>
      <c r="C505" s="255" t="s">
        <v>59</v>
      </c>
      <c r="D505" s="303"/>
      <c r="E505" s="276"/>
      <c r="G505" s="290"/>
      <c r="I505" s="290"/>
      <c r="J505" s="298"/>
      <c r="K505" s="316"/>
      <c r="L505" s="271"/>
      <c r="M505" s="276"/>
      <c r="N505" s="290"/>
      <c r="O505" s="276"/>
      <c r="P505" s="290"/>
      <c r="Q505" s="276"/>
      <c r="R505" s="290"/>
      <c r="S505" s="276"/>
      <c r="T505" s="290"/>
      <c r="U505" s="276"/>
      <c r="V505" s="290"/>
      <c r="W505" s="276"/>
      <c r="X505" s="290"/>
      <c r="Y505" s="271">
        <f t="shared" si="342"/>
        <v>0</v>
      </c>
      <c r="Z505" s="290">
        <f t="shared" si="343"/>
        <v>0</v>
      </c>
    </row>
    <row r="506" spans="2:26" ht="19.8" customHeight="1" x14ac:dyDescent="0.6">
      <c r="B506" s="268"/>
      <c r="D506" s="303"/>
      <c r="E506" s="276"/>
      <c r="G506" s="290"/>
      <c r="I506" s="290"/>
      <c r="J506" s="298"/>
      <c r="K506" s="316"/>
      <c r="L506" s="271"/>
      <c r="M506" s="276"/>
      <c r="N506" s="290"/>
      <c r="O506" s="276"/>
      <c r="P506" s="290"/>
      <c r="Q506" s="276"/>
      <c r="R506" s="290"/>
      <c r="S506" s="276"/>
      <c r="T506" s="290"/>
      <c r="U506" s="276"/>
      <c r="V506" s="290"/>
      <c r="W506" s="276"/>
      <c r="X506" s="290"/>
      <c r="Y506" s="271">
        <f t="shared" si="342"/>
        <v>0</v>
      </c>
      <c r="Z506" s="290">
        <f t="shared" si="343"/>
        <v>0</v>
      </c>
    </row>
    <row r="507" spans="2:26" ht="19.8" customHeight="1" x14ac:dyDescent="0.6">
      <c r="B507" s="826" t="s">
        <v>710</v>
      </c>
      <c r="C507" s="827"/>
      <c r="D507" s="294" t="s">
        <v>709</v>
      </c>
      <c r="E507" s="257" t="s">
        <v>57</v>
      </c>
      <c r="F507" s="296"/>
      <c r="G507" s="293"/>
      <c r="H507" s="297"/>
      <c r="I507" s="293"/>
      <c r="J507" s="299">
        <f>SUM(J494:J506)</f>
        <v>2252864</v>
      </c>
      <c r="K507" s="319">
        <v>2252864</v>
      </c>
      <c r="L507" s="262"/>
      <c r="M507" s="257"/>
      <c r="N507" s="326">
        <f>SUM(N494:N506)</f>
        <v>0</v>
      </c>
      <c r="O507" s="257"/>
      <c r="P507" s="326">
        <f>SUM(P494:P506)</f>
        <v>0</v>
      </c>
      <c r="Q507" s="257"/>
      <c r="R507" s="326">
        <f>SUM(R494:R506)</f>
        <v>0</v>
      </c>
      <c r="S507" s="257"/>
      <c r="T507" s="326">
        <f>SUM(T494:T506)</f>
        <v>0</v>
      </c>
      <c r="U507" s="257"/>
      <c r="V507" s="326">
        <f>SUM(V494:V506)</f>
        <v>0</v>
      </c>
      <c r="W507" s="257"/>
      <c r="X507" s="326">
        <f>SUM(X494:X506)</f>
        <v>0</v>
      </c>
      <c r="Y507" s="262">
        <f t="shared" si="342"/>
        <v>0</v>
      </c>
      <c r="Z507" s="293">
        <f>N507+P507+R507</f>
        <v>0</v>
      </c>
    </row>
    <row r="508" spans="2:26" ht="19.8" customHeight="1" x14ac:dyDescent="0.6">
      <c r="B508" s="306" t="s">
        <v>711</v>
      </c>
      <c r="C508" s="255" t="s">
        <v>110</v>
      </c>
      <c r="D508" s="303"/>
      <c r="E508" s="276"/>
      <c r="G508" s="290"/>
      <c r="I508" s="290"/>
      <c r="J508" s="298"/>
      <c r="K508" s="316"/>
      <c r="L508" s="271"/>
      <c r="M508" s="276"/>
      <c r="N508" s="290"/>
      <c r="O508" s="276"/>
      <c r="P508" s="290"/>
      <c r="Q508" s="276"/>
      <c r="R508" s="290"/>
      <c r="S508" s="276"/>
      <c r="T508" s="290"/>
      <c r="U508" s="276"/>
      <c r="V508" s="290"/>
      <c r="W508" s="276"/>
      <c r="X508" s="290"/>
      <c r="Y508" s="271">
        <f t="shared" si="342"/>
        <v>0</v>
      </c>
      <c r="Z508" s="290">
        <f t="shared" si="343"/>
        <v>0</v>
      </c>
    </row>
    <row r="509" spans="2:26" ht="19.8" customHeight="1" x14ac:dyDescent="0.6">
      <c r="B509" s="268"/>
      <c r="C509" s="255" t="s">
        <v>712</v>
      </c>
      <c r="D509" s="303"/>
      <c r="E509" s="276"/>
      <c r="G509" s="290"/>
      <c r="I509" s="290"/>
      <c r="J509" s="298"/>
      <c r="K509" s="316"/>
      <c r="L509" s="271"/>
      <c r="M509" s="276"/>
      <c r="N509" s="290"/>
      <c r="O509" s="276"/>
      <c r="P509" s="290"/>
      <c r="Q509" s="276"/>
      <c r="R509" s="290"/>
      <c r="S509" s="276"/>
      <c r="T509" s="290"/>
      <c r="U509" s="276"/>
      <c r="V509" s="290"/>
      <c r="W509" s="276"/>
      <c r="X509" s="290"/>
      <c r="Y509" s="271">
        <f t="shared" si="342"/>
        <v>0</v>
      </c>
      <c r="Z509" s="290">
        <f t="shared" si="343"/>
        <v>0</v>
      </c>
    </row>
    <row r="510" spans="2:26" ht="19.8" customHeight="1" x14ac:dyDescent="0.6">
      <c r="B510" s="268"/>
      <c r="C510" s="255" t="s">
        <v>713</v>
      </c>
      <c r="D510" s="303"/>
      <c r="E510" s="276"/>
      <c r="G510" s="290"/>
      <c r="I510" s="290"/>
      <c r="J510" s="298"/>
      <c r="K510" s="316"/>
      <c r="L510" s="271"/>
      <c r="M510" s="276"/>
      <c r="N510" s="290"/>
      <c r="O510" s="276"/>
      <c r="P510" s="290"/>
      <c r="Q510" s="276"/>
      <c r="R510" s="290"/>
      <c r="S510" s="276"/>
      <c r="T510" s="290"/>
      <c r="U510" s="276"/>
      <c r="V510" s="290"/>
      <c r="W510" s="276"/>
      <c r="X510" s="290"/>
      <c r="Y510" s="271">
        <f t="shared" si="342"/>
        <v>0</v>
      </c>
      <c r="Z510" s="290">
        <f t="shared" si="343"/>
        <v>0</v>
      </c>
    </row>
    <row r="511" spans="2:26" ht="19.8" customHeight="1" x14ac:dyDescent="0.6">
      <c r="B511" s="268">
        <v>1</v>
      </c>
      <c r="C511" s="255" t="s">
        <v>259</v>
      </c>
      <c r="D511" s="303" t="s">
        <v>714</v>
      </c>
      <c r="E511" s="276"/>
      <c r="G511" s="290"/>
      <c r="I511" s="290">
        <v>108.36</v>
      </c>
      <c r="J511" s="298">
        <f t="shared" ref="J511:J515" si="361">IF(G511="-","-",IF(D511&gt;0,ROUNDDOWN(I511*D511,0),""))</f>
        <v>182044</v>
      </c>
      <c r="K511" s="316">
        <v>182044</v>
      </c>
      <c r="L511" s="271"/>
      <c r="M511" s="276"/>
      <c r="N511" s="290">
        <f t="shared" ref="N511:P515" si="362">ROUNDDOWN(M511*$I511,0)</f>
        <v>0</v>
      </c>
      <c r="O511" s="276"/>
      <c r="P511" s="290">
        <f t="shared" si="362"/>
        <v>0</v>
      </c>
      <c r="Q511" s="276"/>
      <c r="R511" s="290"/>
      <c r="S511" s="276"/>
      <c r="T511" s="290"/>
      <c r="U511" s="276"/>
      <c r="V511" s="290">
        <f t="shared" ref="V511:V515" si="363">ROUNDDOWN(U511*$I511,0)</f>
        <v>0</v>
      </c>
      <c r="W511" s="276"/>
      <c r="X511" s="290">
        <f t="shared" ref="X511:X515" si="364">ROUNDDOWN(W511*$I511,0)</f>
        <v>0</v>
      </c>
      <c r="Y511" s="271">
        <f t="shared" si="342"/>
        <v>0</v>
      </c>
      <c r="Z511" s="290">
        <f t="shared" si="343"/>
        <v>0</v>
      </c>
    </row>
    <row r="512" spans="2:26" ht="19.8" customHeight="1" x14ac:dyDescent="0.6">
      <c r="B512" s="268">
        <v>2</v>
      </c>
      <c r="C512" s="255" t="s">
        <v>247</v>
      </c>
      <c r="D512" s="303" t="s">
        <v>715</v>
      </c>
      <c r="E512" s="276"/>
      <c r="G512" s="290"/>
      <c r="I512" s="290">
        <v>324.95</v>
      </c>
      <c r="J512" s="298">
        <f t="shared" si="361"/>
        <v>127055</v>
      </c>
      <c r="K512" s="316">
        <v>127055</v>
      </c>
      <c r="L512" s="271"/>
      <c r="M512" s="276"/>
      <c r="N512" s="290">
        <f t="shared" si="362"/>
        <v>0</v>
      </c>
      <c r="O512" s="276"/>
      <c r="P512" s="290">
        <f t="shared" si="362"/>
        <v>0</v>
      </c>
      <c r="Q512" s="276"/>
      <c r="R512" s="290"/>
      <c r="S512" s="276"/>
      <c r="T512" s="290"/>
      <c r="U512" s="276"/>
      <c r="V512" s="290">
        <f t="shared" si="363"/>
        <v>0</v>
      </c>
      <c r="W512" s="276"/>
      <c r="X512" s="290">
        <f t="shared" si="364"/>
        <v>0</v>
      </c>
      <c r="Y512" s="271">
        <f t="shared" si="342"/>
        <v>0</v>
      </c>
      <c r="Z512" s="290">
        <f t="shared" si="343"/>
        <v>0</v>
      </c>
    </row>
    <row r="513" spans="2:26" ht="19.8" customHeight="1" x14ac:dyDescent="0.6">
      <c r="B513" s="268">
        <v>5</v>
      </c>
      <c r="C513" s="255" t="s">
        <v>250</v>
      </c>
      <c r="D513" s="303" t="s">
        <v>716</v>
      </c>
      <c r="E513" s="276"/>
      <c r="G513" s="290"/>
      <c r="I513" s="290">
        <v>293.86</v>
      </c>
      <c r="J513" s="298">
        <f t="shared" si="361"/>
        <v>516899</v>
      </c>
      <c r="K513" s="316">
        <v>516899</v>
      </c>
      <c r="L513" s="271"/>
      <c r="M513" s="276"/>
      <c r="N513" s="290">
        <f t="shared" si="362"/>
        <v>0</v>
      </c>
      <c r="O513" s="276"/>
      <c r="P513" s="290">
        <f t="shared" si="362"/>
        <v>0</v>
      </c>
      <c r="Q513" s="276"/>
      <c r="R513" s="290"/>
      <c r="S513" s="276"/>
      <c r="T513" s="290"/>
      <c r="U513" s="276"/>
      <c r="V513" s="290">
        <f t="shared" si="363"/>
        <v>0</v>
      </c>
      <c r="W513" s="276"/>
      <c r="X513" s="290">
        <f t="shared" si="364"/>
        <v>0</v>
      </c>
      <c r="Y513" s="271">
        <f t="shared" si="342"/>
        <v>0</v>
      </c>
      <c r="Z513" s="290">
        <f t="shared" si="343"/>
        <v>0</v>
      </c>
    </row>
    <row r="514" spans="2:26" ht="19.8" customHeight="1" x14ac:dyDescent="0.6">
      <c r="B514" s="268">
        <v>6</v>
      </c>
      <c r="C514" s="255" t="s">
        <v>260</v>
      </c>
      <c r="D514" s="303" t="s">
        <v>717</v>
      </c>
      <c r="E514" s="276"/>
      <c r="G514" s="290"/>
      <c r="I514" s="290">
        <v>778.24</v>
      </c>
      <c r="J514" s="298">
        <f t="shared" si="361"/>
        <v>36577</v>
      </c>
      <c r="K514" s="316">
        <v>36577</v>
      </c>
      <c r="L514" s="271"/>
      <c r="M514" s="276"/>
      <c r="N514" s="290">
        <f t="shared" si="362"/>
        <v>0</v>
      </c>
      <c r="O514" s="276"/>
      <c r="P514" s="290">
        <f t="shared" si="362"/>
        <v>0</v>
      </c>
      <c r="Q514" s="276"/>
      <c r="R514" s="290"/>
      <c r="S514" s="276"/>
      <c r="T514" s="290"/>
      <c r="U514" s="276"/>
      <c r="V514" s="290">
        <f t="shared" si="363"/>
        <v>0</v>
      </c>
      <c r="W514" s="276"/>
      <c r="X514" s="290">
        <f t="shared" si="364"/>
        <v>0</v>
      </c>
      <c r="Y514" s="271">
        <f t="shared" si="342"/>
        <v>0</v>
      </c>
      <c r="Z514" s="290">
        <f t="shared" si="343"/>
        <v>0</v>
      </c>
    </row>
    <row r="515" spans="2:26" ht="19.8" customHeight="1" x14ac:dyDescent="0.6">
      <c r="B515" s="268">
        <v>7</v>
      </c>
      <c r="C515" s="255" t="s">
        <v>257</v>
      </c>
      <c r="D515" s="303" t="s">
        <v>718</v>
      </c>
      <c r="E515" s="276"/>
      <c r="G515" s="290"/>
      <c r="I515" s="290">
        <v>354.97</v>
      </c>
      <c r="J515" s="298">
        <f t="shared" si="361"/>
        <v>26622</v>
      </c>
      <c r="K515" s="316">
        <v>26622</v>
      </c>
      <c r="L515" s="271"/>
      <c r="M515" s="276"/>
      <c r="N515" s="290">
        <f t="shared" si="362"/>
        <v>0</v>
      </c>
      <c r="O515" s="276"/>
      <c r="P515" s="290">
        <f t="shared" si="362"/>
        <v>0</v>
      </c>
      <c r="Q515" s="276"/>
      <c r="R515" s="290"/>
      <c r="S515" s="276"/>
      <c r="T515" s="290"/>
      <c r="U515" s="276"/>
      <c r="V515" s="290">
        <f t="shared" si="363"/>
        <v>0</v>
      </c>
      <c r="W515" s="276"/>
      <c r="X515" s="290">
        <f t="shared" si="364"/>
        <v>0</v>
      </c>
      <c r="Y515" s="271">
        <f t="shared" si="342"/>
        <v>0</v>
      </c>
      <c r="Z515" s="290">
        <f t="shared" si="343"/>
        <v>0</v>
      </c>
    </row>
    <row r="516" spans="2:26" ht="19.8" customHeight="1" x14ac:dyDescent="0.6">
      <c r="B516" s="268">
        <v>8</v>
      </c>
      <c r="C516" s="255" t="s">
        <v>59</v>
      </c>
      <c r="D516" s="303"/>
      <c r="E516" s="276"/>
      <c r="G516" s="290"/>
      <c r="I516" s="290"/>
      <c r="J516" s="298"/>
      <c r="K516" s="316"/>
      <c r="L516" s="271"/>
      <c r="M516" s="276"/>
      <c r="N516" s="290"/>
      <c r="O516" s="276"/>
      <c r="P516" s="290"/>
      <c r="Q516" s="276"/>
      <c r="R516" s="290"/>
      <c r="S516" s="276"/>
      <c r="T516" s="290"/>
      <c r="U516" s="276"/>
      <c r="V516" s="290"/>
      <c r="W516" s="276"/>
      <c r="X516" s="290"/>
      <c r="Y516" s="271">
        <f t="shared" si="342"/>
        <v>0</v>
      </c>
      <c r="Z516" s="290">
        <f t="shared" si="343"/>
        <v>0</v>
      </c>
    </row>
    <row r="517" spans="2:26" ht="19.8" customHeight="1" x14ac:dyDescent="0.6">
      <c r="B517" s="268">
        <v>9</v>
      </c>
      <c r="C517" s="255" t="s">
        <v>720</v>
      </c>
      <c r="D517" s="303" t="s">
        <v>716</v>
      </c>
      <c r="E517" s="276" t="s">
        <v>54</v>
      </c>
      <c r="G517" s="290"/>
      <c r="I517" s="290">
        <v>16.96</v>
      </c>
      <c r="J517" s="298">
        <f t="shared" ref="J517:J522" si="365">IF(G517="-","-",IF(D517&gt;0,ROUNDDOWN(I517*D517,0),""))</f>
        <v>29832</v>
      </c>
      <c r="K517" s="316">
        <v>29832</v>
      </c>
      <c r="L517" s="271"/>
      <c r="M517" s="276"/>
      <c r="N517" s="290">
        <f t="shared" ref="N517:P522" si="366">ROUNDDOWN(M517*$I517,0)</f>
        <v>0</v>
      </c>
      <c r="O517" s="276"/>
      <c r="P517" s="290">
        <f t="shared" si="366"/>
        <v>0</v>
      </c>
      <c r="Q517" s="276"/>
      <c r="R517" s="290"/>
      <c r="S517" s="276"/>
      <c r="T517" s="290"/>
      <c r="U517" s="276"/>
      <c r="V517" s="290">
        <f t="shared" ref="V517:V522" si="367">ROUNDDOWN(U517*$I517,0)</f>
        <v>0</v>
      </c>
      <c r="W517" s="276"/>
      <c r="X517" s="290">
        <f t="shared" ref="X517:X522" si="368">ROUNDDOWN(W517*$I517,0)</f>
        <v>0</v>
      </c>
      <c r="Y517" s="271">
        <f t="shared" si="342"/>
        <v>0</v>
      </c>
      <c r="Z517" s="290">
        <f t="shared" si="343"/>
        <v>0</v>
      </c>
    </row>
    <row r="518" spans="2:26" ht="19.8" customHeight="1" x14ac:dyDescent="0.6">
      <c r="B518" s="268">
        <v>10</v>
      </c>
      <c r="C518" s="255" t="s">
        <v>243</v>
      </c>
      <c r="D518" s="303" t="s">
        <v>719</v>
      </c>
      <c r="E518" s="276" t="s">
        <v>55</v>
      </c>
      <c r="G518" s="290"/>
      <c r="I518" s="290">
        <v>617.54</v>
      </c>
      <c r="J518" s="298">
        <f t="shared" si="365"/>
        <v>108069</v>
      </c>
      <c r="K518" s="316">
        <v>108069</v>
      </c>
      <c r="L518" s="271"/>
      <c r="M518" s="276"/>
      <c r="N518" s="290">
        <f t="shared" si="366"/>
        <v>0</v>
      </c>
      <c r="O518" s="276"/>
      <c r="P518" s="290">
        <f t="shared" si="366"/>
        <v>0</v>
      </c>
      <c r="Q518" s="276"/>
      <c r="R518" s="290"/>
      <c r="S518" s="276"/>
      <c r="T518" s="290"/>
      <c r="U518" s="276"/>
      <c r="V518" s="290">
        <f t="shared" si="367"/>
        <v>0</v>
      </c>
      <c r="W518" s="276"/>
      <c r="X518" s="290">
        <f t="shared" si="368"/>
        <v>0</v>
      </c>
      <c r="Y518" s="271">
        <f t="shared" si="342"/>
        <v>0</v>
      </c>
      <c r="Z518" s="290">
        <f t="shared" si="343"/>
        <v>0</v>
      </c>
    </row>
    <row r="519" spans="2:26" ht="19.8" customHeight="1" x14ac:dyDescent="0.6">
      <c r="B519" s="268">
        <v>11</v>
      </c>
      <c r="C519" s="255" t="s">
        <v>622</v>
      </c>
      <c r="D519" s="303" t="s">
        <v>716</v>
      </c>
      <c r="E519" s="276" t="s">
        <v>54</v>
      </c>
      <c r="G519" s="290"/>
      <c r="I519" s="290">
        <v>447.01</v>
      </c>
      <c r="J519" s="298">
        <f t="shared" si="365"/>
        <v>786290</v>
      </c>
      <c r="K519" s="316">
        <v>786290</v>
      </c>
      <c r="L519" s="271"/>
      <c r="M519" s="276"/>
      <c r="N519" s="290">
        <f t="shared" si="366"/>
        <v>0</v>
      </c>
      <c r="O519" s="276"/>
      <c r="P519" s="290">
        <f t="shared" si="366"/>
        <v>0</v>
      </c>
      <c r="Q519" s="276"/>
      <c r="R519" s="290"/>
      <c r="S519" s="276"/>
      <c r="T519" s="290"/>
      <c r="U519" s="276"/>
      <c r="V519" s="290">
        <f t="shared" si="367"/>
        <v>0</v>
      </c>
      <c r="W519" s="276"/>
      <c r="X519" s="290">
        <f t="shared" si="368"/>
        <v>0</v>
      </c>
      <c r="Y519" s="271">
        <f t="shared" si="342"/>
        <v>0</v>
      </c>
      <c r="Z519" s="290">
        <f t="shared" si="343"/>
        <v>0</v>
      </c>
    </row>
    <row r="520" spans="2:26" ht="19.8" customHeight="1" x14ac:dyDescent="0.6">
      <c r="B520" s="268">
        <v>12</v>
      </c>
      <c r="C520" s="255" t="s">
        <v>623</v>
      </c>
      <c r="D520" s="303" t="s">
        <v>531</v>
      </c>
      <c r="E520" s="276" t="s">
        <v>57</v>
      </c>
      <c r="G520" s="290"/>
      <c r="I520" s="290">
        <v>277.14</v>
      </c>
      <c r="J520" s="298">
        <f t="shared" si="365"/>
        <v>4157</v>
      </c>
      <c r="K520" s="316">
        <v>4157</v>
      </c>
      <c r="L520" s="271"/>
      <c r="M520" s="276"/>
      <c r="N520" s="290">
        <f t="shared" si="366"/>
        <v>0</v>
      </c>
      <c r="O520" s="276"/>
      <c r="P520" s="290">
        <f t="shared" si="366"/>
        <v>0</v>
      </c>
      <c r="Q520" s="276"/>
      <c r="R520" s="290"/>
      <c r="S520" s="276"/>
      <c r="T520" s="290"/>
      <c r="U520" s="276"/>
      <c r="V520" s="290">
        <f t="shared" si="367"/>
        <v>0</v>
      </c>
      <c r="W520" s="276"/>
      <c r="X520" s="290">
        <f t="shared" si="368"/>
        <v>0</v>
      </c>
      <c r="Y520" s="271">
        <f t="shared" si="342"/>
        <v>0</v>
      </c>
      <c r="Z520" s="290">
        <f t="shared" si="343"/>
        <v>0</v>
      </c>
    </row>
    <row r="521" spans="2:26" ht="19.8" customHeight="1" x14ac:dyDescent="0.6">
      <c r="B521" s="268">
        <v>13</v>
      </c>
      <c r="C521" s="255" t="s">
        <v>624</v>
      </c>
      <c r="D521" s="303" t="s">
        <v>721</v>
      </c>
      <c r="E521" s="276" t="s">
        <v>57</v>
      </c>
      <c r="G521" s="290"/>
      <c r="I521" s="290">
        <v>181.83</v>
      </c>
      <c r="J521" s="298">
        <f t="shared" si="365"/>
        <v>27274</v>
      </c>
      <c r="K521" s="316">
        <v>27274</v>
      </c>
      <c r="L521" s="271"/>
      <c r="M521" s="276"/>
      <c r="N521" s="290">
        <f t="shared" si="366"/>
        <v>0</v>
      </c>
      <c r="O521" s="276"/>
      <c r="P521" s="290">
        <f t="shared" si="366"/>
        <v>0</v>
      </c>
      <c r="Q521" s="276"/>
      <c r="R521" s="290"/>
      <c r="S521" s="276"/>
      <c r="T521" s="290"/>
      <c r="U521" s="276"/>
      <c r="V521" s="290">
        <f t="shared" si="367"/>
        <v>0</v>
      </c>
      <c r="W521" s="276"/>
      <c r="X521" s="290">
        <f t="shared" si="368"/>
        <v>0</v>
      </c>
      <c r="Y521" s="271">
        <f t="shared" si="342"/>
        <v>0</v>
      </c>
      <c r="Z521" s="290">
        <f t="shared" si="343"/>
        <v>0</v>
      </c>
    </row>
    <row r="522" spans="2:26" ht="19.8" customHeight="1" x14ac:dyDescent="0.6">
      <c r="B522" s="268">
        <v>14</v>
      </c>
      <c r="C522" s="255" t="s">
        <v>625</v>
      </c>
      <c r="D522" s="303" t="s">
        <v>722</v>
      </c>
      <c r="E522" s="276" t="s">
        <v>57</v>
      </c>
      <c r="G522" s="290"/>
      <c r="I522" s="290">
        <v>63.47</v>
      </c>
      <c r="J522" s="298">
        <f t="shared" si="365"/>
        <v>21325</v>
      </c>
      <c r="K522" s="316">
        <v>21325</v>
      </c>
      <c r="L522" s="271"/>
      <c r="M522" s="276"/>
      <c r="N522" s="290">
        <f t="shared" si="366"/>
        <v>0</v>
      </c>
      <c r="O522" s="276"/>
      <c r="P522" s="290">
        <f t="shared" si="366"/>
        <v>0</v>
      </c>
      <c r="Q522" s="276"/>
      <c r="R522" s="290"/>
      <c r="S522" s="276"/>
      <c r="T522" s="290"/>
      <c r="U522" s="276"/>
      <c r="V522" s="290">
        <f t="shared" si="367"/>
        <v>0</v>
      </c>
      <c r="W522" s="276"/>
      <c r="X522" s="290">
        <f t="shared" si="368"/>
        <v>0</v>
      </c>
      <c r="Y522" s="271">
        <f t="shared" si="342"/>
        <v>0</v>
      </c>
      <c r="Z522" s="290">
        <f t="shared" si="343"/>
        <v>0</v>
      </c>
    </row>
    <row r="523" spans="2:26" ht="19.8" customHeight="1" x14ac:dyDescent="0.6">
      <c r="B523" s="268"/>
      <c r="D523" s="303"/>
      <c r="E523" s="276"/>
      <c r="G523" s="290"/>
      <c r="I523" s="290"/>
      <c r="J523" s="298"/>
      <c r="K523" s="316"/>
      <c r="L523" s="271"/>
      <c r="M523" s="276"/>
      <c r="N523" s="290"/>
      <c r="O523" s="276"/>
      <c r="P523" s="290"/>
      <c r="Q523" s="276"/>
      <c r="R523" s="290"/>
      <c r="S523" s="276"/>
      <c r="T523" s="290"/>
      <c r="U523" s="276"/>
      <c r="V523" s="290"/>
      <c r="W523" s="276"/>
      <c r="X523" s="290"/>
      <c r="Y523" s="271">
        <f t="shared" si="342"/>
        <v>0</v>
      </c>
      <c r="Z523" s="290">
        <f t="shared" si="343"/>
        <v>0</v>
      </c>
    </row>
    <row r="524" spans="2:26" ht="19.8" customHeight="1" x14ac:dyDescent="0.6">
      <c r="B524" s="826" t="s">
        <v>723</v>
      </c>
      <c r="C524" s="827"/>
      <c r="D524" s="294" t="s">
        <v>722</v>
      </c>
      <c r="E524" s="257" t="s">
        <v>57</v>
      </c>
      <c r="F524" s="296"/>
      <c r="G524" s="293"/>
      <c r="H524" s="297"/>
      <c r="I524" s="293"/>
      <c r="J524" s="299">
        <f>SUM(J508:J523)</f>
        <v>1866144</v>
      </c>
      <c r="K524" s="319">
        <v>1866144</v>
      </c>
      <c r="L524" s="262"/>
      <c r="M524" s="257"/>
      <c r="N524" s="326">
        <f>SUM(N508:N523)</f>
        <v>0</v>
      </c>
      <c r="O524" s="257"/>
      <c r="P524" s="326">
        <f>SUM(P508:P523)</f>
        <v>0</v>
      </c>
      <c r="Q524" s="257"/>
      <c r="R524" s="326">
        <f>SUM(R508:R523)</f>
        <v>0</v>
      </c>
      <c r="S524" s="257"/>
      <c r="T524" s="326">
        <f>SUM(T508:T523)</f>
        <v>0</v>
      </c>
      <c r="U524" s="257"/>
      <c r="V524" s="326">
        <f>SUM(V508:V523)</f>
        <v>0</v>
      </c>
      <c r="W524" s="257"/>
      <c r="X524" s="326">
        <f>SUM(X508:X523)</f>
        <v>0</v>
      </c>
      <c r="Y524" s="262">
        <f t="shared" si="342"/>
        <v>0</v>
      </c>
      <c r="Z524" s="293">
        <f>N524+P524+R524</f>
        <v>0</v>
      </c>
    </row>
    <row r="525" spans="2:26" ht="19.8" customHeight="1" x14ac:dyDescent="0.6">
      <c r="B525" s="306" t="s">
        <v>728</v>
      </c>
      <c r="C525" s="255" t="s">
        <v>724</v>
      </c>
      <c r="D525" s="303"/>
      <c r="E525" s="276"/>
      <c r="G525" s="290"/>
      <c r="I525" s="290"/>
      <c r="J525" s="298"/>
      <c r="K525" s="316"/>
      <c r="L525" s="271"/>
      <c r="M525" s="276"/>
      <c r="N525" s="290"/>
      <c r="O525" s="276"/>
      <c r="P525" s="290"/>
      <c r="Q525" s="276"/>
      <c r="R525" s="290"/>
      <c r="S525" s="276"/>
      <c r="T525" s="290"/>
      <c r="U525" s="276"/>
      <c r="V525" s="290"/>
      <c r="W525" s="276"/>
      <c r="X525" s="290"/>
      <c r="Y525" s="271">
        <f t="shared" ref="Y525:Y589" si="369">M525+O525</f>
        <v>0</v>
      </c>
      <c r="Z525" s="290">
        <f t="shared" ref="Z525:Z589" si="370">N525+P525</f>
        <v>0</v>
      </c>
    </row>
    <row r="526" spans="2:26" ht="19.8" customHeight="1" x14ac:dyDescent="0.6">
      <c r="B526" s="268"/>
      <c r="C526" s="255" t="s">
        <v>725</v>
      </c>
      <c r="D526" s="303"/>
      <c r="E526" s="276"/>
      <c r="G526" s="290"/>
      <c r="I526" s="290"/>
      <c r="J526" s="298"/>
      <c r="K526" s="316"/>
      <c r="L526" s="271"/>
      <c r="M526" s="276"/>
      <c r="N526" s="290"/>
      <c r="O526" s="276"/>
      <c r="P526" s="290"/>
      <c r="Q526" s="276"/>
      <c r="R526" s="290"/>
      <c r="S526" s="276"/>
      <c r="T526" s="290"/>
      <c r="U526" s="276"/>
      <c r="V526" s="290"/>
      <c r="W526" s="276"/>
      <c r="X526" s="290"/>
      <c r="Y526" s="271">
        <f t="shared" si="369"/>
        <v>0</v>
      </c>
      <c r="Z526" s="290">
        <f t="shared" si="370"/>
        <v>0</v>
      </c>
    </row>
    <row r="527" spans="2:26" ht="19.8" customHeight="1" x14ac:dyDescent="0.6">
      <c r="B527" s="268"/>
      <c r="C527" s="255" t="s">
        <v>726</v>
      </c>
      <c r="D527" s="303"/>
      <c r="E527" s="276"/>
      <c r="G527" s="290"/>
      <c r="I527" s="290"/>
      <c r="J527" s="298"/>
      <c r="K527" s="317"/>
      <c r="L527" s="271"/>
      <c r="M527" s="276"/>
      <c r="N527" s="290"/>
      <c r="O527" s="276"/>
      <c r="P527" s="290"/>
      <c r="Q527" s="276"/>
      <c r="R527" s="290"/>
      <c r="S527" s="276"/>
      <c r="T527" s="290"/>
      <c r="U527" s="276"/>
      <c r="V527" s="290"/>
      <c r="W527" s="276"/>
      <c r="X527" s="290"/>
      <c r="Y527" s="271">
        <f t="shared" si="369"/>
        <v>0</v>
      </c>
      <c r="Z527" s="290">
        <f t="shared" si="370"/>
        <v>0</v>
      </c>
    </row>
    <row r="528" spans="2:26" ht="19.8" customHeight="1" x14ac:dyDescent="0.6">
      <c r="B528" s="268">
        <v>2</v>
      </c>
      <c r="C528" s="255" t="s">
        <v>604</v>
      </c>
      <c r="D528" s="303" t="s">
        <v>729</v>
      </c>
      <c r="E528" s="276" t="s">
        <v>57</v>
      </c>
      <c r="G528" s="290"/>
      <c r="I528" s="290">
        <v>126.78</v>
      </c>
      <c r="J528" s="298">
        <f t="shared" ref="J528:J531" si="371">IF(G528="-","-",IF(D528&gt;0,ROUNDDOWN(I528*D528,0),""))</f>
        <v>45640</v>
      </c>
      <c r="K528" s="316">
        <v>45640</v>
      </c>
      <c r="L528" s="271"/>
      <c r="M528" s="276"/>
      <c r="N528" s="290">
        <f t="shared" ref="N528:P531" si="372">ROUNDDOWN(M528*$I528,0)</f>
        <v>0</v>
      </c>
      <c r="O528" s="276"/>
      <c r="P528" s="290">
        <f t="shared" si="372"/>
        <v>0</v>
      </c>
      <c r="Q528" s="276"/>
      <c r="R528" s="290"/>
      <c r="S528" s="276"/>
      <c r="T528" s="290"/>
      <c r="U528" s="276"/>
      <c r="V528" s="290">
        <f t="shared" ref="V528:V531" si="373">ROUNDDOWN(U528*$I528,0)</f>
        <v>0</v>
      </c>
      <c r="W528" s="276"/>
      <c r="X528" s="290">
        <f t="shared" ref="X528:X529" si="374">ROUNDDOWN(W528*$I528,0)</f>
        <v>0</v>
      </c>
      <c r="Y528" s="271">
        <f t="shared" si="369"/>
        <v>0</v>
      </c>
      <c r="Z528" s="290">
        <f t="shared" si="370"/>
        <v>0</v>
      </c>
    </row>
    <row r="529" spans="2:26" ht="19.8" customHeight="1" x14ac:dyDescent="0.6">
      <c r="B529" s="268">
        <v>3</v>
      </c>
      <c r="C529" s="255" t="s">
        <v>195</v>
      </c>
      <c r="D529" s="303" t="s">
        <v>730</v>
      </c>
      <c r="E529" s="276" t="s">
        <v>55</v>
      </c>
      <c r="G529" s="290"/>
      <c r="I529" s="290">
        <v>38.21</v>
      </c>
      <c r="J529" s="298">
        <f t="shared" si="371"/>
        <v>142026</v>
      </c>
      <c r="K529" s="316">
        <v>142026</v>
      </c>
      <c r="L529" s="271"/>
      <c r="M529" s="276"/>
      <c r="N529" s="290">
        <f t="shared" si="372"/>
        <v>0</v>
      </c>
      <c r="O529" s="276"/>
      <c r="P529" s="290">
        <f t="shared" si="372"/>
        <v>0</v>
      </c>
      <c r="Q529" s="276"/>
      <c r="R529" s="290"/>
      <c r="S529" s="276"/>
      <c r="T529" s="290"/>
      <c r="U529" s="276"/>
      <c r="V529" s="290">
        <f t="shared" si="373"/>
        <v>0</v>
      </c>
      <c r="W529" s="276"/>
      <c r="X529" s="290">
        <f t="shared" si="374"/>
        <v>0</v>
      </c>
      <c r="Y529" s="271">
        <f t="shared" si="369"/>
        <v>0</v>
      </c>
      <c r="Z529" s="290">
        <f t="shared" si="370"/>
        <v>0</v>
      </c>
    </row>
    <row r="530" spans="2:26" ht="19.8" customHeight="1" x14ac:dyDescent="0.6">
      <c r="B530" s="268">
        <v>4</v>
      </c>
      <c r="C530" s="255" t="s">
        <v>236</v>
      </c>
      <c r="D530" s="303" t="s">
        <v>731</v>
      </c>
      <c r="E530" s="276" t="s">
        <v>57</v>
      </c>
      <c r="G530" s="290"/>
      <c r="I530" s="290">
        <v>28359.23</v>
      </c>
      <c r="J530" s="298">
        <f t="shared" si="371"/>
        <v>9074953</v>
      </c>
      <c r="K530" s="316">
        <v>9074953</v>
      </c>
      <c r="L530" s="271" t="s">
        <v>914</v>
      </c>
      <c r="M530" s="276"/>
      <c r="N530" s="290">
        <f t="shared" si="372"/>
        <v>0</v>
      </c>
      <c r="O530" s="276">
        <v>150</v>
      </c>
      <c r="P530" s="290">
        <v>3400000</v>
      </c>
      <c r="Q530" s="276">
        <v>150</v>
      </c>
      <c r="R530" s="290">
        <v>3400000</v>
      </c>
      <c r="S530" s="276">
        <v>350</v>
      </c>
      <c r="T530" s="290">
        <f>1710000+1710000+1710000</f>
        <v>5130000</v>
      </c>
      <c r="U530" s="276"/>
      <c r="V530" s="290">
        <f>N530+P530</f>
        <v>3400000</v>
      </c>
      <c r="W530" s="276">
        <v>350</v>
      </c>
      <c r="X530" s="290">
        <f>P530+R530+T530</f>
        <v>11930000</v>
      </c>
      <c r="Y530" s="271">
        <f>M530+O530+Q530</f>
        <v>300</v>
      </c>
      <c r="Z530" s="290">
        <f>N530+P530+R530+T530</f>
        <v>11930000</v>
      </c>
    </row>
    <row r="531" spans="2:26" ht="19.8" customHeight="1" x14ac:dyDescent="0.6">
      <c r="B531" s="268">
        <v>6</v>
      </c>
      <c r="C531" s="255" t="s">
        <v>732</v>
      </c>
      <c r="D531" s="303" t="s">
        <v>329</v>
      </c>
      <c r="E531" s="276" t="s">
        <v>57</v>
      </c>
      <c r="G531" s="290"/>
      <c r="I531" s="290">
        <v>1240.5899999999999</v>
      </c>
      <c r="J531" s="298">
        <f t="shared" si="371"/>
        <v>22330</v>
      </c>
      <c r="K531" s="316">
        <v>22330</v>
      </c>
      <c r="L531" s="271"/>
      <c r="M531" s="276"/>
      <c r="N531" s="290">
        <f t="shared" si="372"/>
        <v>0</v>
      </c>
      <c r="O531" s="276"/>
      <c r="P531" s="290">
        <f t="shared" si="372"/>
        <v>0</v>
      </c>
      <c r="Q531" s="276"/>
      <c r="R531" s="290"/>
      <c r="S531" s="276"/>
      <c r="T531" s="290"/>
      <c r="U531" s="276"/>
      <c r="V531" s="290">
        <f t="shared" si="373"/>
        <v>0</v>
      </c>
      <c r="W531" s="276"/>
      <c r="X531" s="290">
        <f t="shared" ref="X531" si="375">ROUNDDOWN(W531*$I531,0)</f>
        <v>0</v>
      </c>
      <c r="Y531" s="271">
        <f t="shared" si="369"/>
        <v>0</v>
      </c>
      <c r="Z531" s="290">
        <f t="shared" si="370"/>
        <v>0</v>
      </c>
    </row>
    <row r="532" spans="2:26" ht="19.8" customHeight="1" x14ac:dyDescent="0.6">
      <c r="B532" s="268"/>
      <c r="C532" s="255" t="s">
        <v>235</v>
      </c>
      <c r="D532" s="303"/>
      <c r="E532" s="276"/>
      <c r="G532" s="290"/>
      <c r="I532" s="290"/>
      <c r="J532" s="298"/>
      <c r="K532" s="316"/>
      <c r="L532" s="271"/>
      <c r="M532" s="276"/>
      <c r="N532" s="290"/>
      <c r="O532" s="276"/>
      <c r="P532" s="290"/>
      <c r="Q532" s="276"/>
      <c r="R532" s="290"/>
      <c r="S532" s="276"/>
      <c r="T532" s="290"/>
      <c r="U532" s="276"/>
      <c r="V532" s="290"/>
      <c r="W532" s="276"/>
      <c r="X532" s="290"/>
      <c r="Y532" s="271">
        <f t="shared" si="369"/>
        <v>0</v>
      </c>
      <c r="Z532" s="290">
        <f t="shared" si="370"/>
        <v>0</v>
      </c>
    </row>
    <row r="533" spans="2:26" ht="19.8" customHeight="1" x14ac:dyDescent="0.6">
      <c r="B533" s="268">
        <v>7</v>
      </c>
      <c r="C533" s="255" t="s">
        <v>215</v>
      </c>
      <c r="D533" s="303" t="s">
        <v>733</v>
      </c>
      <c r="E533" s="276" t="s">
        <v>55</v>
      </c>
      <c r="G533" s="290"/>
      <c r="I533" s="290">
        <v>328.91</v>
      </c>
      <c r="J533" s="298">
        <f t="shared" ref="J533:J535" si="376">IF(G533="-","-",IF(D533&gt;0,ROUNDDOWN(I533*D533,0),""))</f>
        <v>624271</v>
      </c>
      <c r="K533" s="316">
        <v>624271</v>
      </c>
      <c r="L533" s="271"/>
      <c r="M533" s="276"/>
      <c r="N533" s="290">
        <f t="shared" ref="N533:P535" si="377">ROUNDDOWN(M533*$I533,0)</f>
        <v>0</v>
      </c>
      <c r="O533" s="276"/>
      <c r="P533" s="290">
        <f t="shared" si="377"/>
        <v>0</v>
      </c>
      <c r="Q533" s="276"/>
      <c r="R533" s="290"/>
      <c r="S533" s="276"/>
      <c r="T533" s="290"/>
      <c r="U533" s="276"/>
      <c r="V533" s="290">
        <f t="shared" ref="V533:V535" si="378">ROUNDDOWN(U533*$I533,0)</f>
        <v>0</v>
      </c>
      <c r="W533" s="276"/>
      <c r="X533" s="290">
        <f t="shared" ref="X533:X535" si="379">ROUNDDOWN(W533*$I533,0)</f>
        <v>0</v>
      </c>
      <c r="Y533" s="271">
        <f t="shared" si="369"/>
        <v>0</v>
      </c>
      <c r="Z533" s="290">
        <f t="shared" si="370"/>
        <v>0</v>
      </c>
    </row>
    <row r="534" spans="2:26" ht="19.8" customHeight="1" x14ac:dyDescent="0.6">
      <c r="B534" s="268">
        <v>8</v>
      </c>
      <c r="C534" s="255" t="s">
        <v>247</v>
      </c>
      <c r="D534" s="303" t="s">
        <v>734</v>
      </c>
      <c r="E534" s="276" t="s">
        <v>55</v>
      </c>
      <c r="G534" s="290"/>
      <c r="I534" s="290">
        <v>324.95</v>
      </c>
      <c r="J534" s="298">
        <f t="shared" si="376"/>
        <v>90011</v>
      </c>
      <c r="K534" s="317">
        <v>90011</v>
      </c>
      <c r="L534" s="271"/>
      <c r="M534" s="276"/>
      <c r="N534" s="290">
        <f t="shared" si="377"/>
        <v>0</v>
      </c>
      <c r="O534" s="276"/>
      <c r="P534" s="290">
        <f t="shared" si="377"/>
        <v>0</v>
      </c>
      <c r="Q534" s="276"/>
      <c r="R534" s="290"/>
      <c r="S534" s="276"/>
      <c r="T534" s="290"/>
      <c r="U534" s="276"/>
      <c r="V534" s="290">
        <f t="shared" si="378"/>
        <v>0</v>
      </c>
      <c r="W534" s="276"/>
      <c r="X534" s="290">
        <f t="shared" si="379"/>
        <v>0</v>
      </c>
      <c r="Y534" s="271">
        <f t="shared" si="369"/>
        <v>0</v>
      </c>
      <c r="Z534" s="290">
        <f t="shared" si="370"/>
        <v>0</v>
      </c>
    </row>
    <row r="535" spans="2:26" ht="19.8" customHeight="1" x14ac:dyDescent="0.6">
      <c r="B535" s="268">
        <v>11</v>
      </c>
      <c r="C535" s="255" t="s">
        <v>257</v>
      </c>
      <c r="D535" s="303" t="s">
        <v>735</v>
      </c>
      <c r="E535" s="276" t="s">
        <v>54</v>
      </c>
      <c r="G535" s="290"/>
      <c r="I535" s="290">
        <v>354.97</v>
      </c>
      <c r="J535" s="298">
        <f t="shared" si="376"/>
        <v>28752</v>
      </c>
      <c r="K535" s="316">
        <v>28752</v>
      </c>
      <c r="L535" s="271"/>
      <c r="M535" s="276"/>
      <c r="N535" s="290">
        <f t="shared" si="377"/>
        <v>0</v>
      </c>
      <c r="O535" s="276"/>
      <c r="P535" s="290">
        <f t="shared" si="377"/>
        <v>0</v>
      </c>
      <c r="Q535" s="276"/>
      <c r="R535" s="290"/>
      <c r="S535" s="276"/>
      <c r="T535" s="290"/>
      <c r="U535" s="276"/>
      <c r="V535" s="290">
        <f t="shared" si="378"/>
        <v>0</v>
      </c>
      <c r="W535" s="276"/>
      <c r="X535" s="290">
        <f t="shared" si="379"/>
        <v>0</v>
      </c>
      <c r="Y535" s="271">
        <f t="shared" si="369"/>
        <v>0</v>
      </c>
      <c r="Z535" s="290">
        <f t="shared" si="370"/>
        <v>0</v>
      </c>
    </row>
    <row r="536" spans="2:26" ht="19.8" customHeight="1" x14ac:dyDescent="0.6">
      <c r="B536" s="268">
        <v>12</v>
      </c>
      <c r="C536" s="255" t="s">
        <v>59</v>
      </c>
      <c r="D536" s="303"/>
      <c r="E536" s="276"/>
      <c r="G536" s="290"/>
      <c r="I536" s="290"/>
      <c r="J536" s="298"/>
      <c r="K536" s="316"/>
      <c r="L536" s="271"/>
      <c r="M536" s="276"/>
      <c r="N536" s="290"/>
      <c r="O536" s="276"/>
      <c r="P536" s="290"/>
      <c r="Q536" s="276"/>
      <c r="R536" s="290"/>
      <c r="S536" s="276"/>
      <c r="T536" s="290"/>
      <c r="U536" s="276"/>
      <c r="V536" s="290"/>
      <c r="W536" s="276"/>
      <c r="X536" s="290"/>
      <c r="Y536" s="271">
        <f t="shared" si="369"/>
        <v>0</v>
      </c>
      <c r="Z536" s="290">
        <f t="shared" si="370"/>
        <v>0</v>
      </c>
    </row>
    <row r="537" spans="2:26" ht="19.8" customHeight="1" x14ac:dyDescent="0.6">
      <c r="B537" s="268"/>
      <c r="C537" s="255" t="s">
        <v>648</v>
      </c>
      <c r="D537" s="303"/>
      <c r="E537" s="276"/>
      <c r="G537" s="290"/>
      <c r="I537" s="290"/>
      <c r="J537" s="298"/>
      <c r="K537" s="316"/>
      <c r="L537" s="271"/>
      <c r="M537" s="276"/>
      <c r="N537" s="290"/>
      <c r="O537" s="276"/>
      <c r="P537" s="290"/>
      <c r="Q537" s="276"/>
      <c r="R537" s="290"/>
      <c r="S537" s="276"/>
      <c r="T537" s="290"/>
      <c r="U537" s="276"/>
      <c r="V537" s="290"/>
      <c r="W537" s="276"/>
      <c r="X537" s="290"/>
      <c r="Y537" s="271">
        <f t="shared" si="369"/>
        <v>0</v>
      </c>
      <c r="Z537" s="290">
        <f t="shared" si="370"/>
        <v>0</v>
      </c>
    </row>
    <row r="538" spans="2:26" ht="19.8" customHeight="1" x14ac:dyDescent="0.6">
      <c r="B538" s="268">
        <v>13</v>
      </c>
      <c r="C538" s="255" t="s">
        <v>243</v>
      </c>
      <c r="D538" s="303" t="s">
        <v>736</v>
      </c>
      <c r="E538" s="276" t="s">
        <v>55</v>
      </c>
      <c r="G538" s="290"/>
      <c r="I538" s="290">
        <v>617.54</v>
      </c>
      <c r="J538" s="298">
        <f t="shared" ref="J538:J545" si="380">IF(G538="-","-",IF(D538&gt;0,ROUNDDOWN(I538*D538,0),""))</f>
        <v>88925</v>
      </c>
      <c r="K538" s="316">
        <v>88925</v>
      </c>
      <c r="L538" s="271"/>
      <c r="M538" s="276"/>
      <c r="N538" s="290">
        <f t="shared" ref="N538:P545" si="381">ROUNDDOWN(M538*$I538,0)</f>
        <v>0</v>
      </c>
      <c r="O538" s="276"/>
      <c r="P538" s="290">
        <f t="shared" si="381"/>
        <v>0</v>
      </c>
      <c r="Q538" s="276"/>
      <c r="R538" s="290"/>
      <c r="S538" s="276"/>
      <c r="T538" s="290"/>
      <c r="U538" s="276"/>
      <c r="V538" s="290">
        <f t="shared" ref="V538:V545" si="382">ROUNDDOWN(U538*$I538,0)</f>
        <v>0</v>
      </c>
      <c r="W538" s="276"/>
      <c r="X538" s="290">
        <f t="shared" ref="X538:X545" si="383">ROUNDDOWN(W538*$I538,0)</f>
        <v>0</v>
      </c>
      <c r="Y538" s="271">
        <f t="shared" si="369"/>
        <v>0</v>
      </c>
      <c r="Z538" s="290">
        <f t="shared" si="370"/>
        <v>0</v>
      </c>
    </row>
    <row r="539" spans="2:26" ht="19.8" customHeight="1" x14ac:dyDescent="0.6">
      <c r="B539" s="268">
        <v>14</v>
      </c>
      <c r="C539" s="255" t="s">
        <v>622</v>
      </c>
      <c r="D539" s="303" t="s">
        <v>737</v>
      </c>
      <c r="E539" s="276" t="s">
        <v>54</v>
      </c>
      <c r="G539" s="290"/>
      <c r="I539" s="290">
        <v>447.01</v>
      </c>
      <c r="J539" s="298">
        <f t="shared" si="380"/>
        <v>615532</v>
      </c>
      <c r="K539" s="316">
        <v>615532</v>
      </c>
      <c r="L539" s="271"/>
      <c r="M539" s="276"/>
      <c r="N539" s="290">
        <f t="shared" si="381"/>
        <v>0</v>
      </c>
      <c r="O539" s="276"/>
      <c r="P539" s="290">
        <f t="shared" si="381"/>
        <v>0</v>
      </c>
      <c r="Q539" s="276"/>
      <c r="R539" s="290"/>
      <c r="S539" s="276"/>
      <c r="T539" s="290"/>
      <c r="U539" s="276"/>
      <c r="V539" s="290">
        <f t="shared" si="382"/>
        <v>0</v>
      </c>
      <c r="W539" s="276"/>
      <c r="X539" s="290">
        <f t="shared" si="383"/>
        <v>0</v>
      </c>
      <c r="Y539" s="271">
        <f t="shared" si="369"/>
        <v>0</v>
      </c>
      <c r="Z539" s="290">
        <f t="shared" si="370"/>
        <v>0</v>
      </c>
    </row>
    <row r="540" spans="2:26" ht="19.8" customHeight="1" x14ac:dyDescent="0.6">
      <c r="B540" s="268">
        <v>15</v>
      </c>
      <c r="C540" s="255" t="s">
        <v>623</v>
      </c>
      <c r="D540" s="303" t="s">
        <v>738</v>
      </c>
      <c r="E540" s="276" t="s">
        <v>57</v>
      </c>
      <c r="G540" s="290"/>
      <c r="I540" s="290">
        <v>277.14</v>
      </c>
      <c r="J540" s="298">
        <f t="shared" si="380"/>
        <v>4434</v>
      </c>
      <c r="K540" s="316">
        <v>4434</v>
      </c>
      <c r="L540" s="271"/>
      <c r="M540" s="276"/>
      <c r="N540" s="290">
        <f t="shared" si="381"/>
        <v>0</v>
      </c>
      <c r="O540" s="276"/>
      <c r="P540" s="290">
        <f t="shared" si="381"/>
        <v>0</v>
      </c>
      <c r="Q540" s="276"/>
      <c r="R540" s="290"/>
      <c r="S540" s="276"/>
      <c r="T540" s="290"/>
      <c r="U540" s="276"/>
      <c r="V540" s="290">
        <f t="shared" si="382"/>
        <v>0</v>
      </c>
      <c r="W540" s="276"/>
      <c r="X540" s="290">
        <f t="shared" si="383"/>
        <v>0</v>
      </c>
      <c r="Y540" s="271">
        <f t="shared" si="369"/>
        <v>0</v>
      </c>
      <c r="Z540" s="290">
        <f t="shared" si="370"/>
        <v>0</v>
      </c>
    </row>
    <row r="541" spans="2:26" ht="19.8" customHeight="1" x14ac:dyDescent="0.6">
      <c r="B541" s="268">
        <v>16</v>
      </c>
      <c r="C541" s="255" t="s">
        <v>624</v>
      </c>
      <c r="D541" s="303" t="s">
        <v>739</v>
      </c>
      <c r="E541" s="276" t="s">
        <v>57</v>
      </c>
      <c r="G541" s="290"/>
      <c r="I541" s="290">
        <v>181.83</v>
      </c>
      <c r="J541" s="298">
        <f t="shared" si="380"/>
        <v>23274</v>
      </c>
      <c r="K541" s="316">
        <v>23274</v>
      </c>
      <c r="L541" s="271"/>
      <c r="M541" s="276"/>
      <c r="N541" s="290">
        <f t="shared" si="381"/>
        <v>0</v>
      </c>
      <c r="O541" s="276"/>
      <c r="P541" s="290">
        <f t="shared" si="381"/>
        <v>0</v>
      </c>
      <c r="Q541" s="276"/>
      <c r="R541" s="290"/>
      <c r="S541" s="276"/>
      <c r="T541" s="290"/>
      <c r="U541" s="276"/>
      <c r="V541" s="290">
        <f t="shared" si="382"/>
        <v>0</v>
      </c>
      <c r="W541" s="276"/>
      <c r="X541" s="290">
        <f t="shared" si="383"/>
        <v>0</v>
      </c>
      <c r="Y541" s="271">
        <f t="shared" si="369"/>
        <v>0</v>
      </c>
      <c r="Z541" s="290">
        <f t="shared" si="370"/>
        <v>0</v>
      </c>
    </row>
    <row r="542" spans="2:26" ht="19.8" customHeight="1" x14ac:dyDescent="0.6">
      <c r="B542" s="268">
        <v>17</v>
      </c>
      <c r="C542" s="255" t="s">
        <v>625</v>
      </c>
      <c r="D542" s="303" t="s">
        <v>729</v>
      </c>
      <c r="E542" s="276" t="s">
        <v>57</v>
      </c>
      <c r="G542" s="290"/>
      <c r="I542" s="290">
        <v>63.47</v>
      </c>
      <c r="J542" s="298">
        <f t="shared" si="380"/>
        <v>22849</v>
      </c>
      <c r="K542" s="316">
        <v>22849</v>
      </c>
      <c r="L542" s="271"/>
      <c r="M542" s="276"/>
      <c r="N542" s="290">
        <f t="shared" si="381"/>
        <v>0</v>
      </c>
      <c r="O542" s="276"/>
      <c r="P542" s="290">
        <f t="shared" si="381"/>
        <v>0</v>
      </c>
      <c r="Q542" s="276"/>
      <c r="R542" s="290"/>
      <c r="S542" s="276"/>
      <c r="T542" s="290"/>
      <c r="U542" s="276"/>
      <c r="V542" s="290">
        <f t="shared" si="382"/>
        <v>0</v>
      </c>
      <c r="W542" s="276"/>
      <c r="X542" s="290">
        <f t="shared" si="383"/>
        <v>0</v>
      </c>
      <c r="Y542" s="271">
        <f t="shared" si="369"/>
        <v>0</v>
      </c>
      <c r="Z542" s="290">
        <f t="shared" si="370"/>
        <v>0</v>
      </c>
    </row>
    <row r="543" spans="2:26" ht="19.8" customHeight="1" x14ac:dyDescent="0.6">
      <c r="B543" s="268">
        <v>18</v>
      </c>
      <c r="C543" s="255" t="s">
        <v>630</v>
      </c>
      <c r="D543" s="303" t="s">
        <v>737</v>
      </c>
      <c r="E543" s="276" t="s">
        <v>54</v>
      </c>
      <c r="G543" s="290"/>
      <c r="I543" s="290">
        <v>16.96</v>
      </c>
      <c r="J543" s="298">
        <f t="shared" si="380"/>
        <v>23353</v>
      </c>
      <c r="K543" s="316">
        <v>23353</v>
      </c>
      <c r="L543" s="271"/>
      <c r="M543" s="276"/>
      <c r="N543" s="290">
        <f t="shared" si="381"/>
        <v>0</v>
      </c>
      <c r="O543" s="276"/>
      <c r="P543" s="290">
        <f t="shared" si="381"/>
        <v>0</v>
      </c>
      <c r="Q543" s="276"/>
      <c r="R543" s="290"/>
      <c r="S543" s="276"/>
      <c r="T543" s="290"/>
      <c r="U543" s="276"/>
      <c r="V543" s="290">
        <f t="shared" si="382"/>
        <v>0</v>
      </c>
      <c r="W543" s="276"/>
      <c r="X543" s="290">
        <f t="shared" si="383"/>
        <v>0</v>
      </c>
      <c r="Y543" s="271">
        <f t="shared" si="369"/>
        <v>0</v>
      </c>
      <c r="Z543" s="290">
        <f t="shared" si="370"/>
        <v>0</v>
      </c>
    </row>
    <row r="544" spans="2:26" ht="19.8" customHeight="1" x14ac:dyDescent="0.6">
      <c r="B544" s="268">
        <v>19</v>
      </c>
      <c r="C544" s="255" t="s">
        <v>631</v>
      </c>
      <c r="D544" s="303" t="s">
        <v>737</v>
      </c>
      <c r="E544" s="276" t="s">
        <v>54</v>
      </c>
      <c r="G544" s="290"/>
      <c r="I544" s="290">
        <v>293.86</v>
      </c>
      <c r="J544" s="298">
        <f t="shared" si="380"/>
        <v>404645</v>
      </c>
      <c r="K544" s="316">
        <v>404645</v>
      </c>
      <c r="L544" s="271"/>
      <c r="M544" s="276"/>
      <c r="N544" s="290">
        <f t="shared" si="381"/>
        <v>0</v>
      </c>
      <c r="O544" s="276"/>
      <c r="P544" s="290">
        <f t="shared" si="381"/>
        <v>0</v>
      </c>
      <c r="Q544" s="276"/>
      <c r="R544" s="290"/>
      <c r="S544" s="276"/>
      <c r="T544" s="290"/>
      <c r="U544" s="276"/>
      <c r="V544" s="290">
        <f t="shared" si="382"/>
        <v>0</v>
      </c>
      <c r="W544" s="276"/>
      <c r="X544" s="290">
        <f t="shared" si="383"/>
        <v>0</v>
      </c>
      <c r="Y544" s="271">
        <f t="shared" si="369"/>
        <v>0</v>
      </c>
      <c r="Z544" s="290">
        <f t="shared" si="370"/>
        <v>0</v>
      </c>
    </row>
    <row r="545" spans="2:26" ht="19.8" customHeight="1" x14ac:dyDescent="0.6">
      <c r="B545" s="268">
        <v>20</v>
      </c>
      <c r="C545" s="255" t="s">
        <v>727</v>
      </c>
      <c r="D545" s="303" t="s">
        <v>740</v>
      </c>
      <c r="E545" s="276" t="s">
        <v>58</v>
      </c>
      <c r="G545" s="290"/>
      <c r="I545" s="290">
        <v>68553.009999999995</v>
      </c>
      <c r="J545" s="298">
        <f t="shared" si="380"/>
        <v>1919484</v>
      </c>
      <c r="K545" s="316">
        <v>1919484</v>
      </c>
      <c r="L545" s="271"/>
      <c r="M545" s="276"/>
      <c r="N545" s="290">
        <f t="shared" si="381"/>
        <v>0</v>
      </c>
      <c r="O545" s="276"/>
      <c r="P545" s="290">
        <f t="shared" si="381"/>
        <v>0</v>
      </c>
      <c r="Q545" s="276"/>
      <c r="R545" s="290"/>
      <c r="S545" s="276"/>
      <c r="T545" s="290"/>
      <c r="U545" s="276"/>
      <c r="V545" s="290">
        <f t="shared" si="382"/>
        <v>0</v>
      </c>
      <c r="W545" s="276"/>
      <c r="X545" s="290">
        <f t="shared" si="383"/>
        <v>0</v>
      </c>
      <c r="Y545" s="271">
        <f t="shared" si="369"/>
        <v>0</v>
      </c>
      <c r="Z545" s="290">
        <f t="shared" si="370"/>
        <v>0</v>
      </c>
    </row>
    <row r="546" spans="2:26" ht="19.8" customHeight="1" x14ac:dyDescent="0.6">
      <c r="B546" s="268"/>
      <c r="C546" s="255" t="s">
        <v>231</v>
      </c>
      <c r="D546" s="303"/>
      <c r="E546" s="276"/>
      <c r="G546" s="290"/>
      <c r="I546" s="290"/>
      <c r="J546" s="298"/>
      <c r="K546" s="316"/>
      <c r="L546" s="271"/>
      <c r="M546" s="276"/>
      <c r="N546" s="290"/>
      <c r="O546" s="276"/>
      <c r="P546" s="290"/>
      <c r="Q546" s="276"/>
      <c r="R546" s="290"/>
      <c r="S546" s="276"/>
      <c r="T546" s="290"/>
      <c r="U546" s="276"/>
      <c r="V546" s="290"/>
      <c r="W546" s="276"/>
      <c r="X546" s="290"/>
      <c r="Y546" s="271">
        <f t="shared" si="369"/>
        <v>0</v>
      </c>
      <c r="Z546" s="290">
        <f t="shared" si="370"/>
        <v>0</v>
      </c>
    </row>
    <row r="547" spans="2:26" ht="19.8" customHeight="1" x14ac:dyDescent="0.6">
      <c r="B547" s="268">
        <v>21</v>
      </c>
      <c r="C547" s="255" t="s">
        <v>628</v>
      </c>
      <c r="D547" s="303" t="s">
        <v>729</v>
      </c>
      <c r="E547" s="276" t="s">
        <v>57</v>
      </c>
      <c r="G547" s="290"/>
      <c r="I547" s="290">
        <v>6327.23</v>
      </c>
      <c r="J547" s="298">
        <f t="shared" ref="J547" si="384">IF(G547="-","-",IF(D547&gt;0,ROUNDDOWN(I547*D547,0),""))</f>
        <v>2277802</v>
      </c>
      <c r="K547" s="316">
        <v>2277802</v>
      </c>
      <c r="L547" s="271"/>
      <c r="M547" s="276"/>
      <c r="N547" s="290">
        <f t="shared" ref="N547:P547" si="385">ROUNDDOWN(M547*$I547,0)</f>
        <v>0</v>
      </c>
      <c r="O547" s="276"/>
      <c r="P547" s="290">
        <f t="shared" si="385"/>
        <v>0</v>
      </c>
      <c r="Q547" s="276"/>
      <c r="R547" s="290"/>
      <c r="S547" s="276"/>
      <c r="T547" s="290"/>
      <c r="U547" s="276"/>
      <c r="V547" s="290">
        <f t="shared" ref="V547" si="386">ROUNDDOWN(U547*$I547,0)</f>
        <v>0</v>
      </c>
      <c r="W547" s="276"/>
      <c r="X547" s="290">
        <f t="shared" ref="X547" si="387">ROUNDDOWN(W547*$I547,0)</f>
        <v>0</v>
      </c>
      <c r="Y547" s="271">
        <f t="shared" si="369"/>
        <v>0</v>
      </c>
      <c r="Z547" s="290">
        <f t="shared" si="370"/>
        <v>0</v>
      </c>
    </row>
    <row r="548" spans="2:26" ht="19.8" customHeight="1" x14ac:dyDescent="0.6">
      <c r="B548" s="268"/>
      <c r="D548" s="303"/>
      <c r="E548" s="276"/>
      <c r="G548" s="290"/>
      <c r="I548" s="290"/>
      <c r="J548" s="298"/>
      <c r="K548" s="316"/>
      <c r="L548" s="271"/>
      <c r="M548" s="276"/>
      <c r="N548" s="290"/>
      <c r="O548" s="276"/>
      <c r="P548" s="290"/>
      <c r="Q548" s="276"/>
      <c r="R548" s="290"/>
      <c r="S548" s="276"/>
      <c r="T548" s="290"/>
      <c r="U548" s="276"/>
      <c r="V548" s="290"/>
      <c r="W548" s="276"/>
      <c r="X548" s="290"/>
      <c r="Y548" s="271">
        <f t="shared" si="369"/>
        <v>0</v>
      </c>
      <c r="Z548" s="290">
        <f t="shared" si="370"/>
        <v>0</v>
      </c>
    </row>
    <row r="549" spans="2:26" ht="19.8" customHeight="1" x14ac:dyDescent="0.6">
      <c r="B549" s="817" t="s">
        <v>741</v>
      </c>
      <c r="C549" s="818"/>
      <c r="D549" s="294" t="s">
        <v>729</v>
      </c>
      <c r="E549" s="257" t="s">
        <v>57</v>
      </c>
      <c r="F549" s="296"/>
      <c r="G549" s="293"/>
      <c r="H549" s="297"/>
      <c r="I549" s="293"/>
      <c r="J549" s="299">
        <f>SUM(J525:J548)</f>
        <v>15408281</v>
      </c>
      <c r="K549" s="319">
        <v>15408281</v>
      </c>
      <c r="L549" s="262"/>
      <c r="M549" s="257"/>
      <c r="N549" s="326">
        <f>SUM(N525:N548)</f>
        <v>0</v>
      </c>
      <c r="O549" s="257"/>
      <c r="P549" s="326">
        <f>SUM(P525:P548)</f>
        <v>3400000</v>
      </c>
      <c r="Q549" s="257"/>
      <c r="R549" s="326">
        <f>SUM(R525:R548)</f>
        <v>3400000</v>
      </c>
      <c r="S549" s="257"/>
      <c r="T549" s="326">
        <f>SUM(T525:T548)</f>
        <v>5130000</v>
      </c>
      <c r="U549" s="257"/>
      <c r="V549" s="326">
        <f>SUM(V525:V548)</f>
        <v>3400000</v>
      </c>
      <c r="W549" s="257"/>
      <c r="X549" s="326">
        <f>SUM(X525:X548)</f>
        <v>11930000</v>
      </c>
      <c r="Y549" s="262">
        <f t="shared" si="369"/>
        <v>0</v>
      </c>
      <c r="Z549" s="293">
        <f>N549+P549+R549+T549</f>
        <v>11930000</v>
      </c>
    </row>
    <row r="550" spans="2:26" ht="19.8" customHeight="1" x14ac:dyDescent="0.6">
      <c r="B550" s="306" t="s">
        <v>742</v>
      </c>
      <c r="C550" s="255" t="s">
        <v>112</v>
      </c>
      <c r="D550" s="303"/>
      <c r="E550" s="276"/>
      <c r="G550" s="290"/>
      <c r="I550" s="290"/>
      <c r="J550" s="298"/>
      <c r="K550" s="316"/>
      <c r="L550" s="271"/>
      <c r="M550" s="276"/>
      <c r="N550" s="290"/>
      <c r="O550" s="276"/>
      <c r="P550" s="290"/>
      <c r="Q550" s="276"/>
      <c r="R550" s="290"/>
      <c r="S550" s="276"/>
      <c r="T550" s="290"/>
      <c r="U550" s="276"/>
      <c r="V550" s="290"/>
      <c r="W550" s="276"/>
      <c r="X550" s="290"/>
      <c r="Y550" s="271">
        <f t="shared" si="369"/>
        <v>0</v>
      </c>
      <c r="Z550" s="290">
        <f t="shared" si="370"/>
        <v>0</v>
      </c>
    </row>
    <row r="551" spans="2:26" ht="19.8" customHeight="1" x14ac:dyDescent="0.6">
      <c r="B551" s="268">
        <v>7</v>
      </c>
      <c r="C551" s="255" t="s">
        <v>743</v>
      </c>
      <c r="D551" s="303"/>
      <c r="E551" s="276"/>
      <c r="G551" s="290"/>
      <c r="I551" s="290"/>
      <c r="J551" s="298"/>
      <c r="K551" s="316"/>
      <c r="L551" s="271"/>
      <c r="M551" s="276"/>
      <c r="N551" s="290"/>
      <c r="O551" s="276"/>
      <c r="P551" s="290"/>
      <c r="Q551" s="276"/>
      <c r="R551" s="290"/>
      <c r="S551" s="276"/>
      <c r="T551" s="290"/>
      <c r="U551" s="276"/>
      <c r="V551" s="290"/>
      <c r="W551" s="276"/>
      <c r="X551" s="290"/>
      <c r="Y551" s="271">
        <f t="shared" si="369"/>
        <v>0</v>
      </c>
      <c r="Z551" s="290">
        <f t="shared" si="370"/>
        <v>0</v>
      </c>
    </row>
    <row r="552" spans="2:26" ht="19.8" customHeight="1" x14ac:dyDescent="0.6">
      <c r="B552" s="268"/>
      <c r="C552" s="255" t="s">
        <v>744</v>
      </c>
      <c r="D552" s="303"/>
      <c r="E552" s="276"/>
      <c r="G552" s="290"/>
      <c r="I552" s="290"/>
      <c r="J552" s="298"/>
      <c r="K552" s="316"/>
      <c r="L552" s="271"/>
      <c r="M552" s="276"/>
      <c r="N552" s="290"/>
      <c r="O552" s="276"/>
      <c r="P552" s="290"/>
      <c r="Q552" s="276"/>
      <c r="R552" s="290"/>
      <c r="S552" s="276"/>
      <c r="T552" s="290"/>
      <c r="U552" s="276"/>
      <c r="V552" s="290"/>
      <c r="W552" s="276"/>
      <c r="X552" s="290"/>
      <c r="Y552" s="271">
        <f t="shared" si="369"/>
        <v>0</v>
      </c>
      <c r="Z552" s="290">
        <f t="shared" si="370"/>
        <v>0</v>
      </c>
    </row>
    <row r="553" spans="2:26" ht="19.8" customHeight="1" x14ac:dyDescent="0.6">
      <c r="B553" s="268">
        <v>1</v>
      </c>
      <c r="C553" s="255" t="s">
        <v>259</v>
      </c>
      <c r="D553" s="303" t="s">
        <v>749</v>
      </c>
      <c r="E553" s="276" t="s">
        <v>54</v>
      </c>
      <c r="G553" s="290"/>
      <c r="I553" s="290">
        <v>108.36</v>
      </c>
      <c r="J553" s="298">
        <f t="shared" ref="J553:J557" si="388">IF(G553="-","-",IF(D553&gt;0,ROUNDDOWN(I553*D553,0),""))</f>
        <v>357588</v>
      </c>
      <c r="K553" s="316">
        <v>357588</v>
      </c>
      <c r="L553" s="271"/>
      <c r="M553" s="276"/>
      <c r="N553" s="290">
        <f t="shared" ref="N553:P557" si="389">ROUNDDOWN(M553*$I553,0)</f>
        <v>0</v>
      </c>
      <c r="O553" s="276"/>
      <c r="P553" s="290">
        <f t="shared" si="389"/>
        <v>0</v>
      </c>
      <c r="Q553" s="276"/>
      <c r="R553" s="290"/>
      <c r="S553" s="276"/>
      <c r="T553" s="290"/>
      <c r="U553" s="276"/>
      <c r="V553" s="290">
        <f t="shared" ref="V553:V557" si="390">ROUNDDOWN(U553*$I553,0)</f>
        <v>0</v>
      </c>
      <c r="W553" s="276"/>
      <c r="X553" s="290">
        <f t="shared" ref="X553:X555" si="391">ROUNDDOWN(W553*$I553,0)</f>
        <v>0</v>
      </c>
      <c r="Y553" s="271">
        <f t="shared" si="369"/>
        <v>0</v>
      </c>
      <c r="Z553" s="290">
        <f t="shared" si="370"/>
        <v>0</v>
      </c>
    </row>
    <row r="554" spans="2:26" ht="19.8" customHeight="1" x14ac:dyDescent="0.6">
      <c r="B554" s="268">
        <v>2</v>
      </c>
      <c r="C554" s="255" t="s">
        <v>604</v>
      </c>
      <c r="D554" s="303" t="s">
        <v>750</v>
      </c>
      <c r="E554" s="276" t="s">
        <v>57</v>
      </c>
      <c r="G554" s="290"/>
      <c r="I554" s="290">
        <v>126.78</v>
      </c>
      <c r="J554" s="298">
        <f t="shared" si="388"/>
        <v>15847</v>
      </c>
      <c r="K554" s="316">
        <v>15847</v>
      </c>
      <c r="L554" s="271"/>
      <c r="M554" s="276"/>
      <c r="N554" s="290">
        <f t="shared" si="389"/>
        <v>0</v>
      </c>
      <c r="O554" s="276"/>
      <c r="P554" s="290">
        <f t="shared" si="389"/>
        <v>0</v>
      </c>
      <c r="Q554" s="276"/>
      <c r="R554" s="290"/>
      <c r="S554" s="276"/>
      <c r="T554" s="290"/>
      <c r="U554" s="276"/>
      <c r="V554" s="290">
        <f t="shared" si="390"/>
        <v>0</v>
      </c>
      <c r="W554" s="276"/>
      <c r="X554" s="290">
        <f t="shared" si="391"/>
        <v>0</v>
      </c>
      <c r="Y554" s="271">
        <f t="shared" si="369"/>
        <v>0</v>
      </c>
      <c r="Z554" s="290">
        <f t="shared" si="370"/>
        <v>0</v>
      </c>
    </row>
    <row r="555" spans="2:26" ht="19.8" customHeight="1" x14ac:dyDescent="0.6">
      <c r="B555" s="268">
        <v>3</v>
      </c>
      <c r="C555" s="255" t="s">
        <v>195</v>
      </c>
      <c r="D555" s="303" t="s">
        <v>751</v>
      </c>
      <c r="E555" s="276" t="s">
        <v>55</v>
      </c>
      <c r="G555" s="290"/>
      <c r="I555" s="290">
        <v>38.21</v>
      </c>
      <c r="J555" s="298">
        <f t="shared" si="388"/>
        <v>66600</v>
      </c>
      <c r="K555" s="316">
        <v>66600</v>
      </c>
      <c r="L555" s="271"/>
      <c r="M555" s="276"/>
      <c r="N555" s="290">
        <f t="shared" si="389"/>
        <v>0</v>
      </c>
      <c r="O555" s="276"/>
      <c r="P555" s="290">
        <f t="shared" si="389"/>
        <v>0</v>
      </c>
      <c r="Q555" s="276"/>
      <c r="R555" s="290"/>
      <c r="S555" s="276"/>
      <c r="T555" s="290"/>
      <c r="U555" s="276"/>
      <c r="V555" s="290">
        <f t="shared" si="390"/>
        <v>0</v>
      </c>
      <c r="W555" s="276"/>
      <c r="X555" s="290">
        <f t="shared" si="391"/>
        <v>0</v>
      </c>
      <c r="Y555" s="271">
        <f t="shared" si="369"/>
        <v>0</v>
      </c>
      <c r="Z555" s="290">
        <f t="shared" si="370"/>
        <v>0</v>
      </c>
    </row>
    <row r="556" spans="2:26" ht="19.8" customHeight="1" x14ac:dyDescent="0.6">
      <c r="B556" s="268">
        <v>4</v>
      </c>
      <c r="C556" s="255" t="s">
        <v>236</v>
      </c>
      <c r="D556" s="303" t="s">
        <v>752</v>
      </c>
      <c r="E556" s="276" t="s">
        <v>57</v>
      </c>
      <c r="G556" s="290"/>
      <c r="I556" s="290">
        <v>28359.23</v>
      </c>
      <c r="J556" s="298">
        <f t="shared" si="388"/>
        <v>3147874</v>
      </c>
      <c r="K556" s="316">
        <v>3147874</v>
      </c>
      <c r="L556" s="271" t="s">
        <v>893</v>
      </c>
      <c r="M556" s="276"/>
      <c r="N556" s="290">
        <f t="shared" si="389"/>
        <v>0</v>
      </c>
      <c r="O556" s="276">
        <v>100</v>
      </c>
      <c r="P556" s="290">
        <v>2510000</v>
      </c>
      <c r="Q556" s="276"/>
      <c r="R556" s="290"/>
      <c r="S556" s="276"/>
      <c r="T556" s="290"/>
      <c r="U556" s="276">
        <f>O556+M556+Q556</f>
        <v>100</v>
      </c>
      <c r="V556" s="290">
        <f>N556+P556+R556</f>
        <v>2510000</v>
      </c>
      <c r="W556" s="276">
        <f>Q556+O556+S556</f>
        <v>100</v>
      </c>
      <c r="X556" s="290">
        <f>P556+R556+T556</f>
        <v>2510000</v>
      </c>
      <c r="Y556" s="271">
        <f t="shared" si="369"/>
        <v>100</v>
      </c>
      <c r="Z556" s="290">
        <f t="shared" si="370"/>
        <v>2510000</v>
      </c>
    </row>
    <row r="557" spans="2:26" ht="19.8" customHeight="1" x14ac:dyDescent="0.6">
      <c r="B557" s="268">
        <v>6</v>
      </c>
      <c r="C557" s="255" t="s">
        <v>753</v>
      </c>
      <c r="D557" s="303" t="s">
        <v>422</v>
      </c>
      <c r="E557" s="276" t="s">
        <v>57</v>
      </c>
      <c r="G557" s="290"/>
      <c r="I557" s="290">
        <v>1240.5899999999999</v>
      </c>
      <c r="J557" s="298">
        <f t="shared" si="388"/>
        <v>7443</v>
      </c>
      <c r="K557" s="316">
        <v>7443</v>
      </c>
      <c r="L557" s="271"/>
      <c r="M557" s="276"/>
      <c r="N557" s="290">
        <f t="shared" si="389"/>
        <v>0</v>
      </c>
      <c r="O557" s="276"/>
      <c r="P557" s="290">
        <f t="shared" si="389"/>
        <v>0</v>
      </c>
      <c r="Q557" s="276"/>
      <c r="R557" s="290"/>
      <c r="S557" s="276"/>
      <c r="T557" s="290"/>
      <c r="U557" s="276"/>
      <c r="V557" s="290">
        <f t="shared" si="390"/>
        <v>0</v>
      </c>
      <c r="W557" s="276"/>
      <c r="X557" s="290">
        <f t="shared" ref="X557" si="392">ROUNDDOWN(W557*$I557,0)</f>
        <v>0</v>
      </c>
      <c r="Y557" s="271">
        <f t="shared" si="369"/>
        <v>0</v>
      </c>
      <c r="Z557" s="290">
        <f t="shared" si="370"/>
        <v>0</v>
      </c>
    </row>
    <row r="558" spans="2:26" ht="19.8" customHeight="1" x14ac:dyDescent="0.6">
      <c r="B558" s="268"/>
      <c r="C558" s="255" t="s">
        <v>235</v>
      </c>
      <c r="D558" s="303"/>
      <c r="E558" s="276"/>
      <c r="G558" s="290"/>
      <c r="I558" s="290"/>
      <c r="J558" s="298"/>
      <c r="K558" s="316"/>
      <c r="L558" s="271"/>
      <c r="M558" s="276"/>
      <c r="N558" s="290"/>
      <c r="O558" s="276"/>
      <c r="P558" s="290"/>
      <c r="Q558" s="276"/>
      <c r="R558" s="290"/>
      <c r="S558" s="276"/>
      <c r="T558" s="290"/>
      <c r="U558" s="276"/>
      <c r="V558" s="290"/>
      <c r="W558" s="276"/>
      <c r="X558" s="290"/>
      <c r="Y558" s="271">
        <f t="shared" si="369"/>
        <v>0</v>
      </c>
      <c r="Z558" s="290">
        <f t="shared" si="370"/>
        <v>0</v>
      </c>
    </row>
    <row r="559" spans="2:26" ht="19.8" customHeight="1" x14ac:dyDescent="0.6">
      <c r="B559" s="268">
        <v>7</v>
      </c>
      <c r="C559" s="255" t="s">
        <v>215</v>
      </c>
      <c r="D559" s="303" t="s">
        <v>754</v>
      </c>
      <c r="E559" s="276" t="s">
        <v>55</v>
      </c>
      <c r="G559" s="290"/>
      <c r="I559" s="290">
        <v>328.91</v>
      </c>
      <c r="J559" s="298">
        <f t="shared" ref="J559:J562" si="393">IF(G559="-","-",IF(D559&gt;0,ROUNDDOWN(I559*D559,0),""))</f>
        <v>355222</v>
      </c>
      <c r="K559" s="316">
        <v>355222</v>
      </c>
      <c r="L559" s="271"/>
      <c r="M559" s="276"/>
      <c r="N559" s="290">
        <f t="shared" ref="N559:P562" si="394">ROUNDDOWN(M559*$I559,0)</f>
        <v>0</v>
      </c>
      <c r="O559" s="276"/>
      <c r="P559" s="290">
        <f t="shared" si="394"/>
        <v>0</v>
      </c>
      <c r="Q559" s="276"/>
      <c r="R559" s="290"/>
      <c r="S559" s="276"/>
      <c r="T559" s="290"/>
      <c r="U559" s="276"/>
      <c r="V559" s="290">
        <f t="shared" ref="V559:V562" si="395">ROUNDDOWN(U559*$I559,0)</f>
        <v>0</v>
      </c>
      <c r="W559" s="276"/>
      <c r="X559" s="290">
        <f t="shared" ref="X559:X562" si="396">ROUNDDOWN(W559*$I559,0)</f>
        <v>0</v>
      </c>
      <c r="Y559" s="271">
        <f t="shared" si="369"/>
        <v>0</v>
      </c>
      <c r="Z559" s="290">
        <f t="shared" si="370"/>
        <v>0</v>
      </c>
    </row>
    <row r="560" spans="2:26" ht="19.8" customHeight="1" x14ac:dyDescent="0.6">
      <c r="B560" s="268">
        <v>8</v>
      </c>
      <c r="C560" s="255" t="s">
        <v>247</v>
      </c>
      <c r="D560" s="303" t="s">
        <v>755</v>
      </c>
      <c r="E560" s="276" t="s">
        <v>55</v>
      </c>
      <c r="G560" s="290"/>
      <c r="I560" s="290">
        <v>324.95</v>
      </c>
      <c r="J560" s="298">
        <f t="shared" si="393"/>
        <v>338207</v>
      </c>
      <c r="K560" s="316">
        <v>338207</v>
      </c>
      <c r="L560" s="271"/>
      <c r="M560" s="276"/>
      <c r="N560" s="290">
        <f t="shared" si="394"/>
        <v>0</v>
      </c>
      <c r="O560" s="276"/>
      <c r="P560" s="290">
        <f t="shared" si="394"/>
        <v>0</v>
      </c>
      <c r="Q560" s="276"/>
      <c r="R560" s="290"/>
      <c r="S560" s="276"/>
      <c r="T560" s="290"/>
      <c r="U560" s="276"/>
      <c r="V560" s="290">
        <f t="shared" si="395"/>
        <v>0</v>
      </c>
      <c r="W560" s="276"/>
      <c r="X560" s="290">
        <f t="shared" si="396"/>
        <v>0</v>
      </c>
      <c r="Y560" s="271">
        <f t="shared" si="369"/>
        <v>0</v>
      </c>
      <c r="Z560" s="290">
        <f t="shared" si="370"/>
        <v>0</v>
      </c>
    </row>
    <row r="561" spans="2:26" ht="19.8" customHeight="1" x14ac:dyDescent="0.6">
      <c r="B561" s="268">
        <v>13</v>
      </c>
      <c r="C561" s="255" t="s">
        <v>257</v>
      </c>
      <c r="D561" s="303" t="s">
        <v>756</v>
      </c>
      <c r="E561" s="276" t="s">
        <v>54</v>
      </c>
      <c r="G561" s="290"/>
      <c r="I561" s="290">
        <v>354.97</v>
      </c>
      <c r="J561" s="298">
        <f t="shared" si="393"/>
        <v>65669</v>
      </c>
      <c r="K561" s="316">
        <v>65669</v>
      </c>
      <c r="L561" s="271"/>
      <c r="M561" s="276"/>
      <c r="N561" s="290">
        <f t="shared" si="394"/>
        <v>0</v>
      </c>
      <c r="O561" s="276"/>
      <c r="P561" s="290">
        <f t="shared" si="394"/>
        <v>0</v>
      </c>
      <c r="Q561" s="276"/>
      <c r="R561" s="290"/>
      <c r="S561" s="276"/>
      <c r="T561" s="290"/>
      <c r="U561" s="276"/>
      <c r="V561" s="290">
        <f t="shared" si="395"/>
        <v>0</v>
      </c>
      <c r="W561" s="276"/>
      <c r="X561" s="290">
        <f t="shared" si="396"/>
        <v>0</v>
      </c>
      <c r="Y561" s="271">
        <f t="shared" si="369"/>
        <v>0</v>
      </c>
      <c r="Z561" s="290">
        <f t="shared" si="370"/>
        <v>0</v>
      </c>
    </row>
    <row r="562" spans="2:26" ht="19.8" customHeight="1" x14ac:dyDescent="0.6">
      <c r="B562" s="268">
        <v>14</v>
      </c>
      <c r="C562" s="255" t="s">
        <v>261</v>
      </c>
      <c r="D562" s="303" t="s">
        <v>757</v>
      </c>
      <c r="E562" s="276" t="s">
        <v>57</v>
      </c>
      <c r="G562" s="290"/>
      <c r="I562" s="290">
        <v>7275.73</v>
      </c>
      <c r="J562" s="298">
        <f t="shared" si="393"/>
        <v>1637039</v>
      </c>
      <c r="K562" s="316">
        <v>1637039</v>
      </c>
      <c r="L562" s="271"/>
      <c r="M562" s="276"/>
      <c r="N562" s="290">
        <f t="shared" si="394"/>
        <v>0</v>
      </c>
      <c r="O562" s="276"/>
      <c r="P562" s="290">
        <f t="shared" si="394"/>
        <v>0</v>
      </c>
      <c r="Q562" s="276"/>
      <c r="R562" s="290"/>
      <c r="S562" s="276"/>
      <c r="T562" s="290"/>
      <c r="U562" s="276"/>
      <c r="V562" s="290">
        <f t="shared" si="395"/>
        <v>0</v>
      </c>
      <c r="W562" s="276"/>
      <c r="X562" s="290">
        <f t="shared" si="396"/>
        <v>0</v>
      </c>
      <c r="Y562" s="271">
        <f t="shared" si="369"/>
        <v>0</v>
      </c>
      <c r="Z562" s="290">
        <f t="shared" si="370"/>
        <v>0</v>
      </c>
    </row>
    <row r="563" spans="2:26" ht="19.8" customHeight="1" x14ac:dyDescent="0.6">
      <c r="B563" s="268"/>
      <c r="C563" s="255" t="s">
        <v>262</v>
      </c>
      <c r="D563" s="303"/>
      <c r="E563" s="276"/>
      <c r="G563" s="290"/>
      <c r="I563" s="290"/>
      <c r="J563" s="298"/>
      <c r="K563" s="316"/>
      <c r="L563" s="271"/>
      <c r="M563" s="276"/>
      <c r="N563" s="290"/>
      <c r="O563" s="276"/>
      <c r="P563" s="290"/>
      <c r="Q563" s="276"/>
      <c r="R563" s="290"/>
      <c r="S563" s="276"/>
      <c r="T563" s="290"/>
      <c r="U563" s="276"/>
      <c r="V563" s="290"/>
      <c r="W563" s="276"/>
      <c r="X563" s="290"/>
      <c r="Y563" s="271">
        <f t="shared" si="369"/>
        <v>0</v>
      </c>
      <c r="Z563" s="290">
        <f t="shared" si="370"/>
        <v>0</v>
      </c>
    </row>
    <row r="564" spans="2:26" ht="19.8" customHeight="1" x14ac:dyDescent="0.6">
      <c r="B564" s="268">
        <v>15</v>
      </c>
      <c r="C564" s="255" t="s">
        <v>745</v>
      </c>
      <c r="D564" s="303" t="s">
        <v>758</v>
      </c>
      <c r="E564" s="276" t="s">
        <v>57</v>
      </c>
      <c r="G564" s="290"/>
      <c r="I564" s="290">
        <v>1498.25</v>
      </c>
      <c r="J564" s="298">
        <f t="shared" ref="J564:J566" si="397">IF(G564="-","-",IF(D564&gt;0,ROUNDDOWN(I564*D564,0),""))</f>
        <v>34459</v>
      </c>
      <c r="K564" s="316">
        <v>34459</v>
      </c>
      <c r="L564" s="271"/>
      <c r="M564" s="276"/>
      <c r="N564" s="290">
        <f t="shared" ref="N564:P566" si="398">ROUNDDOWN(M564*$I564,0)</f>
        <v>0</v>
      </c>
      <c r="O564" s="276"/>
      <c r="P564" s="290">
        <f t="shared" si="398"/>
        <v>0</v>
      </c>
      <c r="Q564" s="276"/>
      <c r="R564" s="290"/>
      <c r="S564" s="276"/>
      <c r="T564" s="290"/>
      <c r="U564" s="276"/>
      <c r="V564" s="290">
        <f t="shared" ref="V564:V566" si="399">ROUNDDOWN(U564*$I564,0)</f>
        <v>0</v>
      </c>
      <c r="W564" s="276"/>
      <c r="X564" s="290">
        <f t="shared" ref="X564:X566" si="400">ROUNDDOWN(W564*$I564,0)</f>
        <v>0</v>
      </c>
      <c r="Y564" s="271">
        <f t="shared" si="369"/>
        <v>0</v>
      </c>
      <c r="Z564" s="290">
        <f t="shared" si="370"/>
        <v>0</v>
      </c>
    </row>
    <row r="565" spans="2:26" ht="19.8" customHeight="1" x14ac:dyDescent="0.6">
      <c r="B565" s="268">
        <v>16</v>
      </c>
      <c r="C565" s="255" t="s">
        <v>263</v>
      </c>
      <c r="D565" s="303" t="s">
        <v>759</v>
      </c>
      <c r="E565" s="276" t="s">
        <v>57</v>
      </c>
      <c r="G565" s="290"/>
      <c r="I565" s="290">
        <v>798.68</v>
      </c>
      <c r="J565" s="298">
        <f t="shared" si="397"/>
        <v>273148</v>
      </c>
      <c r="K565" s="316">
        <v>273148</v>
      </c>
      <c r="L565" s="271"/>
      <c r="M565" s="276"/>
      <c r="N565" s="290">
        <f t="shared" si="398"/>
        <v>0</v>
      </c>
      <c r="O565" s="276"/>
      <c r="P565" s="290">
        <f t="shared" si="398"/>
        <v>0</v>
      </c>
      <c r="Q565" s="276"/>
      <c r="R565" s="290"/>
      <c r="S565" s="276"/>
      <c r="T565" s="290"/>
      <c r="U565" s="276"/>
      <c r="V565" s="290">
        <f t="shared" si="399"/>
        <v>0</v>
      </c>
      <c r="W565" s="276"/>
      <c r="X565" s="290">
        <f t="shared" si="400"/>
        <v>0</v>
      </c>
      <c r="Y565" s="271">
        <f t="shared" si="369"/>
        <v>0</v>
      </c>
      <c r="Z565" s="290">
        <f t="shared" si="370"/>
        <v>0</v>
      </c>
    </row>
    <row r="566" spans="2:26" ht="19.8" customHeight="1" x14ac:dyDescent="0.6">
      <c r="B566" s="268">
        <v>17</v>
      </c>
      <c r="C566" s="255" t="s">
        <v>237</v>
      </c>
      <c r="D566" s="303" t="s">
        <v>760</v>
      </c>
      <c r="E566" s="276" t="s">
        <v>54</v>
      </c>
      <c r="G566" s="290"/>
      <c r="I566" s="290">
        <v>685.58</v>
      </c>
      <c r="J566" s="298">
        <f t="shared" si="397"/>
        <v>1061277</v>
      </c>
      <c r="K566" s="316">
        <v>1061277</v>
      </c>
      <c r="L566" s="271"/>
      <c r="M566" s="276"/>
      <c r="N566" s="290">
        <f t="shared" si="398"/>
        <v>0</v>
      </c>
      <c r="O566" s="276"/>
      <c r="P566" s="290">
        <f t="shared" si="398"/>
        <v>0</v>
      </c>
      <c r="Q566" s="276"/>
      <c r="R566" s="290"/>
      <c r="S566" s="276"/>
      <c r="T566" s="290"/>
      <c r="U566" s="276"/>
      <c r="V566" s="290">
        <f t="shared" si="399"/>
        <v>0</v>
      </c>
      <c r="W566" s="276"/>
      <c r="X566" s="290">
        <f t="shared" si="400"/>
        <v>0</v>
      </c>
      <c r="Y566" s="271">
        <f t="shared" si="369"/>
        <v>0</v>
      </c>
      <c r="Z566" s="290">
        <f t="shared" si="370"/>
        <v>0</v>
      </c>
    </row>
    <row r="567" spans="2:26" ht="19.8" customHeight="1" x14ac:dyDescent="0.6">
      <c r="B567" s="268">
        <v>18</v>
      </c>
      <c r="C567" s="255" t="s">
        <v>746</v>
      </c>
      <c r="D567" s="303"/>
      <c r="E567" s="276"/>
      <c r="G567" s="290"/>
      <c r="I567" s="290"/>
      <c r="J567" s="298"/>
      <c r="K567" s="316"/>
      <c r="L567" s="271"/>
      <c r="M567" s="276"/>
      <c r="N567" s="290"/>
      <c r="O567" s="276"/>
      <c r="P567" s="290"/>
      <c r="Q567" s="276"/>
      <c r="R567" s="290"/>
      <c r="S567" s="276"/>
      <c r="T567" s="290"/>
      <c r="U567" s="276"/>
      <c r="V567" s="290"/>
      <c r="W567" s="276"/>
      <c r="X567" s="290"/>
      <c r="Y567" s="271">
        <f t="shared" si="369"/>
        <v>0</v>
      </c>
      <c r="Z567" s="290">
        <f t="shared" si="370"/>
        <v>0</v>
      </c>
    </row>
    <row r="568" spans="2:26" ht="19.8" customHeight="1" x14ac:dyDescent="0.6">
      <c r="B568" s="268">
        <v>19</v>
      </c>
      <c r="C568" s="255" t="s">
        <v>243</v>
      </c>
      <c r="D568" s="303" t="s">
        <v>761</v>
      </c>
      <c r="E568" s="276" t="s">
        <v>55</v>
      </c>
      <c r="G568" s="290"/>
      <c r="I568" s="290">
        <v>617.54</v>
      </c>
      <c r="J568" s="298">
        <f t="shared" ref="J568:J575" si="401">IF(G568="-","-",IF(D568&gt;0,ROUNDDOWN(I568*D568,0),""))</f>
        <v>321367</v>
      </c>
      <c r="K568" s="316">
        <v>321367</v>
      </c>
      <c r="L568" s="271"/>
      <c r="M568" s="276"/>
      <c r="N568" s="290">
        <f t="shared" ref="N568:P575" si="402">ROUNDDOWN(M568*$I568,0)</f>
        <v>0</v>
      </c>
      <c r="O568" s="276"/>
      <c r="P568" s="290">
        <f t="shared" si="402"/>
        <v>0</v>
      </c>
      <c r="Q568" s="276"/>
      <c r="R568" s="290"/>
      <c r="S568" s="276"/>
      <c r="T568" s="290"/>
      <c r="U568" s="276"/>
      <c r="V568" s="290">
        <f t="shared" ref="V568:V575" si="403">ROUNDDOWN(U568*$I568,0)</f>
        <v>0</v>
      </c>
      <c r="W568" s="276"/>
      <c r="X568" s="290">
        <f t="shared" ref="X568:X575" si="404">ROUNDDOWN(W568*$I568,0)</f>
        <v>0</v>
      </c>
      <c r="Y568" s="271">
        <f t="shared" si="369"/>
        <v>0</v>
      </c>
      <c r="Z568" s="290">
        <f t="shared" si="370"/>
        <v>0</v>
      </c>
    </row>
    <row r="569" spans="2:26" ht="19.8" customHeight="1" x14ac:dyDescent="0.6">
      <c r="B569" s="268">
        <v>20</v>
      </c>
      <c r="C569" s="255" t="s">
        <v>622</v>
      </c>
      <c r="D569" s="303" t="s">
        <v>762</v>
      </c>
      <c r="E569" s="276" t="s">
        <v>54</v>
      </c>
      <c r="G569" s="290"/>
      <c r="I569" s="290">
        <v>447.01</v>
      </c>
      <c r="J569" s="298">
        <f t="shared" si="401"/>
        <v>2326240</v>
      </c>
      <c r="K569" s="316">
        <v>2326240</v>
      </c>
      <c r="L569" s="271"/>
      <c r="M569" s="276"/>
      <c r="N569" s="290">
        <f t="shared" si="402"/>
        <v>0</v>
      </c>
      <c r="O569" s="276"/>
      <c r="P569" s="290">
        <f t="shared" si="402"/>
        <v>0</v>
      </c>
      <c r="Q569" s="276"/>
      <c r="R569" s="290"/>
      <c r="S569" s="276"/>
      <c r="T569" s="290"/>
      <c r="U569" s="276"/>
      <c r="V569" s="290">
        <f t="shared" si="403"/>
        <v>0</v>
      </c>
      <c r="W569" s="276"/>
      <c r="X569" s="290">
        <f t="shared" si="404"/>
        <v>0</v>
      </c>
      <c r="Y569" s="271">
        <f t="shared" si="369"/>
        <v>0</v>
      </c>
      <c r="Z569" s="290">
        <f t="shared" si="370"/>
        <v>0</v>
      </c>
    </row>
    <row r="570" spans="2:26" ht="19.8" customHeight="1" x14ac:dyDescent="0.6">
      <c r="B570" s="268">
        <v>21</v>
      </c>
      <c r="C570" s="255" t="s">
        <v>623</v>
      </c>
      <c r="D570" s="303" t="s">
        <v>763</v>
      </c>
      <c r="E570" s="276" t="s">
        <v>57</v>
      </c>
      <c r="G570" s="290"/>
      <c r="I570" s="290">
        <v>277.14</v>
      </c>
      <c r="J570" s="298">
        <f t="shared" si="401"/>
        <v>14411</v>
      </c>
      <c r="K570" s="316">
        <v>14411</v>
      </c>
      <c r="L570" s="271"/>
      <c r="M570" s="276"/>
      <c r="N570" s="290">
        <f t="shared" si="402"/>
        <v>0</v>
      </c>
      <c r="O570" s="276"/>
      <c r="P570" s="290">
        <f t="shared" si="402"/>
        <v>0</v>
      </c>
      <c r="Q570" s="276"/>
      <c r="R570" s="290"/>
      <c r="S570" s="276"/>
      <c r="T570" s="290"/>
      <c r="U570" s="276"/>
      <c r="V570" s="290">
        <f t="shared" si="403"/>
        <v>0</v>
      </c>
      <c r="W570" s="276"/>
      <c r="X570" s="290">
        <f t="shared" si="404"/>
        <v>0</v>
      </c>
      <c r="Y570" s="271">
        <f t="shared" si="369"/>
        <v>0</v>
      </c>
      <c r="Z570" s="290">
        <f t="shared" si="370"/>
        <v>0</v>
      </c>
    </row>
    <row r="571" spans="2:26" ht="19.8" customHeight="1" x14ac:dyDescent="0.6">
      <c r="B571" s="268">
        <v>22</v>
      </c>
      <c r="C571" s="255" t="s">
        <v>747</v>
      </c>
      <c r="D571" s="303" t="s">
        <v>764</v>
      </c>
      <c r="E571" s="276" t="s">
        <v>57</v>
      </c>
      <c r="G571" s="290"/>
      <c r="I571" s="290">
        <v>181.83</v>
      </c>
      <c r="J571" s="298">
        <f t="shared" si="401"/>
        <v>84187</v>
      </c>
      <c r="K571" s="316">
        <v>84187</v>
      </c>
      <c r="L571" s="271"/>
      <c r="M571" s="276"/>
      <c r="N571" s="290">
        <f t="shared" si="402"/>
        <v>0</v>
      </c>
      <c r="O571" s="276"/>
      <c r="P571" s="290">
        <f t="shared" si="402"/>
        <v>0</v>
      </c>
      <c r="Q571" s="276"/>
      <c r="R571" s="290"/>
      <c r="S571" s="276"/>
      <c r="T571" s="290"/>
      <c r="U571" s="276"/>
      <c r="V571" s="290">
        <f t="shared" si="403"/>
        <v>0</v>
      </c>
      <c r="W571" s="276"/>
      <c r="X571" s="290">
        <f t="shared" si="404"/>
        <v>0</v>
      </c>
      <c r="Y571" s="271">
        <f t="shared" si="369"/>
        <v>0</v>
      </c>
      <c r="Z571" s="290">
        <f t="shared" si="370"/>
        <v>0</v>
      </c>
    </row>
    <row r="572" spans="2:26" ht="19.8" customHeight="1" x14ac:dyDescent="0.6">
      <c r="B572" s="268">
        <v>23</v>
      </c>
      <c r="C572" s="255" t="s">
        <v>625</v>
      </c>
      <c r="D572" s="303" t="s">
        <v>765</v>
      </c>
      <c r="E572" s="276" t="s">
        <v>57</v>
      </c>
      <c r="G572" s="290"/>
      <c r="I572" s="290">
        <v>63.47</v>
      </c>
      <c r="J572" s="298">
        <f t="shared" si="401"/>
        <v>52362</v>
      </c>
      <c r="K572" s="316">
        <v>52362</v>
      </c>
      <c r="L572" s="271"/>
      <c r="M572" s="276"/>
      <c r="N572" s="290">
        <f t="shared" si="402"/>
        <v>0</v>
      </c>
      <c r="O572" s="276"/>
      <c r="P572" s="290">
        <f t="shared" si="402"/>
        <v>0</v>
      </c>
      <c r="Q572" s="276"/>
      <c r="R572" s="290"/>
      <c r="S572" s="276"/>
      <c r="T572" s="290"/>
      <c r="U572" s="276"/>
      <c r="V572" s="290">
        <f t="shared" si="403"/>
        <v>0</v>
      </c>
      <c r="W572" s="276"/>
      <c r="X572" s="290">
        <f t="shared" si="404"/>
        <v>0</v>
      </c>
      <c r="Y572" s="271">
        <f t="shared" si="369"/>
        <v>0</v>
      </c>
      <c r="Z572" s="290">
        <f t="shared" si="370"/>
        <v>0</v>
      </c>
    </row>
    <row r="573" spans="2:26" ht="19.8" customHeight="1" x14ac:dyDescent="0.6">
      <c r="B573" s="268">
        <v>24</v>
      </c>
      <c r="C573" s="255" t="s">
        <v>630</v>
      </c>
      <c r="D573" s="303" t="s">
        <v>762</v>
      </c>
      <c r="E573" s="276" t="s">
        <v>54</v>
      </c>
      <c r="G573" s="290"/>
      <c r="I573" s="290">
        <v>16.96</v>
      </c>
      <c r="J573" s="298">
        <f t="shared" si="401"/>
        <v>88259</v>
      </c>
      <c r="K573" s="316">
        <v>88259</v>
      </c>
      <c r="L573" s="271"/>
      <c r="M573" s="276"/>
      <c r="N573" s="290">
        <f t="shared" si="402"/>
        <v>0</v>
      </c>
      <c r="O573" s="276"/>
      <c r="P573" s="290">
        <f t="shared" si="402"/>
        <v>0</v>
      </c>
      <c r="Q573" s="276"/>
      <c r="R573" s="290"/>
      <c r="S573" s="276"/>
      <c r="T573" s="290"/>
      <c r="U573" s="276"/>
      <c r="V573" s="290">
        <f t="shared" si="403"/>
        <v>0</v>
      </c>
      <c r="W573" s="276"/>
      <c r="X573" s="290">
        <f t="shared" si="404"/>
        <v>0</v>
      </c>
      <c r="Y573" s="271">
        <f t="shared" si="369"/>
        <v>0</v>
      </c>
      <c r="Z573" s="290">
        <f t="shared" si="370"/>
        <v>0</v>
      </c>
    </row>
    <row r="574" spans="2:26" ht="19.8" customHeight="1" x14ac:dyDescent="0.6">
      <c r="B574" s="268">
        <v>25</v>
      </c>
      <c r="C574" s="255" t="s">
        <v>631</v>
      </c>
      <c r="D574" s="303" t="s">
        <v>762</v>
      </c>
      <c r="E574" s="276" t="s">
        <v>54</v>
      </c>
      <c r="G574" s="290"/>
      <c r="I574" s="290">
        <v>293.86</v>
      </c>
      <c r="J574" s="298">
        <f t="shared" si="401"/>
        <v>1529247</v>
      </c>
      <c r="K574" s="316">
        <v>1529247</v>
      </c>
      <c r="L574" s="271"/>
      <c r="M574" s="276"/>
      <c r="N574" s="290">
        <f t="shared" si="402"/>
        <v>0</v>
      </c>
      <c r="O574" s="276"/>
      <c r="P574" s="290">
        <f t="shared" si="402"/>
        <v>0</v>
      </c>
      <c r="Q574" s="276"/>
      <c r="R574" s="290"/>
      <c r="S574" s="276"/>
      <c r="T574" s="290"/>
      <c r="U574" s="276"/>
      <c r="V574" s="290">
        <f t="shared" si="403"/>
        <v>0</v>
      </c>
      <c r="W574" s="276"/>
      <c r="X574" s="290">
        <f t="shared" si="404"/>
        <v>0</v>
      </c>
      <c r="Y574" s="271">
        <f t="shared" si="369"/>
        <v>0</v>
      </c>
      <c r="Z574" s="290">
        <f t="shared" si="370"/>
        <v>0</v>
      </c>
    </row>
    <row r="575" spans="2:26" ht="19.8" customHeight="1" x14ac:dyDescent="0.6">
      <c r="B575" s="268">
        <v>25</v>
      </c>
      <c r="C575" s="255" t="s">
        <v>748</v>
      </c>
      <c r="D575" s="303" t="s">
        <v>572</v>
      </c>
      <c r="E575" s="276" t="s">
        <v>58</v>
      </c>
      <c r="G575" s="290"/>
      <c r="I575" s="290">
        <v>88382.92</v>
      </c>
      <c r="J575" s="298">
        <f t="shared" si="401"/>
        <v>883829</v>
      </c>
      <c r="K575" s="316">
        <v>883829</v>
      </c>
      <c r="L575" s="271"/>
      <c r="M575" s="276"/>
      <c r="N575" s="290">
        <f t="shared" si="402"/>
        <v>0</v>
      </c>
      <c r="O575" s="276"/>
      <c r="P575" s="290">
        <f t="shared" si="402"/>
        <v>0</v>
      </c>
      <c r="Q575" s="276"/>
      <c r="R575" s="290"/>
      <c r="S575" s="276"/>
      <c r="T575" s="290"/>
      <c r="U575" s="276"/>
      <c r="V575" s="290">
        <f t="shared" si="403"/>
        <v>0</v>
      </c>
      <c r="W575" s="276"/>
      <c r="X575" s="290">
        <f t="shared" si="404"/>
        <v>0</v>
      </c>
      <c r="Y575" s="271">
        <f t="shared" si="369"/>
        <v>0</v>
      </c>
      <c r="Z575" s="290">
        <f t="shared" si="370"/>
        <v>0</v>
      </c>
    </row>
    <row r="576" spans="2:26" ht="19.8" customHeight="1" x14ac:dyDescent="0.6">
      <c r="B576" s="268"/>
      <c r="C576" s="255" t="s">
        <v>231</v>
      </c>
      <c r="D576" s="303"/>
      <c r="E576" s="276"/>
      <c r="G576" s="290"/>
      <c r="I576" s="290"/>
      <c r="J576" s="298"/>
      <c r="K576" s="316"/>
      <c r="L576" s="271"/>
      <c r="M576" s="276"/>
      <c r="N576" s="290"/>
      <c r="O576" s="276"/>
      <c r="P576" s="290"/>
      <c r="Q576" s="276"/>
      <c r="R576" s="290"/>
      <c r="S576" s="276"/>
      <c r="T576" s="290"/>
      <c r="U576" s="276"/>
      <c r="V576" s="290"/>
      <c r="W576" s="276"/>
      <c r="X576" s="290"/>
      <c r="Y576" s="271">
        <f t="shared" si="369"/>
        <v>0</v>
      </c>
      <c r="Z576" s="290">
        <f t="shared" si="370"/>
        <v>0</v>
      </c>
    </row>
    <row r="577" spans="2:26" ht="19.8" customHeight="1" x14ac:dyDescent="0.6">
      <c r="B577" s="268">
        <v>26</v>
      </c>
      <c r="C577" s="255" t="s">
        <v>766</v>
      </c>
      <c r="D577" s="303" t="s">
        <v>750</v>
      </c>
      <c r="E577" s="276" t="s">
        <v>57</v>
      </c>
      <c r="G577" s="290"/>
      <c r="I577" s="290">
        <v>7376</v>
      </c>
      <c r="J577" s="298">
        <f t="shared" ref="J577:J578" si="405">IF(G577="-","-",IF(D577&gt;0,ROUNDDOWN(I577*D577,0),""))</f>
        <v>922000</v>
      </c>
      <c r="K577" s="316">
        <v>922000</v>
      </c>
      <c r="L577" s="271"/>
      <c r="M577" s="276"/>
      <c r="N577" s="290">
        <f t="shared" ref="N577:P578" si="406">ROUNDDOWN(M577*$I577,0)</f>
        <v>0</v>
      </c>
      <c r="O577" s="276"/>
      <c r="P577" s="290">
        <f t="shared" si="406"/>
        <v>0</v>
      </c>
      <c r="Q577" s="276"/>
      <c r="R577" s="290"/>
      <c r="S577" s="276"/>
      <c r="T577" s="290"/>
      <c r="U577" s="276"/>
      <c r="V577" s="290">
        <f t="shared" ref="V577:V578" si="407">ROUNDDOWN(U577*$I577,0)</f>
        <v>0</v>
      </c>
      <c r="W577" s="276"/>
      <c r="X577" s="290">
        <f t="shared" ref="X577:X578" si="408">ROUNDDOWN(W577*$I577,0)</f>
        <v>0</v>
      </c>
      <c r="Y577" s="271">
        <f t="shared" si="369"/>
        <v>0</v>
      </c>
      <c r="Z577" s="290">
        <f t="shared" si="370"/>
        <v>0</v>
      </c>
    </row>
    <row r="578" spans="2:26" ht="19.8" customHeight="1" x14ac:dyDescent="0.6">
      <c r="B578" s="268">
        <v>27</v>
      </c>
      <c r="C578" s="255" t="s">
        <v>767</v>
      </c>
      <c r="D578" s="303" t="s">
        <v>389</v>
      </c>
      <c r="E578" s="276" t="s">
        <v>58</v>
      </c>
      <c r="G578" s="290"/>
      <c r="I578" s="290">
        <v>1424984.1</v>
      </c>
      <c r="J578" s="298">
        <f t="shared" si="405"/>
        <v>1424984</v>
      </c>
      <c r="K578" s="316">
        <v>1424984</v>
      </c>
      <c r="L578" s="271"/>
      <c r="M578" s="276"/>
      <c r="N578" s="290">
        <f t="shared" si="406"/>
        <v>0</v>
      </c>
      <c r="O578" s="276"/>
      <c r="P578" s="290">
        <f t="shared" si="406"/>
        <v>0</v>
      </c>
      <c r="Q578" s="276"/>
      <c r="R578" s="290"/>
      <c r="S578" s="276"/>
      <c r="T578" s="290"/>
      <c r="U578" s="276"/>
      <c r="V578" s="290">
        <f t="shared" si="407"/>
        <v>0</v>
      </c>
      <c r="W578" s="276"/>
      <c r="X578" s="290">
        <f t="shared" si="408"/>
        <v>0</v>
      </c>
      <c r="Y578" s="271">
        <f t="shared" si="369"/>
        <v>0</v>
      </c>
      <c r="Z578" s="290">
        <f t="shared" si="370"/>
        <v>0</v>
      </c>
    </row>
    <row r="579" spans="2:26" ht="19.8" customHeight="1" x14ac:dyDescent="0.6">
      <c r="B579" s="268"/>
      <c r="D579" s="303"/>
      <c r="E579" s="276"/>
      <c r="G579" s="290"/>
      <c r="I579" s="290"/>
      <c r="J579" s="298"/>
      <c r="K579" s="316"/>
      <c r="L579" s="271"/>
      <c r="M579" s="276"/>
      <c r="N579" s="290"/>
      <c r="O579" s="276"/>
      <c r="P579" s="290"/>
      <c r="Q579" s="276"/>
      <c r="R579" s="290"/>
      <c r="S579" s="276"/>
      <c r="T579" s="290"/>
      <c r="U579" s="276"/>
      <c r="V579" s="290"/>
      <c r="W579" s="276"/>
      <c r="X579" s="290"/>
      <c r="Y579" s="271">
        <f t="shared" si="369"/>
        <v>0</v>
      </c>
      <c r="Z579" s="290">
        <f t="shared" si="370"/>
        <v>0</v>
      </c>
    </row>
    <row r="580" spans="2:26" ht="19.8" customHeight="1" x14ac:dyDescent="0.6">
      <c r="B580" s="817" t="s">
        <v>768</v>
      </c>
      <c r="C580" s="818"/>
      <c r="D580" s="294" t="s">
        <v>765</v>
      </c>
      <c r="E580" s="257" t="s">
        <v>57</v>
      </c>
      <c r="F580" s="296"/>
      <c r="G580" s="293"/>
      <c r="H580" s="297"/>
      <c r="I580" s="293"/>
      <c r="J580" s="299">
        <f>SUM(J550:J579)</f>
        <v>15007259</v>
      </c>
      <c r="K580" s="319">
        <v>15007259</v>
      </c>
      <c r="L580" s="262"/>
      <c r="M580" s="257"/>
      <c r="N580" s="326">
        <f>SUM(N550:N579)</f>
        <v>0</v>
      </c>
      <c r="O580" s="257"/>
      <c r="P580" s="326">
        <f>SUM(P550:P579)</f>
        <v>2510000</v>
      </c>
      <c r="Q580" s="257"/>
      <c r="R580" s="326">
        <f>SUM(R550:R579)</f>
        <v>0</v>
      </c>
      <c r="S580" s="257"/>
      <c r="T580" s="326">
        <f>SUM(T550:T579)</f>
        <v>0</v>
      </c>
      <c r="U580" s="257"/>
      <c r="V580" s="326">
        <f>SUM(V550:V579)</f>
        <v>2510000</v>
      </c>
      <c r="W580" s="257"/>
      <c r="X580" s="326">
        <f>SUM(X550:X579)</f>
        <v>2510000</v>
      </c>
      <c r="Y580" s="262">
        <f t="shared" si="369"/>
        <v>0</v>
      </c>
      <c r="Z580" s="293">
        <f>N580+P580+R580</f>
        <v>2510000</v>
      </c>
    </row>
    <row r="581" spans="2:26" ht="19.8" customHeight="1" x14ac:dyDescent="0.6">
      <c r="B581" s="306">
        <v>3.8</v>
      </c>
      <c r="C581" s="255" t="s">
        <v>769</v>
      </c>
      <c r="D581" s="303"/>
      <c r="E581" s="276"/>
      <c r="G581" s="290"/>
      <c r="I581" s="290"/>
      <c r="J581" s="298"/>
      <c r="K581" s="316"/>
      <c r="L581" s="271"/>
      <c r="M581" s="276"/>
      <c r="N581" s="290"/>
      <c r="O581" s="276"/>
      <c r="P581" s="290"/>
      <c r="Q581" s="276"/>
      <c r="R581" s="290"/>
      <c r="S581" s="276"/>
      <c r="T581" s="290"/>
      <c r="U581" s="276"/>
      <c r="V581" s="290"/>
      <c r="W581" s="276"/>
      <c r="X581" s="290"/>
      <c r="Y581" s="271">
        <f t="shared" si="369"/>
        <v>0</v>
      </c>
      <c r="Z581" s="290">
        <f t="shared" si="370"/>
        <v>0</v>
      </c>
    </row>
    <row r="582" spans="2:26" ht="19.8" customHeight="1" x14ac:dyDescent="0.6">
      <c r="B582" s="268"/>
      <c r="C582" s="255" t="s">
        <v>776</v>
      </c>
      <c r="D582" s="303"/>
      <c r="E582" s="276"/>
      <c r="G582" s="290"/>
      <c r="I582" s="290"/>
      <c r="J582" s="298"/>
      <c r="K582" s="316"/>
      <c r="L582" s="271"/>
      <c r="M582" s="276"/>
      <c r="N582" s="290"/>
      <c r="O582" s="276"/>
      <c r="P582" s="290"/>
      <c r="Q582" s="276"/>
      <c r="R582" s="290"/>
      <c r="S582" s="276"/>
      <c r="T582" s="290"/>
      <c r="U582" s="276"/>
      <c r="V582" s="290"/>
      <c r="W582" s="276"/>
      <c r="X582" s="290"/>
      <c r="Y582" s="271">
        <f t="shared" si="369"/>
        <v>0</v>
      </c>
      <c r="Z582" s="290">
        <f t="shared" si="370"/>
        <v>0</v>
      </c>
    </row>
    <row r="583" spans="2:26" ht="19.8" customHeight="1" x14ac:dyDescent="0.6">
      <c r="B583" s="268"/>
      <c r="C583" s="255" t="s">
        <v>777</v>
      </c>
      <c r="D583" s="303"/>
      <c r="E583" s="276"/>
      <c r="G583" s="290"/>
      <c r="I583" s="290"/>
      <c r="J583" s="298"/>
      <c r="K583" s="316"/>
      <c r="L583" s="271"/>
      <c r="M583" s="276"/>
      <c r="N583" s="290"/>
      <c r="O583" s="276"/>
      <c r="P583" s="290"/>
      <c r="Q583" s="276"/>
      <c r="R583" s="290"/>
      <c r="S583" s="276"/>
      <c r="T583" s="290"/>
      <c r="U583" s="276"/>
      <c r="V583" s="290"/>
      <c r="W583" s="276"/>
      <c r="X583" s="290"/>
      <c r="Y583" s="271">
        <f t="shared" si="369"/>
        <v>0</v>
      </c>
      <c r="Z583" s="290">
        <f t="shared" si="370"/>
        <v>0</v>
      </c>
    </row>
    <row r="584" spans="2:26" ht="19.8" customHeight="1" x14ac:dyDescent="0.6">
      <c r="B584" s="268">
        <v>2</v>
      </c>
      <c r="C584" s="255" t="s">
        <v>604</v>
      </c>
      <c r="D584" s="303" t="s">
        <v>780</v>
      </c>
      <c r="E584" s="276" t="s">
        <v>57</v>
      </c>
      <c r="G584" s="290"/>
      <c r="I584" s="290">
        <v>126.78</v>
      </c>
      <c r="J584" s="298">
        <f t="shared" ref="J584:J587" si="409">IF(G584="-","-",IF(D584&gt;0,ROUNDDOWN(I584*D584,0),""))</f>
        <v>132738</v>
      </c>
      <c r="K584" s="316">
        <v>132738</v>
      </c>
      <c r="L584" s="271"/>
      <c r="M584" s="276"/>
      <c r="N584" s="290">
        <f t="shared" ref="N584:P587" si="410">ROUNDDOWN(M584*$I584,0)</f>
        <v>0</v>
      </c>
      <c r="O584" s="276"/>
      <c r="P584" s="290">
        <f t="shared" si="410"/>
        <v>0</v>
      </c>
      <c r="Q584" s="276"/>
      <c r="R584" s="290"/>
      <c r="S584" s="276"/>
      <c r="T584" s="290"/>
      <c r="U584" s="276"/>
      <c r="V584" s="290">
        <f t="shared" ref="V584:V587" si="411">ROUNDDOWN(U584*$I584,0)</f>
        <v>0</v>
      </c>
      <c r="W584" s="276"/>
      <c r="X584" s="290">
        <f t="shared" ref="X584:X585" si="412">ROUNDDOWN(W584*$I584,0)</f>
        <v>0</v>
      </c>
      <c r="Y584" s="271">
        <f t="shared" si="369"/>
        <v>0</v>
      </c>
      <c r="Z584" s="290">
        <f t="shared" si="370"/>
        <v>0</v>
      </c>
    </row>
    <row r="585" spans="2:26" ht="19.8" customHeight="1" x14ac:dyDescent="0.6">
      <c r="B585" s="268">
        <v>3</v>
      </c>
      <c r="C585" s="255" t="s">
        <v>195</v>
      </c>
      <c r="D585" s="303" t="s">
        <v>779</v>
      </c>
      <c r="E585" s="276" t="s">
        <v>55</v>
      </c>
      <c r="G585" s="290"/>
      <c r="I585" s="290">
        <v>38.21</v>
      </c>
      <c r="J585" s="298">
        <f t="shared" si="409"/>
        <v>208244</v>
      </c>
      <c r="K585" s="316">
        <v>208244</v>
      </c>
      <c r="L585" s="271"/>
      <c r="M585" s="276"/>
      <c r="N585" s="290">
        <f t="shared" si="410"/>
        <v>0</v>
      </c>
      <c r="O585" s="276"/>
      <c r="P585" s="290">
        <f t="shared" si="410"/>
        <v>0</v>
      </c>
      <c r="Q585" s="276"/>
      <c r="R585" s="290"/>
      <c r="S585" s="276"/>
      <c r="T585" s="290"/>
      <c r="U585" s="276"/>
      <c r="V585" s="290">
        <f t="shared" si="411"/>
        <v>0</v>
      </c>
      <c r="W585" s="276"/>
      <c r="X585" s="290">
        <f t="shared" si="412"/>
        <v>0</v>
      </c>
      <c r="Y585" s="271">
        <f t="shared" si="369"/>
        <v>0</v>
      </c>
      <c r="Z585" s="290">
        <f t="shared" si="370"/>
        <v>0</v>
      </c>
    </row>
    <row r="586" spans="2:26" ht="19.8" customHeight="1" x14ac:dyDescent="0.6">
      <c r="B586" s="268">
        <v>4</v>
      </c>
      <c r="C586" s="255" t="s">
        <v>770</v>
      </c>
      <c r="D586" s="303" t="s">
        <v>778</v>
      </c>
      <c r="E586" s="276" t="s">
        <v>57</v>
      </c>
      <c r="G586" s="290"/>
      <c r="I586" s="290">
        <v>8362.5400000000009</v>
      </c>
      <c r="J586" s="298">
        <f t="shared" si="409"/>
        <v>4440508</v>
      </c>
      <c r="K586" s="316">
        <v>4440508</v>
      </c>
      <c r="L586" s="271" t="s">
        <v>894</v>
      </c>
      <c r="M586" s="276"/>
      <c r="N586" s="290">
        <f t="shared" si="410"/>
        <v>0</v>
      </c>
      <c r="O586" s="276">
        <v>500</v>
      </c>
      <c r="P586" s="290">
        <f>1670000+1670000</f>
        <v>3340000</v>
      </c>
      <c r="Q586" s="276"/>
      <c r="R586" s="290"/>
      <c r="S586" s="276"/>
      <c r="T586" s="290"/>
      <c r="U586" s="276">
        <f>M586+O586+Q586</f>
        <v>500</v>
      </c>
      <c r="V586" s="290">
        <f>N586+P586+R586</f>
        <v>3340000</v>
      </c>
      <c r="W586" s="276">
        <f>O586+Q586+S586</f>
        <v>500</v>
      </c>
      <c r="X586" s="290">
        <f>P586+R586+T586</f>
        <v>3340000</v>
      </c>
      <c r="Y586" s="271">
        <f t="shared" si="369"/>
        <v>500</v>
      </c>
      <c r="Z586" s="290">
        <f t="shared" si="370"/>
        <v>3340000</v>
      </c>
    </row>
    <row r="587" spans="2:26" ht="19.8" customHeight="1" x14ac:dyDescent="0.6">
      <c r="B587" s="268">
        <v>6</v>
      </c>
      <c r="C587" s="255" t="s">
        <v>732</v>
      </c>
      <c r="D587" s="303" t="s">
        <v>453</v>
      </c>
      <c r="E587" s="276" t="s">
        <v>57</v>
      </c>
      <c r="G587" s="290"/>
      <c r="I587" s="290">
        <v>1240.5899999999999</v>
      </c>
      <c r="J587" s="298">
        <f t="shared" si="409"/>
        <v>74435</v>
      </c>
      <c r="K587" s="316">
        <v>74435</v>
      </c>
      <c r="L587" s="271"/>
      <c r="M587" s="276"/>
      <c r="N587" s="290">
        <f t="shared" si="410"/>
        <v>0</v>
      </c>
      <c r="O587" s="276"/>
      <c r="P587" s="290">
        <f t="shared" si="410"/>
        <v>0</v>
      </c>
      <c r="Q587" s="276"/>
      <c r="R587" s="290"/>
      <c r="S587" s="276"/>
      <c r="T587" s="290"/>
      <c r="U587" s="276"/>
      <c r="V587" s="290">
        <f t="shared" si="411"/>
        <v>0</v>
      </c>
      <c r="W587" s="276"/>
      <c r="X587" s="290">
        <f t="shared" ref="X587" si="413">ROUNDDOWN(W587*$I587,0)</f>
        <v>0</v>
      </c>
      <c r="Y587" s="271">
        <f t="shared" si="369"/>
        <v>0</v>
      </c>
      <c r="Z587" s="290">
        <f t="shared" si="370"/>
        <v>0</v>
      </c>
    </row>
    <row r="588" spans="2:26" ht="19.8" customHeight="1" x14ac:dyDescent="0.6">
      <c r="B588" s="268"/>
      <c r="C588" s="255" t="s">
        <v>235</v>
      </c>
      <c r="D588" s="303"/>
      <c r="E588" s="276"/>
      <c r="G588" s="290"/>
      <c r="I588" s="290"/>
      <c r="J588" s="298"/>
      <c r="K588" s="316"/>
      <c r="L588" s="271"/>
      <c r="M588" s="276"/>
      <c r="N588" s="290"/>
      <c r="O588" s="276"/>
      <c r="P588" s="290"/>
      <c r="Q588" s="276"/>
      <c r="R588" s="290"/>
      <c r="S588" s="276"/>
      <c r="T588" s="290"/>
      <c r="U588" s="276"/>
      <c r="V588" s="290"/>
      <c r="W588" s="276"/>
      <c r="X588" s="290"/>
      <c r="Y588" s="271">
        <f t="shared" si="369"/>
        <v>0</v>
      </c>
      <c r="Z588" s="290">
        <f t="shared" si="370"/>
        <v>0</v>
      </c>
    </row>
    <row r="589" spans="2:26" ht="19.8" customHeight="1" x14ac:dyDescent="0.6">
      <c r="B589" s="268">
        <v>7</v>
      </c>
      <c r="C589" s="255" t="s">
        <v>215</v>
      </c>
      <c r="D589" s="303" t="s">
        <v>781</v>
      </c>
      <c r="E589" s="276" t="s">
        <v>55</v>
      </c>
      <c r="G589" s="290"/>
      <c r="I589" s="290">
        <v>328.91</v>
      </c>
      <c r="J589" s="298">
        <f t="shared" ref="J589:J591" si="414">IF(G589="-","-",IF(D589&gt;0,ROUNDDOWN(I589*D589,0),""))</f>
        <v>651241</v>
      </c>
      <c r="K589" s="316">
        <v>651241</v>
      </c>
      <c r="L589" s="271"/>
      <c r="M589" s="276"/>
      <c r="N589" s="290">
        <f t="shared" ref="N589:P591" si="415">ROUNDDOWN(M589*$I589,0)</f>
        <v>0</v>
      </c>
      <c r="O589" s="276"/>
      <c r="P589" s="290">
        <f t="shared" si="415"/>
        <v>0</v>
      </c>
      <c r="Q589" s="276"/>
      <c r="R589" s="290"/>
      <c r="S589" s="276"/>
      <c r="T589" s="290"/>
      <c r="U589" s="276"/>
      <c r="V589" s="290">
        <f t="shared" ref="V589:V591" si="416">ROUNDDOWN(U589*$I589,0)</f>
        <v>0</v>
      </c>
      <c r="W589" s="276"/>
      <c r="X589" s="290">
        <f t="shared" ref="X589:X591" si="417">ROUNDDOWN(W589*$I589,0)</f>
        <v>0</v>
      </c>
      <c r="Y589" s="271">
        <f t="shared" si="369"/>
        <v>0</v>
      </c>
      <c r="Z589" s="290">
        <f t="shared" si="370"/>
        <v>0</v>
      </c>
    </row>
    <row r="590" spans="2:26" ht="19.8" customHeight="1" x14ac:dyDescent="0.6">
      <c r="B590" s="268">
        <v>8</v>
      </c>
      <c r="C590" s="255" t="s">
        <v>247</v>
      </c>
      <c r="D590" s="303" t="s">
        <v>782</v>
      </c>
      <c r="E590" s="276" t="s">
        <v>55</v>
      </c>
      <c r="G590" s="290"/>
      <c r="I590" s="290">
        <v>324.95</v>
      </c>
      <c r="J590" s="298">
        <f t="shared" si="414"/>
        <v>470852</v>
      </c>
      <c r="K590" s="316">
        <v>470852</v>
      </c>
      <c r="L590" s="271"/>
      <c r="M590" s="276"/>
      <c r="N590" s="290">
        <f t="shared" si="415"/>
        <v>0</v>
      </c>
      <c r="O590" s="276"/>
      <c r="P590" s="290">
        <f t="shared" si="415"/>
        <v>0</v>
      </c>
      <c r="Q590" s="276"/>
      <c r="R590" s="290"/>
      <c r="S590" s="276"/>
      <c r="T590" s="290"/>
      <c r="U590" s="276"/>
      <c r="V590" s="290">
        <f t="shared" si="416"/>
        <v>0</v>
      </c>
      <c r="W590" s="276"/>
      <c r="X590" s="290">
        <f t="shared" si="417"/>
        <v>0</v>
      </c>
      <c r="Y590" s="271">
        <f t="shared" ref="Y590:Y621" si="418">M590+O590</f>
        <v>0</v>
      </c>
      <c r="Z590" s="290">
        <f t="shared" ref="Z590:Z621" si="419">N590+P590</f>
        <v>0</v>
      </c>
    </row>
    <row r="591" spans="2:26" ht="19.8" customHeight="1" x14ac:dyDescent="0.6">
      <c r="B591" s="268">
        <v>12</v>
      </c>
      <c r="C591" s="255" t="s">
        <v>257</v>
      </c>
      <c r="D591" s="303" t="s">
        <v>735</v>
      </c>
      <c r="E591" s="276" t="s">
        <v>54</v>
      </c>
      <c r="G591" s="290"/>
      <c r="I591" s="290">
        <v>354.97</v>
      </c>
      <c r="J591" s="298">
        <f t="shared" si="414"/>
        <v>28752</v>
      </c>
      <c r="K591" s="316">
        <v>28752</v>
      </c>
      <c r="L591" s="271"/>
      <c r="M591" s="276"/>
      <c r="N591" s="290">
        <f t="shared" si="415"/>
        <v>0</v>
      </c>
      <c r="O591" s="276"/>
      <c r="P591" s="290">
        <f t="shared" si="415"/>
        <v>0</v>
      </c>
      <c r="Q591" s="276"/>
      <c r="R591" s="290"/>
      <c r="S591" s="276"/>
      <c r="T591" s="290"/>
      <c r="U591" s="276"/>
      <c r="V591" s="290">
        <f t="shared" si="416"/>
        <v>0</v>
      </c>
      <c r="W591" s="276"/>
      <c r="X591" s="290">
        <f t="shared" si="417"/>
        <v>0</v>
      </c>
      <c r="Y591" s="271">
        <f t="shared" si="418"/>
        <v>0</v>
      </c>
      <c r="Z591" s="290">
        <f t="shared" si="419"/>
        <v>0</v>
      </c>
    </row>
    <row r="592" spans="2:26" ht="19.8" customHeight="1" x14ac:dyDescent="0.6">
      <c r="B592" s="268">
        <v>13</v>
      </c>
      <c r="C592" s="255" t="s">
        <v>59</v>
      </c>
      <c r="D592" s="303"/>
      <c r="E592" s="276"/>
      <c r="G592" s="290"/>
      <c r="I592" s="290"/>
      <c r="J592" s="298"/>
      <c r="K592" s="316"/>
      <c r="L592" s="271"/>
      <c r="M592" s="276"/>
      <c r="N592" s="290"/>
      <c r="O592" s="276"/>
      <c r="P592" s="290"/>
      <c r="Q592" s="276"/>
      <c r="R592" s="290"/>
      <c r="S592" s="276"/>
      <c r="T592" s="290"/>
      <c r="U592" s="276"/>
      <c r="V592" s="290"/>
      <c r="W592" s="276"/>
      <c r="X592" s="290"/>
      <c r="Y592" s="271">
        <f t="shared" si="418"/>
        <v>0</v>
      </c>
      <c r="Z592" s="290">
        <f t="shared" si="419"/>
        <v>0</v>
      </c>
    </row>
    <row r="593" spans="2:26" ht="19.8" customHeight="1" x14ac:dyDescent="0.6">
      <c r="B593" s="268">
        <v>14</v>
      </c>
      <c r="C593" s="255" t="s">
        <v>259</v>
      </c>
      <c r="D593" s="303" t="s">
        <v>783</v>
      </c>
      <c r="E593" s="276" t="s">
        <v>54</v>
      </c>
      <c r="G593" s="290"/>
      <c r="I593" s="290">
        <v>108.36</v>
      </c>
      <c r="J593" s="298">
        <f t="shared" ref="J593:J595" si="420">IF(G593="-","-",IF(D593&gt;0,ROUNDDOWN(I593*D593,0),""))</f>
        <v>785068</v>
      </c>
      <c r="K593" s="316">
        <v>785068</v>
      </c>
      <c r="L593" s="271"/>
      <c r="M593" s="276"/>
      <c r="N593" s="290">
        <f t="shared" ref="N593:P595" si="421">ROUNDDOWN(M593*$I593,0)</f>
        <v>0</v>
      </c>
      <c r="O593" s="276"/>
      <c r="P593" s="290">
        <f t="shared" si="421"/>
        <v>0</v>
      </c>
      <c r="Q593" s="276"/>
      <c r="R593" s="290"/>
      <c r="S593" s="276"/>
      <c r="T593" s="290"/>
      <c r="U593" s="276"/>
      <c r="V593" s="290">
        <f t="shared" ref="V593:V595" si="422">ROUNDDOWN(U593*$I593,0)</f>
        <v>0</v>
      </c>
      <c r="W593" s="276"/>
      <c r="X593" s="290">
        <f t="shared" ref="X593" si="423">ROUNDDOWN(W593*$I593,0)</f>
        <v>0</v>
      </c>
      <c r="Y593" s="271">
        <f t="shared" si="418"/>
        <v>0</v>
      </c>
      <c r="Z593" s="290">
        <f t="shared" si="419"/>
        <v>0</v>
      </c>
    </row>
    <row r="594" spans="2:26" ht="19.8" customHeight="1" x14ac:dyDescent="0.6">
      <c r="B594" s="268">
        <v>15</v>
      </c>
      <c r="C594" s="255" t="s">
        <v>771</v>
      </c>
      <c r="D594" s="303" t="s">
        <v>808</v>
      </c>
      <c r="E594" s="276" t="s">
        <v>57</v>
      </c>
      <c r="G594" s="290"/>
      <c r="I594" s="290">
        <v>16735.45</v>
      </c>
      <c r="J594" s="298">
        <f t="shared" si="420"/>
        <v>6610502</v>
      </c>
      <c r="K594" s="316">
        <v>6610502</v>
      </c>
      <c r="L594" s="271" t="s">
        <v>895</v>
      </c>
      <c r="M594" s="276"/>
      <c r="N594" s="290">
        <f t="shared" si="421"/>
        <v>0</v>
      </c>
      <c r="O594" s="276">
        <v>195</v>
      </c>
      <c r="P594" s="290">
        <f>2670000+2610000</f>
        <v>5280000</v>
      </c>
      <c r="Q594" s="276"/>
      <c r="R594" s="290"/>
      <c r="S594" s="276"/>
      <c r="T594" s="290"/>
      <c r="U594" s="276">
        <f>M594+O594+Q594</f>
        <v>195</v>
      </c>
      <c r="V594" s="290">
        <f>N594+P594</f>
        <v>5280000</v>
      </c>
      <c r="W594" s="276">
        <f>O594+Q594+S594</f>
        <v>195</v>
      </c>
      <c r="X594" s="290">
        <f>P594+R594</f>
        <v>5280000</v>
      </c>
      <c r="Y594" s="271">
        <f t="shared" si="418"/>
        <v>195</v>
      </c>
      <c r="Z594" s="290">
        <f t="shared" si="419"/>
        <v>5280000</v>
      </c>
    </row>
    <row r="595" spans="2:26" ht="19.8" customHeight="1" x14ac:dyDescent="0.6">
      <c r="B595" s="268">
        <v>16</v>
      </c>
      <c r="C595" s="255" t="s">
        <v>772</v>
      </c>
      <c r="D595" s="303" t="s">
        <v>566</v>
      </c>
      <c r="E595" s="276" t="s">
        <v>58</v>
      </c>
      <c r="G595" s="290"/>
      <c r="I595" s="290">
        <v>57555.85</v>
      </c>
      <c r="J595" s="298">
        <f t="shared" si="420"/>
        <v>1784231</v>
      </c>
      <c r="K595" s="316">
        <v>1784231</v>
      </c>
      <c r="L595" s="271"/>
      <c r="M595" s="276"/>
      <c r="N595" s="290">
        <f t="shared" si="421"/>
        <v>0</v>
      </c>
      <c r="O595" s="276"/>
      <c r="P595" s="290">
        <f t="shared" si="421"/>
        <v>0</v>
      </c>
      <c r="Q595" s="276"/>
      <c r="R595" s="290"/>
      <c r="S595" s="276"/>
      <c r="T595" s="290"/>
      <c r="U595" s="276"/>
      <c r="V595" s="290">
        <f t="shared" si="422"/>
        <v>0</v>
      </c>
      <c r="W595" s="276"/>
      <c r="X595" s="290">
        <f t="shared" ref="X595" si="424">ROUNDDOWN(W595*$I595,0)</f>
        <v>0</v>
      </c>
      <c r="Y595" s="271">
        <f t="shared" si="418"/>
        <v>0</v>
      </c>
      <c r="Z595" s="290">
        <f t="shared" si="419"/>
        <v>0</v>
      </c>
    </row>
    <row r="596" spans="2:26" ht="19.8" customHeight="1" x14ac:dyDescent="0.6">
      <c r="B596" s="268"/>
      <c r="C596" s="255" t="s">
        <v>231</v>
      </c>
      <c r="D596" s="303"/>
      <c r="E596" s="276"/>
      <c r="G596" s="290"/>
      <c r="I596" s="290"/>
      <c r="J596" s="298"/>
      <c r="K596" s="316"/>
      <c r="L596" s="271"/>
      <c r="M596" s="276"/>
      <c r="N596" s="290"/>
      <c r="O596" s="276"/>
      <c r="P596" s="290"/>
      <c r="Q596" s="276"/>
      <c r="R596" s="290"/>
      <c r="S596" s="276"/>
      <c r="T596" s="290"/>
      <c r="U596" s="276"/>
      <c r="V596" s="290"/>
      <c r="W596" s="276"/>
      <c r="X596" s="290"/>
      <c r="Y596" s="271">
        <f t="shared" si="418"/>
        <v>0</v>
      </c>
      <c r="Z596" s="290">
        <f t="shared" si="419"/>
        <v>0</v>
      </c>
    </row>
    <row r="597" spans="2:26" ht="19.8" customHeight="1" x14ac:dyDescent="0.6">
      <c r="B597" s="268">
        <v>17</v>
      </c>
      <c r="C597" s="255" t="s">
        <v>807</v>
      </c>
      <c r="D597" s="303" t="s">
        <v>784</v>
      </c>
      <c r="E597" s="276" t="s">
        <v>58</v>
      </c>
      <c r="G597" s="290"/>
      <c r="I597" s="290">
        <v>47833.36</v>
      </c>
      <c r="J597" s="298">
        <f t="shared" ref="J597" si="425">IF(G597="-","-",IF(D597&gt;0,ROUNDDOWN(I597*D597,0),""))</f>
        <v>2200334</v>
      </c>
      <c r="K597" s="316">
        <v>2200334</v>
      </c>
      <c r="L597" s="271"/>
      <c r="M597" s="276"/>
      <c r="N597" s="290">
        <f t="shared" ref="N597:P597" si="426">ROUNDDOWN(M597*$I597,0)</f>
        <v>0</v>
      </c>
      <c r="O597" s="276"/>
      <c r="P597" s="290">
        <f t="shared" si="426"/>
        <v>0</v>
      </c>
      <c r="Q597" s="276"/>
      <c r="R597" s="290"/>
      <c r="S597" s="276"/>
      <c r="T597" s="290"/>
      <c r="U597" s="276"/>
      <c r="V597" s="290">
        <f t="shared" ref="V597" si="427">ROUNDDOWN(U597*$I597,0)</f>
        <v>0</v>
      </c>
      <c r="W597" s="276"/>
      <c r="X597" s="290">
        <f t="shared" ref="X597" si="428">ROUNDDOWN(W597*$I597,0)</f>
        <v>0</v>
      </c>
      <c r="Y597" s="271">
        <f t="shared" si="418"/>
        <v>0</v>
      </c>
      <c r="Z597" s="290">
        <f t="shared" si="419"/>
        <v>0</v>
      </c>
    </row>
    <row r="598" spans="2:26" ht="19.8" customHeight="1" x14ac:dyDescent="0.6">
      <c r="B598" s="268"/>
      <c r="C598" s="255" t="s">
        <v>231</v>
      </c>
      <c r="D598" s="303"/>
      <c r="E598" s="276"/>
      <c r="G598" s="290"/>
      <c r="I598" s="290"/>
      <c r="J598" s="298"/>
      <c r="K598" s="316"/>
      <c r="L598" s="271"/>
      <c r="M598" s="276"/>
      <c r="N598" s="290"/>
      <c r="O598" s="276"/>
      <c r="P598" s="290"/>
      <c r="Q598" s="276"/>
      <c r="R598" s="290"/>
      <c r="S598" s="276"/>
      <c r="T598" s="290"/>
      <c r="U598" s="276"/>
      <c r="V598" s="290"/>
      <c r="W598" s="276"/>
      <c r="X598" s="290"/>
      <c r="Y598" s="271">
        <f t="shared" si="418"/>
        <v>0</v>
      </c>
      <c r="Z598" s="290">
        <f t="shared" si="419"/>
        <v>0</v>
      </c>
    </row>
    <row r="599" spans="2:26" ht="19.8" customHeight="1" x14ac:dyDescent="0.6">
      <c r="B599" s="268">
        <v>18</v>
      </c>
      <c r="C599" s="255" t="s">
        <v>649</v>
      </c>
      <c r="D599" s="303" t="s">
        <v>785</v>
      </c>
      <c r="E599" s="276" t="s">
        <v>57</v>
      </c>
      <c r="G599" s="290"/>
      <c r="I599" s="290">
        <v>5266.93</v>
      </c>
      <c r="J599" s="298">
        <f t="shared" ref="J599" si="429">IF(G599="-","-",IF(D599&gt;0,ROUNDDOWN(I599*D599,0),""))</f>
        <v>2312182</v>
      </c>
      <c r="K599" s="316">
        <v>2312182</v>
      </c>
      <c r="L599" s="271"/>
      <c r="M599" s="276"/>
      <c r="N599" s="290">
        <f t="shared" ref="N599:P599" si="430">ROUNDDOWN(M599*$I599,0)</f>
        <v>0</v>
      </c>
      <c r="O599" s="276"/>
      <c r="P599" s="290">
        <f t="shared" si="430"/>
        <v>0</v>
      </c>
      <c r="Q599" s="276"/>
      <c r="R599" s="290"/>
      <c r="S599" s="276"/>
      <c r="T599" s="290"/>
      <c r="U599" s="276"/>
      <c r="V599" s="290">
        <f t="shared" ref="V599" si="431">ROUNDDOWN(U599*$I599,0)</f>
        <v>0</v>
      </c>
      <c r="W599" s="276"/>
      <c r="X599" s="290">
        <f t="shared" ref="X599" si="432">ROUNDDOWN(W599*$I599,0)</f>
        <v>0</v>
      </c>
      <c r="Y599" s="271">
        <f t="shared" si="418"/>
        <v>0</v>
      </c>
      <c r="Z599" s="290">
        <f t="shared" si="419"/>
        <v>0</v>
      </c>
    </row>
    <row r="600" spans="2:26" ht="19.8" customHeight="1" x14ac:dyDescent="0.6">
      <c r="B600" s="268"/>
      <c r="C600" s="255" t="s">
        <v>775</v>
      </c>
      <c r="D600" s="303"/>
      <c r="E600" s="276"/>
      <c r="G600" s="290"/>
      <c r="I600" s="290"/>
      <c r="J600" s="298"/>
      <c r="K600" s="316"/>
      <c r="L600" s="271"/>
      <c r="M600" s="276"/>
      <c r="N600" s="290"/>
      <c r="O600" s="276"/>
      <c r="P600" s="290"/>
      <c r="Q600" s="276"/>
      <c r="R600" s="290"/>
      <c r="S600" s="276"/>
      <c r="T600" s="290"/>
      <c r="U600" s="276"/>
      <c r="V600" s="290"/>
      <c r="W600" s="276"/>
      <c r="X600" s="290"/>
      <c r="Y600" s="271">
        <f t="shared" si="418"/>
        <v>0</v>
      </c>
      <c r="Z600" s="290">
        <f t="shared" si="419"/>
        <v>0</v>
      </c>
    </row>
    <row r="601" spans="2:26" ht="19.8" customHeight="1" x14ac:dyDescent="0.6">
      <c r="B601" s="268">
        <v>19</v>
      </c>
      <c r="C601" s="255" t="s">
        <v>243</v>
      </c>
      <c r="D601" s="303" t="s">
        <v>786</v>
      </c>
      <c r="E601" s="276" t="s">
        <v>55</v>
      </c>
      <c r="G601" s="290"/>
      <c r="I601" s="290">
        <v>617.54</v>
      </c>
      <c r="J601" s="298">
        <f t="shared" ref="J601:J610" si="433">IF(G601="-","-",IF(D601&gt;0,ROUNDDOWN(I601*D601,0),""))</f>
        <v>436600</v>
      </c>
      <c r="K601" s="316">
        <v>436600</v>
      </c>
      <c r="L601" s="271"/>
      <c r="M601" s="276"/>
      <c r="N601" s="290">
        <f t="shared" ref="N601:P610" si="434">ROUNDDOWN(M601*$I601,0)</f>
        <v>0</v>
      </c>
      <c r="O601" s="276"/>
      <c r="P601" s="290">
        <f t="shared" si="434"/>
        <v>0</v>
      </c>
      <c r="Q601" s="276"/>
      <c r="R601" s="290"/>
      <c r="S601" s="276"/>
      <c r="T601" s="290"/>
      <c r="U601" s="276"/>
      <c r="V601" s="290">
        <f t="shared" ref="V601:V610" si="435">ROUNDDOWN(U601*$I601,0)</f>
        <v>0</v>
      </c>
      <c r="W601" s="276"/>
      <c r="X601" s="290">
        <f t="shared" ref="X601:X610" si="436">ROUNDDOWN(W601*$I601,0)</f>
        <v>0</v>
      </c>
      <c r="Y601" s="271">
        <f t="shared" si="418"/>
        <v>0</v>
      </c>
      <c r="Z601" s="290">
        <f t="shared" si="419"/>
        <v>0</v>
      </c>
    </row>
    <row r="602" spans="2:26" ht="19.8" customHeight="1" x14ac:dyDescent="0.6">
      <c r="B602" s="268">
        <v>20</v>
      </c>
      <c r="C602" s="255" t="s">
        <v>773</v>
      </c>
      <c r="D602" s="303" t="s">
        <v>787</v>
      </c>
      <c r="E602" s="276" t="s">
        <v>54</v>
      </c>
      <c r="G602" s="290"/>
      <c r="I602" s="290">
        <v>447.01</v>
      </c>
      <c r="J602" s="298">
        <f t="shared" si="433"/>
        <v>3161254</v>
      </c>
      <c r="K602" s="316">
        <v>3161254</v>
      </c>
      <c r="L602" s="271"/>
      <c r="M602" s="276"/>
      <c r="N602" s="290">
        <f t="shared" si="434"/>
        <v>0</v>
      </c>
      <c r="O602" s="276"/>
      <c r="P602" s="290">
        <f t="shared" si="434"/>
        <v>0</v>
      </c>
      <c r="Q602" s="276"/>
      <c r="R602" s="290"/>
      <c r="S602" s="276"/>
      <c r="T602" s="290"/>
      <c r="U602" s="276"/>
      <c r="V602" s="290">
        <f t="shared" si="435"/>
        <v>0</v>
      </c>
      <c r="W602" s="276"/>
      <c r="X602" s="290">
        <f t="shared" si="436"/>
        <v>0</v>
      </c>
      <c r="Y602" s="271">
        <f t="shared" si="418"/>
        <v>0</v>
      </c>
      <c r="Z602" s="290">
        <f t="shared" si="419"/>
        <v>0</v>
      </c>
    </row>
    <row r="603" spans="2:26" ht="19.8" customHeight="1" x14ac:dyDescent="0.6">
      <c r="B603" s="268">
        <v>21</v>
      </c>
      <c r="C603" s="255" t="s">
        <v>623</v>
      </c>
      <c r="D603" s="303" t="s">
        <v>788</v>
      </c>
      <c r="E603" s="276" t="s">
        <v>57</v>
      </c>
      <c r="G603" s="290"/>
      <c r="I603" s="290">
        <v>277.14</v>
      </c>
      <c r="J603" s="298">
        <f t="shared" si="433"/>
        <v>21339</v>
      </c>
      <c r="K603" s="316">
        <v>21339</v>
      </c>
      <c r="L603" s="271"/>
      <c r="M603" s="276"/>
      <c r="N603" s="290">
        <f t="shared" si="434"/>
        <v>0</v>
      </c>
      <c r="O603" s="276"/>
      <c r="P603" s="290">
        <f t="shared" si="434"/>
        <v>0</v>
      </c>
      <c r="Q603" s="276"/>
      <c r="R603" s="290"/>
      <c r="S603" s="276"/>
      <c r="T603" s="290"/>
      <c r="U603" s="276"/>
      <c r="V603" s="290">
        <f t="shared" si="435"/>
        <v>0</v>
      </c>
      <c r="W603" s="276"/>
      <c r="X603" s="290">
        <f t="shared" si="436"/>
        <v>0</v>
      </c>
      <c r="Y603" s="271">
        <f t="shared" si="418"/>
        <v>0</v>
      </c>
      <c r="Z603" s="290">
        <f t="shared" si="419"/>
        <v>0</v>
      </c>
    </row>
    <row r="604" spans="2:26" ht="19.8" customHeight="1" x14ac:dyDescent="0.6">
      <c r="B604" s="268">
        <v>22</v>
      </c>
      <c r="C604" s="255" t="s">
        <v>624</v>
      </c>
      <c r="D604" s="303" t="s">
        <v>789</v>
      </c>
      <c r="E604" s="276" t="s">
        <v>57</v>
      </c>
      <c r="G604" s="290"/>
      <c r="I604" s="290">
        <v>181.83</v>
      </c>
      <c r="J604" s="298">
        <f t="shared" si="433"/>
        <v>117098</v>
      </c>
      <c r="K604" s="316">
        <v>117098</v>
      </c>
      <c r="L604" s="271"/>
      <c r="M604" s="276"/>
      <c r="N604" s="290">
        <f t="shared" si="434"/>
        <v>0</v>
      </c>
      <c r="O604" s="276"/>
      <c r="P604" s="290">
        <f t="shared" si="434"/>
        <v>0</v>
      </c>
      <c r="Q604" s="276"/>
      <c r="R604" s="290"/>
      <c r="S604" s="276"/>
      <c r="T604" s="290"/>
      <c r="U604" s="276"/>
      <c r="V604" s="290">
        <f t="shared" si="435"/>
        <v>0</v>
      </c>
      <c r="W604" s="276"/>
      <c r="X604" s="290">
        <f t="shared" si="436"/>
        <v>0</v>
      </c>
      <c r="Y604" s="271">
        <f t="shared" si="418"/>
        <v>0</v>
      </c>
      <c r="Z604" s="290">
        <f t="shared" si="419"/>
        <v>0</v>
      </c>
    </row>
    <row r="605" spans="2:26" ht="19.8" customHeight="1" x14ac:dyDescent="0.6">
      <c r="B605" s="268">
        <v>23</v>
      </c>
      <c r="C605" s="255" t="s">
        <v>625</v>
      </c>
      <c r="D605" s="303" t="s">
        <v>790</v>
      </c>
      <c r="E605" s="276" t="s">
        <v>57</v>
      </c>
      <c r="G605" s="290"/>
      <c r="I605" s="290">
        <v>63.47</v>
      </c>
      <c r="J605" s="298">
        <f t="shared" si="433"/>
        <v>65691</v>
      </c>
      <c r="K605" s="316">
        <v>65691</v>
      </c>
      <c r="L605" s="271"/>
      <c r="M605" s="276"/>
      <c r="N605" s="290">
        <f t="shared" si="434"/>
        <v>0</v>
      </c>
      <c r="O605" s="276"/>
      <c r="P605" s="290">
        <f t="shared" si="434"/>
        <v>0</v>
      </c>
      <c r="Q605" s="276"/>
      <c r="R605" s="290"/>
      <c r="S605" s="276"/>
      <c r="T605" s="290"/>
      <c r="U605" s="276"/>
      <c r="V605" s="290">
        <f t="shared" si="435"/>
        <v>0</v>
      </c>
      <c r="W605" s="276"/>
      <c r="X605" s="290">
        <f t="shared" si="436"/>
        <v>0</v>
      </c>
      <c r="Y605" s="271">
        <f t="shared" si="418"/>
        <v>0</v>
      </c>
      <c r="Z605" s="290">
        <f t="shared" si="419"/>
        <v>0</v>
      </c>
    </row>
    <row r="606" spans="2:26" ht="19.8" customHeight="1" x14ac:dyDescent="0.6">
      <c r="B606" s="268">
        <v>24</v>
      </c>
      <c r="C606" s="255" t="s">
        <v>774</v>
      </c>
      <c r="D606" s="303" t="s">
        <v>794</v>
      </c>
      <c r="E606" s="276" t="s">
        <v>54</v>
      </c>
      <c r="G606" s="290"/>
      <c r="I606" s="290">
        <v>447.01</v>
      </c>
      <c r="J606" s="298">
        <f t="shared" si="433"/>
        <v>234680</v>
      </c>
      <c r="K606" s="316">
        <v>234680</v>
      </c>
      <c r="L606" s="271"/>
      <c r="M606" s="276"/>
      <c r="N606" s="290">
        <f t="shared" si="434"/>
        <v>0</v>
      </c>
      <c r="O606" s="276"/>
      <c r="P606" s="290">
        <f t="shared" si="434"/>
        <v>0</v>
      </c>
      <c r="Q606" s="276"/>
      <c r="R606" s="290"/>
      <c r="S606" s="276"/>
      <c r="T606" s="290"/>
      <c r="U606" s="276"/>
      <c r="V606" s="290">
        <f t="shared" si="435"/>
        <v>0</v>
      </c>
      <c r="W606" s="276"/>
      <c r="X606" s="290">
        <f t="shared" si="436"/>
        <v>0</v>
      </c>
      <c r="Y606" s="271">
        <f t="shared" si="418"/>
        <v>0</v>
      </c>
      <c r="Z606" s="290">
        <f t="shared" si="419"/>
        <v>0</v>
      </c>
    </row>
    <row r="607" spans="2:26" ht="19.8" customHeight="1" x14ac:dyDescent="0.6">
      <c r="B607" s="268">
        <v>25</v>
      </c>
      <c r="C607" s="255" t="s">
        <v>791</v>
      </c>
      <c r="D607" s="303" t="s">
        <v>795</v>
      </c>
      <c r="E607" s="276" t="s">
        <v>55</v>
      </c>
      <c r="G607" s="290"/>
      <c r="I607" s="290">
        <v>617.54</v>
      </c>
      <c r="J607" s="298">
        <f t="shared" si="433"/>
        <v>32420</v>
      </c>
      <c r="K607" s="316">
        <v>32420</v>
      </c>
      <c r="L607" s="271"/>
      <c r="M607" s="276"/>
      <c r="N607" s="290">
        <f t="shared" si="434"/>
        <v>0</v>
      </c>
      <c r="O607" s="276"/>
      <c r="P607" s="290">
        <f t="shared" si="434"/>
        <v>0</v>
      </c>
      <c r="Q607" s="276"/>
      <c r="R607" s="290"/>
      <c r="S607" s="276"/>
      <c r="T607" s="290"/>
      <c r="U607" s="276"/>
      <c r="V607" s="290">
        <f t="shared" si="435"/>
        <v>0</v>
      </c>
      <c r="W607" s="276"/>
      <c r="X607" s="290">
        <f t="shared" si="436"/>
        <v>0</v>
      </c>
      <c r="Y607" s="271">
        <f t="shared" si="418"/>
        <v>0</v>
      </c>
      <c r="Z607" s="290">
        <f t="shared" si="419"/>
        <v>0</v>
      </c>
    </row>
    <row r="608" spans="2:26" ht="19.8" customHeight="1" x14ac:dyDescent="0.6">
      <c r="B608" s="268">
        <v>26</v>
      </c>
      <c r="C608" s="255" t="s">
        <v>792</v>
      </c>
      <c r="D608" s="303" t="s">
        <v>576</v>
      </c>
      <c r="E608" s="276" t="s">
        <v>55</v>
      </c>
      <c r="G608" s="290"/>
      <c r="I608" s="290">
        <v>324.95</v>
      </c>
      <c r="J608" s="298">
        <f t="shared" si="433"/>
        <v>34119</v>
      </c>
      <c r="K608" s="316">
        <v>34119</v>
      </c>
      <c r="L608" s="271"/>
      <c r="M608" s="276"/>
      <c r="N608" s="290">
        <f t="shared" si="434"/>
        <v>0</v>
      </c>
      <c r="O608" s="276"/>
      <c r="P608" s="290">
        <f t="shared" si="434"/>
        <v>0</v>
      </c>
      <c r="Q608" s="276"/>
      <c r="R608" s="290"/>
      <c r="S608" s="276"/>
      <c r="T608" s="290"/>
      <c r="U608" s="276"/>
      <c r="V608" s="290">
        <f t="shared" si="435"/>
        <v>0</v>
      </c>
      <c r="W608" s="276"/>
      <c r="X608" s="290">
        <f t="shared" si="436"/>
        <v>0</v>
      </c>
      <c r="Y608" s="271">
        <f t="shared" si="418"/>
        <v>0</v>
      </c>
      <c r="Z608" s="290">
        <f t="shared" si="419"/>
        <v>0</v>
      </c>
    </row>
    <row r="609" spans="2:26" ht="19.8" customHeight="1" x14ac:dyDescent="0.6">
      <c r="B609" s="268">
        <v>27</v>
      </c>
      <c r="C609" s="255" t="s">
        <v>630</v>
      </c>
      <c r="D609" s="303" t="s">
        <v>796</v>
      </c>
      <c r="E609" s="276" t="s">
        <v>54</v>
      </c>
      <c r="G609" s="290"/>
      <c r="I609" s="290">
        <v>16.96</v>
      </c>
      <c r="J609" s="298">
        <f t="shared" si="433"/>
        <v>128845</v>
      </c>
      <c r="K609" s="316">
        <v>128845</v>
      </c>
      <c r="L609" s="271"/>
      <c r="M609" s="276"/>
      <c r="N609" s="290">
        <f t="shared" si="434"/>
        <v>0</v>
      </c>
      <c r="O609" s="276"/>
      <c r="P609" s="290">
        <f t="shared" si="434"/>
        <v>0</v>
      </c>
      <c r="Q609" s="276"/>
      <c r="R609" s="290"/>
      <c r="S609" s="276"/>
      <c r="T609" s="290"/>
      <c r="U609" s="276"/>
      <c r="V609" s="290">
        <f t="shared" si="435"/>
        <v>0</v>
      </c>
      <c r="W609" s="276"/>
      <c r="X609" s="290">
        <f t="shared" si="436"/>
        <v>0</v>
      </c>
      <c r="Y609" s="271">
        <f t="shared" si="418"/>
        <v>0</v>
      </c>
      <c r="Z609" s="290">
        <f t="shared" si="419"/>
        <v>0</v>
      </c>
    </row>
    <row r="610" spans="2:26" ht="19.8" customHeight="1" x14ac:dyDescent="0.6">
      <c r="B610" s="268">
        <v>28</v>
      </c>
      <c r="C610" s="255" t="s">
        <v>793</v>
      </c>
      <c r="D610" s="303" t="s">
        <v>796</v>
      </c>
      <c r="E610" s="276" t="s">
        <v>54</v>
      </c>
      <c r="G610" s="290"/>
      <c r="I610" s="290">
        <v>293.86</v>
      </c>
      <c r="J610" s="298">
        <f t="shared" si="433"/>
        <v>2232454</v>
      </c>
      <c r="K610" s="316">
        <v>2232454</v>
      </c>
      <c r="L610" s="271"/>
      <c r="M610" s="276"/>
      <c r="N610" s="290">
        <f t="shared" si="434"/>
        <v>0</v>
      </c>
      <c r="O610" s="276"/>
      <c r="P610" s="290">
        <f t="shared" si="434"/>
        <v>0</v>
      </c>
      <c r="Q610" s="276"/>
      <c r="R610" s="290"/>
      <c r="S610" s="276"/>
      <c r="T610" s="290"/>
      <c r="U610" s="276"/>
      <c r="V610" s="290">
        <f t="shared" si="435"/>
        <v>0</v>
      </c>
      <c r="W610" s="276"/>
      <c r="X610" s="290">
        <f t="shared" si="436"/>
        <v>0</v>
      </c>
      <c r="Y610" s="271">
        <f t="shared" si="418"/>
        <v>0</v>
      </c>
      <c r="Z610" s="290">
        <f t="shared" si="419"/>
        <v>0</v>
      </c>
    </row>
    <row r="611" spans="2:26" ht="19.8" customHeight="1" x14ac:dyDescent="0.6">
      <c r="B611" s="268"/>
      <c r="D611" s="303"/>
      <c r="E611" s="276"/>
      <c r="G611" s="290"/>
      <c r="I611" s="290"/>
      <c r="J611" s="298"/>
      <c r="K611" s="316"/>
      <c r="L611" s="271"/>
      <c r="M611" s="276"/>
      <c r="N611" s="290"/>
      <c r="O611" s="276"/>
      <c r="P611" s="290"/>
      <c r="Q611" s="276"/>
      <c r="R611" s="290"/>
      <c r="S611" s="276"/>
      <c r="T611" s="290"/>
      <c r="U611" s="276"/>
      <c r="V611" s="290"/>
      <c r="W611" s="276"/>
      <c r="X611" s="290"/>
      <c r="Y611" s="271">
        <f t="shared" si="418"/>
        <v>0</v>
      </c>
      <c r="Z611" s="290">
        <f t="shared" si="419"/>
        <v>0</v>
      </c>
    </row>
    <row r="612" spans="2:26" ht="19.8" customHeight="1" x14ac:dyDescent="0.6">
      <c r="B612" s="826" t="s">
        <v>797</v>
      </c>
      <c r="C612" s="827"/>
      <c r="D612" s="294" t="s">
        <v>780</v>
      </c>
      <c r="E612" s="257" t="s">
        <v>57</v>
      </c>
      <c r="F612" s="296"/>
      <c r="G612" s="293"/>
      <c r="H612" s="297"/>
      <c r="I612" s="293"/>
      <c r="J612" s="299">
        <f>SUM(J581:J611)</f>
        <v>26163587</v>
      </c>
      <c r="K612" s="319">
        <v>26163587</v>
      </c>
      <c r="L612" s="262"/>
      <c r="M612" s="257"/>
      <c r="N612" s="326">
        <f>SUM(N581:N611)</f>
        <v>0</v>
      </c>
      <c r="O612" s="257"/>
      <c r="P612" s="326">
        <f>SUM(P581:P611)</f>
        <v>8620000</v>
      </c>
      <c r="Q612" s="257"/>
      <c r="R612" s="326">
        <f>SUM(R581:R611)</f>
        <v>0</v>
      </c>
      <c r="S612" s="257"/>
      <c r="T612" s="326">
        <f>SUM(T581:T611)</f>
        <v>0</v>
      </c>
      <c r="U612" s="257"/>
      <c r="V612" s="326">
        <f>SUM(V581:V611)</f>
        <v>8620000</v>
      </c>
      <c r="W612" s="257"/>
      <c r="X612" s="326">
        <f>SUM(X581:X611)</f>
        <v>8620000</v>
      </c>
      <c r="Y612" s="262">
        <f t="shared" si="418"/>
        <v>0</v>
      </c>
      <c r="Z612" s="293">
        <f>N612+P612+R612</f>
        <v>8620000</v>
      </c>
    </row>
    <row r="613" spans="2:26" ht="19.8" customHeight="1" x14ac:dyDescent="0.6">
      <c r="B613" s="306">
        <v>3.9</v>
      </c>
      <c r="C613" s="255" t="s">
        <v>123</v>
      </c>
      <c r="D613" s="303"/>
      <c r="E613" s="276"/>
      <c r="G613" s="290"/>
      <c r="I613" s="290"/>
      <c r="J613" s="298"/>
      <c r="K613" s="316"/>
      <c r="L613" s="271"/>
      <c r="M613" s="276"/>
      <c r="N613" s="290"/>
      <c r="O613" s="276"/>
      <c r="P613" s="290"/>
      <c r="Q613" s="276"/>
      <c r="R613" s="290"/>
      <c r="S613" s="276"/>
      <c r="T613" s="290"/>
      <c r="U613" s="276"/>
      <c r="V613" s="290"/>
      <c r="W613" s="276"/>
      <c r="X613" s="290"/>
      <c r="Y613" s="271">
        <f t="shared" si="418"/>
        <v>0</v>
      </c>
      <c r="Z613" s="290">
        <f t="shared" si="419"/>
        <v>0</v>
      </c>
    </row>
    <row r="614" spans="2:26" ht="19.8" customHeight="1" x14ac:dyDescent="0.6">
      <c r="B614" s="268"/>
      <c r="C614" s="255" t="s">
        <v>798</v>
      </c>
      <c r="D614" s="303"/>
      <c r="E614" s="276"/>
      <c r="G614" s="290"/>
      <c r="I614" s="290"/>
      <c r="J614" s="298"/>
      <c r="K614" s="316"/>
      <c r="L614" s="271"/>
      <c r="M614" s="276"/>
      <c r="N614" s="290"/>
      <c r="O614" s="276"/>
      <c r="P614" s="290"/>
      <c r="Q614" s="276"/>
      <c r="R614" s="290"/>
      <c r="S614" s="276"/>
      <c r="T614" s="290"/>
      <c r="U614" s="276"/>
      <c r="V614" s="290"/>
      <c r="W614" s="276"/>
      <c r="X614" s="290"/>
      <c r="Y614" s="271">
        <f t="shared" si="418"/>
        <v>0</v>
      </c>
      <c r="Z614" s="290">
        <f t="shared" si="419"/>
        <v>0</v>
      </c>
    </row>
    <row r="615" spans="2:26" ht="19.8" customHeight="1" x14ac:dyDescent="0.6">
      <c r="B615" s="268"/>
      <c r="C615" s="255" t="s">
        <v>799</v>
      </c>
      <c r="D615" s="303"/>
      <c r="E615" s="276"/>
      <c r="G615" s="290"/>
      <c r="I615" s="290"/>
      <c r="J615" s="298"/>
      <c r="K615" s="316"/>
      <c r="L615" s="271"/>
      <c r="M615" s="276"/>
      <c r="N615" s="290"/>
      <c r="O615" s="276"/>
      <c r="P615" s="290"/>
      <c r="Q615" s="276"/>
      <c r="R615" s="290"/>
      <c r="S615" s="276"/>
      <c r="T615" s="290"/>
      <c r="U615" s="276"/>
      <c r="V615" s="290"/>
      <c r="W615" s="276"/>
      <c r="X615" s="290"/>
      <c r="Y615" s="271">
        <f t="shared" si="418"/>
        <v>0</v>
      </c>
      <c r="Z615" s="290">
        <f t="shared" si="419"/>
        <v>0</v>
      </c>
    </row>
    <row r="616" spans="2:26" ht="19.8" customHeight="1" x14ac:dyDescent="0.6">
      <c r="B616" s="268">
        <v>1</v>
      </c>
      <c r="C616" s="255" t="s">
        <v>224</v>
      </c>
      <c r="D616" s="303" t="s">
        <v>800</v>
      </c>
      <c r="E616" s="276" t="s">
        <v>55</v>
      </c>
      <c r="G616" s="290"/>
      <c r="I616" s="290">
        <v>81.77</v>
      </c>
      <c r="J616" s="298">
        <f t="shared" ref="J616:J619" si="437">IF(G616="-","-",IF(D616&gt;0,ROUNDDOWN(I616*D616,0),""))</f>
        <v>25185</v>
      </c>
      <c r="K616" s="316">
        <v>25185</v>
      </c>
      <c r="L616" s="271"/>
      <c r="M616" s="276"/>
      <c r="N616" s="290">
        <f t="shared" ref="N616:P619" si="438">ROUNDDOWN(M616*$I616,0)</f>
        <v>0</v>
      </c>
      <c r="O616" s="276"/>
      <c r="P616" s="290">
        <f t="shared" si="438"/>
        <v>0</v>
      </c>
      <c r="Q616" s="276"/>
      <c r="R616" s="290"/>
      <c r="S616" s="276"/>
      <c r="T616" s="290"/>
      <c r="U616" s="276"/>
      <c r="V616" s="290">
        <f t="shared" ref="V616:V619" si="439">ROUNDDOWN(U616*$I616,0)</f>
        <v>0</v>
      </c>
      <c r="W616" s="276"/>
      <c r="X616" s="290">
        <f t="shared" ref="X616:X619" si="440">ROUNDDOWN(W616*$I616,0)</f>
        <v>0</v>
      </c>
      <c r="Y616" s="271">
        <f t="shared" si="418"/>
        <v>0</v>
      </c>
      <c r="Z616" s="290">
        <f t="shared" si="419"/>
        <v>0</v>
      </c>
    </row>
    <row r="617" spans="2:26" ht="19.8" customHeight="1" x14ac:dyDescent="0.6">
      <c r="B617" s="268">
        <v>2</v>
      </c>
      <c r="C617" s="255" t="s">
        <v>238</v>
      </c>
      <c r="D617" s="303" t="s">
        <v>801</v>
      </c>
      <c r="E617" s="276" t="s">
        <v>241</v>
      </c>
      <c r="G617" s="290"/>
      <c r="I617" s="290">
        <v>144.06</v>
      </c>
      <c r="J617" s="298">
        <f t="shared" si="437"/>
        <v>95079</v>
      </c>
      <c r="K617" s="316">
        <v>95079</v>
      </c>
      <c r="L617" s="271"/>
      <c r="M617" s="276"/>
      <c r="N617" s="290">
        <f t="shared" si="438"/>
        <v>0</v>
      </c>
      <c r="O617" s="276"/>
      <c r="P617" s="290">
        <f t="shared" si="438"/>
        <v>0</v>
      </c>
      <c r="Q617" s="276"/>
      <c r="R617" s="290"/>
      <c r="S617" s="276"/>
      <c r="T617" s="290"/>
      <c r="U617" s="276"/>
      <c r="V617" s="290">
        <f t="shared" si="439"/>
        <v>0</v>
      </c>
      <c r="W617" s="276"/>
      <c r="X617" s="290">
        <f t="shared" si="440"/>
        <v>0</v>
      </c>
      <c r="Y617" s="271">
        <f t="shared" si="418"/>
        <v>0</v>
      </c>
      <c r="Z617" s="290">
        <f t="shared" si="419"/>
        <v>0</v>
      </c>
    </row>
    <row r="618" spans="2:26" ht="19.8" customHeight="1" x14ac:dyDescent="0.6">
      <c r="B618" s="268">
        <v>3</v>
      </c>
      <c r="C618" s="255" t="s">
        <v>239</v>
      </c>
      <c r="D618" s="303" t="s">
        <v>802</v>
      </c>
      <c r="E618" s="276" t="s">
        <v>54</v>
      </c>
      <c r="G618" s="290"/>
      <c r="I618" s="290">
        <v>504.4</v>
      </c>
      <c r="J618" s="298">
        <f t="shared" si="437"/>
        <v>1331616</v>
      </c>
      <c r="K618" s="316">
        <v>1331616</v>
      </c>
      <c r="L618" s="271"/>
      <c r="M618" s="276"/>
      <c r="N618" s="290">
        <f t="shared" si="438"/>
        <v>0</v>
      </c>
      <c r="O618" s="276"/>
      <c r="P618" s="290">
        <f t="shared" si="438"/>
        <v>0</v>
      </c>
      <c r="Q618" s="276"/>
      <c r="R618" s="290"/>
      <c r="S618" s="276"/>
      <c r="T618" s="290"/>
      <c r="U618" s="276"/>
      <c r="V618" s="290">
        <f t="shared" si="439"/>
        <v>0</v>
      </c>
      <c r="W618" s="276"/>
      <c r="X618" s="290">
        <f t="shared" si="440"/>
        <v>0</v>
      </c>
      <c r="Y618" s="271">
        <f t="shared" si="418"/>
        <v>0</v>
      </c>
      <c r="Z618" s="290">
        <f t="shared" si="419"/>
        <v>0</v>
      </c>
    </row>
    <row r="619" spans="2:26" ht="19.8" customHeight="1" x14ac:dyDescent="0.6">
      <c r="B619" s="268">
        <v>4</v>
      </c>
      <c r="C619" s="255" t="s">
        <v>240</v>
      </c>
      <c r="D619" s="303" t="s">
        <v>441</v>
      </c>
      <c r="E619" s="276" t="s">
        <v>73</v>
      </c>
      <c r="G619" s="290"/>
      <c r="I619" s="290">
        <v>11242.64</v>
      </c>
      <c r="J619" s="298">
        <f t="shared" si="437"/>
        <v>67455</v>
      </c>
      <c r="K619" s="316">
        <v>67455</v>
      </c>
      <c r="L619" s="271"/>
      <c r="M619" s="276"/>
      <c r="N619" s="290">
        <f t="shared" si="438"/>
        <v>0</v>
      </c>
      <c r="O619" s="276"/>
      <c r="P619" s="290">
        <f t="shared" si="438"/>
        <v>0</v>
      </c>
      <c r="Q619" s="276"/>
      <c r="R619" s="290"/>
      <c r="S619" s="276"/>
      <c r="T619" s="290"/>
      <c r="U619" s="276"/>
      <c r="V619" s="290">
        <f t="shared" si="439"/>
        <v>0</v>
      </c>
      <c r="W619" s="276"/>
      <c r="X619" s="290">
        <f t="shared" si="440"/>
        <v>0</v>
      </c>
      <c r="Y619" s="271">
        <f t="shared" si="418"/>
        <v>0</v>
      </c>
      <c r="Z619" s="290">
        <f t="shared" si="419"/>
        <v>0</v>
      </c>
    </row>
    <row r="620" spans="2:26" ht="19.8" customHeight="1" x14ac:dyDescent="0.6">
      <c r="B620" s="268">
        <v>5</v>
      </c>
      <c r="C620" s="255" t="s">
        <v>59</v>
      </c>
      <c r="D620" s="303"/>
      <c r="E620" s="276"/>
      <c r="G620" s="290"/>
      <c r="I620" s="290"/>
      <c r="J620" s="298"/>
      <c r="K620" s="316"/>
      <c r="L620" s="271"/>
      <c r="M620" s="276"/>
      <c r="N620" s="290"/>
      <c r="O620" s="276"/>
      <c r="P620" s="290"/>
      <c r="Q620" s="276"/>
      <c r="R620" s="290"/>
      <c r="S620" s="276"/>
      <c r="T620" s="290"/>
      <c r="U620" s="276"/>
      <c r="V620" s="290"/>
      <c r="W620" s="276"/>
      <c r="X620" s="290"/>
      <c r="Y620" s="271">
        <f t="shared" si="418"/>
        <v>0</v>
      </c>
      <c r="Z620" s="290">
        <f t="shared" si="419"/>
        <v>0</v>
      </c>
    </row>
    <row r="621" spans="2:26" ht="19.8" customHeight="1" x14ac:dyDescent="0.6">
      <c r="B621" s="268"/>
      <c r="D621" s="303"/>
      <c r="E621" s="276"/>
      <c r="G621" s="290"/>
      <c r="I621" s="290"/>
      <c r="J621" s="298"/>
      <c r="K621" s="316"/>
      <c r="L621" s="271"/>
      <c r="M621" s="276"/>
      <c r="N621" s="290"/>
      <c r="O621" s="276"/>
      <c r="P621" s="290"/>
      <c r="Q621" s="276"/>
      <c r="R621" s="290"/>
      <c r="S621" s="276"/>
      <c r="T621" s="290"/>
      <c r="U621" s="276"/>
      <c r="V621" s="290"/>
      <c r="W621" s="276"/>
      <c r="X621" s="290"/>
      <c r="Y621" s="271">
        <f t="shared" si="418"/>
        <v>0</v>
      </c>
      <c r="Z621" s="290">
        <f t="shared" si="419"/>
        <v>0</v>
      </c>
    </row>
    <row r="622" spans="2:26" ht="19.8" customHeight="1" x14ac:dyDescent="0.6">
      <c r="B622" s="826" t="s">
        <v>803</v>
      </c>
      <c r="C622" s="827"/>
      <c r="D622" s="294"/>
      <c r="E622" s="257"/>
      <c r="F622" s="296"/>
      <c r="G622" s="293"/>
      <c r="H622" s="297"/>
      <c r="I622" s="293"/>
      <c r="J622" s="299">
        <f>SUM(J613:J621)</f>
        <v>1519335</v>
      </c>
      <c r="K622" s="319">
        <v>1519335</v>
      </c>
      <c r="L622" s="262"/>
      <c r="M622" s="257"/>
      <c r="N622" s="326">
        <f>SUM(N613:N621)</f>
        <v>0</v>
      </c>
      <c r="O622" s="257"/>
      <c r="P622" s="326">
        <f>SUM(P613:P621)</f>
        <v>0</v>
      </c>
      <c r="Q622" s="257"/>
      <c r="R622" s="326">
        <f>SUM(R613:R621)</f>
        <v>0</v>
      </c>
      <c r="S622" s="257"/>
      <c r="T622" s="326">
        <f>SUM(T613:T621)</f>
        <v>0</v>
      </c>
      <c r="U622" s="257"/>
      <c r="V622" s="326">
        <f>SUM(V613:V621)</f>
        <v>0</v>
      </c>
      <c r="W622" s="257"/>
      <c r="X622" s="326">
        <f>SUM(X613:X621)</f>
        <v>0</v>
      </c>
      <c r="Y622" s="262">
        <f t="shared" ref="Y622:Y639" si="441">M622+O622</f>
        <v>0</v>
      </c>
      <c r="Z622" s="293">
        <f>N622+P622+R622</f>
        <v>0</v>
      </c>
    </row>
    <row r="623" spans="2:26" ht="19.8" customHeight="1" x14ac:dyDescent="0.6">
      <c r="B623" s="306" t="s">
        <v>804</v>
      </c>
      <c r="C623" s="255" t="s">
        <v>124</v>
      </c>
      <c r="D623" s="303"/>
      <c r="E623" s="276"/>
      <c r="G623" s="290"/>
      <c r="I623" s="290"/>
      <c r="J623" s="298"/>
      <c r="K623" s="316"/>
      <c r="L623" s="271"/>
      <c r="M623" s="276"/>
      <c r="N623" s="290"/>
      <c r="O623" s="276"/>
      <c r="P623" s="290"/>
      <c r="Q623" s="276"/>
      <c r="R623" s="290"/>
      <c r="S623" s="276"/>
      <c r="T623" s="290"/>
      <c r="U623" s="276"/>
      <c r="V623" s="290"/>
      <c r="W623" s="276"/>
      <c r="X623" s="290"/>
      <c r="Y623" s="271">
        <f t="shared" si="441"/>
        <v>0</v>
      </c>
      <c r="Z623" s="290">
        <f t="shared" ref="Z623:Z639" si="442">N623+P623</f>
        <v>0</v>
      </c>
    </row>
    <row r="624" spans="2:26" ht="19.8" customHeight="1" x14ac:dyDescent="0.6">
      <c r="B624" s="268">
        <v>1</v>
      </c>
      <c r="C624" s="255" t="s">
        <v>825</v>
      </c>
      <c r="D624" s="303" t="s">
        <v>826</v>
      </c>
      <c r="E624" s="276" t="s">
        <v>58</v>
      </c>
      <c r="G624" s="290"/>
      <c r="I624" s="290">
        <v>24484.85</v>
      </c>
      <c r="J624" s="298">
        <f t="shared" ref="J624" si="443">IF(G624="-","-",IF(D624&gt;0,ROUNDDOWN(I624*D624,0),""))</f>
        <v>4431757</v>
      </c>
      <c r="K624" s="316">
        <v>4431757</v>
      </c>
      <c r="L624" s="271"/>
      <c r="M624" s="276"/>
      <c r="N624" s="290">
        <f t="shared" ref="N624:P624" si="444">ROUNDDOWN(M624*$I624,0)</f>
        <v>0</v>
      </c>
      <c r="O624" s="276"/>
      <c r="P624" s="290">
        <f t="shared" si="444"/>
        <v>0</v>
      </c>
      <c r="Q624" s="276"/>
      <c r="R624" s="290"/>
      <c r="S624" s="276"/>
      <c r="T624" s="290"/>
      <c r="U624" s="276"/>
      <c r="V624" s="290">
        <f t="shared" ref="V624" si="445">ROUNDDOWN(U624*$I624,0)</f>
        <v>0</v>
      </c>
      <c r="W624" s="276"/>
      <c r="X624" s="290">
        <f t="shared" ref="X624" si="446">ROUNDDOWN(W624*$I624,0)</f>
        <v>0</v>
      </c>
      <c r="Y624" s="271">
        <f t="shared" si="441"/>
        <v>0</v>
      </c>
      <c r="Z624" s="290">
        <f t="shared" si="442"/>
        <v>0</v>
      </c>
    </row>
    <row r="625" spans="2:26" ht="19.8" customHeight="1" x14ac:dyDescent="0.6">
      <c r="B625" s="306"/>
      <c r="C625" s="255" t="s">
        <v>231</v>
      </c>
      <c r="D625" s="303"/>
      <c r="E625" s="276"/>
      <c r="G625" s="290"/>
      <c r="I625" s="290"/>
      <c r="J625" s="298"/>
      <c r="K625" s="316"/>
      <c r="L625" s="271"/>
      <c r="M625" s="276"/>
      <c r="N625" s="290"/>
      <c r="O625" s="276"/>
      <c r="P625" s="290"/>
      <c r="Q625" s="276"/>
      <c r="R625" s="290"/>
      <c r="S625" s="276"/>
      <c r="T625" s="290"/>
      <c r="U625" s="276"/>
      <c r="V625" s="290"/>
      <c r="W625" s="276"/>
      <c r="X625" s="290"/>
      <c r="Y625" s="271">
        <f t="shared" si="441"/>
        <v>0</v>
      </c>
      <c r="Z625" s="290">
        <f t="shared" si="442"/>
        <v>0</v>
      </c>
    </row>
    <row r="626" spans="2:26" ht="19.8" customHeight="1" x14ac:dyDescent="0.6">
      <c r="B626" s="268">
        <v>2</v>
      </c>
      <c r="C626" s="255" t="s">
        <v>59</v>
      </c>
      <c r="D626" s="303"/>
      <c r="E626" s="276"/>
      <c r="G626" s="290"/>
      <c r="I626" s="290"/>
      <c r="J626" s="298"/>
      <c r="K626" s="316"/>
      <c r="L626" s="271"/>
      <c r="M626" s="276"/>
      <c r="N626" s="290"/>
      <c r="O626" s="276"/>
      <c r="P626" s="290"/>
      <c r="Q626" s="276"/>
      <c r="R626" s="290"/>
      <c r="S626" s="276"/>
      <c r="T626" s="290"/>
      <c r="U626" s="276"/>
      <c r="V626" s="290"/>
      <c r="W626" s="276"/>
      <c r="X626" s="290"/>
      <c r="Y626" s="271">
        <f t="shared" si="441"/>
        <v>0</v>
      </c>
      <c r="Z626" s="290">
        <f t="shared" si="442"/>
        <v>0</v>
      </c>
    </row>
    <row r="627" spans="2:26" ht="19.8" customHeight="1" x14ac:dyDescent="0.6">
      <c r="B627" s="268"/>
      <c r="D627" s="303"/>
      <c r="E627" s="276"/>
      <c r="G627" s="290"/>
      <c r="I627" s="290"/>
      <c r="J627" s="298"/>
      <c r="K627" s="316"/>
      <c r="L627" s="271"/>
      <c r="M627" s="276"/>
      <c r="N627" s="290"/>
      <c r="O627" s="276"/>
      <c r="P627" s="290"/>
      <c r="Q627" s="276"/>
      <c r="R627" s="290"/>
      <c r="S627" s="276"/>
      <c r="T627" s="290"/>
      <c r="U627" s="276"/>
      <c r="V627" s="290"/>
      <c r="W627" s="276"/>
      <c r="X627" s="290"/>
      <c r="Y627" s="271">
        <f t="shared" si="441"/>
        <v>0</v>
      </c>
      <c r="Z627" s="290">
        <f t="shared" si="442"/>
        <v>0</v>
      </c>
    </row>
    <row r="628" spans="2:26" ht="19.8" customHeight="1" x14ac:dyDescent="0.6">
      <c r="B628" s="826" t="s">
        <v>827</v>
      </c>
      <c r="C628" s="827"/>
      <c r="D628" s="294"/>
      <c r="E628" s="257"/>
      <c r="F628" s="296"/>
      <c r="G628" s="293"/>
      <c r="H628" s="297"/>
      <c r="I628" s="293"/>
      <c r="J628" s="299">
        <f>SUM(J623:J627)</f>
        <v>4431757</v>
      </c>
      <c r="K628" s="319"/>
      <c r="L628" s="262"/>
      <c r="M628" s="275"/>
      <c r="N628" s="326">
        <f>SUM(N623:N627)</f>
        <v>0</v>
      </c>
      <c r="O628" s="275"/>
      <c r="P628" s="326">
        <f>SUM(P623:P627)</f>
        <v>0</v>
      </c>
      <c r="Q628" s="275"/>
      <c r="R628" s="326">
        <f>SUM(R623:R627)</f>
        <v>0</v>
      </c>
      <c r="S628" s="275"/>
      <c r="T628" s="326">
        <f>SUM(T623:T627)</f>
        <v>0</v>
      </c>
      <c r="U628" s="275"/>
      <c r="V628" s="326">
        <f>SUM(V623:V627)</f>
        <v>0</v>
      </c>
      <c r="W628" s="275"/>
      <c r="X628" s="326">
        <f>SUM(X623:X627)</f>
        <v>0</v>
      </c>
      <c r="Y628" s="262">
        <f t="shared" si="441"/>
        <v>0</v>
      </c>
      <c r="Z628" s="293">
        <f>N628+P628+R628</f>
        <v>0</v>
      </c>
    </row>
    <row r="629" spans="2:26" ht="19.8" customHeight="1" x14ac:dyDescent="0.6">
      <c r="B629" s="831" t="s">
        <v>828</v>
      </c>
      <c r="C629" s="832"/>
      <c r="D629" s="294"/>
      <c r="E629" s="257"/>
      <c r="F629" s="296"/>
      <c r="G629" s="293"/>
      <c r="H629" s="297"/>
      <c r="I629" s="293"/>
      <c r="J629" s="299"/>
      <c r="K629" s="319">
        <v>129821804</v>
      </c>
      <c r="L629" s="262"/>
      <c r="M629" s="257"/>
      <c r="N629" s="293"/>
      <c r="O629" s="257"/>
      <c r="P629" s="293"/>
      <c r="Q629" s="257"/>
      <c r="R629" s="293"/>
      <c r="S629" s="257"/>
      <c r="T629" s="293"/>
      <c r="U629" s="257"/>
      <c r="V629" s="293"/>
      <c r="W629" s="257"/>
      <c r="X629" s="293"/>
      <c r="Y629" s="273"/>
      <c r="Z629" s="291"/>
    </row>
    <row r="630" spans="2:26" ht="19.8" customHeight="1" x14ac:dyDescent="0.6">
      <c r="B630" s="312" t="s">
        <v>529</v>
      </c>
      <c r="C630" s="255" t="s">
        <v>114</v>
      </c>
      <c r="D630" s="303"/>
      <c r="E630" s="276"/>
      <c r="G630" s="290"/>
      <c r="I630" s="290"/>
      <c r="J630" s="298"/>
      <c r="K630" s="316"/>
      <c r="L630" s="271"/>
      <c r="M630" s="276"/>
      <c r="N630" s="290"/>
      <c r="O630" s="276"/>
      <c r="P630" s="290"/>
      <c r="Q630" s="276"/>
      <c r="R630" s="290"/>
      <c r="S630" s="276"/>
      <c r="T630" s="290"/>
      <c r="U630" s="276"/>
      <c r="V630" s="290"/>
      <c r="W630" s="276"/>
      <c r="X630" s="290"/>
      <c r="Y630" s="271">
        <f t="shared" si="441"/>
        <v>0</v>
      </c>
      <c r="Z630" s="290">
        <f t="shared" si="442"/>
        <v>0</v>
      </c>
    </row>
    <row r="631" spans="2:26" ht="19.8" customHeight="1" x14ac:dyDescent="0.6">
      <c r="B631" s="268">
        <v>1</v>
      </c>
      <c r="C631" s="255" t="s">
        <v>805</v>
      </c>
      <c r="D631" s="303" t="s">
        <v>410</v>
      </c>
      <c r="E631" s="276" t="s">
        <v>241</v>
      </c>
      <c r="G631" s="290"/>
      <c r="I631" s="290">
        <v>1270416.56</v>
      </c>
      <c r="J631" s="298">
        <f t="shared" ref="J631" si="447">IF(G631="-","-",IF(D631&gt;0,ROUNDDOWN(I631*D631,0),""))</f>
        <v>2540833</v>
      </c>
      <c r="K631" s="316">
        <v>2540833</v>
      </c>
      <c r="L631" s="271"/>
      <c r="M631" s="276"/>
      <c r="N631" s="290">
        <f t="shared" ref="N631:P631" si="448">ROUNDDOWN(M631*$I631,0)</f>
        <v>0</v>
      </c>
      <c r="O631" s="276"/>
      <c r="P631" s="290">
        <f t="shared" si="448"/>
        <v>0</v>
      </c>
      <c r="Q631" s="276"/>
      <c r="R631" s="290"/>
      <c r="S631" s="276"/>
      <c r="T631" s="290"/>
      <c r="U631" s="276"/>
      <c r="V631" s="290">
        <f t="shared" ref="V631" si="449">ROUNDDOWN(U631*$I631,0)</f>
        <v>0</v>
      </c>
      <c r="W631" s="276"/>
      <c r="X631" s="290">
        <f t="shared" ref="X631" si="450">ROUNDDOWN(W631*$I631,0)</f>
        <v>0</v>
      </c>
      <c r="Y631" s="271">
        <f t="shared" si="441"/>
        <v>0</v>
      </c>
      <c r="Z631" s="290">
        <f t="shared" si="442"/>
        <v>0</v>
      </c>
    </row>
    <row r="632" spans="2:26" ht="19.8" customHeight="1" x14ac:dyDescent="0.6">
      <c r="B632" s="268"/>
      <c r="C632" s="255" t="s">
        <v>242</v>
      </c>
      <c r="D632" s="303"/>
      <c r="E632" s="276"/>
      <c r="G632" s="290"/>
      <c r="I632" s="290"/>
      <c r="J632" s="298"/>
      <c r="K632" s="316"/>
      <c r="L632" s="271"/>
      <c r="M632" s="276"/>
      <c r="N632" s="290"/>
      <c r="O632" s="276"/>
      <c r="P632" s="290"/>
      <c r="Q632" s="276"/>
      <c r="R632" s="290"/>
      <c r="S632" s="276"/>
      <c r="T632" s="290"/>
      <c r="U632" s="276"/>
      <c r="V632" s="290"/>
      <c r="W632" s="276"/>
      <c r="X632" s="290"/>
      <c r="Y632" s="271">
        <f t="shared" si="441"/>
        <v>0</v>
      </c>
      <c r="Z632" s="290">
        <f t="shared" si="442"/>
        <v>0</v>
      </c>
    </row>
    <row r="633" spans="2:26" ht="19.8" customHeight="1" x14ac:dyDescent="0.6">
      <c r="B633" s="268">
        <v>2</v>
      </c>
      <c r="C633" s="255" t="s">
        <v>746</v>
      </c>
      <c r="D633" s="303"/>
      <c r="E633" s="276"/>
      <c r="G633" s="290"/>
      <c r="I633" s="290"/>
      <c r="J633" s="298"/>
      <c r="K633" s="316"/>
      <c r="L633" s="271"/>
      <c r="M633" s="276"/>
      <c r="N633" s="290"/>
      <c r="O633" s="276"/>
      <c r="P633" s="290"/>
      <c r="Q633" s="276"/>
      <c r="R633" s="290"/>
      <c r="S633" s="276"/>
      <c r="T633" s="290"/>
      <c r="U633" s="276"/>
      <c r="V633" s="290"/>
      <c r="W633" s="276"/>
      <c r="X633" s="290"/>
      <c r="Y633" s="271">
        <f t="shared" si="441"/>
        <v>0</v>
      </c>
      <c r="Z633" s="290">
        <f t="shared" si="442"/>
        <v>0</v>
      </c>
    </row>
    <row r="634" spans="2:26" ht="19.8" customHeight="1" x14ac:dyDescent="0.6">
      <c r="B634" s="268"/>
      <c r="D634" s="303"/>
      <c r="E634" s="276"/>
      <c r="G634" s="290"/>
      <c r="I634" s="290"/>
      <c r="J634" s="298"/>
      <c r="K634" s="316"/>
      <c r="L634" s="271"/>
      <c r="M634" s="276"/>
      <c r="N634" s="290"/>
      <c r="O634" s="276"/>
      <c r="P634" s="290"/>
      <c r="Q634" s="276"/>
      <c r="R634" s="290"/>
      <c r="S634" s="276"/>
      <c r="T634" s="290"/>
      <c r="U634" s="276"/>
      <c r="V634" s="290"/>
      <c r="W634" s="276"/>
      <c r="X634" s="290"/>
      <c r="Y634" s="271">
        <f t="shared" si="441"/>
        <v>0</v>
      </c>
      <c r="Z634" s="290">
        <f t="shared" si="442"/>
        <v>0</v>
      </c>
    </row>
    <row r="635" spans="2:26" ht="19.8" customHeight="1" x14ac:dyDescent="0.6">
      <c r="B635" s="826" t="s">
        <v>806</v>
      </c>
      <c r="C635" s="827"/>
      <c r="D635" s="294"/>
      <c r="E635" s="257"/>
      <c r="F635" s="296"/>
      <c r="G635" s="293"/>
      <c r="H635" s="297"/>
      <c r="I635" s="293"/>
      <c r="J635" s="299">
        <f>SUM(J630:J634)</f>
        <v>2540833</v>
      </c>
      <c r="K635" s="319">
        <v>2540833</v>
      </c>
      <c r="L635" s="262"/>
      <c r="M635" s="257"/>
      <c r="N635" s="326">
        <f>SUM(N630:N634)</f>
        <v>0</v>
      </c>
      <c r="O635" s="257"/>
      <c r="P635" s="326">
        <f>SUM(P630:P634)</f>
        <v>0</v>
      </c>
      <c r="Q635" s="257"/>
      <c r="R635" s="326">
        <f>SUM(R630:R634)</f>
        <v>0</v>
      </c>
      <c r="S635" s="257"/>
      <c r="T635" s="326">
        <f>SUM(T630:T634)</f>
        <v>0</v>
      </c>
      <c r="U635" s="257"/>
      <c r="V635" s="326">
        <f>SUM(V630:V634)</f>
        <v>0</v>
      </c>
      <c r="W635" s="257"/>
      <c r="X635" s="326">
        <f>SUM(X630:X634)</f>
        <v>0</v>
      </c>
      <c r="Y635" s="262">
        <f t="shared" si="441"/>
        <v>0</v>
      </c>
      <c r="Z635" s="293">
        <f>N635+P635+R635</f>
        <v>0</v>
      </c>
    </row>
    <row r="636" spans="2:26" ht="19.8" customHeight="1" x14ac:dyDescent="0.6">
      <c r="B636" s="434" t="s">
        <v>333</v>
      </c>
      <c r="C636" s="255" t="s">
        <v>127</v>
      </c>
      <c r="D636" s="435"/>
      <c r="E636" s="275"/>
      <c r="I636" s="289"/>
      <c r="J636" s="286"/>
      <c r="K636" s="320"/>
      <c r="L636" s="270"/>
      <c r="N636" s="427"/>
      <c r="P636" s="427"/>
      <c r="R636" s="427"/>
      <c r="T636" s="427"/>
      <c r="V636" s="427"/>
      <c r="X636" s="427"/>
      <c r="Y636" s="271">
        <f t="shared" si="441"/>
        <v>0</v>
      </c>
      <c r="Z636" s="290">
        <f t="shared" si="442"/>
        <v>0</v>
      </c>
    </row>
    <row r="637" spans="2:26" ht="19.8" customHeight="1" x14ac:dyDescent="0.6">
      <c r="B637" s="306" t="s">
        <v>821</v>
      </c>
      <c r="C637" s="255" t="s">
        <v>835</v>
      </c>
      <c r="D637" s="436" t="s">
        <v>389</v>
      </c>
      <c r="E637" s="276" t="s">
        <v>171</v>
      </c>
      <c r="I637" s="290"/>
      <c r="J637" s="286">
        <f t="shared" ref="J637:J639" si="451">SUM(J635)</f>
        <v>2540833</v>
      </c>
      <c r="K637" s="316"/>
      <c r="L637" s="271"/>
      <c r="N637" s="421"/>
      <c r="P637" s="421"/>
      <c r="R637" s="421"/>
      <c r="T637" s="421"/>
      <c r="V637" s="421"/>
      <c r="X637" s="421"/>
      <c r="Y637" s="271">
        <f t="shared" si="441"/>
        <v>0</v>
      </c>
      <c r="Z637" s="290">
        <f t="shared" si="442"/>
        <v>0</v>
      </c>
    </row>
    <row r="638" spans="2:26" ht="19.8" customHeight="1" x14ac:dyDescent="0.6">
      <c r="B638" s="306" t="s">
        <v>389</v>
      </c>
      <c r="C638" s="255" t="s">
        <v>172</v>
      </c>
      <c r="D638" s="436" t="s">
        <v>837</v>
      </c>
      <c r="E638" s="276" t="s">
        <v>146</v>
      </c>
      <c r="I638" s="290"/>
      <c r="J638" s="286">
        <f t="shared" si="451"/>
        <v>0</v>
      </c>
      <c r="K638" s="316">
        <v>405000</v>
      </c>
      <c r="L638" s="271"/>
      <c r="N638" s="290">
        <f t="shared" ref="N638:P639" si="452">ROUNDDOWN(M638*$I638,0)</f>
        <v>0</v>
      </c>
      <c r="P638" s="290">
        <f t="shared" si="452"/>
        <v>0</v>
      </c>
      <c r="R638" s="290">
        <f t="shared" ref="R638:R639" si="453">ROUNDDOWN(Q638*$I638,0)</f>
        <v>0</v>
      </c>
      <c r="T638" s="290">
        <f t="shared" ref="T638:T639" si="454">ROUNDDOWN(S638*$I638,0)</f>
        <v>0</v>
      </c>
      <c r="V638" s="290">
        <f t="shared" ref="V638:V639" si="455">ROUNDDOWN(U638*$I638,0)</f>
        <v>0</v>
      </c>
      <c r="X638" s="290">
        <f t="shared" ref="X638:X639" si="456">ROUNDDOWN(W638*$I638,0)</f>
        <v>0</v>
      </c>
      <c r="Y638" s="271">
        <f t="shared" si="441"/>
        <v>0</v>
      </c>
      <c r="Z638" s="290">
        <f t="shared" si="442"/>
        <v>0</v>
      </c>
    </row>
    <row r="639" spans="2:26" ht="19.8" customHeight="1" x14ac:dyDescent="0.6">
      <c r="B639" s="306" t="s">
        <v>410</v>
      </c>
      <c r="C639" s="433" t="s">
        <v>173</v>
      </c>
      <c r="D639" s="436" t="s">
        <v>836</v>
      </c>
      <c r="E639" s="276" t="s">
        <v>55</v>
      </c>
      <c r="I639" s="291"/>
      <c r="J639" s="286">
        <f t="shared" si="451"/>
        <v>2540833</v>
      </c>
      <c r="K639" s="432">
        <v>161191</v>
      </c>
      <c r="L639" s="271"/>
      <c r="N639" s="290">
        <f t="shared" si="452"/>
        <v>0</v>
      </c>
      <c r="P639" s="290">
        <f t="shared" si="452"/>
        <v>0</v>
      </c>
      <c r="R639" s="290">
        <f t="shared" si="453"/>
        <v>0</v>
      </c>
      <c r="T639" s="290">
        <f t="shared" si="454"/>
        <v>0</v>
      </c>
      <c r="V639" s="290">
        <f t="shared" si="455"/>
        <v>0</v>
      </c>
      <c r="X639" s="290">
        <f t="shared" si="456"/>
        <v>0</v>
      </c>
      <c r="Y639" s="271">
        <f t="shared" si="441"/>
        <v>0</v>
      </c>
      <c r="Z639" s="290">
        <f t="shared" si="442"/>
        <v>0</v>
      </c>
    </row>
    <row r="640" spans="2:26" ht="19.8" customHeight="1" x14ac:dyDescent="0.6">
      <c r="B640" s="826" t="s">
        <v>174</v>
      </c>
      <c r="C640" s="827"/>
      <c r="D640" s="437"/>
      <c r="E640" s="257"/>
      <c r="F640" s="296"/>
      <c r="G640" s="438"/>
      <c r="H640" s="297"/>
      <c r="I640" s="293"/>
      <c r="J640" s="438">
        <f>SUM(J636:J638)</f>
        <v>2540833</v>
      </c>
      <c r="K640" s="319">
        <f>SUM(K638:K639)</f>
        <v>566191</v>
      </c>
      <c r="L640" s="262"/>
      <c r="M640" s="419"/>
      <c r="N640" s="326">
        <f>SUM(N636:N639)</f>
        <v>0</v>
      </c>
      <c r="O640" s="419"/>
      <c r="P640" s="326">
        <f>SUM(P636:P639)</f>
        <v>0</v>
      </c>
      <c r="Q640" s="419"/>
      <c r="R640" s="326">
        <f>SUM(R636:R639)</f>
        <v>0</v>
      </c>
      <c r="S640" s="419"/>
      <c r="T640" s="326">
        <f>SUM(T636:T639)</f>
        <v>0</v>
      </c>
      <c r="U640" s="419"/>
      <c r="V640" s="326">
        <f>SUM(V636:V639)</f>
        <v>0</v>
      </c>
      <c r="W640" s="419"/>
      <c r="X640" s="326">
        <f>SUM(X636:X639)</f>
        <v>0</v>
      </c>
      <c r="Y640" s="262">
        <f t="shared" ref="Y640" si="457">M640+O640</f>
        <v>0</v>
      </c>
      <c r="Z640" s="293">
        <f>N640+P640+R640</f>
        <v>0</v>
      </c>
    </row>
    <row r="641" spans="2:26" ht="19.8" customHeight="1" x14ac:dyDescent="0.6">
      <c r="B641" s="817" t="s">
        <v>115</v>
      </c>
      <c r="C641" s="818"/>
      <c r="D641" s="294"/>
      <c r="E641" s="257"/>
      <c r="F641" s="296"/>
      <c r="G641" s="293"/>
      <c r="H641" s="297"/>
      <c r="I641" s="293"/>
      <c r="J641" s="299"/>
      <c r="K641" s="319">
        <f>SUM(K635,K629,K388,K335)</f>
        <v>237923918</v>
      </c>
      <c r="L641" s="262"/>
      <c r="M641" s="257"/>
      <c r="N641" s="293"/>
      <c r="O641" s="257"/>
      <c r="P641" s="293"/>
      <c r="Q641" s="257"/>
      <c r="R641" s="293"/>
      <c r="S641" s="257"/>
      <c r="T641" s="293"/>
      <c r="U641" s="257"/>
      <c r="V641" s="293"/>
      <c r="W641" s="257"/>
      <c r="X641" s="293"/>
      <c r="Y641" s="262"/>
      <c r="Z641" s="293"/>
    </row>
  </sheetData>
  <mergeCells count="59">
    <mergeCell ref="I6:K6"/>
    <mergeCell ref="U6:V7"/>
    <mergeCell ref="B387:C387"/>
    <mergeCell ref="B580:C580"/>
    <mergeCell ref="B215:C215"/>
    <mergeCell ref="B240:C240"/>
    <mergeCell ref="B264:C264"/>
    <mergeCell ref="B290:C290"/>
    <mergeCell ref="Q6:R7"/>
    <mergeCell ref="S6:T7"/>
    <mergeCell ref="AG7:AI7"/>
    <mergeCell ref="B641:C641"/>
    <mergeCell ref="B3:AA3"/>
    <mergeCell ref="B4:AA4"/>
    <mergeCell ref="H6:H8"/>
    <mergeCell ref="G7:G8"/>
    <mergeCell ref="F7:F8"/>
    <mergeCell ref="E7:E8"/>
    <mergeCell ref="D7:D8"/>
    <mergeCell ref="C7:C8"/>
    <mergeCell ref="B7:B8"/>
    <mergeCell ref="L6:L8"/>
    <mergeCell ref="B56:C56"/>
    <mergeCell ref="B77:C77"/>
    <mergeCell ref="I7:K7"/>
    <mergeCell ref="Y6:Z7"/>
    <mergeCell ref="AD69:AE69"/>
    <mergeCell ref="B622:C622"/>
    <mergeCell ref="B121:C121"/>
    <mergeCell ref="B144:C144"/>
    <mergeCell ref="B168:C168"/>
    <mergeCell ref="B191:C191"/>
    <mergeCell ref="B524:C524"/>
    <mergeCell ref="B549:C549"/>
    <mergeCell ref="B640:C640"/>
    <mergeCell ref="M6:N7"/>
    <mergeCell ref="O6:P7"/>
    <mergeCell ref="B507:C507"/>
    <mergeCell ref="B628:C628"/>
    <mergeCell ref="B629:C629"/>
    <mergeCell ref="B334:C334"/>
    <mergeCell ref="B612:C612"/>
    <mergeCell ref="B335:C335"/>
    <mergeCell ref="B355:C355"/>
    <mergeCell ref="B314:C314"/>
    <mergeCell ref="B388:C388"/>
    <mergeCell ref="B431:C431"/>
    <mergeCell ref="B635:C635"/>
    <mergeCell ref="B462:C462"/>
    <mergeCell ref="B493:C493"/>
    <mergeCell ref="W6:X7"/>
    <mergeCell ref="AD38:AE38"/>
    <mergeCell ref="AD42:AE42"/>
    <mergeCell ref="AD46:AE46"/>
    <mergeCell ref="AD15:AE15"/>
    <mergeCell ref="AD20:AE20"/>
    <mergeCell ref="AD26:AE26"/>
    <mergeCell ref="AD30:AE30"/>
    <mergeCell ref="AD34:AE34"/>
  </mergeCells>
  <phoneticPr fontId="5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A05B-F6B6-4C2C-992E-89BB45407177}">
  <dimension ref="A1:T38"/>
  <sheetViews>
    <sheetView zoomScale="85" zoomScaleNormal="85" zoomScaleSheetLayoutView="100" workbookViewId="0">
      <selection activeCell="I33" sqref="I33"/>
    </sheetView>
  </sheetViews>
  <sheetFormatPr defaultColWidth="9.33203125" defaultRowHeight="24.6" x14ac:dyDescent="0.7"/>
  <cols>
    <col min="1" max="1" width="14" style="155" customWidth="1"/>
    <col min="2" max="2" width="28.109375" style="155" customWidth="1"/>
    <col min="3" max="3" width="15.77734375" style="155" customWidth="1"/>
    <col min="4" max="4" width="14.77734375" style="155" customWidth="1"/>
    <col min="5" max="5" width="14.77734375" style="155" hidden="1" customWidth="1"/>
    <col min="6" max="9" width="18.33203125" style="155" customWidth="1"/>
    <col min="10" max="12" width="21.77734375" style="155" customWidth="1"/>
    <col min="13" max="13" width="18.33203125" style="155" customWidth="1"/>
    <col min="14" max="14" width="6.6640625" style="155" customWidth="1"/>
    <col min="15" max="15" width="10.33203125" style="155" bestFit="1" customWidth="1"/>
    <col min="16" max="16" width="9.44140625" style="155" bestFit="1" customWidth="1"/>
    <col min="17" max="18" width="9.33203125" style="155"/>
    <col min="19" max="19" width="9.44140625" style="155" bestFit="1" customWidth="1"/>
    <col min="20" max="16384" width="9.33203125" style="155"/>
  </cols>
  <sheetData>
    <row r="1" spans="1:20" ht="18" customHeight="1" x14ac:dyDescent="0.7">
      <c r="A1" s="873" t="s">
        <v>144</v>
      </c>
      <c r="B1" s="873"/>
      <c r="C1" s="873"/>
      <c r="D1" s="873"/>
      <c r="E1" s="873"/>
      <c r="F1" s="873"/>
      <c r="G1" s="873"/>
      <c r="H1" s="873"/>
      <c r="I1" s="873"/>
      <c r="J1" s="170"/>
      <c r="K1" s="170"/>
      <c r="L1" s="170"/>
      <c r="M1" s="154"/>
      <c r="N1" s="154"/>
      <c r="O1" s="154"/>
      <c r="P1" s="154"/>
      <c r="Q1" s="154"/>
      <c r="R1" s="154"/>
      <c r="S1" s="154"/>
      <c r="T1" s="154"/>
    </row>
    <row r="2" spans="1:20" ht="18.75" customHeight="1" x14ac:dyDescent="0.7">
      <c r="A2" s="873" t="s">
        <v>178</v>
      </c>
      <c r="B2" s="873"/>
      <c r="C2" s="873"/>
      <c r="D2" s="873"/>
      <c r="E2" s="873"/>
      <c r="F2" s="873"/>
      <c r="G2" s="873"/>
      <c r="H2" s="873"/>
      <c r="I2" s="873"/>
      <c r="J2" s="170"/>
      <c r="K2" s="170"/>
      <c r="L2" s="170"/>
      <c r="M2" s="154"/>
      <c r="N2" s="154"/>
      <c r="O2" s="154"/>
      <c r="P2" s="154"/>
      <c r="Q2" s="154"/>
      <c r="R2" s="154"/>
      <c r="S2" s="154"/>
      <c r="T2" s="154"/>
    </row>
    <row r="3" spans="1:20" ht="18.75" customHeight="1" x14ac:dyDescent="0.7">
      <c r="A3" s="169"/>
      <c r="B3" s="169"/>
      <c r="C3" s="169"/>
      <c r="D3" s="169"/>
      <c r="E3" s="169"/>
      <c r="F3" s="169"/>
      <c r="G3" s="169"/>
      <c r="H3" s="169"/>
      <c r="I3" s="169"/>
      <c r="J3" s="170"/>
      <c r="K3" s="170"/>
      <c r="L3" s="170"/>
      <c r="M3" s="154"/>
      <c r="N3" s="154"/>
      <c r="O3" s="154"/>
      <c r="P3" s="154"/>
      <c r="Q3" s="154"/>
      <c r="R3" s="154"/>
      <c r="S3" s="154"/>
      <c r="T3" s="154"/>
    </row>
    <row r="4" spans="1:20" ht="18.75" customHeight="1" x14ac:dyDescent="0.7">
      <c r="A4" s="171"/>
      <c r="B4" s="177" t="s">
        <v>145</v>
      </c>
      <c r="C4" s="172">
        <f>N18</f>
        <v>13</v>
      </c>
      <c r="D4" s="173" t="s">
        <v>146</v>
      </c>
      <c r="E4" s="174">
        <f>O18</f>
        <v>1.5476190476190477E-2</v>
      </c>
      <c r="F4" s="170"/>
      <c r="G4" s="170"/>
      <c r="H4" s="170"/>
      <c r="I4" s="170"/>
      <c r="J4" s="170"/>
      <c r="K4" s="170"/>
      <c r="L4" s="170"/>
      <c r="M4" s="154"/>
      <c r="N4" s="154"/>
      <c r="O4" s="154"/>
      <c r="P4" s="154"/>
      <c r="Q4" s="154"/>
      <c r="R4" s="154"/>
      <c r="S4" s="154"/>
      <c r="T4" s="154"/>
    </row>
    <row r="5" spans="1:20" ht="18.75" customHeight="1" x14ac:dyDescent="0.7">
      <c r="A5" s="170"/>
      <c r="B5" s="177" t="s">
        <v>117</v>
      </c>
      <c r="C5" s="172">
        <f>N16</f>
        <v>840</v>
      </c>
      <c r="D5" s="173" t="s">
        <v>146</v>
      </c>
      <c r="E5" s="174">
        <f>O19</f>
        <v>0.98452380952380958</v>
      </c>
      <c r="F5" s="170"/>
      <c r="G5" s="170"/>
      <c r="H5" s="170"/>
      <c r="I5" s="170"/>
      <c r="J5" s="169" t="s">
        <v>147</v>
      </c>
      <c r="K5" s="175">
        <v>247330000</v>
      </c>
      <c r="L5" s="176" t="s">
        <v>116</v>
      </c>
      <c r="M5" s="154"/>
      <c r="N5" s="154"/>
      <c r="O5" s="154"/>
      <c r="P5" s="154"/>
      <c r="Q5" s="154"/>
      <c r="R5" s="154"/>
      <c r="S5" s="154"/>
      <c r="T5" s="154"/>
    </row>
    <row r="6" spans="1:20" ht="18.75" customHeight="1" x14ac:dyDescent="0.7">
      <c r="A6" s="154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</row>
    <row r="7" spans="1:20" ht="18.75" customHeight="1" x14ac:dyDescent="0.7">
      <c r="A7" s="874" t="s">
        <v>32</v>
      </c>
      <c r="B7" s="876" t="s">
        <v>0</v>
      </c>
      <c r="C7" s="877"/>
      <c r="D7" s="877"/>
      <c r="E7" s="878"/>
      <c r="F7" s="106" t="s">
        <v>148</v>
      </c>
      <c r="G7" s="882" t="s">
        <v>149</v>
      </c>
      <c r="H7" s="882" t="s">
        <v>150</v>
      </c>
      <c r="I7" s="884" t="s">
        <v>168</v>
      </c>
      <c r="J7" s="106" t="s">
        <v>149</v>
      </c>
      <c r="K7" s="106" t="s">
        <v>151</v>
      </c>
      <c r="L7" s="156" t="s">
        <v>152</v>
      </c>
      <c r="M7" s="107" t="s">
        <v>153</v>
      </c>
      <c r="N7" s="153"/>
      <c r="O7" s="154"/>
      <c r="P7" s="154"/>
      <c r="Q7" s="154"/>
      <c r="R7" s="154"/>
      <c r="S7" s="154"/>
      <c r="T7" s="154"/>
    </row>
    <row r="8" spans="1:20" ht="18.75" customHeight="1" x14ac:dyDescent="0.7">
      <c r="A8" s="875"/>
      <c r="B8" s="879"/>
      <c r="C8" s="880"/>
      <c r="D8" s="880"/>
      <c r="E8" s="881"/>
      <c r="F8" s="108" t="s">
        <v>154</v>
      </c>
      <c r="G8" s="883"/>
      <c r="H8" s="883"/>
      <c r="I8" s="885"/>
      <c r="J8" s="109" t="s">
        <v>155</v>
      </c>
      <c r="K8" s="109" t="s">
        <v>153</v>
      </c>
      <c r="L8" s="157">
        <v>11</v>
      </c>
      <c r="M8" s="158">
        <v>11</v>
      </c>
      <c r="N8" s="153"/>
      <c r="O8" s="154"/>
      <c r="P8" s="154"/>
      <c r="Q8" s="154"/>
      <c r="R8" s="154"/>
      <c r="S8" s="154"/>
      <c r="T8" s="154"/>
    </row>
    <row r="9" spans="1:20" ht="18.75" customHeight="1" x14ac:dyDescent="0.7">
      <c r="A9" s="110">
        <v>1</v>
      </c>
      <c r="B9" s="867" t="s">
        <v>33</v>
      </c>
      <c r="C9" s="868"/>
      <c r="D9" s="868"/>
      <c r="E9" s="869"/>
      <c r="F9" s="111">
        <v>0</v>
      </c>
      <c r="G9" s="112">
        <v>0</v>
      </c>
      <c r="H9" s="112">
        <v>0</v>
      </c>
      <c r="I9" s="113">
        <f t="shared" ref="I9:I13" si="0">H9-G9</f>
        <v>0</v>
      </c>
      <c r="J9" s="114">
        <v>0</v>
      </c>
      <c r="K9" s="114">
        <v>0</v>
      </c>
      <c r="L9" s="114">
        <v>0</v>
      </c>
      <c r="M9" s="153"/>
      <c r="N9" s="153"/>
      <c r="O9" s="154"/>
      <c r="P9" s="159"/>
      <c r="Q9" s="154"/>
      <c r="R9" s="154"/>
      <c r="S9" s="154"/>
      <c r="T9" s="154"/>
    </row>
    <row r="10" spans="1:20" ht="18.75" customHeight="1" x14ac:dyDescent="0.7">
      <c r="A10" s="115">
        <v>2</v>
      </c>
      <c r="B10" s="870" t="s">
        <v>71</v>
      </c>
      <c r="C10" s="871"/>
      <c r="D10" s="871"/>
      <c r="E10" s="872"/>
      <c r="F10" s="111">
        <v>0</v>
      </c>
      <c r="G10" s="116">
        <v>0</v>
      </c>
      <c r="H10" s="116">
        <v>0</v>
      </c>
      <c r="I10" s="113">
        <f t="shared" si="0"/>
        <v>0</v>
      </c>
      <c r="J10" s="114">
        <v>0</v>
      </c>
      <c r="K10" s="117">
        <v>0</v>
      </c>
      <c r="L10" s="114">
        <v>0</v>
      </c>
      <c r="M10" s="153"/>
      <c r="N10" s="153"/>
      <c r="O10" s="154"/>
      <c r="P10" s="159"/>
      <c r="Q10" s="154"/>
      <c r="R10" s="154"/>
      <c r="S10" s="154"/>
      <c r="T10" s="154"/>
    </row>
    <row r="11" spans="1:20" ht="18.75" customHeight="1" x14ac:dyDescent="0.7">
      <c r="A11" s="115">
        <v>3</v>
      </c>
      <c r="B11" s="870" t="s">
        <v>29</v>
      </c>
      <c r="C11" s="871"/>
      <c r="D11" s="871"/>
      <c r="E11" s="872"/>
      <c r="F11" s="111">
        <v>0</v>
      </c>
      <c r="G11" s="116">
        <v>0</v>
      </c>
      <c r="H11" s="116">
        <v>0</v>
      </c>
      <c r="I11" s="113">
        <f t="shared" si="0"/>
        <v>0</v>
      </c>
      <c r="J11" s="114">
        <v>0</v>
      </c>
      <c r="K11" s="117">
        <v>0</v>
      </c>
      <c r="L11" s="114">
        <v>0</v>
      </c>
      <c r="M11" s="153"/>
      <c r="N11" s="153"/>
      <c r="O11" s="154"/>
      <c r="P11" s="159"/>
      <c r="Q11" s="154"/>
      <c r="R11" s="154"/>
      <c r="S11" s="154"/>
      <c r="T11" s="154"/>
    </row>
    <row r="12" spans="1:20" ht="18.75" customHeight="1" x14ac:dyDescent="0.7">
      <c r="A12" s="115">
        <v>4</v>
      </c>
      <c r="B12" s="870" t="s">
        <v>125</v>
      </c>
      <c r="C12" s="871"/>
      <c r="D12" s="871"/>
      <c r="E12" s="872"/>
      <c r="F12" s="111">
        <v>0</v>
      </c>
      <c r="G12" s="116">
        <v>0</v>
      </c>
      <c r="H12" s="116">
        <v>0</v>
      </c>
      <c r="I12" s="113">
        <f t="shared" si="0"/>
        <v>0</v>
      </c>
      <c r="J12" s="114">
        <v>0</v>
      </c>
      <c r="K12" s="117">
        <v>0</v>
      </c>
      <c r="L12" s="114">
        <v>0</v>
      </c>
      <c r="M12" s="153"/>
      <c r="N12" s="153"/>
      <c r="O12" s="154"/>
      <c r="P12" s="159"/>
      <c r="Q12" s="154"/>
      <c r="R12" s="154"/>
      <c r="S12" s="154"/>
      <c r="T12" s="154"/>
    </row>
    <row r="13" spans="1:20" ht="18.75" customHeight="1" x14ac:dyDescent="0.7">
      <c r="A13" s="115">
        <v>5</v>
      </c>
      <c r="B13" s="870" t="s">
        <v>127</v>
      </c>
      <c r="C13" s="871"/>
      <c r="D13" s="871"/>
      <c r="E13" s="872"/>
      <c r="F13" s="111">
        <v>0</v>
      </c>
      <c r="G13" s="116">
        <v>0</v>
      </c>
      <c r="H13" s="116">
        <v>0</v>
      </c>
      <c r="I13" s="113">
        <f t="shared" si="0"/>
        <v>0</v>
      </c>
      <c r="J13" s="114">
        <v>0</v>
      </c>
      <c r="K13" s="117">
        <v>0</v>
      </c>
      <c r="L13" s="114">
        <v>0</v>
      </c>
      <c r="M13" s="153"/>
      <c r="N13" s="153"/>
      <c r="O13" s="154"/>
      <c r="P13" s="159"/>
      <c r="Q13" s="154"/>
      <c r="R13" s="154"/>
      <c r="S13" s="154"/>
      <c r="T13" s="154"/>
    </row>
    <row r="14" spans="1:20" ht="18.75" customHeight="1" x14ac:dyDescent="0.7">
      <c r="A14" s="864" t="s">
        <v>156</v>
      </c>
      <c r="B14" s="865"/>
      <c r="C14" s="865"/>
      <c r="D14" s="865"/>
      <c r="E14" s="866"/>
      <c r="F14" s="118">
        <f>SUM(F9:F13)</f>
        <v>0</v>
      </c>
      <c r="G14" s="119">
        <f>SUM(G9:G13)</f>
        <v>0</v>
      </c>
      <c r="H14" s="120">
        <f>SUM(H9:H13)</f>
        <v>0</v>
      </c>
      <c r="I14" s="121">
        <f>SUM(I9:I13)</f>
        <v>0</v>
      </c>
      <c r="J14" s="119">
        <v>0</v>
      </c>
      <c r="K14" s="119">
        <v>0</v>
      </c>
      <c r="L14" s="119">
        <v>0</v>
      </c>
      <c r="M14" s="153"/>
      <c r="N14" s="153"/>
      <c r="O14" s="154"/>
      <c r="P14" s="154"/>
      <c r="Q14" s="154"/>
      <c r="R14" s="154"/>
      <c r="S14" s="160"/>
      <c r="T14" s="154"/>
    </row>
    <row r="15" spans="1:20" ht="18.75" customHeight="1" x14ac:dyDescent="0.7">
      <c r="A15" s="154"/>
      <c r="B15" s="154"/>
      <c r="C15" s="154"/>
      <c r="D15" s="154"/>
      <c r="E15" s="154"/>
      <c r="F15" s="154"/>
      <c r="G15" s="154"/>
      <c r="H15" s="154"/>
      <c r="I15" s="160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</row>
    <row r="16" spans="1:20" ht="18.75" customHeight="1" x14ac:dyDescent="0.7">
      <c r="A16" s="104" t="s">
        <v>157</v>
      </c>
      <c r="B16" s="105" t="s">
        <v>158</v>
      </c>
      <c r="C16" s="154"/>
      <c r="D16" s="154"/>
      <c r="E16" s="154"/>
      <c r="F16" s="154"/>
      <c r="G16" s="154"/>
      <c r="H16" s="154"/>
      <c r="I16" s="160"/>
      <c r="J16" s="122" t="s">
        <v>159</v>
      </c>
      <c r="K16" s="123">
        <v>46330</v>
      </c>
      <c r="L16" s="124"/>
      <c r="M16" s="124" t="s">
        <v>160</v>
      </c>
      <c r="N16" s="125">
        <v>840</v>
      </c>
      <c r="O16" s="126">
        <v>1</v>
      </c>
      <c r="P16" s="154"/>
      <c r="Q16" s="154"/>
      <c r="R16" s="154"/>
      <c r="S16" s="154"/>
      <c r="T16" s="154"/>
    </row>
    <row r="17" spans="1:20" ht="18.75" customHeight="1" x14ac:dyDescent="0.7">
      <c r="A17" s="104"/>
      <c r="B17" s="105"/>
      <c r="C17" s="154"/>
      <c r="D17" s="154"/>
      <c r="E17" s="154"/>
      <c r="F17" s="154"/>
      <c r="G17" s="154"/>
      <c r="H17" s="160"/>
      <c r="I17" s="160"/>
      <c r="J17" s="122" t="s">
        <v>163</v>
      </c>
      <c r="K17" s="123">
        <v>45491</v>
      </c>
      <c r="L17" s="124"/>
      <c r="M17" s="124"/>
      <c r="N17" s="125"/>
      <c r="O17" s="126"/>
      <c r="P17" s="154"/>
      <c r="Q17" s="154"/>
      <c r="R17" s="154"/>
      <c r="S17" s="154"/>
      <c r="T17" s="154"/>
    </row>
    <row r="18" spans="1:20" ht="21.75" customHeight="1" x14ac:dyDescent="0.7">
      <c r="A18" s="154"/>
      <c r="B18" s="127" t="s">
        <v>161</v>
      </c>
      <c r="C18" s="128" t="s">
        <v>30</v>
      </c>
      <c r="D18" s="129" t="s">
        <v>162</v>
      </c>
      <c r="E18" s="127" t="s">
        <v>169</v>
      </c>
      <c r="F18" s="178" t="s">
        <v>181</v>
      </c>
      <c r="G18" s="154"/>
      <c r="H18" s="154"/>
      <c r="I18" s="154"/>
      <c r="J18" s="122" t="s">
        <v>165</v>
      </c>
      <c r="K18" s="137">
        <v>45530</v>
      </c>
      <c r="L18" s="124"/>
      <c r="M18" s="130" t="s">
        <v>164</v>
      </c>
      <c r="N18" s="131">
        <v>13</v>
      </c>
      <c r="O18" s="132">
        <f>N18/N16</f>
        <v>1.5476190476190477E-2</v>
      </c>
      <c r="P18" s="154"/>
      <c r="Q18" s="154"/>
      <c r="R18" s="154"/>
      <c r="S18" s="154"/>
      <c r="T18" s="154"/>
    </row>
    <row r="19" spans="1:20" ht="21.75" customHeight="1" x14ac:dyDescent="0.7">
      <c r="A19" s="154"/>
      <c r="B19" s="133" t="s">
        <v>177</v>
      </c>
      <c r="C19" s="134">
        <f>C26/400</f>
        <v>0</v>
      </c>
      <c r="D19" s="135">
        <f>D26/100/4</f>
        <v>0</v>
      </c>
      <c r="E19" s="136">
        <f>+D19-C19</f>
        <v>0</v>
      </c>
      <c r="F19" s="179">
        <f>+E19-C19</f>
        <v>0</v>
      </c>
      <c r="G19" s="154"/>
      <c r="H19" s="154"/>
      <c r="I19" s="154"/>
      <c r="L19" s="124"/>
      <c r="M19" s="138" t="s">
        <v>166</v>
      </c>
      <c r="N19" s="139">
        <f>N16-N18</f>
        <v>827</v>
      </c>
      <c r="O19" s="140">
        <f>N19/N16</f>
        <v>0.98452380952380958</v>
      </c>
      <c r="P19" s="154"/>
      <c r="Q19" s="154"/>
      <c r="R19" s="154"/>
      <c r="S19" s="154"/>
      <c r="T19" s="154"/>
    </row>
    <row r="20" spans="1:20" ht="21.75" customHeight="1" x14ac:dyDescent="0.7">
      <c r="A20" s="154"/>
      <c r="B20" s="133" t="s">
        <v>167</v>
      </c>
      <c r="C20" s="141">
        <f>C27/400</f>
        <v>0</v>
      </c>
      <c r="D20" s="142">
        <f>D27/400</f>
        <v>0</v>
      </c>
      <c r="E20" s="136">
        <f>_Hlk109808432</f>
        <v>0</v>
      </c>
      <c r="F20" s="179">
        <f>+E20-C20</f>
        <v>0</v>
      </c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</row>
    <row r="21" spans="1:20" ht="18.75" customHeight="1" x14ac:dyDescent="0.7">
      <c r="A21" s="154"/>
      <c r="B21" s="143"/>
      <c r="C21" s="14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</row>
    <row r="22" spans="1:20" x14ac:dyDescent="0.7">
      <c r="A22" s="154"/>
      <c r="B22" s="145"/>
      <c r="C22" s="154"/>
      <c r="D22" s="161"/>
      <c r="E22" s="145"/>
      <c r="F22" s="154"/>
      <c r="G22" s="145"/>
      <c r="H22" s="154"/>
      <c r="I22" s="154"/>
      <c r="J22" s="145"/>
      <c r="K22" s="154"/>
      <c r="L22" s="154"/>
      <c r="M22" s="154"/>
      <c r="N22" s="154"/>
      <c r="O22" s="154"/>
      <c r="P22" s="154"/>
      <c r="Q22" s="154"/>
      <c r="R22" s="154"/>
      <c r="S22" s="154"/>
      <c r="T22" s="154"/>
    </row>
    <row r="23" spans="1:20" x14ac:dyDescent="0.7">
      <c r="A23" s="154"/>
      <c r="B23" s="146"/>
      <c r="C23" s="147"/>
      <c r="D23" s="154"/>
      <c r="E23" s="148"/>
      <c r="F23" s="162"/>
      <c r="G23" s="163"/>
      <c r="H23" s="163"/>
      <c r="I23" s="154"/>
      <c r="J23" s="145"/>
      <c r="K23" s="145"/>
      <c r="L23" s="145"/>
      <c r="M23" s="145"/>
      <c r="N23" s="154"/>
      <c r="O23" s="154"/>
      <c r="P23" s="154"/>
      <c r="Q23" s="154"/>
      <c r="R23" s="154"/>
      <c r="S23" s="154"/>
      <c r="T23" s="154"/>
    </row>
    <row r="24" spans="1:20" x14ac:dyDescent="0.7">
      <c r="A24" s="154"/>
      <c r="B24" s="149"/>
      <c r="C24" s="150"/>
      <c r="D24" s="154"/>
      <c r="E24" s="150"/>
      <c r="F24" s="162"/>
      <c r="G24" s="154"/>
      <c r="H24" s="163"/>
      <c r="I24" s="154"/>
      <c r="J24" s="145"/>
      <c r="K24" s="151"/>
      <c r="L24" s="151"/>
      <c r="M24" s="154"/>
      <c r="N24" s="154"/>
      <c r="O24" s="154"/>
      <c r="P24" s="154"/>
      <c r="Q24" s="154"/>
      <c r="R24" s="154"/>
      <c r="S24" s="154"/>
      <c r="T24" s="154"/>
    </row>
    <row r="25" spans="1:20" x14ac:dyDescent="0.7">
      <c r="A25" s="154"/>
      <c r="B25" s="127" t="s">
        <v>161</v>
      </c>
      <c r="C25" s="128" t="s">
        <v>30</v>
      </c>
      <c r="D25" s="129" t="s">
        <v>162</v>
      </c>
      <c r="E25" s="144"/>
      <c r="F25" s="162"/>
      <c r="G25" s="154"/>
      <c r="H25" s="154"/>
      <c r="I25" s="154"/>
      <c r="J25" s="145"/>
      <c r="K25" s="151"/>
      <c r="L25" s="151"/>
      <c r="M25" s="154"/>
      <c r="N25" s="154"/>
      <c r="O25" s="154"/>
      <c r="P25" s="154"/>
      <c r="Q25" s="154"/>
      <c r="R25" s="154"/>
      <c r="S25" s="154"/>
      <c r="T25" s="154"/>
    </row>
    <row r="26" spans="1:20" x14ac:dyDescent="0.7">
      <c r="A26" s="154"/>
      <c r="B26" s="133" t="s">
        <v>180</v>
      </c>
      <c r="C26" s="165">
        <f>แผนการก่อสร้าง!M117</f>
        <v>0</v>
      </c>
      <c r="D26" s="168">
        <f>แผนการก่อสร้าง!M122</f>
        <v>0</v>
      </c>
      <c r="E26" s="154"/>
      <c r="F26" s="154"/>
      <c r="G26" s="148"/>
      <c r="H26" s="164"/>
      <c r="I26" s="154"/>
      <c r="J26" s="152"/>
      <c r="K26" s="151"/>
      <c r="L26" s="151"/>
      <c r="M26" s="154"/>
      <c r="N26" s="154"/>
      <c r="O26" s="154"/>
      <c r="P26" s="154"/>
      <c r="Q26" s="154"/>
      <c r="R26" s="154"/>
      <c r="S26" s="154"/>
      <c r="T26" s="154"/>
    </row>
    <row r="27" spans="1:20" x14ac:dyDescent="0.7">
      <c r="A27" s="154"/>
      <c r="B27" s="133" t="s">
        <v>167</v>
      </c>
      <c r="C27" s="166">
        <f>แผนการก่อสร้าง!M121</f>
        <v>0</v>
      </c>
      <c r="D27" s="167">
        <f>แผนการก่อสร้าง!M123</f>
        <v>0</v>
      </c>
      <c r="E27" s="160"/>
      <c r="F27" s="154"/>
      <c r="G27" s="154"/>
      <c r="H27" s="154"/>
      <c r="I27" s="154"/>
      <c r="J27" s="152"/>
      <c r="K27" s="151"/>
      <c r="L27" s="151"/>
      <c r="M27" s="154"/>
      <c r="N27" s="154"/>
      <c r="O27" s="154"/>
      <c r="P27" s="154"/>
      <c r="Q27" s="154"/>
      <c r="R27" s="154"/>
      <c r="S27" s="154"/>
      <c r="T27" s="154"/>
    </row>
    <row r="28" spans="1:20" x14ac:dyDescent="0.7">
      <c r="A28" s="154"/>
      <c r="B28" s="154"/>
      <c r="C28" s="154"/>
      <c r="D28" s="154"/>
      <c r="E28" s="160"/>
      <c r="F28" s="154"/>
      <c r="G28" s="154"/>
      <c r="H28" s="154"/>
      <c r="I28" s="154"/>
      <c r="J28" s="152"/>
      <c r="K28" s="151"/>
      <c r="L28" s="151"/>
      <c r="M28" s="154"/>
      <c r="N28" s="154"/>
      <c r="O28" s="154"/>
      <c r="P28" s="154"/>
      <c r="Q28" s="154"/>
      <c r="R28" s="154"/>
      <c r="S28" s="154"/>
      <c r="T28" s="154"/>
    </row>
    <row r="29" spans="1:20" x14ac:dyDescent="0.7">
      <c r="A29" s="154"/>
      <c r="B29" s="154"/>
      <c r="C29" s="154"/>
      <c r="D29" s="154"/>
      <c r="E29" s="160"/>
      <c r="F29" s="154">
        <f>0.038-0.142</f>
        <v>-0.10399999999999998</v>
      </c>
      <c r="G29" s="154"/>
      <c r="H29" s="154"/>
      <c r="I29" s="154"/>
      <c r="J29" s="152"/>
      <c r="K29" s="151"/>
      <c r="L29" s="151"/>
      <c r="M29" s="154"/>
      <c r="N29" s="154"/>
      <c r="O29" s="154"/>
      <c r="P29" s="154"/>
      <c r="Q29" s="154"/>
      <c r="R29" s="154"/>
      <c r="S29" s="154"/>
      <c r="T29" s="154"/>
    </row>
    <row r="30" spans="1:20" x14ac:dyDescent="0.7">
      <c r="A30" s="154"/>
      <c r="B30" s="154"/>
      <c r="C30" s="154"/>
      <c r="D30" s="154"/>
      <c r="E30" s="154"/>
      <c r="F30" s="154"/>
      <c r="G30" s="154"/>
      <c r="H30" s="154"/>
      <c r="I30" s="154"/>
      <c r="J30" s="152"/>
      <c r="K30" s="151"/>
      <c r="L30" s="151"/>
      <c r="M30" s="154"/>
      <c r="N30" s="154"/>
      <c r="O30" s="154"/>
      <c r="P30" s="154"/>
      <c r="Q30" s="154"/>
      <c r="R30" s="154"/>
      <c r="S30" s="154"/>
      <c r="T30" s="154"/>
    </row>
    <row r="31" spans="1:20" x14ac:dyDescent="0.7">
      <c r="A31" s="154"/>
      <c r="B31" s="154"/>
      <c r="C31" s="154"/>
      <c r="D31" s="154"/>
      <c r="E31" s="154"/>
      <c r="F31" s="154"/>
      <c r="G31" s="154"/>
      <c r="H31" s="154"/>
      <c r="I31" s="154"/>
      <c r="J31" s="152"/>
      <c r="K31" s="151"/>
      <c r="L31" s="151"/>
      <c r="M31" s="154"/>
      <c r="N31" s="154"/>
      <c r="O31" s="154"/>
      <c r="P31" s="154"/>
      <c r="Q31" s="154"/>
      <c r="R31" s="154"/>
      <c r="S31" s="154"/>
      <c r="T31" s="154"/>
    </row>
    <row r="32" spans="1:20" x14ac:dyDescent="0.7">
      <c r="A32" s="154"/>
      <c r="B32" s="154"/>
      <c r="C32" s="154"/>
      <c r="D32" s="154"/>
      <c r="E32" s="154"/>
      <c r="F32" s="154"/>
      <c r="G32" s="154"/>
      <c r="H32" s="154"/>
      <c r="I32" s="154"/>
      <c r="J32" s="152"/>
      <c r="K32" s="151"/>
      <c r="L32" s="151"/>
      <c r="M32" s="154"/>
      <c r="N32" s="154"/>
      <c r="O32" s="154"/>
      <c r="P32" s="154"/>
      <c r="Q32" s="154"/>
      <c r="R32" s="154"/>
      <c r="S32" s="154"/>
      <c r="T32" s="154"/>
    </row>
    <row r="33" spans="1:20" x14ac:dyDescent="0.7">
      <c r="A33" s="154"/>
      <c r="B33" s="154"/>
      <c r="C33" s="154"/>
      <c r="D33" s="154"/>
      <c r="E33" s="154"/>
      <c r="F33" s="154"/>
      <c r="G33" s="154"/>
      <c r="H33" s="154"/>
      <c r="I33" s="154"/>
      <c r="J33" s="152"/>
      <c r="K33" s="151"/>
      <c r="L33" s="151"/>
      <c r="M33" s="154"/>
      <c r="N33" s="154"/>
      <c r="O33" s="154"/>
      <c r="P33" s="154"/>
      <c r="Q33" s="154"/>
      <c r="R33" s="154"/>
      <c r="S33" s="154"/>
      <c r="T33" s="154"/>
    </row>
    <row r="34" spans="1:20" x14ac:dyDescent="0.7">
      <c r="A34" s="154"/>
      <c r="B34" s="154"/>
      <c r="C34" s="154"/>
      <c r="D34" s="154"/>
      <c r="E34" s="154"/>
      <c r="F34" s="154"/>
      <c r="G34" s="154"/>
      <c r="H34" s="154"/>
      <c r="I34" s="154"/>
      <c r="J34" s="152"/>
      <c r="K34" s="151"/>
      <c r="L34" s="151"/>
      <c r="M34" s="154"/>
      <c r="N34" s="154"/>
      <c r="O34" s="154"/>
      <c r="P34" s="154"/>
      <c r="Q34" s="154"/>
      <c r="R34" s="154"/>
      <c r="S34" s="154"/>
      <c r="T34" s="154"/>
    </row>
    <row r="35" spans="1:20" x14ac:dyDescent="0.7">
      <c r="A35" s="154"/>
      <c r="B35" s="154"/>
      <c r="C35" s="154"/>
      <c r="D35" s="154"/>
      <c r="E35" s="154"/>
      <c r="F35" s="154"/>
      <c r="G35" s="154"/>
      <c r="H35" s="154"/>
      <c r="I35" s="154"/>
      <c r="J35" s="152"/>
      <c r="K35" s="151"/>
      <c r="L35" s="151"/>
      <c r="M35" s="154"/>
      <c r="N35" s="154"/>
      <c r="O35" s="154"/>
      <c r="P35" s="154"/>
      <c r="Q35" s="154"/>
      <c r="R35" s="154"/>
      <c r="S35" s="154"/>
      <c r="T35" s="154"/>
    </row>
    <row r="36" spans="1:20" x14ac:dyDescent="0.7">
      <c r="A36" s="154"/>
      <c r="B36" s="154"/>
      <c r="C36" s="154"/>
      <c r="D36" s="154"/>
      <c r="E36" s="154"/>
      <c r="F36" s="154"/>
      <c r="G36" s="154"/>
      <c r="H36" s="154"/>
      <c r="I36" s="154"/>
      <c r="J36" s="152"/>
      <c r="K36" s="151"/>
      <c r="L36" s="151"/>
      <c r="M36" s="154"/>
      <c r="N36" s="154"/>
      <c r="O36" s="154"/>
      <c r="P36" s="154"/>
      <c r="Q36" s="154"/>
      <c r="R36" s="154"/>
      <c r="S36" s="154"/>
      <c r="T36" s="154"/>
    </row>
    <row r="37" spans="1:20" x14ac:dyDescent="0.7">
      <c r="A37" s="154"/>
      <c r="B37" s="154"/>
      <c r="C37" s="154"/>
      <c r="D37" s="154"/>
      <c r="E37" s="154"/>
      <c r="F37" s="154"/>
      <c r="G37" s="154"/>
      <c r="H37" s="154"/>
      <c r="I37" s="154"/>
      <c r="J37" s="152"/>
      <c r="K37" s="151"/>
      <c r="L37" s="151"/>
      <c r="M37" s="154"/>
      <c r="N37" s="154"/>
      <c r="O37" s="154"/>
      <c r="P37" s="154"/>
      <c r="Q37" s="154"/>
      <c r="R37" s="154"/>
      <c r="S37" s="154"/>
      <c r="T37" s="154"/>
    </row>
    <row r="38" spans="1:20" x14ac:dyDescent="0.7">
      <c r="A38" s="154"/>
      <c r="B38" s="154"/>
      <c r="C38" s="154"/>
      <c r="D38" s="154"/>
      <c r="E38" s="154"/>
      <c r="F38" s="154"/>
      <c r="G38" s="154"/>
      <c r="H38" s="154"/>
      <c r="I38" s="154"/>
      <c r="J38" s="152"/>
      <c r="K38" s="151"/>
      <c r="L38" s="151"/>
      <c r="M38" s="154"/>
      <c r="N38" s="154"/>
      <c r="O38" s="154"/>
      <c r="P38" s="154"/>
      <c r="Q38" s="154"/>
      <c r="R38" s="154"/>
      <c r="S38" s="154"/>
      <c r="T38" s="154"/>
    </row>
  </sheetData>
  <mergeCells count="13">
    <mergeCell ref="A1:I1"/>
    <mergeCell ref="A2:I2"/>
    <mergeCell ref="A7:A8"/>
    <mergeCell ref="B7:E8"/>
    <mergeCell ref="G7:G8"/>
    <mergeCell ref="H7:H8"/>
    <mergeCell ref="I7:I8"/>
    <mergeCell ref="A14:E14"/>
    <mergeCell ref="B9:E9"/>
    <mergeCell ref="B10:E10"/>
    <mergeCell ref="B11:E11"/>
    <mergeCell ref="B12:E12"/>
    <mergeCell ref="B13:E13"/>
  </mergeCells>
  <conditionalFormatting sqref="E19:F20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I9:I13">
    <cfRule type="cellIs" dxfId="1" priority="5" operator="lessThan">
      <formula>0</formula>
    </cfRule>
  </conditionalFormatting>
  <conditionalFormatting sqref="I9:I14">
    <cfRule type="cellIs" dxfId="0" priority="6" operator="greaterThan">
      <formula>0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1507B-874E-4A76-BCE3-A1E2F4D3CE6C}">
  <sheetPr>
    <pageSetUpPr fitToPage="1"/>
  </sheetPr>
  <dimension ref="B3:H76"/>
  <sheetViews>
    <sheetView showGridLines="0" topLeftCell="A12" zoomScale="40" zoomScaleNormal="40" zoomScaleSheetLayoutView="70" zoomScalePageLayoutView="70" workbookViewId="0">
      <selection activeCell="G13" sqref="G13"/>
    </sheetView>
  </sheetViews>
  <sheetFormatPr defaultRowHeight="13.2" x14ac:dyDescent="0.25"/>
  <cols>
    <col min="1" max="1" width="8.33203125" customWidth="1"/>
    <col min="2" max="2" width="23.33203125" customWidth="1"/>
    <col min="3" max="3" width="20.88671875" customWidth="1"/>
    <col min="4" max="4" width="18.21875" customWidth="1"/>
    <col min="5" max="5" width="20" customWidth="1"/>
    <col min="6" max="6" width="18.21875" customWidth="1"/>
    <col min="7" max="7" width="20" customWidth="1"/>
    <col min="8" max="8" width="18.21875" customWidth="1"/>
    <col min="14" max="14" width="20" customWidth="1"/>
    <col min="15" max="15" width="19.6640625" customWidth="1"/>
  </cols>
  <sheetData>
    <row r="3" spans="2:8" ht="30.6" thickBot="1" x14ac:dyDescent="0.9">
      <c r="B3" s="890" t="s">
        <v>903</v>
      </c>
      <c r="C3" s="891"/>
      <c r="D3" s="891"/>
      <c r="E3" s="891"/>
      <c r="F3" s="891"/>
      <c r="G3" s="891"/>
      <c r="H3" s="891"/>
    </row>
    <row r="4" spans="2:8" ht="21.6" thickBot="1" x14ac:dyDescent="0.3">
      <c r="B4" s="190" t="s">
        <v>265</v>
      </c>
      <c r="C4" s="886" t="s">
        <v>267</v>
      </c>
      <c r="D4" s="887"/>
      <c r="E4" s="886" t="s">
        <v>268</v>
      </c>
      <c r="F4" s="887"/>
      <c r="G4" s="888" t="s">
        <v>117</v>
      </c>
      <c r="H4" s="889"/>
    </row>
    <row r="5" spans="2:8" ht="27.75" customHeight="1" thickBot="1" x14ac:dyDescent="0.3">
      <c r="B5" s="191" t="s">
        <v>266</v>
      </c>
      <c r="C5" s="192" t="s">
        <v>269</v>
      </c>
      <c r="D5" s="192" t="s">
        <v>20</v>
      </c>
      <c r="E5" s="192" t="s">
        <v>269</v>
      </c>
      <c r="F5" s="192" t="s">
        <v>20</v>
      </c>
      <c r="G5" s="192" t="s">
        <v>269</v>
      </c>
      <c r="H5" s="192" t="s">
        <v>20</v>
      </c>
    </row>
    <row r="6" spans="2:8" ht="27.75" customHeight="1" thickBot="1" x14ac:dyDescent="0.3">
      <c r="B6" s="191" t="s">
        <v>270</v>
      </c>
      <c r="C6" s="193">
        <v>50000000</v>
      </c>
      <c r="D6" s="194">
        <v>20.21</v>
      </c>
      <c r="E6" s="200">
        <f>0.15*247330000</f>
        <v>37099500</v>
      </c>
      <c r="F6" s="201">
        <f>E6/$C$13</f>
        <v>0.15</v>
      </c>
      <c r="G6" s="193">
        <v>0</v>
      </c>
      <c r="H6" s="194">
        <f>G6*100/C13</f>
        <v>0</v>
      </c>
    </row>
    <row r="7" spans="2:8" ht="27.75" customHeight="1" thickBot="1" x14ac:dyDescent="0.3">
      <c r="B7" s="191" t="s">
        <v>293</v>
      </c>
      <c r="C7" s="193">
        <v>4362000</v>
      </c>
      <c r="D7" s="543">
        <f>C7*100/C13</f>
        <v>1.7636356285125137</v>
      </c>
      <c r="E7" s="200">
        <v>0</v>
      </c>
      <c r="F7" s="201">
        <v>0</v>
      </c>
      <c r="G7" s="193">
        <v>0</v>
      </c>
      <c r="H7" s="194">
        <v>0</v>
      </c>
    </row>
    <row r="8" spans="2:8" ht="27.75" customHeight="1" thickBot="1" x14ac:dyDescent="0.3">
      <c r="B8" s="191" t="s">
        <v>135</v>
      </c>
      <c r="C8" s="193">
        <v>41666500</v>
      </c>
      <c r="D8" s="194">
        <f>C8*100/C13</f>
        <v>16.846520842598956</v>
      </c>
      <c r="E8" s="200">
        <v>22344000</v>
      </c>
      <c r="F8" s="201">
        <f>E8/$C$13</f>
        <v>9.0340840173048151E-2</v>
      </c>
      <c r="G8" s="193">
        <v>0</v>
      </c>
      <c r="H8" s="194">
        <f>G8*100/C13</f>
        <v>0</v>
      </c>
    </row>
    <row r="9" spans="2:8" ht="27.75" customHeight="1" thickBot="1" x14ac:dyDescent="0.3">
      <c r="B9" s="191" t="s">
        <v>293</v>
      </c>
      <c r="C9" s="193">
        <v>19322500</v>
      </c>
      <c r="D9" s="543">
        <f>C9*100/C13</f>
        <v>7.8124368252941414</v>
      </c>
      <c r="E9" s="200">
        <v>0</v>
      </c>
      <c r="F9" s="201">
        <v>0</v>
      </c>
      <c r="G9" s="193">
        <v>0</v>
      </c>
      <c r="H9" s="194">
        <v>0</v>
      </c>
    </row>
    <row r="10" spans="2:8" ht="27.75" customHeight="1" thickBot="1" x14ac:dyDescent="0.3">
      <c r="B10" s="191" t="s">
        <v>128</v>
      </c>
      <c r="C10" s="193">
        <v>62500000</v>
      </c>
      <c r="D10" s="194">
        <f>C10*100/C13</f>
        <v>25.26988234342781</v>
      </c>
      <c r="E10" s="200">
        <f>15088000+6304000</f>
        <v>21392000</v>
      </c>
      <c r="F10" s="201">
        <f>E10/$C$13</f>
        <v>8.6491731694497226E-2</v>
      </c>
      <c r="G10" s="193">
        <f t="shared" ref="G10:G12" si="0">C10-E10</f>
        <v>41108000</v>
      </c>
      <c r="H10" s="201">
        <f>G10/$C$13</f>
        <v>0.16620709173978085</v>
      </c>
    </row>
    <row r="11" spans="2:8" ht="27.75" customHeight="1" thickBot="1" x14ac:dyDescent="0.3">
      <c r="B11" s="191" t="s">
        <v>129</v>
      </c>
      <c r="C11" s="193" t="s">
        <v>176</v>
      </c>
      <c r="D11" s="543" t="s">
        <v>176</v>
      </c>
      <c r="E11" s="200" t="s">
        <v>176</v>
      </c>
      <c r="F11" s="201" t="s">
        <v>176</v>
      </c>
      <c r="G11" s="193" t="s">
        <v>176</v>
      </c>
      <c r="H11" s="194" t="s">
        <v>176</v>
      </c>
    </row>
    <row r="12" spans="2:8" ht="27.75" customHeight="1" thickBot="1" x14ac:dyDescent="0.3">
      <c r="B12" s="191" t="s">
        <v>299</v>
      </c>
      <c r="C12" s="193">
        <v>93163500</v>
      </c>
      <c r="D12" s="194">
        <f>C12*100/C13</f>
        <v>37.667690939230987</v>
      </c>
      <c r="E12" s="200">
        <v>0</v>
      </c>
      <c r="F12" s="201">
        <v>0</v>
      </c>
      <c r="G12" s="193">
        <f t="shared" si="0"/>
        <v>93163500</v>
      </c>
      <c r="H12" s="201">
        <f>G12/$C$13</f>
        <v>0.37667690939230986</v>
      </c>
    </row>
    <row r="13" spans="2:8" ht="27.75" customHeight="1" thickBot="1" x14ac:dyDescent="0.3">
      <c r="B13" s="191" t="s">
        <v>31</v>
      </c>
      <c r="C13" s="193">
        <f>SUM(C6,C8,C10,C12)</f>
        <v>247330000</v>
      </c>
      <c r="D13" s="194">
        <v>100</v>
      </c>
      <c r="E13" s="200">
        <f>SUM(E6:E12)</f>
        <v>80835500</v>
      </c>
      <c r="F13" s="201">
        <f>SUM(F6:F12)</f>
        <v>0.32683257186754533</v>
      </c>
      <c r="G13" s="195">
        <f>C13-E13</f>
        <v>166494500</v>
      </c>
      <c r="H13" s="196">
        <f>G13/C13*100</f>
        <v>67.316742813245469</v>
      </c>
    </row>
    <row r="62" spans="3:5" ht="13.8" thickBot="1" x14ac:dyDescent="0.3"/>
    <row r="63" spans="3:5" ht="21.6" thickBot="1" x14ac:dyDescent="0.3">
      <c r="C63" s="546" t="s">
        <v>21</v>
      </c>
      <c r="D63" s="545" t="s">
        <v>829</v>
      </c>
      <c r="E63" s="545" t="s">
        <v>49</v>
      </c>
    </row>
    <row r="64" spans="3:5" ht="21.6" thickBot="1" x14ac:dyDescent="0.3">
      <c r="C64" s="547">
        <v>244289</v>
      </c>
      <c r="D64" s="548" t="s">
        <v>176</v>
      </c>
      <c r="E64" s="548"/>
    </row>
    <row r="65" spans="3:8" ht="21.6" thickBot="1" x14ac:dyDescent="0.3">
      <c r="C65" s="547">
        <v>244319</v>
      </c>
      <c r="D65" s="548" t="s">
        <v>176</v>
      </c>
      <c r="E65" s="548"/>
    </row>
    <row r="66" spans="3:8" ht="21.6" thickBot="1" x14ac:dyDescent="0.3">
      <c r="C66" s="547">
        <v>244350</v>
      </c>
      <c r="D66" s="548" t="s">
        <v>176</v>
      </c>
      <c r="E66" s="548"/>
    </row>
    <row r="67" spans="3:8" ht="21.6" thickBot="1" x14ac:dyDescent="0.3">
      <c r="C67" s="547">
        <v>244381</v>
      </c>
      <c r="D67" s="548" t="s">
        <v>176</v>
      </c>
      <c r="E67" s="548"/>
    </row>
    <row r="68" spans="3:8" ht="21.6" thickBot="1" x14ac:dyDescent="0.3">
      <c r="C68" s="547">
        <v>244409</v>
      </c>
      <c r="D68" s="550">
        <v>8910000</v>
      </c>
      <c r="E68" s="548"/>
    </row>
    <row r="69" spans="3:8" ht="21.6" thickBot="1" x14ac:dyDescent="0.3">
      <c r="C69" s="547">
        <v>244440</v>
      </c>
      <c r="D69" s="548" t="s">
        <v>176</v>
      </c>
      <c r="E69" s="548"/>
    </row>
    <row r="70" spans="3:8" ht="21.6" thickBot="1" x14ac:dyDescent="0.3">
      <c r="C70" s="547">
        <v>244470</v>
      </c>
      <c r="D70" s="550">
        <v>10030000</v>
      </c>
      <c r="E70" s="548"/>
    </row>
    <row r="71" spans="3:8" ht="21.6" thickBot="1" x14ac:dyDescent="0.3">
      <c r="C71" s="547">
        <v>244501</v>
      </c>
      <c r="D71" s="550">
        <v>5577125.7300000004</v>
      </c>
      <c r="E71" s="548"/>
    </row>
    <row r="72" spans="3:8" ht="21.6" thickBot="1" x14ac:dyDescent="0.3">
      <c r="C72" s="547">
        <v>244531</v>
      </c>
      <c r="D72" s="550">
        <v>10218556.699999999</v>
      </c>
      <c r="E72" s="548"/>
    </row>
    <row r="73" spans="3:8" ht="21.6" thickBot="1" x14ac:dyDescent="0.3">
      <c r="C73" s="547">
        <v>244562</v>
      </c>
      <c r="D73" s="550">
        <v>7686184.7000000002</v>
      </c>
      <c r="E73" s="548"/>
      <c r="G73">
        <f>0.2*D75</f>
        <v>11378880</v>
      </c>
    </row>
    <row r="74" spans="3:8" ht="21.6" thickBot="1" x14ac:dyDescent="0.3">
      <c r="C74" s="547">
        <v>244593</v>
      </c>
      <c r="D74" s="550">
        <v>14472532.869999999</v>
      </c>
      <c r="E74" s="548"/>
    </row>
    <row r="75" spans="3:8" ht="42.6" thickBot="1" x14ac:dyDescent="0.3">
      <c r="C75" s="191" t="s">
        <v>31</v>
      </c>
      <c r="D75" s="551">
        <f>SUM(D68:D74)</f>
        <v>56894400</v>
      </c>
      <c r="E75" s="548" t="s">
        <v>910</v>
      </c>
      <c r="G75" s="549">
        <f>D75-H75</f>
        <v>0</v>
      </c>
      <c r="H75" s="552">
        <v>56894400</v>
      </c>
    </row>
    <row r="76" spans="3:8" ht="42.6" thickBot="1" x14ac:dyDescent="0.3">
      <c r="C76" s="191" t="s">
        <v>31</v>
      </c>
      <c r="D76" s="551">
        <f>D75-G73</f>
        <v>45515520</v>
      </c>
      <c r="E76" s="548" t="s">
        <v>911</v>
      </c>
    </row>
  </sheetData>
  <mergeCells count="4">
    <mergeCell ref="C4:D4"/>
    <mergeCell ref="E4:F4"/>
    <mergeCell ref="G4:H4"/>
    <mergeCell ref="B3:H3"/>
  </mergeCells>
  <pageMargins left="0.25" right="0.25" top="0.75" bottom="0.7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7CF2-690D-4A17-B6DB-B8D1BAB0E817}">
  <sheetPr>
    <pageSetUpPr fitToPage="1"/>
  </sheetPr>
  <dimension ref="B4:P12"/>
  <sheetViews>
    <sheetView showGridLines="0" zoomScale="70" zoomScaleNormal="70" zoomScaleSheetLayoutView="70" workbookViewId="0">
      <selection activeCell="K25" sqref="K25"/>
    </sheetView>
  </sheetViews>
  <sheetFormatPr defaultRowHeight="13.2" x14ac:dyDescent="0.25"/>
  <cols>
    <col min="2" max="2" width="23.33203125" customWidth="1"/>
    <col min="3" max="3" width="20" customWidth="1"/>
    <col min="4" max="4" width="19" customWidth="1"/>
    <col min="5" max="8" width="20" customWidth="1"/>
    <col min="9" max="9" width="6.109375" customWidth="1"/>
    <col min="11" max="11" width="26.109375" customWidth="1"/>
    <col min="12" max="16" width="17.6640625" customWidth="1"/>
    <col min="17" max="20" width="18.44140625" customWidth="1"/>
  </cols>
  <sheetData>
    <row r="4" spans="2:16" ht="25.2" customHeight="1" thickBot="1" x14ac:dyDescent="0.9">
      <c r="B4" s="890" t="s">
        <v>902</v>
      </c>
      <c r="C4" s="891"/>
      <c r="D4" s="891"/>
      <c r="E4" s="891"/>
      <c r="F4" s="891"/>
      <c r="G4" s="891"/>
      <c r="H4" s="891"/>
    </row>
    <row r="5" spans="2:16" ht="33" customHeight="1" thickBot="1" x14ac:dyDescent="0.3">
      <c r="B5" s="228" t="s">
        <v>265</v>
      </c>
      <c r="C5" s="892" t="s">
        <v>267</v>
      </c>
      <c r="D5" s="893"/>
      <c r="E5" s="892" t="s">
        <v>268</v>
      </c>
      <c r="F5" s="893"/>
      <c r="G5" s="894" t="s">
        <v>117</v>
      </c>
      <c r="H5" s="895"/>
    </row>
    <row r="6" spans="2:16" ht="33" customHeight="1" thickBot="1" x14ac:dyDescent="0.3">
      <c r="B6" s="227" t="s">
        <v>266</v>
      </c>
      <c r="C6" s="229" t="s">
        <v>269</v>
      </c>
      <c r="D6" s="229" t="s">
        <v>20</v>
      </c>
      <c r="E6" s="229" t="s">
        <v>269</v>
      </c>
      <c r="F6" s="229" t="s">
        <v>20</v>
      </c>
      <c r="G6" s="229" t="s">
        <v>269</v>
      </c>
      <c r="H6" s="229" t="s">
        <v>20</v>
      </c>
    </row>
    <row r="7" spans="2:16" ht="33" customHeight="1" thickBot="1" x14ac:dyDescent="0.3">
      <c r="B7" s="227" t="s">
        <v>270</v>
      </c>
      <c r="C7" s="223">
        <v>1750000</v>
      </c>
      <c r="D7" s="224">
        <f>C7*100/8710000</f>
        <v>20.091848450057405</v>
      </c>
      <c r="E7" s="225">
        <v>290914</v>
      </c>
      <c r="F7" s="224">
        <f>E7*100/8710000</f>
        <v>3.34</v>
      </c>
      <c r="G7" s="226">
        <f>C7-E7</f>
        <v>1459086</v>
      </c>
      <c r="H7" s="224">
        <f>G7*100/8710000</f>
        <v>16.751848450057405</v>
      </c>
    </row>
    <row r="8" spans="2:16" ht="33" customHeight="1" thickBot="1" x14ac:dyDescent="0.3">
      <c r="B8" s="227" t="s">
        <v>292</v>
      </c>
      <c r="C8" s="223">
        <f>G7</f>
        <v>1459086</v>
      </c>
      <c r="D8" s="224">
        <f t="shared" ref="D8:D12" si="0">C8*100/8710000</f>
        <v>16.751848450057405</v>
      </c>
      <c r="E8" s="542" t="s">
        <v>176</v>
      </c>
      <c r="F8" s="224" t="s">
        <v>176</v>
      </c>
      <c r="G8" s="226" t="s">
        <v>176</v>
      </c>
      <c r="H8" s="224" t="s">
        <v>176</v>
      </c>
    </row>
    <row r="9" spans="2:16" ht="33" customHeight="1" thickBot="1" x14ac:dyDescent="0.3">
      <c r="B9" s="227" t="s">
        <v>135</v>
      </c>
      <c r="C9" s="223">
        <v>3500000</v>
      </c>
      <c r="D9" s="224">
        <f t="shared" si="0"/>
        <v>40.183696900114811</v>
      </c>
      <c r="E9" s="225">
        <f>436371+581828+436371+290914</f>
        <v>1745484</v>
      </c>
      <c r="F9" s="224">
        <f t="shared" ref="F9:H12" si="1">E9*100/8710000</f>
        <v>20.04</v>
      </c>
      <c r="G9" s="226">
        <f t="shared" ref="G9" si="2">C9-E9</f>
        <v>1754516</v>
      </c>
      <c r="H9" s="224">
        <f t="shared" si="1"/>
        <v>20.143696900114811</v>
      </c>
    </row>
    <row r="10" spans="2:16" ht="33" customHeight="1" thickBot="1" x14ac:dyDescent="0.75">
      <c r="B10" s="227" t="s">
        <v>292</v>
      </c>
      <c r="C10" s="223">
        <f>G9</f>
        <v>1754516</v>
      </c>
      <c r="D10" s="224">
        <f t="shared" si="0"/>
        <v>20.143696900114811</v>
      </c>
      <c r="E10" s="544" t="s">
        <v>176</v>
      </c>
      <c r="F10" s="224" t="s">
        <v>176</v>
      </c>
      <c r="G10" s="226" t="s">
        <v>176</v>
      </c>
      <c r="H10" s="224" t="s">
        <v>176</v>
      </c>
    </row>
    <row r="11" spans="2:16" ht="33" customHeight="1" thickBot="1" x14ac:dyDescent="0.75">
      <c r="B11" s="227" t="s">
        <v>128</v>
      </c>
      <c r="C11" s="223">
        <f>3460000+1459086</f>
        <v>4919086</v>
      </c>
      <c r="D11" s="224">
        <f>C11*100/8710000</f>
        <v>56.476303099885186</v>
      </c>
      <c r="E11" s="544">
        <v>828321</v>
      </c>
      <c r="F11" s="224">
        <f>E11*100/8710000</f>
        <v>9.51</v>
      </c>
      <c r="G11" s="226">
        <f>C11-E11</f>
        <v>4090765</v>
      </c>
      <c r="H11" s="224">
        <f>G11*100/8710000</f>
        <v>46.966303099885188</v>
      </c>
    </row>
    <row r="12" spans="2:16" ht="33" customHeight="1" thickBot="1" x14ac:dyDescent="0.3">
      <c r="B12" s="227" t="s">
        <v>31</v>
      </c>
      <c r="C12" s="223">
        <f>SUM(C7:C11)-C8-C10-C8</f>
        <v>8710000</v>
      </c>
      <c r="D12" s="224">
        <f t="shared" si="0"/>
        <v>100</v>
      </c>
      <c r="E12" s="225">
        <f>SUM(E7:E11)</f>
        <v>2864719</v>
      </c>
      <c r="F12" s="224">
        <f t="shared" si="1"/>
        <v>32.89</v>
      </c>
      <c r="G12" s="226">
        <f>C12-E12</f>
        <v>5845281</v>
      </c>
      <c r="H12" s="224">
        <f t="shared" si="1"/>
        <v>67.11</v>
      </c>
      <c r="K12" s="197" t="s">
        <v>271</v>
      </c>
      <c r="L12" s="193">
        <v>40</v>
      </c>
      <c r="M12" s="194">
        <f>L12*100/870</f>
        <v>4.5977011494252871</v>
      </c>
      <c r="N12" s="193">
        <f>870-L12</f>
        <v>830</v>
      </c>
      <c r="O12" s="194">
        <f>N12*100/870</f>
        <v>95.402298850574709</v>
      </c>
      <c r="P12" s="198">
        <v>243982</v>
      </c>
    </row>
  </sheetData>
  <mergeCells count="4">
    <mergeCell ref="B4:H4"/>
    <mergeCell ref="C5:D5"/>
    <mergeCell ref="E5:F5"/>
    <mergeCell ref="G5:H5"/>
  </mergeCells>
  <pageMargins left="0.25" right="0.25" top="0.75" bottom="0.75" header="0.3" footer="0.3"/>
  <pageSetup paperSize="9" scale="70" orientation="portrait" r:id="rId1"/>
  <colBreaks count="1" manualBreakCount="1">
    <brk id="9" max="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10</vt:i4>
      </vt:variant>
      <vt:variant>
        <vt:lpstr>ช่วงที่มีชื่อ</vt:lpstr>
      </vt:variant>
      <vt:variant>
        <vt:i4>6</vt:i4>
      </vt:variant>
    </vt:vector>
  </HeadingPairs>
  <TitlesOfParts>
    <vt:vector size="16" baseType="lpstr">
      <vt:lpstr>แผน - ผล ประจำสัปดาห์</vt:lpstr>
      <vt:lpstr>ผลweekly</vt:lpstr>
      <vt:lpstr>แผนการก่อสร้าง</vt:lpstr>
      <vt:lpstr>ผลงานรายสัปดาห์(%)</vt:lpstr>
      <vt:lpstr>คิดผลงานประจำเดือน</vt:lpstr>
      <vt:lpstr>ผลงานรายสัปดาห์(เงิน)</vt:lpstr>
      <vt:lpstr>BOQ แก้ไขสัญญา</vt:lpstr>
      <vt:lpstr>ความก้าวหน้ารายสัปดาห์</vt:lpstr>
      <vt:lpstr>การเบิกจ่ายงบประมาณ</vt:lpstr>
      <vt:lpstr>การเบิกจ่ายควบคุมงาน</vt:lpstr>
      <vt:lpstr>ความก้าวหน้ารายสัปดาห์!_Hlk109808432</vt:lpstr>
      <vt:lpstr>แผนการก่อสร้าง!GTotal</vt:lpstr>
      <vt:lpstr>การเบิกจ่ายควบคุมงาน!Print_Area</vt:lpstr>
      <vt:lpstr>การเบิกจ่ายงบประมาณ!Print_Area</vt:lpstr>
      <vt:lpstr>ความก้าวหน้ารายสัปดาห์!Print_Area</vt:lpstr>
      <vt:lpstr>แผนการก่อสร้าง!Print_Area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Montanasak Chenjit</cp:lastModifiedBy>
  <cp:lastPrinted>2025-12-01T05:25:54Z</cp:lastPrinted>
  <dcterms:created xsi:type="dcterms:W3CDTF">2015-05-15T07:55:45Z</dcterms:created>
  <dcterms:modified xsi:type="dcterms:W3CDTF">2026-04-26T06:57:18Z</dcterms:modified>
</cp:coreProperties>
</file>