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406859\Desktop\Tubos\"/>
    </mc:Choice>
  </mc:AlternateContent>
  <bookViews>
    <workbookView xWindow="0" yWindow="0" windowWidth="20490" windowHeight="9090" tabRatio="857" firstSheet="7" activeTab="11"/>
  </bookViews>
  <sheets>
    <sheet name="Gráfico Espessura completo" sheetId="3" r:id="rId1"/>
    <sheet name="Gráfico Espessura completo (fl)" sheetId="9" r:id="rId2"/>
    <sheet name="Gráfico Diâmetro completo" sheetId="4" r:id="rId3"/>
    <sheet name="Gráfico Diâmetro completo (fil)" sheetId="8" r:id="rId4"/>
    <sheet name="Gráfico Dobras" sheetId="5" r:id="rId5"/>
    <sheet name="Gráfico Espessura" sheetId="6" r:id="rId6"/>
    <sheet name="Gráfico Espessura (2)" sheetId="10" r:id="rId7"/>
    <sheet name="Gráfico Diâmetro desg" sheetId="14" r:id="rId8"/>
    <sheet name="Diameter Graph" sheetId="7" r:id="rId9"/>
    <sheet name="Lenght Graph" sheetId="16" r:id="rId10"/>
    <sheet name="Lenght Graph (2)" sheetId="17" r:id="rId11"/>
    <sheet name="Source" sheetId="15" r:id="rId12"/>
    <sheet name="Dados" sheetId="1" r:id="rId13"/>
    <sheet name="Equipamento utilizados" sheetId="2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5" l="1"/>
  <c r="K40" i="15" s="1"/>
  <c r="M40" i="15"/>
  <c r="N40" i="15" s="1"/>
  <c r="N39" i="15"/>
  <c r="N38" i="15"/>
  <c r="N37" i="15"/>
  <c r="K39" i="15"/>
  <c r="K38" i="15"/>
  <c r="K37" i="15"/>
  <c r="N6" i="15"/>
  <c r="N9" i="15"/>
  <c r="N12" i="15"/>
  <c r="N15" i="15"/>
  <c r="N18" i="15"/>
  <c r="N21" i="15"/>
  <c r="N24" i="15"/>
  <c r="N27" i="15"/>
  <c r="N30" i="15"/>
  <c r="N3" i="15"/>
  <c r="L21" i="15"/>
  <c r="L24" i="15"/>
  <c r="L27" i="15"/>
  <c r="L30" i="15"/>
  <c r="L6" i="15"/>
  <c r="L9" i="15"/>
  <c r="L12" i="15"/>
  <c r="L15" i="15"/>
  <c r="L18" i="15"/>
  <c r="L3" i="15"/>
  <c r="N41" i="15" l="1"/>
  <c r="K41" i="15"/>
  <c r="L63" i="1"/>
  <c r="L62" i="1"/>
  <c r="E73" i="1"/>
  <c r="E69" i="1"/>
  <c r="E65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61" i="1"/>
  <c r="G56" i="1"/>
  <c r="L46" i="1"/>
  <c r="L45" i="1"/>
  <c r="L44" i="1"/>
  <c r="J46" i="1"/>
  <c r="J45" i="1"/>
  <c r="J44" i="1"/>
  <c r="H46" i="1"/>
  <c r="H45" i="1"/>
  <c r="H44" i="1"/>
  <c r="F46" i="1"/>
  <c r="E46" i="1"/>
  <c r="F45" i="1"/>
  <c r="E45" i="1"/>
  <c r="F44" i="1"/>
  <c r="E44" i="1"/>
  <c r="W28" i="1"/>
  <c r="X28" i="1" s="1"/>
  <c r="W29" i="1"/>
  <c r="X29" i="1"/>
  <c r="W30" i="1"/>
  <c r="X30" i="1" s="1"/>
  <c r="W31" i="1"/>
  <c r="X31" i="1"/>
  <c r="W32" i="1"/>
  <c r="X32" i="1" s="1"/>
  <c r="W33" i="1"/>
  <c r="X33" i="1"/>
  <c r="W27" i="1"/>
  <c r="X27" i="1" s="1"/>
  <c r="W26" i="1"/>
  <c r="X26" i="1" s="1"/>
  <c r="W25" i="1"/>
  <c r="X25" i="1" s="1"/>
  <c r="W5" i="1"/>
  <c r="W6" i="1"/>
  <c r="W4" i="1"/>
  <c r="X4" i="1" s="1"/>
  <c r="X6" i="1"/>
  <c r="X5" i="1"/>
  <c r="Q25" i="1"/>
  <c r="R25" i="1" s="1"/>
  <c r="Q26" i="1"/>
  <c r="R26" i="1"/>
  <c r="Q27" i="1"/>
  <c r="R27" i="1" s="1"/>
  <c r="Q28" i="1"/>
  <c r="R28" i="1"/>
  <c r="Q29" i="1"/>
  <c r="R29" i="1" s="1"/>
  <c r="Q30" i="1"/>
  <c r="R30" i="1"/>
  <c r="Q31" i="1"/>
  <c r="R31" i="1" s="1"/>
  <c r="Q32" i="1"/>
  <c r="R32" i="1"/>
  <c r="Q33" i="1"/>
  <c r="R33" i="1" s="1"/>
  <c r="R6" i="1"/>
  <c r="R4" i="1"/>
  <c r="T5" i="1"/>
  <c r="T6" i="1"/>
  <c r="T4" i="1"/>
  <c r="Q5" i="1"/>
  <c r="R5" i="1" s="1"/>
  <c r="Q6" i="1"/>
  <c r="Q4" i="1"/>
  <c r="AK16" i="1"/>
  <c r="AJ16" i="1"/>
  <c r="AI16" i="1"/>
  <c r="AH16" i="1"/>
  <c r="AF16" i="1"/>
  <c r="AG16" i="1"/>
  <c r="AJ11" i="1"/>
  <c r="AK11" i="1"/>
  <c r="AJ12" i="1"/>
  <c r="AK12" i="1"/>
  <c r="AJ13" i="1"/>
  <c r="AK13" i="1"/>
  <c r="AI11" i="1"/>
  <c r="AI12" i="1"/>
  <c r="AI13" i="1"/>
  <c r="AG11" i="1"/>
  <c r="AH11" i="1"/>
  <c r="AG12" i="1"/>
  <c r="AH12" i="1"/>
  <c r="AG13" i="1"/>
  <c r="AH13" i="1"/>
  <c r="AF11" i="1"/>
  <c r="AF12" i="1"/>
  <c r="AF13" i="1"/>
  <c r="AE11" i="1"/>
  <c r="AE12" i="1"/>
  <c r="AE13" i="1"/>
  <c r="AE16" i="1"/>
  <c r="AD16" i="1"/>
  <c r="AD13" i="1"/>
  <c r="AD12" i="1"/>
  <c r="AD11" i="1"/>
  <c r="M25" i="1"/>
  <c r="N25" i="1"/>
  <c r="O25" i="1"/>
  <c r="P25" i="1"/>
  <c r="M26" i="1"/>
  <c r="N26" i="1"/>
  <c r="P26" i="1"/>
  <c r="M27" i="1"/>
  <c r="N27" i="1"/>
  <c r="P27" i="1"/>
  <c r="M28" i="1"/>
  <c r="N28" i="1"/>
  <c r="O28" i="1"/>
  <c r="P28" i="1"/>
  <c r="M29" i="1"/>
  <c r="N29" i="1"/>
  <c r="P29" i="1"/>
  <c r="M30" i="1"/>
  <c r="N30" i="1"/>
  <c r="P30" i="1"/>
  <c r="M31" i="1"/>
  <c r="N31" i="1"/>
  <c r="O31" i="1"/>
  <c r="P31" i="1"/>
  <c r="M32" i="1"/>
  <c r="N32" i="1"/>
  <c r="P32" i="1"/>
  <c r="M33" i="1"/>
  <c r="N33" i="1"/>
  <c r="P33" i="1"/>
  <c r="G25" i="1"/>
  <c r="H25" i="1"/>
  <c r="J25" i="1"/>
  <c r="K25" i="1" s="1"/>
  <c r="H26" i="1"/>
  <c r="J26" i="1"/>
  <c r="H27" i="1"/>
  <c r="J27" i="1"/>
  <c r="G28" i="1"/>
  <c r="H28" i="1"/>
  <c r="J28" i="1"/>
  <c r="H29" i="1"/>
  <c r="J29" i="1"/>
  <c r="H30" i="1"/>
  <c r="J30" i="1"/>
  <c r="G31" i="1"/>
  <c r="H31" i="1"/>
  <c r="J31" i="1"/>
  <c r="H32" i="1"/>
  <c r="J32" i="1"/>
  <c r="H33" i="1"/>
  <c r="J33" i="1"/>
  <c r="M40" i="1"/>
  <c r="N40" i="1"/>
  <c r="O40" i="1"/>
  <c r="P40" i="1"/>
  <c r="M41" i="1"/>
  <c r="N41" i="1"/>
  <c r="P41" i="1"/>
  <c r="M42" i="1"/>
  <c r="N42" i="1"/>
  <c r="P42" i="1"/>
  <c r="G40" i="1"/>
  <c r="H40" i="1"/>
  <c r="J40" i="1"/>
  <c r="H41" i="1"/>
  <c r="J41" i="1"/>
  <c r="H42" i="1"/>
  <c r="J42" i="1"/>
  <c r="K28" i="1" l="1"/>
  <c r="I28" i="1"/>
  <c r="K31" i="1"/>
  <c r="I25" i="1"/>
  <c r="I31" i="1"/>
  <c r="K40" i="1"/>
  <c r="I40" i="1"/>
  <c r="C61" i="1" l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P53" i="1"/>
  <c r="P52" i="1"/>
  <c r="P51" i="1"/>
  <c r="P50" i="1"/>
  <c r="P49" i="1"/>
  <c r="P48" i="1"/>
  <c r="P47" i="1"/>
  <c r="B61" i="1"/>
  <c r="H61" i="1" s="1"/>
  <c r="P39" i="1"/>
  <c r="N39" i="1"/>
  <c r="M39" i="1"/>
  <c r="F39" i="1"/>
  <c r="J39" i="1" s="1"/>
  <c r="P38" i="1"/>
  <c r="N38" i="1"/>
  <c r="M38" i="1"/>
  <c r="F38" i="1"/>
  <c r="J38" i="1" s="1"/>
  <c r="P37" i="1"/>
  <c r="O37" i="1"/>
  <c r="N37" i="1"/>
  <c r="M37" i="1"/>
  <c r="F37" i="1"/>
  <c r="J37" i="1" s="1"/>
  <c r="P36" i="1"/>
  <c r="N36" i="1"/>
  <c r="M36" i="1"/>
  <c r="F36" i="1"/>
  <c r="J36" i="1" s="1"/>
  <c r="P35" i="1"/>
  <c r="N35" i="1"/>
  <c r="M35" i="1"/>
  <c r="F35" i="1"/>
  <c r="P34" i="1"/>
  <c r="O34" i="1"/>
  <c r="AI14" i="1" s="1"/>
  <c r="N34" i="1"/>
  <c r="M34" i="1"/>
  <c r="F34" i="1"/>
  <c r="J34" i="1" s="1"/>
  <c r="Y24" i="1"/>
  <c r="Z24" i="1" s="1"/>
  <c r="P24" i="1"/>
  <c r="N24" i="1"/>
  <c r="M24" i="1"/>
  <c r="J24" i="1"/>
  <c r="S24" i="1" s="1"/>
  <c r="T24" i="1" s="1"/>
  <c r="H24" i="1"/>
  <c r="I22" i="1" s="1"/>
  <c r="AG10" i="1" s="1"/>
  <c r="Y23" i="1"/>
  <c r="Z23" i="1" s="1"/>
  <c r="P23" i="1"/>
  <c r="N23" i="1"/>
  <c r="M23" i="1"/>
  <c r="J23" i="1"/>
  <c r="S23" i="1" s="1"/>
  <c r="T23" i="1" s="1"/>
  <c r="H23" i="1"/>
  <c r="Y22" i="1"/>
  <c r="Z22" i="1" s="1"/>
  <c r="P22" i="1"/>
  <c r="O22" i="1"/>
  <c r="AI10" i="1" s="1"/>
  <c r="AK10" i="1" s="1"/>
  <c r="N22" i="1"/>
  <c r="M22" i="1"/>
  <c r="J22" i="1"/>
  <c r="S22" i="1" s="1"/>
  <c r="T22" i="1" s="1"/>
  <c r="H22" i="1"/>
  <c r="G22" i="1"/>
  <c r="Y21" i="1"/>
  <c r="Z21" i="1" s="1"/>
  <c r="P21" i="1"/>
  <c r="N21" i="1"/>
  <c r="M21" i="1"/>
  <c r="J21" i="1"/>
  <c r="S21" i="1" s="1"/>
  <c r="T21" i="1" s="1"/>
  <c r="H21" i="1"/>
  <c r="Y20" i="1"/>
  <c r="Z20" i="1" s="1"/>
  <c r="P20" i="1"/>
  <c r="N20" i="1"/>
  <c r="M20" i="1"/>
  <c r="J20" i="1"/>
  <c r="S20" i="1" s="1"/>
  <c r="T20" i="1" s="1"/>
  <c r="H20" i="1"/>
  <c r="Y19" i="1"/>
  <c r="Z19" i="1" s="1"/>
  <c r="P19" i="1"/>
  <c r="O19" i="1"/>
  <c r="N19" i="1"/>
  <c r="M19" i="1"/>
  <c r="J19" i="1"/>
  <c r="H19" i="1"/>
  <c r="G19" i="1"/>
  <c r="Y18" i="1"/>
  <c r="Z18" i="1" s="1"/>
  <c r="P18" i="1"/>
  <c r="N18" i="1"/>
  <c r="M18" i="1"/>
  <c r="J18" i="1"/>
  <c r="S18" i="1" s="1"/>
  <c r="T18" i="1" s="1"/>
  <c r="H18" i="1"/>
  <c r="Y17" i="1"/>
  <c r="Z17" i="1" s="1"/>
  <c r="P17" i="1"/>
  <c r="N17" i="1"/>
  <c r="M17" i="1"/>
  <c r="J17" i="1"/>
  <c r="S17" i="1" s="1"/>
  <c r="T17" i="1" s="1"/>
  <c r="H17" i="1"/>
  <c r="Y16" i="1"/>
  <c r="Z16" i="1" s="1"/>
  <c r="P16" i="1"/>
  <c r="O16" i="1"/>
  <c r="N16" i="1"/>
  <c r="M16" i="1"/>
  <c r="J16" i="1"/>
  <c r="S16" i="1" s="1"/>
  <c r="T16" i="1" s="1"/>
  <c r="H16" i="1"/>
  <c r="I16" i="1" s="1"/>
  <c r="AG8" i="1" s="1"/>
  <c r="G16" i="1"/>
  <c r="AF8" i="1" s="1"/>
  <c r="AA15" i="1"/>
  <c r="P15" i="1"/>
  <c r="N15" i="1"/>
  <c r="M15" i="1"/>
  <c r="J15" i="1"/>
  <c r="U15" i="1" s="1"/>
  <c r="V15" i="1" s="1"/>
  <c r="H15" i="1"/>
  <c r="AA14" i="1"/>
  <c r="P14" i="1"/>
  <c r="N14" i="1"/>
  <c r="M14" i="1"/>
  <c r="J14" i="1"/>
  <c r="U14" i="1" s="1"/>
  <c r="V14" i="1" s="1"/>
  <c r="H14" i="1"/>
  <c r="AA13" i="1"/>
  <c r="P13" i="1"/>
  <c r="O13" i="1"/>
  <c r="AI7" i="1" s="1"/>
  <c r="N13" i="1"/>
  <c r="M13" i="1"/>
  <c r="J13" i="1"/>
  <c r="U13" i="1" s="1"/>
  <c r="V13" i="1" s="1"/>
  <c r="H13" i="1"/>
  <c r="G13" i="1"/>
  <c r="AK15" i="1"/>
  <c r="AI15" i="1"/>
  <c r="AJ15" i="1" s="1"/>
  <c r="AE15" i="1"/>
  <c r="AD15" i="1"/>
  <c r="AA12" i="1"/>
  <c r="P12" i="1"/>
  <c r="N12" i="1"/>
  <c r="M12" i="1"/>
  <c r="J12" i="1"/>
  <c r="U12" i="1" s="1"/>
  <c r="V12" i="1" s="1"/>
  <c r="H12" i="1"/>
  <c r="AE14" i="1"/>
  <c r="AD14" i="1"/>
  <c r="AA11" i="1"/>
  <c r="P11" i="1"/>
  <c r="N11" i="1"/>
  <c r="M11" i="1"/>
  <c r="J11" i="1"/>
  <c r="U11" i="1" s="1"/>
  <c r="V11" i="1" s="1"/>
  <c r="H11" i="1"/>
  <c r="AF10" i="1"/>
  <c r="AE10" i="1"/>
  <c r="AD10" i="1"/>
  <c r="AA10" i="1"/>
  <c r="P10" i="1"/>
  <c r="O10" i="1"/>
  <c r="AI6" i="1" s="1"/>
  <c r="AK6" i="1" s="1"/>
  <c r="N10" i="1"/>
  <c r="M10" i="1"/>
  <c r="J10" i="1"/>
  <c r="H10" i="1"/>
  <c r="I10" i="1" s="1"/>
  <c r="AG6" i="1" s="1"/>
  <c r="G10" i="1"/>
  <c r="AF6" i="1" s="1"/>
  <c r="AI9" i="1"/>
  <c r="AK9" i="1" s="1"/>
  <c r="AF9" i="1"/>
  <c r="AE9" i="1"/>
  <c r="AD9" i="1"/>
  <c r="AA9" i="1"/>
  <c r="P9" i="1"/>
  <c r="N9" i="1"/>
  <c r="M9" i="1"/>
  <c r="J9" i="1"/>
  <c r="U9" i="1" s="1"/>
  <c r="V9" i="1" s="1"/>
  <c r="H9" i="1"/>
  <c r="AI8" i="1"/>
  <c r="AJ8" i="1" s="1"/>
  <c r="AE8" i="1"/>
  <c r="AD8" i="1"/>
  <c r="AA8" i="1"/>
  <c r="P8" i="1"/>
  <c r="N8" i="1"/>
  <c r="M8" i="1"/>
  <c r="J8" i="1"/>
  <c r="U8" i="1" s="1"/>
  <c r="V8" i="1" s="1"/>
  <c r="H8" i="1"/>
  <c r="AF7" i="1"/>
  <c r="AE7" i="1"/>
  <c r="AD7" i="1"/>
  <c r="AA7" i="1"/>
  <c r="P7" i="1"/>
  <c r="O7" i="1"/>
  <c r="N7" i="1"/>
  <c r="M7" i="1"/>
  <c r="J7" i="1"/>
  <c r="K7" i="1" s="1"/>
  <c r="AH5" i="1" s="1"/>
  <c r="H7" i="1"/>
  <c r="G7" i="1"/>
  <c r="AF5" i="1" s="1"/>
  <c r="AE6" i="1"/>
  <c r="AD6" i="1"/>
  <c r="P6" i="1"/>
  <c r="N6" i="1"/>
  <c r="M6" i="1"/>
  <c r="F6" i="1"/>
  <c r="AA6" i="1" s="1"/>
  <c r="AB6" i="1" s="1"/>
  <c r="AI5" i="1"/>
  <c r="AK5" i="1" s="1"/>
  <c r="AE5" i="1"/>
  <c r="AD5" i="1"/>
  <c r="P5" i="1"/>
  <c r="N5" i="1"/>
  <c r="M5" i="1"/>
  <c r="F5" i="1"/>
  <c r="AA5" i="1" s="1"/>
  <c r="AE4" i="1"/>
  <c r="AD4" i="1"/>
  <c r="P4" i="1"/>
  <c r="O4" i="1"/>
  <c r="AI4" i="1" s="1"/>
  <c r="AK4" i="1" s="1"/>
  <c r="N4" i="1"/>
  <c r="M4" i="1"/>
  <c r="F4" i="1"/>
  <c r="H39" i="1" l="1"/>
  <c r="G34" i="1"/>
  <c r="AF14" i="1" s="1"/>
  <c r="J6" i="1"/>
  <c r="S6" i="1" s="1"/>
  <c r="Y6" i="1"/>
  <c r="Z6" i="1" s="1"/>
  <c r="I7" i="1"/>
  <c r="AG5" i="1" s="1"/>
  <c r="H6" i="1"/>
  <c r="G37" i="1"/>
  <c r="AF15" i="1" s="1"/>
  <c r="AB8" i="1"/>
  <c r="AB15" i="1"/>
  <c r="AJ14" i="1"/>
  <c r="AK14" i="1"/>
  <c r="G4" i="1"/>
  <c r="AF4" i="1" s="1"/>
  <c r="AJ5" i="1"/>
  <c r="K10" i="1"/>
  <c r="AH6" i="1" s="1"/>
  <c r="H5" i="1"/>
  <c r="AB13" i="1"/>
  <c r="H35" i="1"/>
  <c r="H4" i="1"/>
  <c r="AJ9" i="1"/>
  <c r="I13" i="1"/>
  <c r="AG7" i="1" s="1"/>
  <c r="K19" i="1"/>
  <c r="AH9" i="1" s="1"/>
  <c r="H36" i="1"/>
  <c r="H38" i="1"/>
  <c r="Y4" i="1"/>
  <c r="Z4" i="1" s="1"/>
  <c r="AK8" i="1"/>
  <c r="AB9" i="1"/>
  <c r="AB10" i="1"/>
  <c r="AB12" i="1"/>
  <c r="H34" i="1"/>
  <c r="K37" i="1"/>
  <c r="AH15" i="1" s="1"/>
  <c r="AB7" i="1"/>
  <c r="AB14" i="1"/>
  <c r="U10" i="1"/>
  <c r="V10" i="1" s="1"/>
  <c r="K16" i="1"/>
  <c r="AH8" i="1" s="1"/>
  <c r="S19" i="1"/>
  <c r="T19" i="1" s="1"/>
  <c r="AB5" i="1"/>
  <c r="U7" i="1"/>
  <c r="V7" i="1" s="1"/>
  <c r="AB11" i="1"/>
  <c r="I19" i="1"/>
  <c r="AG9" i="1" s="1"/>
  <c r="AK7" i="1"/>
  <c r="AJ7" i="1"/>
  <c r="J4" i="1"/>
  <c r="AA4" i="1"/>
  <c r="AB4" i="1" s="1"/>
  <c r="AJ4" i="1"/>
  <c r="J5" i="1"/>
  <c r="Y5" i="1"/>
  <c r="Z5" i="1" s="1"/>
  <c r="U6" i="1"/>
  <c r="V6" i="1" s="1"/>
  <c r="AJ6" i="1"/>
  <c r="AJ10" i="1"/>
  <c r="K13" i="1"/>
  <c r="AH7" i="1" s="1"/>
  <c r="J35" i="1"/>
  <c r="K34" i="1" s="1"/>
  <c r="AH14" i="1" s="1"/>
  <c r="H37" i="1"/>
  <c r="K22" i="1"/>
  <c r="AH10" i="1" s="1"/>
  <c r="F61" i="1"/>
  <c r="B62" i="1"/>
  <c r="I37" i="1" l="1"/>
  <c r="AG15" i="1" s="1"/>
  <c r="I4" i="1"/>
  <c r="AG4" i="1" s="1"/>
  <c r="I34" i="1"/>
  <c r="AG14" i="1" s="1"/>
  <c r="S4" i="1"/>
  <c r="K4" i="1"/>
  <c r="AH4" i="1" s="1"/>
  <c r="U4" i="1"/>
  <c r="V4" i="1" s="1"/>
  <c r="H62" i="1"/>
  <c r="B63" i="1"/>
  <c r="F62" i="1"/>
  <c r="U5" i="1"/>
  <c r="V5" i="1" s="1"/>
  <c r="S5" i="1"/>
  <c r="H63" i="1" l="1"/>
  <c r="B64" i="1"/>
  <c r="F63" i="1"/>
  <c r="F64" i="1" l="1"/>
  <c r="B65" i="1"/>
  <c r="H64" i="1"/>
  <c r="H65" i="1" l="1"/>
  <c r="I65" i="1" s="1"/>
  <c r="N61" i="1" s="1"/>
  <c r="B66" i="1"/>
  <c r="F65" i="1"/>
  <c r="G65" i="1" s="1"/>
  <c r="M61" i="1" s="1"/>
  <c r="H66" i="1" l="1"/>
  <c r="F66" i="1"/>
  <c r="B67" i="1"/>
  <c r="H67" i="1" l="1"/>
  <c r="F67" i="1"/>
  <c r="B68" i="1"/>
  <c r="H68" i="1" l="1"/>
  <c r="F68" i="1"/>
  <c r="B69" i="1"/>
  <c r="B70" i="1" l="1"/>
  <c r="F69" i="1"/>
  <c r="G69" i="1" s="1"/>
  <c r="M62" i="1" s="1"/>
  <c r="H69" i="1"/>
  <c r="I69" i="1" s="1"/>
  <c r="N62" i="1" s="1"/>
  <c r="B71" i="1" l="1"/>
  <c r="F70" i="1"/>
  <c r="H70" i="1"/>
  <c r="B72" i="1" l="1"/>
  <c r="H71" i="1"/>
  <c r="F71" i="1"/>
  <c r="B73" i="1" l="1"/>
  <c r="H72" i="1"/>
  <c r="F72" i="1"/>
  <c r="H73" i="1" l="1"/>
  <c r="I73" i="1" s="1"/>
  <c r="N63" i="1" s="1"/>
  <c r="B74" i="1"/>
  <c r="F73" i="1"/>
  <c r="G73" i="1" s="1"/>
  <c r="M63" i="1" s="1"/>
  <c r="H74" i="1" l="1"/>
  <c r="F74" i="1"/>
  <c r="B75" i="1"/>
  <c r="H75" i="1" l="1"/>
  <c r="F75" i="1"/>
</calcChain>
</file>

<file path=xl/sharedStrings.xml><?xml version="1.0" encoding="utf-8"?>
<sst xmlns="http://schemas.openxmlformats.org/spreadsheetml/2006/main" count="183" uniqueCount="119">
  <si>
    <t>Amostra No.</t>
  </si>
  <si>
    <t>Pressão de estouro [bar]</t>
  </si>
  <si>
    <t>Sem</t>
  </si>
  <si>
    <t>19x0,2</t>
  </si>
  <si>
    <t>19x0,4</t>
  </si>
  <si>
    <t>19x0,6</t>
  </si>
  <si>
    <t>3x0,2</t>
  </si>
  <si>
    <t>3x0,4</t>
  </si>
  <si>
    <t>3x0,6</t>
  </si>
  <si>
    <t>Desgaste [mm]</t>
  </si>
  <si>
    <t>Pressão de Estouro tubulação rígida de freio 4,76mm</t>
  </si>
  <si>
    <t>Redução de espessura [mm]</t>
  </si>
  <si>
    <t>Média Pressão de estouro [bar]</t>
  </si>
  <si>
    <t>Média Øapós desgaste [mm]</t>
  </si>
  <si>
    <t>Máximo</t>
  </si>
  <si>
    <t>Mínimo</t>
  </si>
  <si>
    <t>Variáveis:</t>
  </si>
  <si>
    <t>Com e sem desgaste</t>
  </si>
  <si>
    <t>Dimensão do desgaste</t>
  </si>
  <si>
    <t>Profundidade do desgaste</t>
  </si>
  <si>
    <t>Número de dobras</t>
  </si>
  <si>
    <t>No. de dobras</t>
  </si>
  <si>
    <t>1x90°</t>
  </si>
  <si>
    <t>2x90°</t>
  </si>
  <si>
    <t>Sem controle no posicionamento do desgaste e dobra - em cima da costura ou fora</t>
  </si>
  <si>
    <t>Micrometro</t>
  </si>
  <si>
    <t>Equipamento</t>
  </si>
  <si>
    <t>Marca</t>
  </si>
  <si>
    <t>Modelo</t>
  </si>
  <si>
    <t xml:space="preserve"> Mitutoyo</t>
  </si>
  <si>
    <t>293-621</t>
  </si>
  <si>
    <t>Precisão</t>
  </si>
  <si>
    <t>0,001mm</t>
  </si>
  <si>
    <t>Número interno</t>
  </si>
  <si>
    <t>Calibração válida até</t>
  </si>
  <si>
    <t>Calibração realizada</t>
  </si>
  <si>
    <t>Presertec</t>
  </si>
  <si>
    <t>Paquímetro</t>
  </si>
  <si>
    <t>Starrett</t>
  </si>
  <si>
    <t>APAQ-570</t>
  </si>
  <si>
    <t>0,01mm</t>
  </si>
  <si>
    <t>Bancada de estouro</t>
  </si>
  <si>
    <t>Última calibração</t>
  </si>
  <si>
    <t>022738 /  AMO503</t>
  </si>
  <si>
    <t>±1,5%</t>
  </si>
  <si>
    <t>Enerpac</t>
  </si>
  <si>
    <t>P2282</t>
  </si>
  <si>
    <t>Equipamentos utilizados</t>
  </si>
  <si>
    <t>Espessura teórica [mm]</t>
  </si>
  <si>
    <t>Média Espessura teórica [mm]</t>
  </si>
  <si>
    <t>Espessura téorica inicial do tubo [mm]</t>
  </si>
  <si>
    <t>Local aonde ocorre o estouro</t>
  </si>
  <si>
    <t>Øexterno após desgaste [mm]</t>
  </si>
  <si>
    <t>Conclusões:</t>
  </si>
  <si>
    <t>Número de dobras não influencia na pressão de estouro</t>
  </si>
  <si>
    <t>Área desgatsada tem uma influência grande</t>
  </si>
  <si>
    <t>Espessura tem um influência grande</t>
  </si>
  <si>
    <t>Øexterno inicial [mm]</t>
  </si>
  <si>
    <t>Gráfico Espessura desg. 3mm</t>
  </si>
  <si>
    <t>Gráfico Diâmetro desg. 3mm</t>
  </si>
  <si>
    <t>y = -1512,7x2 + 15056x - 36177</t>
  </si>
  <si>
    <t>Gráfico Espessura desg. 19mm</t>
  </si>
  <si>
    <t>Gráfico Diâmetro desg. 19mm</t>
  </si>
  <si>
    <t>y = -809,65x2 + 1714,1x + 386,39</t>
  </si>
  <si>
    <t>Variação [bar]</t>
  </si>
  <si>
    <t>-</t>
  </si>
  <si>
    <t>+</t>
  </si>
  <si>
    <t>y = -1692,7x2 + 16056x - 36850</t>
  </si>
  <si>
    <t>Pressão [bar]</t>
  </si>
  <si>
    <t>Δ</t>
  </si>
  <si>
    <r>
      <t xml:space="preserve">Regressão para por </t>
    </r>
    <r>
      <rPr>
        <sz val="11"/>
        <color theme="1"/>
        <rFont val="Calibri"/>
        <family val="2"/>
      </rPr>
      <t xml:space="preserve">Ø </t>
    </r>
    <r>
      <rPr>
        <sz val="11"/>
        <color theme="1"/>
        <rFont val="Calibri"/>
        <family val="2"/>
        <scheme val="minor"/>
      </rPr>
      <t>desg. 3mm</t>
    </r>
  </si>
  <si>
    <t>Regressão por Ø para desg. 19mm</t>
  </si>
  <si>
    <r>
      <t>Regressão para por esp.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desg. 3mm</t>
    </r>
  </si>
  <si>
    <t>Regressão por esp. para desg. 19mm</t>
  </si>
  <si>
    <t>3mm</t>
  </si>
  <si>
    <t>19mm</t>
  </si>
  <si>
    <t>Øexterno tubo [mm]</t>
  </si>
  <si>
    <t>Média</t>
  </si>
  <si>
    <t>Pressão de estouro em função do tamanho do desgaste</t>
  </si>
  <si>
    <t>Δ relação a pressão inicial</t>
  </si>
  <si>
    <t>ØExterno nominal [mm]</t>
  </si>
  <si>
    <t>y = -1512,7x2 + 3104,9x - 310,64</t>
  </si>
  <si>
    <t>y = -1692,7x2 + 2683,5x + 159,75</t>
  </si>
  <si>
    <t>Redução na Pressão de estouro em função do desgaste longitudinal</t>
  </si>
  <si>
    <t>Pressão máxima ASME [bar]</t>
  </si>
  <si>
    <t>σ=</t>
  </si>
  <si>
    <r>
      <t xml:space="preserve">Desconsiderando o </t>
    </r>
    <r>
      <rPr>
        <sz val="11"/>
        <color theme="1"/>
        <rFont val="Calibri"/>
        <family val="2"/>
      </rPr>
      <t>Øext</t>
    </r>
  </si>
  <si>
    <r>
      <t xml:space="preserve">Considerando o </t>
    </r>
    <r>
      <rPr>
        <sz val="11"/>
        <color theme="1"/>
        <rFont val="Calibri"/>
        <family val="2"/>
      </rPr>
      <t>Øext</t>
    </r>
  </si>
  <si>
    <t>2x90°+
4x180°</t>
  </si>
  <si>
    <t>1,5x0,2</t>
  </si>
  <si>
    <t>1,5x0,4</t>
  </si>
  <si>
    <t>1,5x0,6</t>
  </si>
  <si>
    <t>1 lt.2</t>
  </si>
  <si>
    <t>2 lt.2</t>
  </si>
  <si>
    <t>3 lt.2</t>
  </si>
  <si>
    <t>4 lt.2</t>
  </si>
  <si>
    <t>5 lt.2</t>
  </si>
  <si>
    <t>6 lt.2</t>
  </si>
  <si>
    <t>7 lt.2</t>
  </si>
  <si>
    <t>8 lt.2</t>
  </si>
  <si>
    <t>9 lt.2</t>
  </si>
  <si>
    <t>10 lt.2</t>
  </si>
  <si>
    <t>11 lt.2</t>
  </si>
  <si>
    <t>12 lt.2</t>
  </si>
  <si>
    <r>
      <t>Regressão para por esp.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desg. 1,5mm</t>
    </r>
  </si>
  <si>
    <t>Gráfico Espessura desg. 1,5mm</t>
  </si>
  <si>
    <t>Gráfico Diâmetro desg. 1,5mm</t>
  </si>
  <si>
    <t>y = -1739,7x2 + 2367,4x + 452,35</t>
  </si>
  <si>
    <t>y = -1739,7x2 + 16111x - 36043</t>
  </si>
  <si>
    <t>1,5mm</t>
  </si>
  <si>
    <t>Øext after abrasion [mm]</t>
  </si>
  <si>
    <t>Burst pressure [bar]</t>
  </si>
  <si>
    <t>Abrasion [mm]</t>
  </si>
  <si>
    <t>Diameter</t>
  </si>
  <si>
    <t>Abrassion deep 0,2mm</t>
  </si>
  <si>
    <t>Abrassion deep 0,4mm</t>
  </si>
  <si>
    <t>Abrassion deep 0,6mm</t>
  </si>
  <si>
    <t>Damage lenght [mm]</t>
  </si>
  <si>
    <t>-42000-30*lenght+84000*dia-40500*dia^2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</si>
</sst>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\ &quot;mm&quot;"/>
    <numFmt numFmtId="165" formatCode="0.0\ &quot;mm&quot;"/>
    <numFmt numFmtId="166" formatCode="0.0%"/>
    <numFmt numFmtId="171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1" applyNumberFormat="1" applyFon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43" fontId="0" fillId="0" borderId="0" xfId="1" applyFont="1" applyAlignment="1">
      <alignment horizontal="left" vertical="center"/>
    </xf>
    <xf numFmtId="43" fontId="0" fillId="0" borderId="0" xfId="0" applyNumberFormat="1"/>
    <xf numFmtId="43" fontId="0" fillId="0" borderId="1" xfId="0" applyNumberFormat="1" applyBorder="1"/>
    <xf numFmtId="43" fontId="0" fillId="0" borderId="2" xfId="1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0" fillId="0" borderId="1" xfId="2" applyFont="1" applyBorder="1"/>
    <xf numFmtId="9" fontId="0" fillId="2" borderId="1" xfId="2" applyFont="1" applyFill="1" applyBorder="1"/>
    <xf numFmtId="0" fontId="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 wrapText="1"/>
    </xf>
    <xf numFmtId="9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/>
    <xf numFmtId="43" fontId="0" fillId="0" borderId="1" xfId="3" applyFont="1" applyBorder="1" applyAlignment="1">
      <alignment horizontal="center" vertical="center"/>
    </xf>
    <xf numFmtId="43" fontId="0" fillId="0" borderId="0" xfId="0" applyNumberFormat="1" applyBorder="1"/>
    <xf numFmtId="43" fontId="0" fillId="0" borderId="0" xfId="1" applyFont="1" applyBorder="1" applyAlignment="1">
      <alignment horizontal="center" vertical="center"/>
    </xf>
    <xf numFmtId="43" fontId="0" fillId="3" borderId="0" xfId="0" applyNumberFormat="1" applyFill="1" applyBorder="1" applyAlignment="1">
      <alignment horizontal="center"/>
    </xf>
    <xf numFmtId="43" fontId="0" fillId="0" borderId="1" xfId="3" applyFon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43" fontId="0" fillId="0" borderId="0" xfId="1" applyFont="1" applyBorder="1" applyAlignment="1">
      <alignment vertical="center"/>
    </xf>
    <xf numFmtId="43" fontId="0" fillId="0" borderId="0" xfId="0" applyNumberFormat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43" fontId="0" fillId="3" borderId="8" xfId="1" applyFont="1" applyFill="1" applyBorder="1" applyAlignment="1">
      <alignment horizontal="center" vertical="center"/>
    </xf>
    <xf numFmtId="43" fontId="0" fillId="3" borderId="9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3" fontId="0" fillId="3" borderId="10" xfId="1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43" fontId="0" fillId="3" borderId="11" xfId="0" applyNumberFormat="1" applyFill="1" applyBorder="1" applyAlignment="1">
      <alignment horizontal="center"/>
    </xf>
    <xf numFmtId="43" fontId="0" fillId="3" borderId="12" xfId="0" applyNumberFormat="1" applyFill="1" applyBorder="1" applyAlignment="1">
      <alignment horizontal="center"/>
    </xf>
    <xf numFmtId="43" fontId="0" fillId="3" borderId="7" xfId="0" applyNumberFormat="1" applyFill="1" applyBorder="1" applyAlignment="1">
      <alignment horizontal="center"/>
    </xf>
    <xf numFmtId="43" fontId="0" fillId="3" borderId="13" xfId="0" applyNumberFormat="1" applyFill="1" applyBorder="1" applyAlignment="1">
      <alignment horizontal="center"/>
    </xf>
    <xf numFmtId="43" fontId="0" fillId="3" borderId="5" xfId="0" applyNumberFormat="1" applyFill="1" applyBorder="1" applyAlignment="1">
      <alignment horizontal="center"/>
    </xf>
    <xf numFmtId="43" fontId="0" fillId="3" borderId="1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43" fontId="3" fillId="0" borderId="8" xfId="1" applyFont="1" applyBorder="1" applyAlignment="1">
      <alignment horizontal="center" vertical="center" wrapText="1"/>
    </xf>
    <xf numFmtId="43" fontId="3" fillId="0" borderId="9" xfId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" xfId="3" applyNumberFormat="1" applyFont="1" applyFill="1" applyBorder="1" applyAlignment="1">
      <alignment horizontal="center" vertical="center"/>
    </xf>
    <xf numFmtId="43" fontId="0" fillId="4" borderId="1" xfId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9" fontId="0" fillId="4" borderId="1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textRotation="90"/>
    </xf>
    <xf numFmtId="0" fontId="0" fillId="0" borderId="7" xfId="0" applyBorder="1" applyAlignment="1">
      <alignment horizontal="center"/>
    </xf>
    <xf numFmtId="43" fontId="0" fillId="0" borderId="0" xfId="1" applyFont="1"/>
    <xf numFmtId="0" fontId="0" fillId="0" borderId="0" xfId="0" quotePrefix="1"/>
    <xf numFmtId="171" fontId="0" fillId="0" borderId="8" xfId="0" applyNumberFormat="1" applyBorder="1" applyAlignment="1">
      <alignment horizontal="center" vertical="center" wrapText="1"/>
    </xf>
    <xf numFmtId="171" fontId="0" fillId="0" borderId="9" xfId="0" applyNumberFormat="1" applyBorder="1" applyAlignment="1">
      <alignment horizontal="center" vertical="center" wrapText="1"/>
    </xf>
    <xf numFmtId="171" fontId="0" fillId="0" borderId="1" xfId="0" applyNumberFormat="1" applyBorder="1" applyAlignment="1">
      <alignment horizontal="center" vertical="center" textRotation="90" wrapText="1"/>
    </xf>
    <xf numFmtId="171" fontId="0" fillId="0" borderId="8" xfId="0" applyNumberFormat="1" applyBorder="1" applyAlignment="1">
      <alignment horizontal="center" vertical="center" textRotation="90" wrapText="1"/>
    </xf>
    <xf numFmtId="171" fontId="0" fillId="0" borderId="10" xfId="0" applyNumberFormat="1" applyBorder="1" applyAlignment="1">
      <alignment horizontal="center" vertical="center" textRotation="90" wrapText="1"/>
    </xf>
    <xf numFmtId="171" fontId="0" fillId="0" borderId="9" xfId="0" applyNumberFormat="1" applyBorder="1" applyAlignment="1">
      <alignment horizontal="center" vertical="center" textRotation="90" wrapText="1"/>
    </xf>
    <xf numFmtId="171" fontId="0" fillId="0" borderId="0" xfId="0" applyNumberFormat="1"/>
  </cellXfs>
  <cellStyles count="4">
    <cellStyle name="Normal" xfId="0" builtinId="0"/>
    <cellStyle name="Porcentagem" xfId="2" builtinId="5"/>
    <cellStyle name="Vírgula" xfId="1" builtinId="3"/>
    <cellStyle name="Vírgula 2" xfId="3"/>
  </cellStyles>
  <dxfs count="0"/>
  <tableStyles count="0" defaultTableStyle="TableStyleMedium2" defaultPivotStyle="PivotStyleLight16"/>
  <colors>
    <mruColors>
      <color rgb="FFB07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2.xml"/><Relationship Id="rId1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1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theme" Target="theme/theme1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Pressão de estouro em função da espessura da parede da tubulação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3"/>
          <c:tx>
            <c:v>Desgaste 19mm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Dados!$H$4:$H$15</c:f>
              <c:numCache>
                <c:formatCode>_(* #,##0.00_);_(* \(#,##0.00\);_(* "-"??_);_(@_)</c:formatCode>
                <c:ptCount val="12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0.57100000000000017</c:v>
                </c:pt>
                <c:pt idx="4">
                  <c:v>0.621</c:v>
                </c:pt>
                <c:pt idx="5">
                  <c:v>0.58700000000000019</c:v>
                </c:pt>
                <c:pt idx="6">
                  <c:v>0.42500000000000027</c:v>
                </c:pt>
                <c:pt idx="7">
                  <c:v>0.37799999999999967</c:v>
                </c:pt>
                <c:pt idx="8">
                  <c:v>0.42300000000000049</c:v>
                </c:pt>
                <c:pt idx="9">
                  <c:v>0.2200000000000002</c:v>
                </c:pt>
                <c:pt idx="10">
                  <c:v>0.18699999999999983</c:v>
                </c:pt>
                <c:pt idx="11">
                  <c:v>0.21899999999999986</c:v>
                </c:pt>
              </c:numCache>
            </c:numRef>
          </c:xVal>
          <c:yVal>
            <c:numRef>
              <c:f>Dados!$L$4:$L$15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990</c:v>
                </c:pt>
                <c:pt idx="4">
                  <c:v>1020</c:v>
                </c:pt>
                <c:pt idx="5">
                  <c:v>1020</c:v>
                </c:pt>
                <c:pt idx="6">
                  <c:v>620</c:v>
                </c:pt>
                <c:pt idx="7">
                  <c:v>620</c:v>
                </c:pt>
                <c:pt idx="8">
                  <c:v>720</c:v>
                </c:pt>
                <c:pt idx="9">
                  <c:v>240</c:v>
                </c:pt>
                <c:pt idx="10">
                  <c:v>280</c:v>
                </c:pt>
                <c:pt idx="11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B5-44DE-930C-89F9D8D202DC}"/>
            </c:ext>
          </c:extLst>
        </c:ser>
        <c:ser>
          <c:idx val="3"/>
          <c:order val="4"/>
          <c:tx>
            <c:v>Desgaste 3mm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(Dados!$H$4:$H$6,Dados!$H$16:$H$24)</c:f>
              <c:numCache>
                <c:formatCode>_(* #,##0.00_);_(* \(#,##0.00\);_(* "-"??_);_(@_)</c:formatCode>
                <c:ptCount val="12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0.64000000000000012</c:v>
                </c:pt>
                <c:pt idx="4">
                  <c:v>0.60000000000000009</c:v>
                </c:pt>
                <c:pt idx="5">
                  <c:v>0.56999999999999984</c:v>
                </c:pt>
                <c:pt idx="6">
                  <c:v>0.41999999999999948</c:v>
                </c:pt>
                <c:pt idx="7">
                  <c:v>0.4099999999999997</c:v>
                </c:pt>
                <c:pt idx="8">
                  <c:v>0.43000000000000016</c:v>
                </c:pt>
                <c:pt idx="9">
                  <c:v>0.30000000000000027</c:v>
                </c:pt>
                <c:pt idx="10">
                  <c:v>7.9999999999999627E-2</c:v>
                </c:pt>
                <c:pt idx="11">
                  <c:v>0.27</c:v>
                </c:pt>
              </c:numCache>
            </c:numRef>
          </c:xVal>
          <c:yVal>
            <c:numRef>
              <c:f>(Dados!$L$4:$L$6,Dados!$L$16:$L$24)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900</c:v>
                </c:pt>
                <c:pt idx="4">
                  <c:v>910</c:v>
                </c:pt>
                <c:pt idx="5">
                  <c:v>1080</c:v>
                </c:pt>
                <c:pt idx="6">
                  <c:v>900</c:v>
                </c:pt>
                <c:pt idx="7">
                  <c:v>900</c:v>
                </c:pt>
                <c:pt idx="8">
                  <c:v>1000</c:v>
                </c:pt>
                <c:pt idx="9">
                  <c:v>690</c:v>
                </c:pt>
                <c:pt idx="10">
                  <c:v>200</c:v>
                </c:pt>
                <c:pt idx="11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B5-44DE-930C-89F9D8D202DC}"/>
            </c:ext>
          </c:extLst>
        </c:ser>
        <c:ser>
          <c:idx val="1"/>
          <c:order val="5"/>
          <c:tx>
            <c:v>Média desgaste 19mm</c:v>
          </c:tx>
          <c:spPr>
            <a:ln w="34925" cap="rnd">
              <a:solidFill>
                <a:schemeClr val="bg1">
                  <a:lumMod val="9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6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bg1">
                    <a:lumMod val="9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Dados!$AG$4:$AG$7</c:f>
              <c:numCache>
                <c:formatCode>_(* #,##0.00_);_(* \(#,##0.00\);_(* "-"??_);_(@_)</c:formatCode>
                <c:ptCount val="4"/>
                <c:pt idx="0">
                  <c:v>0.81</c:v>
                </c:pt>
                <c:pt idx="1">
                  <c:v>0.59300000000000008</c:v>
                </c:pt>
                <c:pt idx="2">
                  <c:v>0.40866666666666679</c:v>
                </c:pt>
                <c:pt idx="3">
                  <c:v>0.20866666666666664</c:v>
                </c:pt>
              </c:numCache>
            </c:numRef>
          </c:xVal>
          <c:yVal>
            <c:numRef>
              <c:f>Dados!$AI$4:$AI$7</c:f>
              <c:numCache>
                <c:formatCode>_(* #,##0.00_);_(* \(#,##0.00\);_(* "-"??_);_(@_)</c:formatCode>
                <c:ptCount val="4"/>
                <c:pt idx="0">
                  <c:v>1220</c:v>
                </c:pt>
                <c:pt idx="1">
                  <c:v>1010</c:v>
                </c:pt>
                <c:pt idx="2">
                  <c:v>653.33333333333337</c:v>
                </c:pt>
                <c:pt idx="3">
                  <c:v>286.66666666666669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B5-44DE-930C-89F9D8D202DC}"/>
            </c:ext>
          </c:extLst>
        </c:ser>
        <c:ser>
          <c:idx val="4"/>
          <c:order val="6"/>
          <c:tx>
            <c:v>Média desgaste 3mm</c:v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A81-4AC3-9923-A456CC2236AA}"/>
              </c:ext>
            </c:extLst>
          </c:dPt>
          <c:xVal>
            <c:numRef>
              <c:f>(Dados!$AG$4,Dados!$AG$8:$AG$10)</c:f>
              <c:numCache>
                <c:formatCode>_(* #,##0.00_);_(* \(#,##0.00\);_(* "-"??_);_(@_)</c:formatCode>
                <c:ptCount val="4"/>
                <c:pt idx="0">
                  <c:v>0.81</c:v>
                </c:pt>
                <c:pt idx="1">
                  <c:v>0.60333333333333339</c:v>
                </c:pt>
                <c:pt idx="2">
                  <c:v>0.41999999999999976</c:v>
                </c:pt>
                <c:pt idx="3">
                  <c:v>0.21666666666666665</c:v>
                </c:pt>
              </c:numCache>
            </c:numRef>
          </c:xVal>
          <c:yVal>
            <c:numRef>
              <c:f>(Dados!$AI$4,Dados!$AI$8:$AI$10)</c:f>
              <c:numCache>
                <c:formatCode>_(* #,##0.00_);_(* \(#,##0.00\);_(* "-"??_);_(@_)</c:formatCode>
                <c:ptCount val="4"/>
                <c:pt idx="0">
                  <c:v>1220</c:v>
                </c:pt>
                <c:pt idx="1">
                  <c:v>963.33333333333337</c:v>
                </c:pt>
                <c:pt idx="2">
                  <c:v>933.33333333333337</c:v>
                </c:pt>
                <c:pt idx="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B5-44DE-930C-89F9D8D2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3328"/>
        <c:axId val="601088408"/>
      </c:scatterChart>
      <c:scatterChart>
        <c:scatterStyle val="lineMarker"/>
        <c:varyColors val="0"/>
        <c:ser>
          <c:idx val="0"/>
          <c:order val="0"/>
          <c:tx>
            <c:v>Sem Dobras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00B050">
                  <a:alpha val="50000"/>
                </a:srgbClr>
              </a:solidFill>
              <a:ln w="9525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Dados!$H$4:$H$6</c:f>
              <c:numCache>
                <c:formatCode>_(* #,##0.00_);_(* \(#,##0.00\);_(* "-"??_);_(@_)</c:formatCode>
                <c:ptCount val="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</c:numCache>
            </c:numRef>
          </c:xVal>
          <c:yVal>
            <c:numRef>
              <c:f>Dados!$L$4:$L$6</c:f>
              <c:numCache>
                <c:formatCode>General</c:formatCode>
                <c:ptCount val="3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5-44DE-930C-89F9D8D202DC}"/>
            </c:ext>
          </c:extLst>
        </c:ser>
        <c:ser>
          <c:idx val="5"/>
          <c:order val="1"/>
          <c:tx>
            <c:v>1 dobra 90°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accent2">
                  <a:lumMod val="50000"/>
                  <a:alpha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Dados!$H$34:$H$36</c:f>
              <c:numCache>
                <c:formatCode>_(* #,##0.00_);_(* \(#,##0.00\);_(* "-"??_);_(@_)</c:formatCode>
                <c:ptCount val="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</c:numCache>
            </c:numRef>
          </c:xVal>
          <c:yVal>
            <c:numRef>
              <c:f>Dados!$L$34:$L$36</c:f>
              <c:numCache>
                <c:formatCode>General</c:formatCode>
                <c:ptCount val="3"/>
                <c:pt idx="0">
                  <c:v>1240</c:v>
                </c:pt>
                <c:pt idx="1">
                  <c:v>1240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B5-44DE-930C-89F9D8D202DC}"/>
            </c:ext>
          </c:extLst>
        </c:ser>
        <c:ser>
          <c:idx val="6"/>
          <c:order val="2"/>
          <c:tx>
            <c:v>2 dobras 90°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FF0000">
                  <a:alpha val="50000"/>
                </a:srgbClr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Dados!$H$37:$H$39</c:f>
              <c:numCache>
                <c:formatCode>_(* #,##0.00_);_(* \(#,##0.00\);_(* "-"??_);_(@_)</c:formatCode>
                <c:ptCount val="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</c:numCache>
            </c:numRef>
          </c:xVal>
          <c:yVal>
            <c:numRef>
              <c:f>Dados!$L$37:$L$39</c:f>
              <c:numCache>
                <c:formatCode>General</c:formatCode>
                <c:ptCount val="3"/>
                <c:pt idx="0">
                  <c:v>1210</c:v>
                </c:pt>
                <c:pt idx="1">
                  <c:v>1200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B5-44DE-930C-89F9D8D2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0688"/>
        <c:axId val="824429704"/>
      </c:scatterChart>
      <c:valAx>
        <c:axId val="601093328"/>
        <c:scaling>
          <c:orientation val="minMax"/>
          <c:max val="0.75000000000000011"/>
          <c:min val="-5.000000000000001E-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Dados!$H$2</c:f>
              <c:strCache>
                <c:ptCount val="1"/>
                <c:pt idx="0">
                  <c:v>Espessura teórica [mm]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88408"/>
        <c:crosses val="autoZero"/>
        <c:crossBetween val="midCat"/>
      </c:valAx>
      <c:valAx>
        <c:axId val="601088408"/>
        <c:scaling>
          <c:orientation val="minMax"/>
          <c:max val="12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[bar]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93328"/>
        <c:crosses val="autoZero"/>
        <c:crossBetween val="midCat"/>
      </c:valAx>
      <c:valAx>
        <c:axId val="824429704"/>
        <c:scaling>
          <c:orientation val="minMax"/>
          <c:min val="119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por variação de No. De dobras [bar]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430688"/>
        <c:crosses val="max"/>
        <c:crossBetween val="midCat"/>
      </c:valAx>
      <c:valAx>
        <c:axId val="824430688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out"/>
        <c:minorTickMark val="none"/>
        <c:tickLblPos val="nextTo"/>
        <c:crossAx val="82442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Burst Pressure vs. pipe damage lenght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Source!$G$6</c:f>
              <c:strCache>
                <c:ptCount val="1"/>
                <c:pt idx="0">
                  <c:v>Abrassion deep 0,2mm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FF00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Source!$I$6:$I$14</c:f>
              <c:numCache>
                <c:formatCode>General</c:formatCode>
                <c:ptCount val="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</c:numCache>
            </c:numRef>
          </c:xVal>
          <c:yVal>
            <c:numRef>
              <c:f>Source!$K$6:$K$14</c:f>
              <c:numCache>
                <c:formatCode>General</c:formatCode>
                <c:ptCount val="9"/>
                <c:pt idx="0">
                  <c:v>990</c:v>
                </c:pt>
                <c:pt idx="1">
                  <c:v>1020</c:v>
                </c:pt>
                <c:pt idx="2">
                  <c:v>1020</c:v>
                </c:pt>
                <c:pt idx="3">
                  <c:v>900</c:v>
                </c:pt>
                <c:pt idx="4">
                  <c:v>910</c:v>
                </c:pt>
                <c:pt idx="5">
                  <c:v>1080</c:v>
                </c:pt>
                <c:pt idx="6">
                  <c:v>1260</c:v>
                </c:pt>
                <c:pt idx="7">
                  <c:v>1280</c:v>
                </c:pt>
                <c:pt idx="8">
                  <c:v>1260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5-4DE0-BAC2-8A9BB811C298}"/>
            </c:ext>
          </c:extLst>
        </c:ser>
        <c:ser>
          <c:idx val="3"/>
          <c:order val="1"/>
          <c:tx>
            <c:strRef>
              <c:f>Source!$G$15</c:f>
              <c:strCache>
                <c:ptCount val="1"/>
                <c:pt idx="0">
                  <c:v>Abrassion deep 0,4mm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Source!$I$15:$I$23</c:f>
              <c:numCache>
                <c:formatCode>General</c:formatCode>
                <c:ptCount val="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</c:numCache>
            </c:numRef>
          </c:xVal>
          <c:yVal>
            <c:numRef>
              <c:f>Source!$K$15:$K$23</c:f>
              <c:numCache>
                <c:formatCode>General</c:formatCode>
                <c:ptCount val="9"/>
                <c:pt idx="0">
                  <c:v>620</c:v>
                </c:pt>
                <c:pt idx="1">
                  <c:v>620</c:v>
                </c:pt>
                <c:pt idx="2">
                  <c:v>720</c:v>
                </c:pt>
                <c:pt idx="3">
                  <c:v>900</c:v>
                </c:pt>
                <c:pt idx="4">
                  <c:v>900</c:v>
                </c:pt>
                <c:pt idx="5">
                  <c:v>1000</c:v>
                </c:pt>
                <c:pt idx="6">
                  <c:v>1120</c:v>
                </c:pt>
                <c:pt idx="7">
                  <c:v>1100</c:v>
                </c:pt>
                <c:pt idx="8">
                  <c:v>1160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A5-4DE0-BAC2-8A9BB811C298}"/>
            </c:ext>
          </c:extLst>
        </c:ser>
        <c:ser>
          <c:idx val="5"/>
          <c:order val="2"/>
          <c:tx>
            <c:strRef>
              <c:f>Source!$G$24</c:f>
              <c:strCache>
                <c:ptCount val="1"/>
                <c:pt idx="0">
                  <c:v>Abrassion deep 0,6mm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Source!$I$24:$I$32</c:f>
              <c:numCache>
                <c:formatCode>General</c:formatCode>
                <c:ptCount val="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</c:numCache>
            </c:numRef>
          </c:xVal>
          <c:yVal>
            <c:numRef>
              <c:f>Source!$K$24:$K$32</c:f>
              <c:numCache>
                <c:formatCode>General</c:formatCode>
                <c:ptCount val="9"/>
                <c:pt idx="0">
                  <c:v>240</c:v>
                </c:pt>
                <c:pt idx="1">
                  <c:v>280</c:v>
                </c:pt>
                <c:pt idx="2">
                  <c:v>340</c:v>
                </c:pt>
                <c:pt idx="3">
                  <c:v>690</c:v>
                </c:pt>
                <c:pt idx="4">
                  <c:v>200</c:v>
                </c:pt>
                <c:pt idx="5">
                  <c:v>760</c:v>
                </c:pt>
                <c:pt idx="6">
                  <c:v>780</c:v>
                </c:pt>
                <c:pt idx="7">
                  <c:v>840</c:v>
                </c:pt>
                <c:pt idx="8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A5-4DE0-BAC2-8A9BB811C298}"/>
            </c:ext>
          </c:extLst>
        </c:ser>
        <c:ser>
          <c:idx val="4"/>
          <c:order val="3"/>
          <c:tx>
            <c:v>Pressão de trabalho</c:v>
          </c:tx>
          <c:spPr>
            <a:ln w="2540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A5-4DE0-BAC2-8A9BB811C29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Working pressure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1A5-4DE0-BAC2-8A9BB811C2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2"/>
              <c:pt idx="0">
                <c:v>3.95</c:v>
              </c:pt>
              <c:pt idx="1">
                <c:v>4.8</c:v>
              </c:pt>
            </c:numLit>
          </c:xVal>
          <c:yVal>
            <c:numLit>
              <c:formatCode>General</c:formatCode>
              <c:ptCount val="2"/>
              <c:pt idx="0">
                <c:v>150</c:v>
              </c:pt>
              <c:pt idx="1">
                <c:v>150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1A5-4DE0-BAC2-8A9BB811C298}"/>
            </c:ext>
          </c:extLst>
        </c:ser>
        <c:ser>
          <c:idx val="0"/>
          <c:order val="4"/>
          <c:tx>
            <c:v>Limite Fadiga</c:v>
          </c:tx>
          <c:spPr>
            <a:ln w="254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A5-4DE0-BAC2-8A9BB811C29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Fadique limit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1A5-4DE0-BAC2-8A9BB811C2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2"/>
              <c:pt idx="0">
                <c:v>3.95</c:v>
              </c:pt>
              <c:pt idx="1">
                <c:v>4.8</c:v>
              </c:pt>
            </c:numLit>
          </c:xVal>
          <c:yVal>
            <c:numLit>
              <c:formatCode>General</c:formatCode>
              <c:ptCount val="2"/>
              <c:pt idx="0">
                <c:v>315</c:v>
              </c:pt>
              <c:pt idx="1">
                <c:v>315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1A5-4DE0-BAC2-8A9BB811C298}"/>
            </c:ext>
          </c:extLst>
        </c:ser>
        <c:ser>
          <c:idx val="1"/>
          <c:order val="5"/>
          <c:tx>
            <c:v>Tubo ciclado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1"/>
              <c:pt idx="0">
                <c:v>4.88</c:v>
              </c:pt>
            </c:numLit>
          </c:xVal>
          <c:yVal>
            <c:numLit>
              <c:formatCode>General</c:formatCode>
              <c:ptCount val="1"/>
              <c:pt idx="0">
                <c:v>1050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D1A5-4DE0-BAC2-8A9BB811C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3328"/>
        <c:axId val="601088408"/>
      </c:scatterChart>
      <c:valAx>
        <c:axId val="6010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Source!$G$1</c:f>
              <c:strCache>
                <c:ptCount val="1"/>
                <c:pt idx="0">
                  <c:v>Damage lenght [mm]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88408"/>
        <c:crosses val="autoZero"/>
        <c:crossBetween val="midCat"/>
      </c:valAx>
      <c:valAx>
        <c:axId val="601088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Burst Pressure [bar]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9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Burst Pressure vs. pipe damage lenght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Source!$H$6</c:f>
              <c:strCache>
                <c:ptCount val="1"/>
                <c:pt idx="0">
                  <c:v>19x0,2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Source!$M$6:$M$14</c:f>
              <c:numCache>
                <c:formatCode>General</c:formatCode>
                <c:ptCount val="9"/>
                <c:pt idx="0">
                  <c:v>19</c:v>
                </c:pt>
                <c:pt idx="3">
                  <c:v>3</c:v>
                </c:pt>
                <c:pt idx="6">
                  <c:v>1.5</c:v>
                </c:pt>
              </c:numCache>
            </c:numRef>
          </c:xVal>
          <c:yVal>
            <c:numRef>
              <c:f>Source!$N$6:$N$14</c:f>
              <c:numCache>
                <c:formatCode>General</c:formatCode>
                <c:ptCount val="9"/>
                <c:pt idx="0">
                  <c:v>1020</c:v>
                </c:pt>
                <c:pt idx="3">
                  <c:v>910</c:v>
                </c:pt>
                <c:pt idx="6">
                  <c:v>1260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EC8-4FE4-9D6C-CA01E81EEE2F}"/>
            </c:ext>
          </c:extLst>
        </c:ser>
        <c:ser>
          <c:idx val="7"/>
          <c:order val="1"/>
          <c:tx>
            <c:strRef>
              <c:f>Source!$H$15</c:f>
              <c:strCache>
                <c:ptCount val="1"/>
                <c:pt idx="0">
                  <c:v>19x0,4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Source!$M$15:$M$23</c:f>
              <c:numCache>
                <c:formatCode>General</c:formatCode>
                <c:ptCount val="9"/>
                <c:pt idx="0">
                  <c:v>19</c:v>
                </c:pt>
                <c:pt idx="3">
                  <c:v>3</c:v>
                </c:pt>
                <c:pt idx="6">
                  <c:v>1.5</c:v>
                </c:pt>
              </c:numCache>
            </c:numRef>
          </c:xVal>
          <c:yVal>
            <c:numRef>
              <c:f>Source!$N$15:$N$23</c:f>
              <c:numCache>
                <c:formatCode>General</c:formatCode>
                <c:ptCount val="9"/>
                <c:pt idx="0">
                  <c:v>620</c:v>
                </c:pt>
                <c:pt idx="3">
                  <c:v>900</c:v>
                </c:pt>
                <c:pt idx="6">
                  <c:v>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EC8-4FE4-9D6C-CA01E81EEE2F}"/>
            </c:ext>
          </c:extLst>
        </c:ser>
        <c:ser>
          <c:idx val="8"/>
          <c:order val="2"/>
          <c:tx>
            <c:strRef>
              <c:f>Source!$H$24</c:f>
              <c:strCache>
                <c:ptCount val="1"/>
                <c:pt idx="0">
                  <c:v>19x0,6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Source!$M$24:$M$32</c:f>
              <c:numCache>
                <c:formatCode>General</c:formatCode>
                <c:ptCount val="9"/>
                <c:pt idx="0">
                  <c:v>19</c:v>
                </c:pt>
                <c:pt idx="3">
                  <c:v>3</c:v>
                </c:pt>
                <c:pt idx="6">
                  <c:v>1.5</c:v>
                </c:pt>
              </c:numCache>
            </c:numRef>
          </c:xVal>
          <c:yVal>
            <c:numRef>
              <c:f>Source!$N$24:$N$32</c:f>
              <c:numCache>
                <c:formatCode>General</c:formatCode>
                <c:ptCount val="9"/>
                <c:pt idx="0">
                  <c:v>280</c:v>
                </c:pt>
                <c:pt idx="3">
                  <c:v>690</c:v>
                </c:pt>
                <c:pt idx="6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EC8-4FE4-9D6C-CA01E81E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3328"/>
        <c:axId val="601088408"/>
      </c:scatterChart>
      <c:valAx>
        <c:axId val="6010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Source!$G$1</c:f>
              <c:strCache>
                <c:ptCount val="1"/>
                <c:pt idx="0">
                  <c:v>Damage lenght [mm]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88408"/>
        <c:crosses val="autoZero"/>
        <c:crossBetween val="midCat"/>
      </c:valAx>
      <c:valAx>
        <c:axId val="601088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Burst Pressure [bar]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9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Pressão de estouro em função da espessura da parede da tubulação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3"/>
          <c:tx>
            <c:v>Desgaste 19mm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Dados!$H$4:$H$15</c:f>
              <c:numCache>
                <c:formatCode>_(* #,##0.00_);_(* \(#,##0.00\);_(* "-"??_);_(@_)</c:formatCode>
                <c:ptCount val="12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0.57100000000000017</c:v>
                </c:pt>
                <c:pt idx="4">
                  <c:v>0.621</c:v>
                </c:pt>
                <c:pt idx="5">
                  <c:v>0.58700000000000019</c:v>
                </c:pt>
                <c:pt idx="6">
                  <c:v>0.42500000000000027</c:v>
                </c:pt>
                <c:pt idx="7">
                  <c:v>0.37799999999999967</c:v>
                </c:pt>
                <c:pt idx="8">
                  <c:v>0.42300000000000049</c:v>
                </c:pt>
                <c:pt idx="9">
                  <c:v>0.2200000000000002</c:v>
                </c:pt>
                <c:pt idx="10">
                  <c:v>0.18699999999999983</c:v>
                </c:pt>
                <c:pt idx="11">
                  <c:v>0.21899999999999986</c:v>
                </c:pt>
              </c:numCache>
            </c:numRef>
          </c:xVal>
          <c:yVal>
            <c:numRef>
              <c:f>Dados!$L$4:$L$15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990</c:v>
                </c:pt>
                <c:pt idx="4">
                  <c:v>1020</c:v>
                </c:pt>
                <c:pt idx="5">
                  <c:v>1020</c:v>
                </c:pt>
                <c:pt idx="6">
                  <c:v>620</c:v>
                </c:pt>
                <c:pt idx="7">
                  <c:v>620</c:v>
                </c:pt>
                <c:pt idx="8">
                  <c:v>720</c:v>
                </c:pt>
                <c:pt idx="9">
                  <c:v>240</c:v>
                </c:pt>
                <c:pt idx="10">
                  <c:v>280</c:v>
                </c:pt>
                <c:pt idx="11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7-42D8-878B-1C1DCA7D7D48}"/>
            </c:ext>
          </c:extLst>
        </c:ser>
        <c:ser>
          <c:idx val="3"/>
          <c:order val="4"/>
          <c:tx>
            <c:v>Desgaste 3mm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(Dados!$H$4:$H$6,Dados!$H$18:$H$24)</c:f>
              <c:numCache>
                <c:formatCode>_(* #,##0.00_);_(* \(#,##0.00\);_(* "-"??_);_(@_)</c:formatCode>
                <c:ptCount val="10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0.56999999999999984</c:v>
                </c:pt>
                <c:pt idx="4">
                  <c:v>0.41999999999999948</c:v>
                </c:pt>
                <c:pt idx="5">
                  <c:v>0.4099999999999997</c:v>
                </c:pt>
                <c:pt idx="6">
                  <c:v>0.43000000000000016</c:v>
                </c:pt>
                <c:pt idx="7">
                  <c:v>0.30000000000000027</c:v>
                </c:pt>
                <c:pt idx="8">
                  <c:v>7.9999999999999627E-2</c:v>
                </c:pt>
                <c:pt idx="9">
                  <c:v>0.27</c:v>
                </c:pt>
              </c:numCache>
            </c:numRef>
          </c:xVal>
          <c:yVal>
            <c:numRef>
              <c:f>(Dados!$L$4:$L$6,Dados!$L$18:$L$24)</c:f>
              <c:numCache>
                <c:formatCode>General</c:formatCode>
                <c:ptCount val="10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1080</c:v>
                </c:pt>
                <c:pt idx="4">
                  <c:v>900</c:v>
                </c:pt>
                <c:pt idx="5">
                  <c:v>900</c:v>
                </c:pt>
                <c:pt idx="6">
                  <c:v>1000</c:v>
                </c:pt>
                <c:pt idx="7">
                  <c:v>690</c:v>
                </c:pt>
                <c:pt idx="8">
                  <c:v>200</c:v>
                </c:pt>
                <c:pt idx="9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7-42D8-878B-1C1DCA7D7D48}"/>
            </c:ext>
          </c:extLst>
        </c:ser>
        <c:ser>
          <c:idx val="1"/>
          <c:order val="5"/>
          <c:tx>
            <c:v>Média desgaste 19mm</c:v>
          </c:tx>
          <c:spPr>
            <a:ln w="34925" cap="rnd">
              <a:solidFill>
                <a:schemeClr val="bg1">
                  <a:lumMod val="9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6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bg1">
                    <a:lumMod val="9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Dados!$AG$4:$AG$7</c:f>
              <c:numCache>
                <c:formatCode>_(* #,##0.00_);_(* \(#,##0.00\);_(* "-"??_);_(@_)</c:formatCode>
                <c:ptCount val="4"/>
                <c:pt idx="0">
                  <c:v>0.81</c:v>
                </c:pt>
                <c:pt idx="1">
                  <c:v>0.59300000000000008</c:v>
                </c:pt>
                <c:pt idx="2">
                  <c:v>0.40866666666666679</c:v>
                </c:pt>
                <c:pt idx="3">
                  <c:v>0.20866666666666664</c:v>
                </c:pt>
              </c:numCache>
            </c:numRef>
          </c:xVal>
          <c:yVal>
            <c:numRef>
              <c:f>Dados!$AI$4:$AI$7</c:f>
              <c:numCache>
                <c:formatCode>_(* #,##0.00_);_(* \(#,##0.00\);_(* "-"??_);_(@_)</c:formatCode>
                <c:ptCount val="4"/>
                <c:pt idx="0">
                  <c:v>1220</c:v>
                </c:pt>
                <c:pt idx="1">
                  <c:v>1010</c:v>
                </c:pt>
                <c:pt idx="2">
                  <c:v>653.33333333333337</c:v>
                </c:pt>
                <c:pt idx="3">
                  <c:v>286.66666666666669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E7-42D8-878B-1C1DCA7D7D48}"/>
            </c:ext>
          </c:extLst>
        </c:ser>
        <c:ser>
          <c:idx val="4"/>
          <c:order val="6"/>
          <c:tx>
            <c:v>Média desgaste 3mm</c:v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FE7-42D8-878B-1C1DCA7D7D48}"/>
              </c:ext>
            </c:extLst>
          </c:dPt>
          <c:xVal>
            <c:numRef>
              <c:f>(Dados!$AG$4,Dados!$AG$8:$AG$10)</c:f>
              <c:numCache>
                <c:formatCode>_(* #,##0.00_);_(* \(#,##0.00\);_(* "-"??_);_(@_)</c:formatCode>
                <c:ptCount val="4"/>
                <c:pt idx="0">
                  <c:v>0.81</c:v>
                </c:pt>
                <c:pt idx="1">
                  <c:v>0.60333333333333339</c:v>
                </c:pt>
                <c:pt idx="2">
                  <c:v>0.41999999999999976</c:v>
                </c:pt>
                <c:pt idx="3">
                  <c:v>0.21666666666666665</c:v>
                </c:pt>
              </c:numCache>
            </c:numRef>
          </c:xVal>
          <c:yVal>
            <c:numRef>
              <c:f>(Dados!$AI$4,Dados!$AI$8:$AI$10)</c:f>
              <c:numCache>
                <c:formatCode>_(* #,##0.00_);_(* \(#,##0.00\);_(* "-"??_);_(@_)</c:formatCode>
                <c:ptCount val="4"/>
                <c:pt idx="0">
                  <c:v>1220</c:v>
                </c:pt>
                <c:pt idx="1">
                  <c:v>963.33333333333337</c:v>
                </c:pt>
                <c:pt idx="2">
                  <c:v>933.33333333333337</c:v>
                </c:pt>
                <c:pt idx="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E7-42D8-878B-1C1DCA7D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3328"/>
        <c:axId val="601088408"/>
      </c:scatterChart>
      <c:scatterChart>
        <c:scatterStyle val="lineMarker"/>
        <c:varyColors val="0"/>
        <c:ser>
          <c:idx val="0"/>
          <c:order val="0"/>
          <c:tx>
            <c:v>Sem Dobras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00B050">
                  <a:alpha val="50000"/>
                </a:srgbClr>
              </a:solidFill>
              <a:ln w="9525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Dados!$H$4:$H$6</c:f>
              <c:numCache>
                <c:formatCode>_(* #,##0.00_);_(* \(#,##0.00\);_(* "-"??_);_(@_)</c:formatCode>
                <c:ptCount val="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</c:numCache>
            </c:numRef>
          </c:xVal>
          <c:yVal>
            <c:numRef>
              <c:f>Dados!$L$4:$L$6</c:f>
              <c:numCache>
                <c:formatCode>General</c:formatCode>
                <c:ptCount val="3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E7-42D8-878B-1C1DCA7D7D48}"/>
            </c:ext>
          </c:extLst>
        </c:ser>
        <c:ser>
          <c:idx val="5"/>
          <c:order val="1"/>
          <c:tx>
            <c:v>1 dobra 90°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accent2">
                  <a:lumMod val="50000"/>
                  <a:alpha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Dados!$H$34:$H$36</c:f>
              <c:numCache>
                <c:formatCode>_(* #,##0.00_);_(* \(#,##0.00\);_(* "-"??_);_(@_)</c:formatCode>
                <c:ptCount val="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</c:numCache>
            </c:numRef>
          </c:xVal>
          <c:yVal>
            <c:numRef>
              <c:f>Dados!$L$34:$L$36</c:f>
              <c:numCache>
                <c:formatCode>General</c:formatCode>
                <c:ptCount val="3"/>
                <c:pt idx="0">
                  <c:v>1240</c:v>
                </c:pt>
                <c:pt idx="1">
                  <c:v>1240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E7-42D8-878B-1C1DCA7D7D48}"/>
            </c:ext>
          </c:extLst>
        </c:ser>
        <c:ser>
          <c:idx val="6"/>
          <c:order val="2"/>
          <c:tx>
            <c:v>2 dobras 90°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FF0000">
                  <a:alpha val="50000"/>
                </a:srgbClr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Dados!$H$37:$H$39</c:f>
              <c:numCache>
                <c:formatCode>_(* #,##0.00_);_(* \(#,##0.00\);_(* "-"??_);_(@_)</c:formatCode>
                <c:ptCount val="3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</c:numCache>
            </c:numRef>
          </c:xVal>
          <c:yVal>
            <c:numRef>
              <c:f>Dados!$L$37:$L$39</c:f>
              <c:numCache>
                <c:formatCode>General</c:formatCode>
                <c:ptCount val="3"/>
                <c:pt idx="0">
                  <c:v>1210</c:v>
                </c:pt>
                <c:pt idx="1">
                  <c:v>1200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E7-42D8-878B-1C1DCA7D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0688"/>
        <c:axId val="824429704"/>
      </c:scatterChart>
      <c:valAx>
        <c:axId val="601093328"/>
        <c:scaling>
          <c:orientation val="minMax"/>
          <c:max val="0.75000000000000011"/>
          <c:min val="-5.000000000000001E-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Dados!$H$2</c:f>
              <c:strCache>
                <c:ptCount val="1"/>
                <c:pt idx="0">
                  <c:v>Espessura teórica [mm]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88408"/>
        <c:crosses val="autoZero"/>
        <c:crossBetween val="midCat"/>
      </c:valAx>
      <c:valAx>
        <c:axId val="601088408"/>
        <c:scaling>
          <c:orientation val="minMax"/>
          <c:max val="12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[bar]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93328"/>
        <c:crosses val="autoZero"/>
        <c:crossBetween val="midCat"/>
      </c:valAx>
      <c:valAx>
        <c:axId val="824429704"/>
        <c:scaling>
          <c:orientation val="minMax"/>
          <c:min val="119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por variação de No. De dobras [bar]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430688"/>
        <c:crosses val="max"/>
        <c:crossBetween val="midCat"/>
      </c:valAx>
      <c:valAx>
        <c:axId val="824430688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out"/>
        <c:minorTickMark val="none"/>
        <c:tickLblPos val="nextTo"/>
        <c:crossAx val="82442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Pressão de estouro em função do diâmetro</a:t>
            </a:r>
            <a:r>
              <a:rPr lang="en-US" baseline="0"/>
              <a:t> </a:t>
            </a:r>
            <a:r>
              <a:rPr lang="en-US"/>
              <a:t>da tubulação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3"/>
          <c:tx>
            <c:v>Desgaste 19mm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Dados!$F$4:$F$15</c:f>
              <c:numCache>
                <c:formatCode>_(* #,##0.00_);_(* \(#,##0.00\);_(* "-"??_);_(@_)</c:formatCode>
                <c:ptCount val="12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  <c:pt idx="3">
                  <c:v>4.508</c:v>
                </c:pt>
                <c:pt idx="4">
                  <c:v>4.5789999999999997</c:v>
                </c:pt>
                <c:pt idx="5">
                  <c:v>4.5289999999999999</c:v>
                </c:pt>
                <c:pt idx="6">
                  <c:v>4.3390000000000004</c:v>
                </c:pt>
                <c:pt idx="7">
                  <c:v>4.3369999999999997</c:v>
                </c:pt>
                <c:pt idx="8">
                  <c:v>4.3570000000000002</c:v>
                </c:pt>
                <c:pt idx="9">
                  <c:v>4.1500000000000004</c:v>
                </c:pt>
                <c:pt idx="10">
                  <c:v>4.1459999999999999</c:v>
                </c:pt>
                <c:pt idx="11">
                  <c:v>4.1890000000000001</c:v>
                </c:pt>
              </c:numCache>
            </c:numRef>
          </c:xVal>
          <c:yVal>
            <c:numRef>
              <c:f>Dados!$L$4:$L$15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990</c:v>
                </c:pt>
                <c:pt idx="4">
                  <c:v>1020</c:v>
                </c:pt>
                <c:pt idx="5">
                  <c:v>1020</c:v>
                </c:pt>
                <c:pt idx="6">
                  <c:v>620</c:v>
                </c:pt>
                <c:pt idx="7">
                  <c:v>620</c:v>
                </c:pt>
                <c:pt idx="8">
                  <c:v>720</c:v>
                </c:pt>
                <c:pt idx="9">
                  <c:v>240</c:v>
                </c:pt>
                <c:pt idx="10">
                  <c:v>280</c:v>
                </c:pt>
                <c:pt idx="11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9-47A5-8753-26E01D4E4AC6}"/>
            </c:ext>
          </c:extLst>
        </c:ser>
        <c:ser>
          <c:idx val="3"/>
          <c:order val="4"/>
          <c:tx>
            <c:v>Desgaste 3mm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(Dados!$F$4:$F$6,Dados!$F$16:$F$24)</c:f>
              <c:numCache>
                <c:formatCode>_(* #,##0.00_);_(* \(#,##0.00\);_(* "-"??_);_(@_)</c:formatCode>
                <c:ptCount val="12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  <c:pt idx="3">
                  <c:v>4.53</c:v>
                </c:pt>
                <c:pt idx="4">
                  <c:v>4.4800000000000004</c:v>
                </c:pt>
                <c:pt idx="5">
                  <c:v>4.45</c:v>
                </c:pt>
                <c:pt idx="6">
                  <c:v>4.3</c:v>
                </c:pt>
                <c:pt idx="7">
                  <c:v>4.3</c:v>
                </c:pt>
                <c:pt idx="8">
                  <c:v>4.3600000000000003</c:v>
                </c:pt>
                <c:pt idx="9">
                  <c:v>4.21</c:v>
                </c:pt>
                <c:pt idx="10">
                  <c:v>3.96</c:v>
                </c:pt>
                <c:pt idx="11">
                  <c:v>4.22</c:v>
                </c:pt>
              </c:numCache>
            </c:numRef>
          </c:xVal>
          <c:yVal>
            <c:numRef>
              <c:f>(Dados!$L$4:$L$6,Dados!$L$16:$L$24)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900</c:v>
                </c:pt>
                <c:pt idx="4">
                  <c:v>910</c:v>
                </c:pt>
                <c:pt idx="5">
                  <c:v>1080</c:v>
                </c:pt>
                <c:pt idx="6">
                  <c:v>900</c:v>
                </c:pt>
                <c:pt idx="7">
                  <c:v>900</c:v>
                </c:pt>
                <c:pt idx="8">
                  <c:v>1000</c:v>
                </c:pt>
                <c:pt idx="9">
                  <c:v>690</c:v>
                </c:pt>
                <c:pt idx="10">
                  <c:v>200</c:v>
                </c:pt>
                <c:pt idx="11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9-47A5-8753-26E01D4E4AC6}"/>
            </c:ext>
          </c:extLst>
        </c:ser>
        <c:ser>
          <c:idx val="1"/>
          <c:order val="5"/>
          <c:tx>
            <c:v>Média desgaste 19mm</c:v>
          </c:tx>
          <c:spPr>
            <a:ln w="34925" cap="rnd">
              <a:solidFill>
                <a:schemeClr val="bg1">
                  <a:lumMod val="9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Dados!$AF$4:$AF$7</c:f>
              <c:numCache>
                <c:formatCode>_(* #,##0.00_);_(* \(#,##0.00\);_(* "-"??_);_(@_)</c:formatCode>
                <c:ptCount val="4"/>
                <c:pt idx="0">
                  <c:v>4.7766666666666664</c:v>
                </c:pt>
                <c:pt idx="1">
                  <c:v>4.5386666666666668</c:v>
                </c:pt>
                <c:pt idx="2">
                  <c:v>4.344333333333334</c:v>
                </c:pt>
                <c:pt idx="3">
                  <c:v>4.1616666666666662</c:v>
                </c:pt>
              </c:numCache>
            </c:numRef>
          </c:xVal>
          <c:yVal>
            <c:numRef>
              <c:f>Dados!$AI$4:$AI$7</c:f>
              <c:numCache>
                <c:formatCode>_(* #,##0.00_);_(* \(#,##0.00\);_(* "-"??_);_(@_)</c:formatCode>
                <c:ptCount val="4"/>
                <c:pt idx="0">
                  <c:v>1220</c:v>
                </c:pt>
                <c:pt idx="1">
                  <c:v>1010</c:v>
                </c:pt>
                <c:pt idx="2">
                  <c:v>653.33333333333337</c:v>
                </c:pt>
                <c:pt idx="3">
                  <c:v>286.66666666666669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9-47A5-8753-26E01D4E4AC6}"/>
            </c:ext>
          </c:extLst>
        </c:ser>
        <c:ser>
          <c:idx val="4"/>
          <c:order val="6"/>
          <c:tx>
            <c:v>Média desgaste 3mm</c:v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(Dados!$AF$4,Dados!$AF$8:$AF$10)</c:f>
              <c:numCache>
                <c:formatCode>_(* #,##0.00_);_(* \(#,##0.00\);_(* "-"??_);_(@_)</c:formatCode>
                <c:ptCount val="4"/>
                <c:pt idx="0">
                  <c:v>4.7766666666666664</c:v>
                </c:pt>
                <c:pt idx="1">
                  <c:v>4.4866666666666672</c:v>
                </c:pt>
                <c:pt idx="2">
                  <c:v>4.32</c:v>
                </c:pt>
                <c:pt idx="3">
                  <c:v>4.13</c:v>
                </c:pt>
              </c:numCache>
            </c:numRef>
          </c:xVal>
          <c:yVal>
            <c:numRef>
              <c:f>(Dados!$AI$4,Dados!$AI$8:$AI$10)</c:f>
              <c:numCache>
                <c:formatCode>_(* #,##0.00_);_(* \(#,##0.00\);_(* "-"??_);_(@_)</c:formatCode>
                <c:ptCount val="4"/>
                <c:pt idx="0">
                  <c:v>1220</c:v>
                </c:pt>
                <c:pt idx="1">
                  <c:v>963.33333333333337</c:v>
                </c:pt>
                <c:pt idx="2">
                  <c:v>933.33333333333337</c:v>
                </c:pt>
                <c:pt idx="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09-47A5-8753-26E01D4E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3328"/>
        <c:axId val="601088408"/>
      </c:scatterChart>
      <c:scatterChart>
        <c:scatterStyle val="lineMarker"/>
        <c:varyColors val="0"/>
        <c:ser>
          <c:idx val="0"/>
          <c:order val="0"/>
          <c:tx>
            <c:v>Sem Dobras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00B050">
                  <a:alpha val="50000"/>
                </a:srgbClr>
              </a:solidFill>
              <a:ln w="9525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Dados!$F$4:$F$6</c:f>
              <c:numCache>
                <c:formatCode>_(* #,##0.00_);_(* \(#,##0.00\);_(* "-"??_);_(@_)</c:formatCode>
                <c:ptCount val="3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</c:numCache>
            </c:numRef>
          </c:xVal>
          <c:yVal>
            <c:numRef>
              <c:f>Dados!$L$4:$L$6</c:f>
              <c:numCache>
                <c:formatCode>General</c:formatCode>
                <c:ptCount val="3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09-47A5-8753-26E01D4E4AC6}"/>
            </c:ext>
          </c:extLst>
        </c:ser>
        <c:ser>
          <c:idx val="5"/>
          <c:order val="1"/>
          <c:tx>
            <c:v>1 dobra 90°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accent2">
                  <a:lumMod val="50000"/>
                  <a:alpha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Dados!$F$34:$F$36</c:f>
              <c:numCache>
                <c:formatCode>_(* #,##0.00_);_(* \(#,##0.00\);_(* "-"??_);_(@_)</c:formatCode>
                <c:ptCount val="3"/>
                <c:pt idx="0">
                  <c:v>4.7149999999999999</c:v>
                </c:pt>
                <c:pt idx="1">
                  <c:v>4.742</c:v>
                </c:pt>
                <c:pt idx="2">
                  <c:v>4.734</c:v>
                </c:pt>
              </c:numCache>
            </c:numRef>
          </c:xVal>
          <c:yVal>
            <c:numRef>
              <c:f>Dados!$L$34:$L$36</c:f>
              <c:numCache>
                <c:formatCode>General</c:formatCode>
                <c:ptCount val="3"/>
                <c:pt idx="0">
                  <c:v>1240</c:v>
                </c:pt>
                <c:pt idx="1">
                  <c:v>1240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09-47A5-8753-26E01D4E4AC6}"/>
            </c:ext>
          </c:extLst>
        </c:ser>
        <c:ser>
          <c:idx val="6"/>
          <c:order val="2"/>
          <c:tx>
            <c:v>2 dobras 90°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FF0000">
                  <a:alpha val="50000"/>
                </a:srgbClr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Dados!$F$37:$F$39</c:f>
              <c:numCache>
                <c:formatCode>_(* #,##0.00_);_(* \(#,##0.00\);_(* "-"??_);_(@_)</c:formatCode>
                <c:ptCount val="3"/>
                <c:pt idx="0">
                  <c:v>4.7839999999999998</c:v>
                </c:pt>
                <c:pt idx="1">
                  <c:v>4.7839999999999998</c:v>
                </c:pt>
                <c:pt idx="2">
                  <c:v>4.7640000000000002</c:v>
                </c:pt>
              </c:numCache>
            </c:numRef>
          </c:xVal>
          <c:yVal>
            <c:numRef>
              <c:f>Dados!$L$37:$L$39</c:f>
              <c:numCache>
                <c:formatCode>General</c:formatCode>
                <c:ptCount val="3"/>
                <c:pt idx="0">
                  <c:v>1210</c:v>
                </c:pt>
                <c:pt idx="1">
                  <c:v>1200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09-47A5-8753-26E01D4E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0688"/>
        <c:axId val="824429704"/>
      </c:scatterChart>
      <c:valAx>
        <c:axId val="601093328"/>
        <c:scaling>
          <c:orientation val="minMax"/>
          <c:max val="4.8499999999999996"/>
          <c:min val="3.9499999999999997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Dados!$F$2</c:f>
              <c:strCache>
                <c:ptCount val="1"/>
                <c:pt idx="0">
                  <c:v>Øexterno após desgaste [mm]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88408"/>
        <c:crosses val="autoZero"/>
        <c:crossBetween val="midCat"/>
      </c:valAx>
      <c:valAx>
        <c:axId val="601088408"/>
        <c:scaling>
          <c:orientation val="minMax"/>
          <c:max val="12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[bar]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93328"/>
        <c:crosses val="autoZero"/>
        <c:crossBetween val="midCat"/>
      </c:valAx>
      <c:valAx>
        <c:axId val="824429704"/>
        <c:scaling>
          <c:orientation val="minMax"/>
          <c:min val="119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por variação de No. De dobras [bar]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430688"/>
        <c:crosses val="max"/>
        <c:crossBetween val="midCat"/>
      </c:valAx>
      <c:valAx>
        <c:axId val="824430688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out"/>
        <c:minorTickMark val="none"/>
        <c:tickLblPos val="nextTo"/>
        <c:crossAx val="82442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Pressão de estouro em função do diâmetro</a:t>
            </a:r>
            <a:r>
              <a:rPr lang="en-US" baseline="0"/>
              <a:t> </a:t>
            </a:r>
            <a:r>
              <a:rPr lang="en-US"/>
              <a:t>da tubulação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3"/>
          <c:tx>
            <c:v>Desgaste 19mm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Dados!$F$4:$F$15</c:f>
              <c:numCache>
                <c:formatCode>_(* #,##0.00_);_(* \(#,##0.00\);_(* "-"??_);_(@_)</c:formatCode>
                <c:ptCount val="12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  <c:pt idx="3">
                  <c:v>4.508</c:v>
                </c:pt>
                <c:pt idx="4">
                  <c:v>4.5789999999999997</c:v>
                </c:pt>
                <c:pt idx="5">
                  <c:v>4.5289999999999999</c:v>
                </c:pt>
                <c:pt idx="6">
                  <c:v>4.3390000000000004</c:v>
                </c:pt>
                <c:pt idx="7">
                  <c:v>4.3369999999999997</c:v>
                </c:pt>
                <c:pt idx="8">
                  <c:v>4.3570000000000002</c:v>
                </c:pt>
                <c:pt idx="9">
                  <c:v>4.1500000000000004</c:v>
                </c:pt>
                <c:pt idx="10">
                  <c:v>4.1459999999999999</c:v>
                </c:pt>
                <c:pt idx="11">
                  <c:v>4.1890000000000001</c:v>
                </c:pt>
              </c:numCache>
            </c:numRef>
          </c:xVal>
          <c:yVal>
            <c:numRef>
              <c:f>Dados!$L$4:$L$15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990</c:v>
                </c:pt>
                <c:pt idx="4">
                  <c:v>1020</c:v>
                </c:pt>
                <c:pt idx="5">
                  <c:v>1020</c:v>
                </c:pt>
                <c:pt idx="6">
                  <c:v>620</c:v>
                </c:pt>
                <c:pt idx="7">
                  <c:v>620</c:v>
                </c:pt>
                <c:pt idx="8">
                  <c:v>720</c:v>
                </c:pt>
                <c:pt idx="9">
                  <c:v>240</c:v>
                </c:pt>
                <c:pt idx="10">
                  <c:v>280</c:v>
                </c:pt>
                <c:pt idx="11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C-42BB-B21D-B700E6C4E2C2}"/>
            </c:ext>
          </c:extLst>
        </c:ser>
        <c:ser>
          <c:idx val="3"/>
          <c:order val="4"/>
          <c:tx>
            <c:v>Desgaste 3mm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(Dados!$F$18:$F$24,Dados!$F$4:$F$6)</c:f>
              <c:numCache>
                <c:formatCode>_(* #,##0.00_);_(* \(#,##0.00\);_(* "-"??_);_(@_)</c:formatCode>
                <c:ptCount val="10"/>
                <c:pt idx="0">
                  <c:v>4.45</c:v>
                </c:pt>
                <c:pt idx="1">
                  <c:v>4.3</c:v>
                </c:pt>
                <c:pt idx="2">
                  <c:v>4.3</c:v>
                </c:pt>
                <c:pt idx="3">
                  <c:v>4.3600000000000003</c:v>
                </c:pt>
                <c:pt idx="4">
                  <c:v>4.21</c:v>
                </c:pt>
                <c:pt idx="5">
                  <c:v>3.96</c:v>
                </c:pt>
                <c:pt idx="6">
                  <c:v>4.22</c:v>
                </c:pt>
                <c:pt idx="7">
                  <c:v>4.76</c:v>
                </c:pt>
                <c:pt idx="8">
                  <c:v>4.7699999999999996</c:v>
                </c:pt>
                <c:pt idx="9">
                  <c:v>4.8</c:v>
                </c:pt>
              </c:numCache>
            </c:numRef>
          </c:xVal>
          <c:yVal>
            <c:numRef>
              <c:f>(Dados!$L$18:$L$24,Dados!$L$4:$L$6)</c:f>
              <c:numCache>
                <c:formatCode>General</c:formatCode>
                <c:ptCount val="10"/>
                <c:pt idx="0">
                  <c:v>1080</c:v>
                </c:pt>
                <c:pt idx="1">
                  <c:v>900</c:v>
                </c:pt>
                <c:pt idx="2">
                  <c:v>900</c:v>
                </c:pt>
                <c:pt idx="3">
                  <c:v>1000</c:v>
                </c:pt>
                <c:pt idx="4">
                  <c:v>690</c:v>
                </c:pt>
                <c:pt idx="5">
                  <c:v>200</c:v>
                </c:pt>
                <c:pt idx="6">
                  <c:v>760</c:v>
                </c:pt>
                <c:pt idx="7">
                  <c:v>1240</c:v>
                </c:pt>
                <c:pt idx="8">
                  <c:v>1220</c:v>
                </c:pt>
                <c:pt idx="9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DC-42BB-B21D-B700E6C4E2C2}"/>
            </c:ext>
          </c:extLst>
        </c:ser>
        <c:ser>
          <c:idx val="1"/>
          <c:order val="5"/>
          <c:tx>
            <c:v>Média desgaste 19mm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Dados!$AF$4:$AF$7</c:f>
              <c:numCache>
                <c:formatCode>_(* #,##0.00_);_(* \(#,##0.00\);_(* "-"??_);_(@_)</c:formatCode>
                <c:ptCount val="4"/>
                <c:pt idx="0">
                  <c:v>4.7766666666666664</c:v>
                </c:pt>
                <c:pt idx="1">
                  <c:v>4.5386666666666668</c:v>
                </c:pt>
                <c:pt idx="2">
                  <c:v>4.344333333333334</c:v>
                </c:pt>
                <c:pt idx="3">
                  <c:v>4.1616666666666662</c:v>
                </c:pt>
              </c:numCache>
            </c:numRef>
          </c:xVal>
          <c:yVal>
            <c:numRef>
              <c:f>Dados!$AI$4:$AI$7</c:f>
              <c:numCache>
                <c:formatCode>_(* #,##0.00_);_(* \(#,##0.00\);_(* "-"??_);_(@_)</c:formatCode>
                <c:ptCount val="4"/>
                <c:pt idx="0">
                  <c:v>1220</c:v>
                </c:pt>
                <c:pt idx="1">
                  <c:v>1010</c:v>
                </c:pt>
                <c:pt idx="2">
                  <c:v>653.33333333333337</c:v>
                </c:pt>
                <c:pt idx="3">
                  <c:v>286.66666666666669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DC-42BB-B21D-B700E6C4E2C2}"/>
            </c:ext>
          </c:extLst>
        </c:ser>
        <c:ser>
          <c:idx val="4"/>
          <c:order val="6"/>
          <c:tx>
            <c:v>Média desgaste 3mm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(Dados!$AF$4,Dados!$AF$8:$AF$10)</c:f>
              <c:numCache>
                <c:formatCode>_(* #,##0.00_);_(* \(#,##0.00\);_(* "-"??_);_(@_)</c:formatCode>
                <c:ptCount val="4"/>
                <c:pt idx="0">
                  <c:v>4.7766666666666664</c:v>
                </c:pt>
                <c:pt idx="1">
                  <c:v>4.4866666666666672</c:v>
                </c:pt>
                <c:pt idx="2">
                  <c:v>4.32</c:v>
                </c:pt>
                <c:pt idx="3">
                  <c:v>4.13</c:v>
                </c:pt>
              </c:numCache>
            </c:numRef>
          </c:xVal>
          <c:yVal>
            <c:numRef>
              <c:f>(Dados!$AI$4,Dados!$AI$8:$AI$10)</c:f>
              <c:numCache>
                <c:formatCode>_(* #,##0.00_);_(* \(#,##0.00\);_(* "-"??_);_(@_)</c:formatCode>
                <c:ptCount val="4"/>
                <c:pt idx="0">
                  <c:v>1220</c:v>
                </c:pt>
                <c:pt idx="1">
                  <c:v>963.33333333333337</c:v>
                </c:pt>
                <c:pt idx="2">
                  <c:v>933.33333333333337</c:v>
                </c:pt>
                <c:pt idx="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DC-42BB-B21D-B700E6C4E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3328"/>
        <c:axId val="601088408"/>
      </c:scatterChart>
      <c:scatterChart>
        <c:scatterStyle val="lineMarker"/>
        <c:varyColors val="0"/>
        <c:ser>
          <c:idx val="0"/>
          <c:order val="0"/>
          <c:tx>
            <c:v>Sem Dobras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00B050">
                  <a:alpha val="50000"/>
                </a:srgbClr>
              </a:solidFill>
              <a:ln w="9525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Dados!$F$4:$F$6</c:f>
              <c:numCache>
                <c:formatCode>_(* #,##0.00_);_(* \(#,##0.00\);_(* "-"??_);_(@_)</c:formatCode>
                <c:ptCount val="3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</c:numCache>
            </c:numRef>
          </c:xVal>
          <c:yVal>
            <c:numRef>
              <c:f>Dados!$L$4:$L$6</c:f>
              <c:numCache>
                <c:formatCode>General</c:formatCode>
                <c:ptCount val="3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DC-42BB-B21D-B700E6C4E2C2}"/>
            </c:ext>
          </c:extLst>
        </c:ser>
        <c:ser>
          <c:idx val="5"/>
          <c:order val="1"/>
          <c:tx>
            <c:v>1 dobra 90°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accent2">
                  <a:lumMod val="50000"/>
                  <a:alpha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Dados!$F$34:$F$36</c:f>
              <c:numCache>
                <c:formatCode>_(* #,##0.00_);_(* \(#,##0.00\);_(* "-"??_);_(@_)</c:formatCode>
                <c:ptCount val="3"/>
                <c:pt idx="0">
                  <c:v>4.7149999999999999</c:v>
                </c:pt>
                <c:pt idx="1">
                  <c:v>4.742</c:v>
                </c:pt>
                <c:pt idx="2">
                  <c:v>4.734</c:v>
                </c:pt>
              </c:numCache>
            </c:numRef>
          </c:xVal>
          <c:yVal>
            <c:numRef>
              <c:f>Dados!$L$34:$L$36</c:f>
              <c:numCache>
                <c:formatCode>General</c:formatCode>
                <c:ptCount val="3"/>
                <c:pt idx="0">
                  <c:v>1240</c:v>
                </c:pt>
                <c:pt idx="1">
                  <c:v>1240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DC-42BB-B21D-B700E6C4E2C2}"/>
            </c:ext>
          </c:extLst>
        </c:ser>
        <c:ser>
          <c:idx val="6"/>
          <c:order val="2"/>
          <c:tx>
            <c:v>2 dobras 90°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FF0000">
                  <a:alpha val="50000"/>
                </a:srgbClr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Dados!$F$37:$F$39</c:f>
              <c:numCache>
                <c:formatCode>_(* #,##0.00_);_(* \(#,##0.00\);_(* "-"??_);_(@_)</c:formatCode>
                <c:ptCount val="3"/>
                <c:pt idx="0">
                  <c:v>4.7839999999999998</c:v>
                </c:pt>
                <c:pt idx="1">
                  <c:v>4.7839999999999998</c:v>
                </c:pt>
                <c:pt idx="2">
                  <c:v>4.7640000000000002</c:v>
                </c:pt>
              </c:numCache>
            </c:numRef>
          </c:xVal>
          <c:yVal>
            <c:numRef>
              <c:f>Dados!$L$37:$L$39</c:f>
              <c:numCache>
                <c:formatCode>General</c:formatCode>
                <c:ptCount val="3"/>
                <c:pt idx="0">
                  <c:v>1210</c:v>
                </c:pt>
                <c:pt idx="1">
                  <c:v>1200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DC-42BB-B21D-B700E6C4E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0688"/>
        <c:axId val="824429704"/>
      </c:scatterChart>
      <c:valAx>
        <c:axId val="601093328"/>
        <c:scaling>
          <c:orientation val="minMax"/>
          <c:max val="4.8499999999999996"/>
          <c:min val="3.9499999999999997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Dados!$F$2</c:f>
              <c:strCache>
                <c:ptCount val="1"/>
                <c:pt idx="0">
                  <c:v>Øexterno após desgaste [mm]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88408"/>
        <c:crosses val="autoZero"/>
        <c:crossBetween val="midCat"/>
      </c:valAx>
      <c:valAx>
        <c:axId val="601088408"/>
        <c:scaling>
          <c:orientation val="minMax"/>
          <c:max val="12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[bar]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93328"/>
        <c:crosses val="autoZero"/>
        <c:crossBetween val="midCat"/>
      </c:valAx>
      <c:valAx>
        <c:axId val="824429704"/>
        <c:scaling>
          <c:orientation val="minMax"/>
          <c:min val="119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por variação de No. De dobras [bar]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430688"/>
        <c:crosses val="max"/>
        <c:crossBetween val="midCat"/>
      </c:valAx>
      <c:valAx>
        <c:axId val="824430688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out"/>
        <c:minorTickMark val="none"/>
        <c:tickLblPos val="nextTo"/>
        <c:crossAx val="82442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Pressão de estouro em função de</a:t>
            </a:r>
            <a:r>
              <a:rPr lang="en-US" baseline="0"/>
              <a:t> número de dobras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Sem Dobras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00B050">
                  <a:alpha val="50000"/>
                </a:srgbClr>
              </a:solidFill>
              <a:ln w="9525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Dados!$F$4:$F$6</c:f>
              <c:numCache>
                <c:formatCode>_(* #,##0.00_);_(* \(#,##0.00\);_(* "-"??_);_(@_)</c:formatCode>
                <c:ptCount val="3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</c:numCache>
            </c:numRef>
          </c:xVal>
          <c:yVal>
            <c:numRef>
              <c:f>Dados!$L$4:$L$6</c:f>
              <c:numCache>
                <c:formatCode>General</c:formatCode>
                <c:ptCount val="3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6D-4FB8-8840-17F3B1FC7C21}"/>
            </c:ext>
          </c:extLst>
        </c:ser>
        <c:ser>
          <c:idx val="5"/>
          <c:order val="1"/>
          <c:tx>
            <c:v>1 dobra 90°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accent2">
                  <a:lumMod val="50000"/>
                  <a:alpha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Dados!$F$34:$F$36</c:f>
              <c:numCache>
                <c:formatCode>_(* #,##0.00_);_(* \(#,##0.00\);_(* "-"??_);_(@_)</c:formatCode>
                <c:ptCount val="3"/>
                <c:pt idx="0">
                  <c:v>4.7149999999999999</c:v>
                </c:pt>
                <c:pt idx="1">
                  <c:v>4.742</c:v>
                </c:pt>
                <c:pt idx="2">
                  <c:v>4.734</c:v>
                </c:pt>
              </c:numCache>
            </c:numRef>
          </c:xVal>
          <c:yVal>
            <c:numRef>
              <c:f>Dados!$L$34:$L$36</c:f>
              <c:numCache>
                <c:formatCode>General</c:formatCode>
                <c:ptCount val="3"/>
                <c:pt idx="0">
                  <c:v>1240</c:v>
                </c:pt>
                <c:pt idx="1">
                  <c:v>1240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6D-4FB8-8840-17F3B1FC7C21}"/>
            </c:ext>
          </c:extLst>
        </c:ser>
        <c:ser>
          <c:idx val="6"/>
          <c:order val="2"/>
          <c:tx>
            <c:v>2 dobras 90°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FF0000">
                  <a:alpha val="50000"/>
                </a:srgbClr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Dados!$F$37:$F$39</c:f>
              <c:numCache>
                <c:formatCode>_(* #,##0.00_);_(* \(#,##0.00\);_(* "-"??_);_(@_)</c:formatCode>
                <c:ptCount val="3"/>
                <c:pt idx="0">
                  <c:v>4.7839999999999998</c:v>
                </c:pt>
                <c:pt idx="1">
                  <c:v>4.7839999999999998</c:v>
                </c:pt>
                <c:pt idx="2">
                  <c:v>4.7640000000000002</c:v>
                </c:pt>
              </c:numCache>
            </c:numRef>
          </c:xVal>
          <c:yVal>
            <c:numRef>
              <c:f>Dados!$L$37:$L$39</c:f>
              <c:numCache>
                <c:formatCode>General</c:formatCode>
                <c:ptCount val="3"/>
                <c:pt idx="0">
                  <c:v>1210</c:v>
                </c:pt>
                <c:pt idx="1">
                  <c:v>1200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6D-4FB8-8840-17F3B1FC7C21}"/>
            </c:ext>
          </c:extLst>
        </c:ser>
        <c:ser>
          <c:idx val="1"/>
          <c:order val="3"/>
          <c:tx>
            <c:v>2 dobras 90°+4 dobras 180°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FFC000">
                  <a:alpha val="50000"/>
                </a:srgbClr>
              </a:solidFill>
              <a:ln w="9525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Dados!$F$40:$F$42</c:f>
              <c:numCache>
                <c:formatCode>_(* #,##0.00_);_(* \(#,##0.00\);_(* "-"??_);_(@_)</c:formatCode>
                <c:ptCount val="3"/>
                <c:pt idx="0">
                  <c:v>4.74</c:v>
                </c:pt>
                <c:pt idx="1">
                  <c:v>4.72</c:v>
                </c:pt>
                <c:pt idx="2">
                  <c:v>4.7699999999999996</c:v>
                </c:pt>
              </c:numCache>
            </c:numRef>
          </c:xVal>
          <c:yVal>
            <c:numRef>
              <c:f>Dados!$L$40:$L$42</c:f>
              <c:numCache>
                <c:formatCode>General</c:formatCode>
                <c:ptCount val="3"/>
                <c:pt idx="0">
                  <c:v>1260</c:v>
                </c:pt>
                <c:pt idx="1">
                  <c:v>1200</c:v>
                </c:pt>
                <c:pt idx="2">
                  <c:v>1340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E-4579-B9EF-8A9006DAE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3328"/>
        <c:axId val="601088408"/>
      </c:scatterChart>
      <c:valAx>
        <c:axId val="601093328"/>
        <c:scaling>
          <c:orientation val="minMax"/>
          <c:max val="4.8199999999999994"/>
          <c:min val="4.7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Dados!$E$2</c:f>
              <c:strCache>
                <c:ptCount val="1"/>
                <c:pt idx="0">
                  <c:v>Øexterno inicial [mm]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88408"/>
        <c:crosses val="autoZero"/>
        <c:crossBetween val="midCat"/>
      </c:valAx>
      <c:valAx>
        <c:axId val="601088408"/>
        <c:scaling>
          <c:orientation val="minMax"/>
          <c:max val="1350"/>
          <c:min val="119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[bar]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9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Pressão de estouro em função da espessura da parede da tubulação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Desgaste 19mm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Dados!$H$4:$H$15</c:f>
              <c:numCache>
                <c:formatCode>_(* #,##0.00_);_(* \(#,##0.00\);_(* "-"??_);_(@_)</c:formatCode>
                <c:ptCount val="12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0.57100000000000017</c:v>
                </c:pt>
                <c:pt idx="4">
                  <c:v>0.621</c:v>
                </c:pt>
                <c:pt idx="5">
                  <c:v>0.58700000000000019</c:v>
                </c:pt>
                <c:pt idx="6">
                  <c:v>0.42500000000000027</c:v>
                </c:pt>
                <c:pt idx="7">
                  <c:v>0.37799999999999967</c:v>
                </c:pt>
                <c:pt idx="8">
                  <c:v>0.42300000000000049</c:v>
                </c:pt>
                <c:pt idx="9">
                  <c:v>0.2200000000000002</c:v>
                </c:pt>
                <c:pt idx="10">
                  <c:v>0.18699999999999983</c:v>
                </c:pt>
                <c:pt idx="11">
                  <c:v>0.21899999999999986</c:v>
                </c:pt>
              </c:numCache>
            </c:numRef>
          </c:xVal>
          <c:yVal>
            <c:numRef>
              <c:f>Dados!$L$4:$L$15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990</c:v>
                </c:pt>
                <c:pt idx="4">
                  <c:v>1020</c:v>
                </c:pt>
                <c:pt idx="5">
                  <c:v>1020</c:v>
                </c:pt>
                <c:pt idx="6">
                  <c:v>620</c:v>
                </c:pt>
                <c:pt idx="7">
                  <c:v>620</c:v>
                </c:pt>
                <c:pt idx="8">
                  <c:v>720</c:v>
                </c:pt>
                <c:pt idx="9">
                  <c:v>240</c:v>
                </c:pt>
                <c:pt idx="10">
                  <c:v>280</c:v>
                </c:pt>
                <c:pt idx="11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6-46FF-9D1B-47F31C6794F8}"/>
            </c:ext>
          </c:extLst>
        </c:ser>
        <c:ser>
          <c:idx val="3"/>
          <c:order val="1"/>
          <c:tx>
            <c:v>Desgaste 3mm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(Dados!$H$4:$H$6,Dados!$H$18:$H$24)</c:f>
              <c:numCache>
                <c:formatCode>_(* #,##0.00_);_(* \(#,##0.00\);_(* "-"??_);_(@_)</c:formatCode>
                <c:ptCount val="10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0.56999999999999984</c:v>
                </c:pt>
                <c:pt idx="4">
                  <c:v>0.41999999999999948</c:v>
                </c:pt>
                <c:pt idx="5">
                  <c:v>0.4099999999999997</c:v>
                </c:pt>
                <c:pt idx="6">
                  <c:v>0.43000000000000016</c:v>
                </c:pt>
                <c:pt idx="7">
                  <c:v>0.30000000000000027</c:v>
                </c:pt>
                <c:pt idx="8">
                  <c:v>7.9999999999999627E-2</c:v>
                </c:pt>
                <c:pt idx="9">
                  <c:v>0.27</c:v>
                </c:pt>
              </c:numCache>
            </c:numRef>
          </c:xVal>
          <c:yVal>
            <c:numRef>
              <c:f>(Dados!$L$4:$L$6,Dados!$L$18:$L$24)</c:f>
              <c:numCache>
                <c:formatCode>General</c:formatCode>
                <c:ptCount val="10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1080</c:v>
                </c:pt>
                <c:pt idx="4">
                  <c:v>900</c:v>
                </c:pt>
                <c:pt idx="5">
                  <c:v>900</c:v>
                </c:pt>
                <c:pt idx="6">
                  <c:v>1000</c:v>
                </c:pt>
                <c:pt idx="7">
                  <c:v>690</c:v>
                </c:pt>
                <c:pt idx="8">
                  <c:v>200</c:v>
                </c:pt>
                <c:pt idx="9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6-46FF-9D1B-47F31C6794F8}"/>
            </c:ext>
          </c:extLst>
        </c:ser>
        <c:ser>
          <c:idx val="0"/>
          <c:order val="2"/>
          <c:tx>
            <c:v>Desgaste 1,5mm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B07BD7"/>
              </a:solidFill>
              <a:ln w="9525">
                <a:solidFill>
                  <a:srgbClr val="B07BD7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B07BD7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(Dados!$H$4:$H$6,Dados!$H$28:$H$33)</c:f>
              <c:numCache>
                <c:formatCode>_(* #,##0.00_);_(* \(#,##0.00\);_(* "-"??_);_(@_)</c:formatCode>
                <c:ptCount val="9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0.41000000000000059</c:v>
                </c:pt>
                <c:pt idx="4">
                  <c:v>0.4099999999999997</c:v>
                </c:pt>
                <c:pt idx="5">
                  <c:v>0.41000000000000059</c:v>
                </c:pt>
                <c:pt idx="6">
                  <c:v>0.20999999999999952</c:v>
                </c:pt>
                <c:pt idx="7">
                  <c:v>0.21000000000000041</c:v>
                </c:pt>
                <c:pt idx="8">
                  <c:v>0.21000000000000041</c:v>
                </c:pt>
              </c:numCache>
            </c:numRef>
          </c:xVal>
          <c:yVal>
            <c:numRef>
              <c:f>(Dados!$L$4:$L$6,Dados!$L$28:$L$33)</c:f>
              <c:numCache>
                <c:formatCode>General</c:formatCode>
                <c:ptCount val="9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1120</c:v>
                </c:pt>
                <c:pt idx="4">
                  <c:v>1100</c:v>
                </c:pt>
                <c:pt idx="5">
                  <c:v>1160</c:v>
                </c:pt>
                <c:pt idx="6">
                  <c:v>780</c:v>
                </c:pt>
                <c:pt idx="7">
                  <c:v>840</c:v>
                </c:pt>
                <c:pt idx="8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6-46F1-B03D-3961DDA4D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3328"/>
        <c:axId val="601088408"/>
      </c:scatterChart>
      <c:valAx>
        <c:axId val="601093328"/>
        <c:scaling>
          <c:orientation val="minMax"/>
          <c:max val="0.85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Dados!$H$2</c:f>
              <c:strCache>
                <c:ptCount val="1"/>
                <c:pt idx="0">
                  <c:v>Espessura teórica [mm]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88408"/>
        <c:crosses val="autoZero"/>
        <c:crossBetween val="midCat"/>
      </c:valAx>
      <c:valAx>
        <c:axId val="601088408"/>
        <c:scaling>
          <c:orientation val="minMax"/>
          <c:max val="12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[bar]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9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Pressão de estouro em função da espessura da parede da tubulação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Desgaste 19mm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Dados!$J$4:$J$15</c:f>
              <c:numCache>
                <c:formatCode>_(* #,##0.00_);_(* \(#,##0.00\);_(* "-"??_);_(@_)</c:formatCode>
                <c:ptCount val="12"/>
                <c:pt idx="0">
                  <c:v>0.81</c:v>
                </c:pt>
                <c:pt idx="1">
                  <c:v>0.81999999999999984</c:v>
                </c:pt>
                <c:pt idx="2">
                  <c:v>0.85000000000000009</c:v>
                </c:pt>
                <c:pt idx="3">
                  <c:v>0.55800000000000027</c:v>
                </c:pt>
                <c:pt idx="4">
                  <c:v>0.629</c:v>
                </c:pt>
                <c:pt idx="5">
                  <c:v>0.57900000000000018</c:v>
                </c:pt>
                <c:pt idx="6">
                  <c:v>0.38900000000000068</c:v>
                </c:pt>
                <c:pt idx="7">
                  <c:v>0.38700000000000001</c:v>
                </c:pt>
                <c:pt idx="8">
                  <c:v>0.40700000000000047</c:v>
                </c:pt>
                <c:pt idx="9">
                  <c:v>0.20000000000000062</c:v>
                </c:pt>
                <c:pt idx="10">
                  <c:v>0.19600000000000017</c:v>
                </c:pt>
                <c:pt idx="11">
                  <c:v>0.23900000000000032</c:v>
                </c:pt>
              </c:numCache>
            </c:numRef>
          </c:xVal>
          <c:yVal>
            <c:numRef>
              <c:f>Dados!$L$4:$L$15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990</c:v>
                </c:pt>
                <c:pt idx="4">
                  <c:v>1020</c:v>
                </c:pt>
                <c:pt idx="5">
                  <c:v>1020</c:v>
                </c:pt>
                <c:pt idx="6">
                  <c:v>620</c:v>
                </c:pt>
                <c:pt idx="7">
                  <c:v>620</c:v>
                </c:pt>
                <c:pt idx="8">
                  <c:v>720</c:v>
                </c:pt>
                <c:pt idx="9">
                  <c:v>240</c:v>
                </c:pt>
                <c:pt idx="10">
                  <c:v>280</c:v>
                </c:pt>
                <c:pt idx="11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2-499C-8BDC-62238AE1F8B3}"/>
            </c:ext>
          </c:extLst>
        </c:ser>
        <c:ser>
          <c:idx val="3"/>
          <c:order val="1"/>
          <c:tx>
            <c:v>Desgaste 3mm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(Dados!$J$4:$J$6,Dados!$J$18:$J$24)</c:f>
              <c:numCache>
                <c:formatCode>_(* #,##0.00_);_(* \(#,##0.00\);_(* "-"??_);_(@_)</c:formatCode>
                <c:ptCount val="10"/>
                <c:pt idx="0">
                  <c:v>0.81</c:v>
                </c:pt>
                <c:pt idx="1">
                  <c:v>0.81999999999999984</c:v>
                </c:pt>
                <c:pt idx="2">
                  <c:v>0.85000000000000009</c:v>
                </c:pt>
                <c:pt idx="3">
                  <c:v>0.50000000000000044</c:v>
                </c:pt>
                <c:pt idx="4">
                  <c:v>0.35000000000000009</c:v>
                </c:pt>
                <c:pt idx="5">
                  <c:v>0.35000000000000009</c:v>
                </c:pt>
                <c:pt idx="6">
                  <c:v>0.41000000000000059</c:v>
                </c:pt>
                <c:pt idx="7">
                  <c:v>0.26000000000000023</c:v>
                </c:pt>
                <c:pt idx="8">
                  <c:v>1.0000000000000231E-2</c:v>
                </c:pt>
                <c:pt idx="9">
                  <c:v>0.27</c:v>
                </c:pt>
              </c:numCache>
            </c:numRef>
          </c:xVal>
          <c:yVal>
            <c:numRef>
              <c:f>(Dados!$L$4:$L$6,Dados!$L$18:$L$24)</c:f>
              <c:numCache>
                <c:formatCode>General</c:formatCode>
                <c:ptCount val="10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1080</c:v>
                </c:pt>
                <c:pt idx="4">
                  <c:v>900</c:v>
                </c:pt>
                <c:pt idx="5">
                  <c:v>900</c:v>
                </c:pt>
                <c:pt idx="6">
                  <c:v>1000</c:v>
                </c:pt>
                <c:pt idx="7">
                  <c:v>690</c:v>
                </c:pt>
                <c:pt idx="8">
                  <c:v>200</c:v>
                </c:pt>
                <c:pt idx="9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2-499C-8BDC-62238AE1F8B3}"/>
            </c:ext>
          </c:extLst>
        </c:ser>
        <c:ser>
          <c:idx val="4"/>
          <c:order val="2"/>
          <c:tx>
            <c:v>Desgaste 1,5mm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B07BD7"/>
              </a:solidFill>
              <a:ln w="9525">
                <a:solidFill>
                  <a:srgbClr val="B07BD7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B07BD7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(Dados!$J$28:$J$33,Dados!$J$4:$J$6)</c:f>
              <c:numCache>
                <c:formatCode>_(* #,##0.00_);_(* \(#,##0.00\);_(* "-"??_);_(@_)</c:formatCode>
                <c:ptCount val="9"/>
                <c:pt idx="0">
                  <c:v>0.41000000000000059</c:v>
                </c:pt>
                <c:pt idx="1">
                  <c:v>0.39000000000000012</c:v>
                </c:pt>
                <c:pt idx="2">
                  <c:v>0.41000000000000059</c:v>
                </c:pt>
                <c:pt idx="3">
                  <c:v>0.14999999999999991</c:v>
                </c:pt>
                <c:pt idx="4">
                  <c:v>0.21000000000000041</c:v>
                </c:pt>
                <c:pt idx="5">
                  <c:v>0.16000000000000059</c:v>
                </c:pt>
                <c:pt idx="6">
                  <c:v>0.81</c:v>
                </c:pt>
                <c:pt idx="7">
                  <c:v>0.81999999999999984</c:v>
                </c:pt>
                <c:pt idx="8">
                  <c:v>0.85000000000000009</c:v>
                </c:pt>
              </c:numCache>
            </c:numRef>
          </c:xVal>
          <c:yVal>
            <c:numRef>
              <c:f>(Dados!$L$28:$L$33,Dados!$L$4:$L$6)</c:f>
              <c:numCache>
                <c:formatCode>General</c:formatCode>
                <c:ptCount val="9"/>
                <c:pt idx="0">
                  <c:v>1120</c:v>
                </c:pt>
                <c:pt idx="1">
                  <c:v>1100</c:v>
                </c:pt>
                <c:pt idx="2">
                  <c:v>1160</c:v>
                </c:pt>
                <c:pt idx="3">
                  <c:v>780</c:v>
                </c:pt>
                <c:pt idx="4">
                  <c:v>840</c:v>
                </c:pt>
                <c:pt idx="5">
                  <c:v>800</c:v>
                </c:pt>
                <c:pt idx="6">
                  <c:v>1240</c:v>
                </c:pt>
                <c:pt idx="7">
                  <c:v>1220</c:v>
                </c:pt>
                <c:pt idx="8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9-4B7D-9D15-9FC985DE2E5B}"/>
            </c:ext>
          </c:extLst>
        </c:ser>
        <c:ser>
          <c:idx val="5"/>
          <c:order val="3"/>
          <c:tx>
            <c:v>Limite Fadiga</c:v>
          </c:tx>
          <c:spPr>
            <a:ln w="254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CE2-499C-8BDC-62238AE1F8B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Limite Fadiga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ACE2-499C-8BDC-62238AE1F8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0.85</c:v>
              </c:pt>
            </c:numLit>
          </c:xVal>
          <c:yVal>
            <c:numLit>
              <c:formatCode>General</c:formatCode>
              <c:ptCount val="2"/>
              <c:pt idx="0">
                <c:v>315</c:v>
              </c:pt>
              <c:pt idx="1">
                <c:v>315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ACE2-499C-8BDC-62238AE1F8B3}"/>
            </c:ext>
          </c:extLst>
        </c:ser>
        <c:ser>
          <c:idx val="0"/>
          <c:order val="4"/>
          <c:tx>
            <c:v>Pressão de Trabalho</c:v>
          </c:tx>
          <c:spPr>
            <a:ln w="2540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CE2-499C-8BDC-62238AE1F8B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B5F60B6-79B0-4BF2-9E51-4C374F828ED3}" type="SERIESNAME">
                      <a:rPr lang="en-US"/>
                      <a:pPr/>
                      <a:t>[NOME DA SÉRIE]</a:t>
                    </a:fld>
                    <a:endParaRPr lang="pt-BR"/>
                  </a:p>
                </c:rich>
              </c:tx>
              <c:dLblPos val="b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ACE2-499C-8BDC-62238AE1F8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0.85</c:v>
              </c:pt>
            </c:numLit>
          </c:xVal>
          <c:yVal>
            <c:numLit>
              <c:formatCode>General</c:formatCode>
              <c:ptCount val="2"/>
              <c:pt idx="0">
                <c:v>150</c:v>
              </c:pt>
              <c:pt idx="1">
                <c:v>150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ACE2-499C-8BDC-62238AE1F8B3}"/>
            </c:ext>
          </c:extLst>
        </c:ser>
        <c:ser>
          <c:idx val="1"/>
          <c:order val="5"/>
          <c:tx>
            <c:v>Tubo ciclado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1"/>
              <c:pt idx="0">
                <c:v>0.28999999999999998</c:v>
              </c:pt>
            </c:numLit>
          </c:xVal>
          <c:yVal>
            <c:numLit>
              <c:formatCode>General</c:formatCode>
              <c:ptCount val="1"/>
              <c:pt idx="0">
                <c:v>1050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ACE2-499C-8BDC-62238AE1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3328"/>
        <c:axId val="601088408"/>
      </c:scatterChart>
      <c:valAx>
        <c:axId val="601093328"/>
        <c:scaling>
          <c:orientation val="minMax"/>
          <c:max val="0.9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Dados!$H$2</c:f>
              <c:strCache>
                <c:ptCount val="1"/>
                <c:pt idx="0">
                  <c:v>Espessura teórica [mm]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88408"/>
        <c:crosses val="autoZero"/>
        <c:crossBetween val="midCat"/>
      </c:valAx>
      <c:valAx>
        <c:axId val="601088408"/>
        <c:scaling>
          <c:orientation val="minMax"/>
          <c:max val="12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[bar]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9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Pressão de estouro em função do diâmetro da tubulação e desgaste</a:t>
            </a:r>
            <a:endParaRPr lang="pt-BR">
              <a:effectLst/>
            </a:endParaRP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0"/>
        <c:ser>
          <c:idx val="1"/>
          <c:order val="0"/>
          <c:tx>
            <c:v>Desgaste 19mm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Dados!$F$4:$F$15</c:f>
              <c:numCache>
                <c:formatCode>_(* #,##0.00_);_(* \(#,##0.00\);_(* "-"??_);_(@_)</c:formatCode>
                <c:ptCount val="12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  <c:pt idx="3">
                  <c:v>4.508</c:v>
                </c:pt>
                <c:pt idx="4">
                  <c:v>4.5789999999999997</c:v>
                </c:pt>
                <c:pt idx="5">
                  <c:v>4.5289999999999999</c:v>
                </c:pt>
                <c:pt idx="6">
                  <c:v>4.3390000000000004</c:v>
                </c:pt>
                <c:pt idx="7">
                  <c:v>4.3369999999999997</c:v>
                </c:pt>
                <c:pt idx="8">
                  <c:v>4.3570000000000002</c:v>
                </c:pt>
                <c:pt idx="9">
                  <c:v>4.1500000000000004</c:v>
                </c:pt>
                <c:pt idx="10">
                  <c:v>4.1459999999999999</c:v>
                </c:pt>
                <c:pt idx="11">
                  <c:v>4.1890000000000001</c:v>
                </c:pt>
              </c:numCache>
            </c:numRef>
          </c:xVal>
          <c:yVal>
            <c:numRef>
              <c:f>Dados!$L$4:$L$15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990</c:v>
                </c:pt>
                <c:pt idx="4">
                  <c:v>1020</c:v>
                </c:pt>
                <c:pt idx="5">
                  <c:v>1020</c:v>
                </c:pt>
                <c:pt idx="6">
                  <c:v>620</c:v>
                </c:pt>
                <c:pt idx="7">
                  <c:v>620</c:v>
                </c:pt>
                <c:pt idx="8">
                  <c:v>720</c:v>
                </c:pt>
                <c:pt idx="9">
                  <c:v>240</c:v>
                </c:pt>
                <c:pt idx="10">
                  <c:v>280</c:v>
                </c:pt>
                <c:pt idx="11">
                  <c:v>340</c:v>
                </c:pt>
              </c:numCache>
            </c:numRef>
          </c:yVal>
          <c:bubbleSize>
            <c:numRef>
              <c:f>Dados!$A$4:$A$15</c:f>
              <c:numCache>
                <c:formatCode>General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3B1A-4017-A559-2BF25E24075F}"/>
            </c:ext>
          </c:extLst>
        </c:ser>
        <c:ser>
          <c:idx val="2"/>
          <c:order val="1"/>
          <c:tx>
            <c:v>Desgaste 3mm</c:v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(Dados!$F$4:$F$6,Dados!$F$16:$F$24)</c:f>
              <c:numCache>
                <c:formatCode>_(* #,##0.00_);_(* \(#,##0.00\);_(* "-"??_);_(@_)</c:formatCode>
                <c:ptCount val="12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  <c:pt idx="3">
                  <c:v>4.53</c:v>
                </c:pt>
                <c:pt idx="4">
                  <c:v>4.4800000000000004</c:v>
                </c:pt>
                <c:pt idx="5">
                  <c:v>4.45</c:v>
                </c:pt>
                <c:pt idx="6">
                  <c:v>4.3</c:v>
                </c:pt>
                <c:pt idx="7">
                  <c:v>4.3</c:v>
                </c:pt>
                <c:pt idx="8">
                  <c:v>4.3600000000000003</c:v>
                </c:pt>
                <c:pt idx="9">
                  <c:v>4.21</c:v>
                </c:pt>
                <c:pt idx="10">
                  <c:v>3.96</c:v>
                </c:pt>
                <c:pt idx="11">
                  <c:v>4.22</c:v>
                </c:pt>
              </c:numCache>
            </c:numRef>
          </c:xVal>
          <c:yVal>
            <c:numRef>
              <c:f>(Dados!$L$4:$L$6,Dados!$L$16:$L$24)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900</c:v>
                </c:pt>
                <c:pt idx="4">
                  <c:v>910</c:v>
                </c:pt>
                <c:pt idx="5">
                  <c:v>1080</c:v>
                </c:pt>
                <c:pt idx="6">
                  <c:v>900</c:v>
                </c:pt>
                <c:pt idx="7">
                  <c:v>900</c:v>
                </c:pt>
                <c:pt idx="8">
                  <c:v>1000</c:v>
                </c:pt>
                <c:pt idx="9">
                  <c:v>690</c:v>
                </c:pt>
                <c:pt idx="10">
                  <c:v>200</c:v>
                </c:pt>
                <c:pt idx="11">
                  <c:v>760</c:v>
                </c:pt>
              </c:numCache>
            </c:numRef>
          </c:yVal>
          <c:bubbleSize>
            <c:numRef>
              <c:f>Dados!$A$4:$A$15</c:f>
              <c:numCache>
                <c:formatCode>General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3B1A-4017-A559-2BF25E24075F}"/>
            </c:ext>
          </c:extLst>
        </c:ser>
        <c:ser>
          <c:idx val="3"/>
          <c:order val="2"/>
          <c:tx>
            <c:v>Desgaste 1,5mm</c:v>
          </c:tx>
          <c:spPr>
            <a:solidFill>
              <a:srgbClr val="B07BD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(Dados!$F$4:$F$6,Dados!$F$25:$F$33)</c:f>
              <c:numCache>
                <c:formatCode>_(* #,##0.00_);_(* \(#,##0.00\);_(* "-"??_);_(@_)</c:formatCode>
                <c:ptCount val="12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  <c:pt idx="3">
                  <c:v>4.5</c:v>
                </c:pt>
                <c:pt idx="4">
                  <c:v>4.53</c:v>
                </c:pt>
                <c:pt idx="5">
                  <c:v>4.57</c:v>
                </c:pt>
                <c:pt idx="6">
                  <c:v>4.3600000000000003</c:v>
                </c:pt>
                <c:pt idx="7">
                  <c:v>4.34</c:v>
                </c:pt>
                <c:pt idx="8">
                  <c:v>4.3600000000000003</c:v>
                </c:pt>
                <c:pt idx="9">
                  <c:v>4.0999999999999996</c:v>
                </c:pt>
                <c:pt idx="10">
                  <c:v>4.16</c:v>
                </c:pt>
                <c:pt idx="11">
                  <c:v>4.1100000000000003</c:v>
                </c:pt>
              </c:numCache>
            </c:numRef>
          </c:xVal>
          <c:yVal>
            <c:numRef>
              <c:f>(Dados!$L$4:$L$6,Dados!$L$25:$L$33)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1260</c:v>
                </c:pt>
                <c:pt idx="4">
                  <c:v>1280</c:v>
                </c:pt>
                <c:pt idx="5">
                  <c:v>1260</c:v>
                </c:pt>
                <c:pt idx="6">
                  <c:v>1120</c:v>
                </c:pt>
                <c:pt idx="7">
                  <c:v>1100</c:v>
                </c:pt>
                <c:pt idx="8">
                  <c:v>1160</c:v>
                </c:pt>
                <c:pt idx="9">
                  <c:v>780</c:v>
                </c:pt>
                <c:pt idx="10">
                  <c:v>840</c:v>
                </c:pt>
                <c:pt idx="11">
                  <c:v>800</c:v>
                </c:pt>
              </c:numCache>
            </c:numRef>
          </c:yVal>
          <c:bubbleSize>
            <c:numRef>
              <c:f>Dados!$A$4:$A$15</c:f>
              <c:numCache>
                <c:formatCode>General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3B1A-4017-A559-2BF25E24075F}"/>
            </c:ext>
          </c:extLst>
        </c:ser>
        <c:ser>
          <c:idx val="0"/>
          <c:order val="3"/>
          <c:tx>
            <c:v>Sem</c:v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(Dados!$F$4:$F$6,Dados!$F$34:$F$42)</c:f>
              <c:numCache>
                <c:formatCode>_(* #,##0.00_);_(* \(#,##0.00\);_(* "-"??_);_(@_)</c:formatCode>
                <c:ptCount val="12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  <c:pt idx="3">
                  <c:v>4.7149999999999999</c:v>
                </c:pt>
                <c:pt idx="4">
                  <c:v>4.742</c:v>
                </c:pt>
                <c:pt idx="5">
                  <c:v>4.734</c:v>
                </c:pt>
                <c:pt idx="6">
                  <c:v>4.7839999999999998</c:v>
                </c:pt>
                <c:pt idx="7">
                  <c:v>4.7839999999999998</c:v>
                </c:pt>
                <c:pt idx="8">
                  <c:v>4.7640000000000002</c:v>
                </c:pt>
                <c:pt idx="9">
                  <c:v>4.74</c:v>
                </c:pt>
                <c:pt idx="10">
                  <c:v>4.72</c:v>
                </c:pt>
                <c:pt idx="11">
                  <c:v>4.7699999999999996</c:v>
                </c:pt>
              </c:numCache>
            </c:numRef>
          </c:xVal>
          <c:yVal>
            <c:numRef>
              <c:f>(Dados!$L$4:$L$6,Dados!$L$34:$L$42)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1240</c:v>
                </c:pt>
                <c:pt idx="4">
                  <c:v>1240</c:v>
                </c:pt>
                <c:pt idx="5">
                  <c:v>1200</c:v>
                </c:pt>
                <c:pt idx="6">
                  <c:v>1210</c:v>
                </c:pt>
                <c:pt idx="7">
                  <c:v>1200</c:v>
                </c:pt>
                <c:pt idx="8">
                  <c:v>1200</c:v>
                </c:pt>
                <c:pt idx="9">
                  <c:v>1260</c:v>
                </c:pt>
                <c:pt idx="10">
                  <c:v>1200</c:v>
                </c:pt>
                <c:pt idx="11">
                  <c:v>1340</c:v>
                </c:pt>
              </c:numCache>
            </c:numRef>
          </c:yVal>
          <c:bubbleSize>
            <c:numRef>
              <c:f>(Dados!$A$4:$A$6,Dados!$A$34:$A$42)</c:f>
              <c:numCache>
                <c:formatCode>General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3-3B1A-4017-A559-2BF25E240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sizeRepresents val="w"/>
        <c:axId val="328834448"/>
        <c:axId val="328825920"/>
      </c:bubbleChart>
      <c:valAx>
        <c:axId val="328834448"/>
        <c:scaling>
          <c:orientation val="minMax"/>
          <c:min val="3.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Dados!$F$2</c:f>
              <c:strCache>
                <c:ptCount val="1"/>
                <c:pt idx="0">
                  <c:v>Øexterno após desgaste [mm]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825920"/>
        <c:crosses val="autoZero"/>
        <c:crossBetween val="midCat"/>
      </c:valAx>
      <c:valAx>
        <c:axId val="328825920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Pressão de Estouro [bar]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83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Burst Pressure vs. pipe diameter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Desgaste 19mm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45373890462093203"/>
                  <c:y val="0.41563587899035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Dados!$F$4:$F$15</c:f>
              <c:numCache>
                <c:formatCode>_(* #,##0.00_);_(* \(#,##0.00\);_(* "-"??_);_(@_)</c:formatCode>
                <c:ptCount val="12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  <c:pt idx="3">
                  <c:v>4.508</c:v>
                </c:pt>
                <c:pt idx="4">
                  <c:v>4.5789999999999997</c:v>
                </c:pt>
                <c:pt idx="5">
                  <c:v>4.5289999999999999</c:v>
                </c:pt>
                <c:pt idx="6">
                  <c:v>4.3390000000000004</c:v>
                </c:pt>
                <c:pt idx="7">
                  <c:v>4.3369999999999997</c:v>
                </c:pt>
                <c:pt idx="8">
                  <c:v>4.3570000000000002</c:v>
                </c:pt>
                <c:pt idx="9">
                  <c:v>4.1500000000000004</c:v>
                </c:pt>
                <c:pt idx="10">
                  <c:v>4.1459999999999999</c:v>
                </c:pt>
                <c:pt idx="11">
                  <c:v>4.1890000000000001</c:v>
                </c:pt>
              </c:numCache>
            </c:numRef>
          </c:xVal>
          <c:yVal>
            <c:numRef>
              <c:f>Dados!$L$4:$L$15</c:f>
              <c:numCache>
                <c:formatCode>General</c:formatCode>
                <c:ptCount val="12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990</c:v>
                </c:pt>
                <c:pt idx="4">
                  <c:v>1020</c:v>
                </c:pt>
                <c:pt idx="5">
                  <c:v>1020</c:v>
                </c:pt>
                <c:pt idx="6">
                  <c:v>620</c:v>
                </c:pt>
                <c:pt idx="7">
                  <c:v>620</c:v>
                </c:pt>
                <c:pt idx="8">
                  <c:v>720</c:v>
                </c:pt>
                <c:pt idx="9">
                  <c:v>240</c:v>
                </c:pt>
                <c:pt idx="10">
                  <c:v>280</c:v>
                </c:pt>
                <c:pt idx="11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4-4E9F-A473-0E0CA018DB65}"/>
            </c:ext>
          </c:extLst>
        </c:ser>
        <c:ser>
          <c:idx val="3"/>
          <c:order val="1"/>
          <c:tx>
            <c:v>Desgaste 3mm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>
                  <a:alpha val="50000"/>
                </a:srgbClr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49458849305380609"/>
                  <c:y val="0.26966511678577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(Dados!$F$4:$F$6,Dados!$F$18:$F$24)</c:f>
              <c:numCache>
                <c:formatCode>_(* #,##0.00_);_(* \(#,##0.00\);_(* "-"??_);_(@_)</c:formatCode>
                <c:ptCount val="10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  <c:pt idx="3">
                  <c:v>4.45</c:v>
                </c:pt>
                <c:pt idx="4">
                  <c:v>4.3</c:v>
                </c:pt>
                <c:pt idx="5">
                  <c:v>4.3</c:v>
                </c:pt>
                <c:pt idx="6">
                  <c:v>4.3600000000000003</c:v>
                </c:pt>
                <c:pt idx="7">
                  <c:v>4.21</c:v>
                </c:pt>
                <c:pt idx="8">
                  <c:v>3.96</c:v>
                </c:pt>
                <c:pt idx="9">
                  <c:v>4.22</c:v>
                </c:pt>
              </c:numCache>
            </c:numRef>
          </c:xVal>
          <c:yVal>
            <c:numRef>
              <c:f>(Dados!$L$4:$L$6,Dados!$L$18:$L$24)</c:f>
              <c:numCache>
                <c:formatCode>General</c:formatCode>
                <c:ptCount val="10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1080</c:v>
                </c:pt>
                <c:pt idx="4">
                  <c:v>900</c:v>
                </c:pt>
                <c:pt idx="5">
                  <c:v>900</c:v>
                </c:pt>
                <c:pt idx="6">
                  <c:v>1000</c:v>
                </c:pt>
                <c:pt idx="7">
                  <c:v>690</c:v>
                </c:pt>
                <c:pt idx="8">
                  <c:v>200</c:v>
                </c:pt>
                <c:pt idx="9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4-4E9F-A473-0E0CA018DB65}"/>
            </c:ext>
          </c:extLst>
        </c:ser>
        <c:ser>
          <c:idx val="5"/>
          <c:order val="2"/>
          <c:tx>
            <c:v>Desgaste 1,5mm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B07BD7"/>
              </a:solidFill>
              <a:ln w="9525">
                <a:solidFill>
                  <a:srgbClr val="B07BD7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B07BD7"/>
                </a:solidFill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47745802048518149"/>
                  <c:y val="4.9651214332486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(Dados!$E$4:$E$6,Dados!$F$28:$F$33)</c:f>
              <c:numCache>
                <c:formatCode>_(* #,##0.00_);_(* \(#,##0.00\);_(* "-"??_);_(@_)</c:formatCode>
                <c:ptCount val="9"/>
                <c:pt idx="0">
                  <c:v>4.76</c:v>
                </c:pt>
                <c:pt idx="1">
                  <c:v>4.7699999999999996</c:v>
                </c:pt>
                <c:pt idx="2">
                  <c:v>4.8</c:v>
                </c:pt>
                <c:pt idx="3">
                  <c:v>4.3600000000000003</c:v>
                </c:pt>
                <c:pt idx="4">
                  <c:v>4.34</c:v>
                </c:pt>
                <c:pt idx="5">
                  <c:v>4.3600000000000003</c:v>
                </c:pt>
                <c:pt idx="6">
                  <c:v>4.0999999999999996</c:v>
                </c:pt>
                <c:pt idx="7">
                  <c:v>4.16</c:v>
                </c:pt>
                <c:pt idx="8">
                  <c:v>4.1100000000000003</c:v>
                </c:pt>
              </c:numCache>
            </c:numRef>
          </c:xVal>
          <c:yVal>
            <c:numRef>
              <c:f>(Dados!$L$4:$L$6,Dados!$L$28:$L$33)</c:f>
              <c:numCache>
                <c:formatCode>General</c:formatCode>
                <c:ptCount val="9"/>
                <c:pt idx="0">
                  <c:v>1240</c:v>
                </c:pt>
                <c:pt idx="1">
                  <c:v>1220</c:v>
                </c:pt>
                <c:pt idx="2">
                  <c:v>1200</c:v>
                </c:pt>
                <c:pt idx="3">
                  <c:v>1120</c:v>
                </c:pt>
                <c:pt idx="4">
                  <c:v>1100</c:v>
                </c:pt>
                <c:pt idx="5">
                  <c:v>1160</c:v>
                </c:pt>
                <c:pt idx="6">
                  <c:v>780</c:v>
                </c:pt>
                <c:pt idx="7">
                  <c:v>840</c:v>
                </c:pt>
                <c:pt idx="8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8-44A2-9012-E21C7DD7EE89}"/>
            </c:ext>
          </c:extLst>
        </c:ser>
        <c:ser>
          <c:idx val="4"/>
          <c:order val="3"/>
          <c:tx>
            <c:v>Pressão de trabalho</c:v>
          </c:tx>
          <c:spPr>
            <a:ln w="2540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644-4E9F-A473-0E0CA018DB6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Working pressure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4644-4E9F-A473-0E0CA018DB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2"/>
              <c:pt idx="0">
                <c:v>3.95</c:v>
              </c:pt>
              <c:pt idx="1">
                <c:v>4.8</c:v>
              </c:pt>
            </c:numLit>
          </c:xVal>
          <c:yVal>
            <c:numLit>
              <c:formatCode>General</c:formatCode>
              <c:ptCount val="2"/>
              <c:pt idx="0">
                <c:v>150</c:v>
              </c:pt>
              <c:pt idx="1">
                <c:v>150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4644-4E9F-A473-0E0CA018DB65}"/>
            </c:ext>
          </c:extLst>
        </c:ser>
        <c:ser>
          <c:idx val="0"/>
          <c:order val="4"/>
          <c:tx>
            <c:v>Limite Fadiga</c:v>
          </c:tx>
          <c:spPr>
            <a:ln w="254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644-4E9F-A473-0E0CA018DB6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Fadique limit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4644-4E9F-A473-0E0CA018DB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2"/>
              <c:pt idx="0">
                <c:v>3.95</c:v>
              </c:pt>
              <c:pt idx="1">
                <c:v>4.8</c:v>
              </c:pt>
            </c:numLit>
          </c:xVal>
          <c:yVal>
            <c:numLit>
              <c:formatCode>General</c:formatCode>
              <c:ptCount val="2"/>
              <c:pt idx="0">
                <c:v>315</c:v>
              </c:pt>
              <c:pt idx="1">
                <c:v>315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4644-4E9F-A473-0E0CA018DB65}"/>
            </c:ext>
          </c:extLst>
        </c:ser>
        <c:ser>
          <c:idx val="1"/>
          <c:order val="5"/>
          <c:tx>
            <c:v>Tubo ciclado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1"/>
              <c:pt idx="0">
                <c:v>4.88</c:v>
              </c:pt>
            </c:numLit>
          </c:xVal>
          <c:yVal>
            <c:numLit>
              <c:formatCode>General</c:formatCode>
              <c:ptCount val="1"/>
              <c:pt idx="0">
                <c:v>1050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A4A-40B2-BF64-4914F46E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3328"/>
        <c:axId val="601088408"/>
      </c:scatterChart>
      <c:valAx>
        <c:axId val="601093328"/>
        <c:scaling>
          <c:orientation val="minMax"/>
          <c:max val="4.8499999999999996"/>
          <c:min val="3.9499999999999997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Source!$E$1</c:f>
              <c:strCache>
                <c:ptCount val="1"/>
                <c:pt idx="0">
                  <c:v>Øext after abrasion [mm]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88408"/>
        <c:crosses val="autoZero"/>
        <c:crossBetween val="midCat"/>
      </c:valAx>
      <c:valAx>
        <c:axId val="601088408"/>
        <c:scaling>
          <c:orientation val="minMax"/>
          <c:max val="12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Burst Pressure [bar]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09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89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0.06801</cdr:x>
      <cdr:y>0.09163</cdr:y>
    </cdr:from>
    <cdr:to>
      <cdr:x>0.89394</cdr:x>
      <cdr:y>0.53516</cdr:y>
    </cdr:to>
    <cdr:sp macro="" textlink="">
      <cdr:nvSpPr>
        <cdr:cNvPr id="4" name="Forma Livre 3"/>
        <cdr:cNvSpPr/>
      </cdr:nvSpPr>
      <cdr:spPr>
        <a:xfrm xmlns:a="http://schemas.openxmlformats.org/drawingml/2006/main">
          <a:off x="654993" y="549841"/>
          <a:ext cx="7954394" cy="2661519"/>
        </a:xfrm>
        <a:custGeom xmlns:a="http://schemas.openxmlformats.org/drawingml/2006/main">
          <a:avLst/>
          <a:gdLst>
            <a:gd name="connsiteX0" fmla="*/ 7905750 w 7905750"/>
            <a:gd name="connsiteY0" fmla="*/ 0 h 2698750"/>
            <a:gd name="connsiteX1" fmla="*/ 2794000 w 7905750"/>
            <a:gd name="connsiteY1" fmla="*/ 677334 h 2698750"/>
            <a:gd name="connsiteX2" fmla="*/ 0 w 7905750"/>
            <a:gd name="connsiteY2" fmla="*/ 2698750 h 2698750"/>
            <a:gd name="connsiteX3" fmla="*/ 0 w 7905750"/>
            <a:gd name="connsiteY3" fmla="*/ 2698750 h 2698750"/>
            <a:gd name="connsiteX0" fmla="*/ 7979834 w 7979834"/>
            <a:gd name="connsiteY0" fmla="*/ 0 h 2614084"/>
            <a:gd name="connsiteX1" fmla="*/ 2794000 w 7979834"/>
            <a:gd name="connsiteY1" fmla="*/ 592668 h 2614084"/>
            <a:gd name="connsiteX2" fmla="*/ 0 w 7979834"/>
            <a:gd name="connsiteY2" fmla="*/ 2614084 h 2614084"/>
            <a:gd name="connsiteX3" fmla="*/ 0 w 7979834"/>
            <a:gd name="connsiteY3" fmla="*/ 2614084 h 2614084"/>
            <a:gd name="connsiteX0" fmla="*/ 7979834 w 7979834"/>
            <a:gd name="connsiteY0" fmla="*/ 0 h 2614084"/>
            <a:gd name="connsiteX1" fmla="*/ 2815167 w 7979834"/>
            <a:gd name="connsiteY1" fmla="*/ 592668 h 2614084"/>
            <a:gd name="connsiteX2" fmla="*/ 0 w 7979834"/>
            <a:gd name="connsiteY2" fmla="*/ 2614084 h 2614084"/>
            <a:gd name="connsiteX3" fmla="*/ 0 w 7979834"/>
            <a:gd name="connsiteY3" fmla="*/ 2614084 h 2614084"/>
            <a:gd name="connsiteX0" fmla="*/ 7969241 w 7969241"/>
            <a:gd name="connsiteY0" fmla="*/ 0 h 2645841"/>
            <a:gd name="connsiteX1" fmla="*/ 2815167 w 7969241"/>
            <a:gd name="connsiteY1" fmla="*/ 624425 h 2645841"/>
            <a:gd name="connsiteX2" fmla="*/ 0 w 7969241"/>
            <a:gd name="connsiteY2" fmla="*/ 2645841 h 2645841"/>
            <a:gd name="connsiteX3" fmla="*/ 0 w 7969241"/>
            <a:gd name="connsiteY3" fmla="*/ 2645841 h 2645841"/>
            <a:gd name="connsiteX0" fmla="*/ 7969241 w 7969241"/>
            <a:gd name="connsiteY0" fmla="*/ 0 h 2677598"/>
            <a:gd name="connsiteX1" fmla="*/ 2815167 w 7969241"/>
            <a:gd name="connsiteY1" fmla="*/ 624425 h 2677598"/>
            <a:gd name="connsiteX2" fmla="*/ 0 w 7969241"/>
            <a:gd name="connsiteY2" fmla="*/ 2645841 h 2677598"/>
            <a:gd name="connsiteX3" fmla="*/ 21186 w 7969241"/>
            <a:gd name="connsiteY3" fmla="*/ 2677598 h 2677598"/>
            <a:gd name="connsiteX0" fmla="*/ 7969241 w 7969241"/>
            <a:gd name="connsiteY0" fmla="*/ 0 h 2910481"/>
            <a:gd name="connsiteX1" fmla="*/ 2815167 w 7969241"/>
            <a:gd name="connsiteY1" fmla="*/ 624425 h 2910481"/>
            <a:gd name="connsiteX2" fmla="*/ 0 w 7969241"/>
            <a:gd name="connsiteY2" fmla="*/ 2645841 h 2910481"/>
            <a:gd name="connsiteX3" fmla="*/ 52965 w 7969241"/>
            <a:gd name="connsiteY3" fmla="*/ 2910481 h 2910481"/>
            <a:gd name="connsiteX0" fmla="*/ 7969241 w 7969241"/>
            <a:gd name="connsiteY0" fmla="*/ 0 h 2645841"/>
            <a:gd name="connsiteX1" fmla="*/ 2815167 w 7969241"/>
            <a:gd name="connsiteY1" fmla="*/ 624425 h 2645841"/>
            <a:gd name="connsiteX2" fmla="*/ 0 w 7969241"/>
            <a:gd name="connsiteY2" fmla="*/ 2645841 h 2645841"/>
            <a:gd name="connsiteX0" fmla="*/ 7969241 w 7969241"/>
            <a:gd name="connsiteY0" fmla="*/ 0 h 2645841"/>
            <a:gd name="connsiteX1" fmla="*/ 2815167 w 7969241"/>
            <a:gd name="connsiteY1" fmla="*/ 624425 h 2645841"/>
            <a:gd name="connsiteX2" fmla="*/ 0 w 7969241"/>
            <a:gd name="connsiteY2" fmla="*/ 2645841 h 2645841"/>
            <a:gd name="connsiteX0" fmla="*/ 7969241 w 7969241"/>
            <a:gd name="connsiteY0" fmla="*/ 0 h 2645841"/>
            <a:gd name="connsiteX1" fmla="*/ 2815167 w 7969241"/>
            <a:gd name="connsiteY1" fmla="*/ 624425 h 2645841"/>
            <a:gd name="connsiteX2" fmla="*/ 0 w 7969241"/>
            <a:gd name="connsiteY2" fmla="*/ 2645841 h 2645841"/>
            <a:gd name="connsiteX0" fmla="*/ 7969241 w 7969241"/>
            <a:gd name="connsiteY0" fmla="*/ 0 h 2645841"/>
            <a:gd name="connsiteX1" fmla="*/ 2864739 w 7969241"/>
            <a:gd name="connsiteY1" fmla="*/ 649212 h 2645841"/>
            <a:gd name="connsiteX2" fmla="*/ 0 w 7969241"/>
            <a:gd name="connsiteY2" fmla="*/ 2645841 h 2645841"/>
            <a:gd name="connsiteX0" fmla="*/ 7969241 w 7969241"/>
            <a:gd name="connsiteY0" fmla="*/ 0 h 2645841"/>
            <a:gd name="connsiteX1" fmla="*/ 2864739 w 7969241"/>
            <a:gd name="connsiteY1" fmla="*/ 649212 h 2645841"/>
            <a:gd name="connsiteX2" fmla="*/ 0 w 7969241"/>
            <a:gd name="connsiteY2" fmla="*/ 2645841 h 2645841"/>
            <a:gd name="connsiteX0" fmla="*/ 7969241 w 7969241"/>
            <a:gd name="connsiteY0" fmla="*/ 17170 h 2663011"/>
            <a:gd name="connsiteX1" fmla="*/ 2864739 w 7969241"/>
            <a:gd name="connsiteY1" fmla="*/ 666382 h 2663011"/>
            <a:gd name="connsiteX2" fmla="*/ 0 w 7969241"/>
            <a:gd name="connsiteY2" fmla="*/ 2663011 h 2663011"/>
            <a:gd name="connsiteX0" fmla="*/ 7969241 w 7969241"/>
            <a:gd name="connsiteY0" fmla="*/ 20627 h 2666468"/>
            <a:gd name="connsiteX1" fmla="*/ 2864739 w 7969241"/>
            <a:gd name="connsiteY1" fmla="*/ 669839 h 2666468"/>
            <a:gd name="connsiteX2" fmla="*/ 0 w 7969241"/>
            <a:gd name="connsiteY2" fmla="*/ 2666468 h 2666468"/>
            <a:gd name="connsiteX0" fmla="*/ 7969241 w 7969241"/>
            <a:gd name="connsiteY0" fmla="*/ 20627 h 2666468"/>
            <a:gd name="connsiteX1" fmla="*/ 2864739 w 7969241"/>
            <a:gd name="connsiteY1" fmla="*/ 669839 h 2666468"/>
            <a:gd name="connsiteX2" fmla="*/ 0 w 7969241"/>
            <a:gd name="connsiteY2" fmla="*/ 2666468 h 26664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969241" h="2666468">
              <a:moveTo>
                <a:pt x="7969241" y="20627"/>
              </a:moveTo>
              <a:cubicBezTo>
                <a:pt x="6034999" y="-63892"/>
                <a:pt x="4341665" y="103386"/>
                <a:pt x="2864739" y="669839"/>
              </a:cubicBezTo>
              <a:cubicBezTo>
                <a:pt x="1561318" y="1261079"/>
                <a:pt x="670462" y="2139025"/>
                <a:pt x="0" y="2666468"/>
              </a:cubicBezTo>
            </a:path>
          </a:pathLst>
        </a:custGeom>
        <a:noFill xmlns:a="http://schemas.openxmlformats.org/drawingml/2006/main"/>
        <a:ln xmlns:a="http://schemas.openxmlformats.org/drawingml/2006/main">
          <a:solidFill>
            <a:srgbClr val="FFC000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1"/>
  <sheetViews>
    <sheetView tabSelected="1" topLeftCell="B24" workbookViewId="0">
      <selection activeCell="K40" sqref="K40"/>
    </sheetView>
  </sheetViews>
  <sheetFormatPr defaultRowHeight="15" x14ac:dyDescent="0.25"/>
  <cols>
    <col min="4" max="4" width="9.140625" style="107"/>
    <col min="9" max="9" width="10.5703125" bestFit="1" customWidth="1"/>
    <col min="11" max="11" width="10.5703125" bestFit="1" customWidth="1"/>
    <col min="13" max="13" width="9.140625" style="42"/>
    <col min="14" max="14" width="13.28515625" bestFit="1" customWidth="1"/>
  </cols>
  <sheetData>
    <row r="1" spans="2:14" x14ac:dyDescent="0.25">
      <c r="B1" t="s">
        <v>113</v>
      </c>
      <c r="C1" s="78" t="s">
        <v>112</v>
      </c>
      <c r="D1" s="101"/>
      <c r="E1" s="78" t="s">
        <v>110</v>
      </c>
      <c r="F1" s="90" t="s">
        <v>111</v>
      </c>
      <c r="G1" t="s">
        <v>117</v>
      </c>
      <c r="H1" s="78" t="s">
        <v>112</v>
      </c>
      <c r="I1" s="48"/>
      <c r="J1" s="78" t="s">
        <v>110</v>
      </c>
      <c r="K1" s="90" t="s">
        <v>111</v>
      </c>
    </row>
    <row r="2" spans="2:14" x14ac:dyDescent="0.25">
      <c r="C2" s="79"/>
      <c r="D2" s="102"/>
      <c r="E2" s="79"/>
      <c r="F2" s="91"/>
      <c r="H2" s="79"/>
      <c r="I2" s="49"/>
      <c r="J2" s="79"/>
      <c r="K2" s="91"/>
    </row>
    <row r="3" spans="2:14" ht="18.75" x14ac:dyDescent="0.25">
      <c r="C3" s="65" t="s">
        <v>2</v>
      </c>
      <c r="D3" s="103">
        <v>0</v>
      </c>
      <c r="E3" s="47">
        <v>4.76</v>
      </c>
      <c r="F3" s="26">
        <v>1240</v>
      </c>
      <c r="H3" s="65" t="s">
        <v>2</v>
      </c>
      <c r="I3" s="50">
        <v>0</v>
      </c>
      <c r="J3" s="41">
        <v>4.74</v>
      </c>
      <c r="K3" s="92">
        <v>1260</v>
      </c>
      <c r="L3" s="98">
        <f>_xlfn.STDEV.S(K3:K5)</f>
        <v>70.237691685684922</v>
      </c>
      <c r="M3" s="75">
        <v>0</v>
      </c>
      <c r="N3" s="75">
        <f>MEDIAN(K3:K5)</f>
        <v>1260</v>
      </c>
    </row>
    <row r="4" spans="2:14" ht="18.75" x14ac:dyDescent="0.25">
      <c r="C4" s="65"/>
      <c r="D4" s="103">
        <v>0</v>
      </c>
      <c r="E4" s="47">
        <v>4.7699999999999996</v>
      </c>
      <c r="F4" s="26">
        <v>1220</v>
      </c>
      <c r="H4" s="65"/>
      <c r="I4" s="50">
        <v>0</v>
      </c>
      <c r="J4" s="41">
        <v>4.72</v>
      </c>
      <c r="K4" s="92">
        <v>1200</v>
      </c>
      <c r="L4" s="98"/>
      <c r="M4" s="75"/>
      <c r="N4" s="75"/>
    </row>
    <row r="5" spans="2:14" ht="18.75" x14ac:dyDescent="0.25">
      <c r="C5" s="65"/>
      <c r="D5" s="103">
        <v>0</v>
      </c>
      <c r="E5" s="47">
        <v>4.8</v>
      </c>
      <c r="F5" s="26">
        <v>1200</v>
      </c>
      <c r="H5" s="65"/>
      <c r="I5" s="50">
        <v>0</v>
      </c>
      <c r="J5" s="41">
        <v>4.7699999999999996</v>
      </c>
      <c r="K5" s="92">
        <v>1340</v>
      </c>
      <c r="L5" s="98"/>
      <c r="M5" s="75"/>
      <c r="N5" s="75"/>
    </row>
    <row r="6" spans="2:14" ht="24" x14ac:dyDescent="0.25">
      <c r="C6" s="65" t="s">
        <v>3</v>
      </c>
      <c r="D6" s="103">
        <v>19</v>
      </c>
      <c r="E6" s="47">
        <v>4.508</v>
      </c>
      <c r="F6" s="26">
        <v>990</v>
      </c>
      <c r="G6" s="97" t="s">
        <v>114</v>
      </c>
      <c r="H6" s="65" t="s">
        <v>3</v>
      </c>
      <c r="I6" s="50">
        <v>19</v>
      </c>
      <c r="J6" s="47">
        <v>4.508</v>
      </c>
      <c r="K6" s="26">
        <v>990</v>
      </c>
      <c r="L6" s="98">
        <f t="shared" ref="L6" si="0">_xlfn.STDEV.S(K6:K8)</f>
        <v>17.320508075688775</v>
      </c>
      <c r="M6" s="75">
        <v>19</v>
      </c>
      <c r="N6" s="75">
        <f t="shared" ref="N6" si="1">MEDIAN(K6:K8)</f>
        <v>1020</v>
      </c>
    </row>
    <row r="7" spans="2:14" ht="24" x14ac:dyDescent="0.25">
      <c r="C7" s="65"/>
      <c r="D7" s="103">
        <v>19</v>
      </c>
      <c r="E7" s="47">
        <v>4.5789999999999997</v>
      </c>
      <c r="F7" s="26">
        <v>1020</v>
      </c>
      <c r="G7" s="97"/>
      <c r="H7" s="65"/>
      <c r="I7" s="50">
        <v>19</v>
      </c>
      <c r="J7" s="47">
        <v>4.5789999999999997</v>
      </c>
      <c r="K7" s="26">
        <v>1020</v>
      </c>
      <c r="L7" s="98"/>
      <c r="M7" s="75"/>
      <c r="N7" s="75"/>
    </row>
    <row r="8" spans="2:14" ht="24" x14ac:dyDescent="0.25">
      <c r="C8" s="65"/>
      <c r="D8" s="103">
        <v>19</v>
      </c>
      <c r="E8" s="47">
        <v>4.5289999999999999</v>
      </c>
      <c r="F8" s="26">
        <v>1020</v>
      </c>
      <c r="G8" s="97"/>
      <c r="H8" s="65"/>
      <c r="I8" s="50">
        <v>19</v>
      </c>
      <c r="J8" s="47">
        <v>4.5289999999999999</v>
      </c>
      <c r="K8" s="26">
        <v>1020</v>
      </c>
      <c r="L8" s="98"/>
      <c r="M8" s="75"/>
      <c r="N8" s="75"/>
    </row>
    <row r="9" spans="2:14" ht="24" x14ac:dyDescent="0.25">
      <c r="C9" s="65" t="s">
        <v>4</v>
      </c>
      <c r="D9" s="103">
        <v>19</v>
      </c>
      <c r="E9" s="47">
        <v>4.3390000000000004</v>
      </c>
      <c r="F9" s="26">
        <v>620</v>
      </c>
      <c r="G9" s="97"/>
      <c r="H9" s="65" t="s">
        <v>6</v>
      </c>
      <c r="I9" s="50">
        <v>3</v>
      </c>
      <c r="J9" s="47">
        <v>4.53</v>
      </c>
      <c r="K9" s="26">
        <v>900</v>
      </c>
      <c r="L9" s="98">
        <f t="shared" ref="L9" si="2">_xlfn.STDEV.S(K9:K11)</f>
        <v>101.15993936995679</v>
      </c>
      <c r="M9" s="75">
        <v>3</v>
      </c>
      <c r="N9" s="75">
        <f t="shared" ref="N9" si="3">MEDIAN(K9:K11)</f>
        <v>910</v>
      </c>
    </row>
    <row r="10" spans="2:14" ht="24" x14ac:dyDescent="0.25">
      <c r="C10" s="65"/>
      <c r="D10" s="103">
        <v>19</v>
      </c>
      <c r="E10" s="47">
        <v>4.3369999999999997</v>
      </c>
      <c r="F10" s="26">
        <v>620</v>
      </c>
      <c r="G10" s="97"/>
      <c r="H10" s="65"/>
      <c r="I10" s="50">
        <v>3</v>
      </c>
      <c r="J10" s="47">
        <v>4.4800000000000004</v>
      </c>
      <c r="K10" s="26">
        <v>910</v>
      </c>
      <c r="L10" s="98"/>
      <c r="M10" s="75"/>
      <c r="N10" s="75"/>
    </row>
    <row r="11" spans="2:14" ht="24" x14ac:dyDescent="0.25">
      <c r="C11" s="65"/>
      <c r="D11" s="103">
        <v>19</v>
      </c>
      <c r="E11" s="47">
        <v>4.3570000000000002</v>
      </c>
      <c r="F11" s="26">
        <v>720</v>
      </c>
      <c r="G11" s="97"/>
      <c r="H11" s="65"/>
      <c r="I11" s="50">
        <v>3</v>
      </c>
      <c r="J11" s="47">
        <v>4.45</v>
      </c>
      <c r="K11" s="26">
        <v>1080</v>
      </c>
      <c r="L11" s="98"/>
      <c r="M11" s="75"/>
      <c r="N11" s="75"/>
    </row>
    <row r="12" spans="2:14" ht="24" x14ac:dyDescent="0.25">
      <c r="C12" s="65" t="s">
        <v>5</v>
      </c>
      <c r="D12" s="103">
        <v>19</v>
      </c>
      <c r="E12" s="47">
        <v>4.1500000000000004</v>
      </c>
      <c r="F12" s="26">
        <v>240</v>
      </c>
      <c r="G12" s="97"/>
      <c r="H12" s="65" t="s">
        <v>89</v>
      </c>
      <c r="I12" s="50">
        <v>1.5</v>
      </c>
      <c r="J12" s="41">
        <v>4.5</v>
      </c>
      <c r="K12" s="92">
        <v>1260</v>
      </c>
      <c r="L12" s="98">
        <f t="shared" ref="L12" si="4">_xlfn.STDEV.S(K12:K14)</f>
        <v>11.547005383792515</v>
      </c>
      <c r="M12" s="75">
        <v>1.5</v>
      </c>
      <c r="N12" s="75">
        <f t="shared" ref="N12" si="5">MEDIAN(K12:K14)</f>
        <v>1260</v>
      </c>
    </row>
    <row r="13" spans="2:14" ht="24" x14ac:dyDescent="0.25">
      <c r="C13" s="65"/>
      <c r="D13" s="103">
        <v>19</v>
      </c>
      <c r="E13" s="47">
        <v>4.1459999999999999</v>
      </c>
      <c r="F13" s="26">
        <v>280</v>
      </c>
      <c r="G13" s="97"/>
      <c r="H13" s="65"/>
      <c r="I13" s="50">
        <v>1.5</v>
      </c>
      <c r="J13" s="41">
        <v>4.53</v>
      </c>
      <c r="K13" s="92">
        <v>1280</v>
      </c>
      <c r="L13" s="98"/>
      <c r="M13" s="75"/>
      <c r="N13" s="75"/>
    </row>
    <row r="14" spans="2:14" ht="24" x14ac:dyDescent="0.25">
      <c r="C14" s="65"/>
      <c r="D14" s="103">
        <v>19</v>
      </c>
      <c r="E14" s="47">
        <v>4.1890000000000001</v>
      </c>
      <c r="F14" s="26">
        <v>340</v>
      </c>
      <c r="G14" s="97"/>
      <c r="H14" s="65"/>
      <c r="I14" s="50">
        <v>1.5</v>
      </c>
      <c r="J14" s="41">
        <v>4.57</v>
      </c>
      <c r="K14" s="92">
        <v>1260</v>
      </c>
      <c r="L14" s="98"/>
      <c r="M14" s="75"/>
      <c r="N14" s="75"/>
    </row>
    <row r="15" spans="2:14" ht="18.75" x14ac:dyDescent="0.25">
      <c r="C15" s="65" t="s">
        <v>6</v>
      </c>
      <c r="D15" s="103">
        <v>3</v>
      </c>
      <c r="E15" s="47">
        <v>4.53</v>
      </c>
      <c r="F15" s="26">
        <v>900</v>
      </c>
      <c r="G15" s="97" t="s">
        <v>115</v>
      </c>
      <c r="H15" s="65" t="s">
        <v>4</v>
      </c>
      <c r="I15" s="50">
        <v>19</v>
      </c>
      <c r="J15" s="47">
        <v>4.3390000000000004</v>
      </c>
      <c r="K15" s="26">
        <v>620</v>
      </c>
      <c r="L15" s="98">
        <f t="shared" ref="L15" si="6">_xlfn.STDEV.S(K15:K17)</f>
        <v>57.735026918962575</v>
      </c>
      <c r="M15" s="75">
        <v>19</v>
      </c>
      <c r="N15" s="75">
        <f t="shared" ref="N15" si="7">MEDIAN(K15:K17)</f>
        <v>620</v>
      </c>
    </row>
    <row r="16" spans="2:14" ht="18.75" x14ac:dyDescent="0.25">
      <c r="C16" s="65"/>
      <c r="D16" s="103">
        <v>3</v>
      </c>
      <c r="E16" s="47">
        <v>4.4800000000000004</v>
      </c>
      <c r="F16" s="26">
        <v>910</v>
      </c>
      <c r="G16" s="97"/>
      <c r="H16" s="65"/>
      <c r="I16" s="50">
        <v>19</v>
      </c>
      <c r="J16" s="47">
        <v>4.3369999999999997</v>
      </c>
      <c r="K16" s="26">
        <v>620</v>
      </c>
      <c r="L16" s="98"/>
      <c r="M16" s="75"/>
      <c r="N16" s="75"/>
    </row>
    <row r="17" spans="3:16" ht="18.75" x14ac:dyDescent="0.25">
      <c r="C17" s="65"/>
      <c r="D17" s="103">
        <v>3</v>
      </c>
      <c r="E17" s="47">
        <v>4.45</v>
      </c>
      <c r="F17" s="26">
        <v>1080</v>
      </c>
      <c r="G17" s="97"/>
      <c r="H17" s="65"/>
      <c r="I17" s="50">
        <v>19</v>
      </c>
      <c r="J17" s="47">
        <v>4.3570000000000002</v>
      </c>
      <c r="K17" s="26">
        <v>720</v>
      </c>
      <c r="L17" s="98"/>
      <c r="M17" s="75"/>
      <c r="N17" s="75"/>
    </row>
    <row r="18" spans="3:16" ht="18.75" x14ac:dyDescent="0.25">
      <c r="C18" s="65" t="s">
        <v>7</v>
      </c>
      <c r="D18" s="103">
        <v>3</v>
      </c>
      <c r="E18" s="47">
        <v>4.3</v>
      </c>
      <c r="F18" s="26">
        <v>900</v>
      </c>
      <c r="G18" s="97"/>
      <c r="H18" s="65" t="s">
        <v>7</v>
      </c>
      <c r="I18" s="50">
        <v>3</v>
      </c>
      <c r="J18" s="47">
        <v>4.3</v>
      </c>
      <c r="K18" s="26">
        <v>900</v>
      </c>
      <c r="L18" s="98">
        <f t="shared" ref="L18" si="8">_xlfn.STDEV.S(K18:K20)</f>
        <v>57.735026918962575</v>
      </c>
      <c r="M18" s="75">
        <v>3</v>
      </c>
      <c r="N18" s="75">
        <f t="shared" ref="N18" si="9">MEDIAN(K18:K20)</f>
        <v>900</v>
      </c>
    </row>
    <row r="19" spans="3:16" ht="18.75" x14ac:dyDescent="0.25">
      <c r="C19" s="65"/>
      <c r="D19" s="103">
        <v>3</v>
      </c>
      <c r="E19" s="47">
        <v>4.3</v>
      </c>
      <c r="F19" s="26">
        <v>900</v>
      </c>
      <c r="G19" s="97"/>
      <c r="H19" s="65"/>
      <c r="I19" s="50">
        <v>3</v>
      </c>
      <c r="J19" s="47">
        <v>4.3</v>
      </c>
      <c r="K19" s="26">
        <v>900</v>
      </c>
      <c r="L19" s="98"/>
      <c r="M19" s="75"/>
      <c r="N19" s="75"/>
    </row>
    <row r="20" spans="3:16" ht="18.75" x14ac:dyDescent="0.25">
      <c r="C20" s="65"/>
      <c r="D20" s="103">
        <v>3</v>
      </c>
      <c r="E20" s="47">
        <v>4.3600000000000003</v>
      </c>
      <c r="F20" s="26">
        <v>1000</v>
      </c>
      <c r="G20" s="97"/>
      <c r="H20" s="65"/>
      <c r="I20" s="50">
        <v>3</v>
      </c>
      <c r="J20" s="47">
        <v>4.3600000000000003</v>
      </c>
      <c r="K20" s="26">
        <v>1000</v>
      </c>
      <c r="L20" s="98"/>
      <c r="M20" s="75"/>
      <c r="N20" s="75"/>
    </row>
    <row r="21" spans="3:16" ht="18.75" x14ac:dyDescent="0.25">
      <c r="C21" s="65" t="s">
        <v>8</v>
      </c>
      <c r="D21" s="103">
        <v>3</v>
      </c>
      <c r="E21" s="47">
        <v>4.21</v>
      </c>
      <c r="F21" s="26">
        <v>690</v>
      </c>
      <c r="G21" s="97"/>
      <c r="H21" s="65" t="s">
        <v>90</v>
      </c>
      <c r="I21" s="50">
        <v>1.5</v>
      </c>
      <c r="J21" s="41">
        <v>4.3600000000000003</v>
      </c>
      <c r="K21" s="92">
        <v>1120</v>
      </c>
      <c r="L21" s="98">
        <f>_xlfn.STDEV.S(K21:K23)</f>
        <v>30.550504633038933</v>
      </c>
      <c r="M21" s="75">
        <v>1.5</v>
      </c>
      <c r="N21" s="75">
        <f t="shared" ref="N21" si="10">MEDIAN(K21:K23)</f>
        <v>1120</v>
      </c>
    </row>
    <row r="22" spans="3:16" ht="18.75" x14ac:dyDescent="0.25">
      <c r="C22" s="65"/>
      <c r="D22" s="103">
        <v>3</v>
      </c>
      <c r="E22" s="47">
        <v>3.96</v>
      </c>
      <c r="F22" s="26">
        <v>200</v>
      </c>
      <c r="G22" s="97"/>
      <c r="H22" s="65"/>
      <c r="I22" s="50">
        <v>1.5</v>
      </c>
      <c r="J22" s="41">
        <v>4.34</v>
      </c>
      <c r="K22" s="92">
        <v>1100</v>
      </c>
      <c r="L22" s="98"/>
      <c r="M22" s="75"/>
      <c r="N22" s="75"/>
    </row>
    <row r="23" spans="3:16" ht="18.75" x14ac:dyDescent="0.25">
      <c r="C23" s="65"/>
      <c r="D23" s="103">
        <v>3</v>
      </c>
      <c r="E23" s="47">
        <v>4.22</v>
      </c>
      <c r="F23" s="26">
        <v>760</v>
      </c>
      <c r="G23" s="97"/>
      <c r="H23" s="65"/>
      <c r="I23" s="50">
        <v>1.5</v>
      </c>
      <c r="J23" s="41">
        <v>4.3600000000000003</v>
      </c>
      <c r="K23" s="92">
        <v>1160</v>
      </c>
      <c r="L23" s="98"/>
      <c r="M23" s="75"/>
      <c r="N23" s="75"/>
    </row>
    <row r="24" spans="3:16" ht="18.75" x14ac:dyDescent="0.25">
      <c r="C24" s="65" t="s">
        <v>89</v>
      </c>
      <c r="D24" s="103">
        <v>1.5</v>
      </c>
      <c r="E24" s="41">
        <v>4.5</v>
      </c>
      <c r="F24" s="92">
        <v>1260</v>
      </c>
      <c r="G24" s="97" t="s">
        <v>116</v>
      </c>
      <c r="H24" s="65" t="s">
        <v>5</v>
      </c>
      <c r="I24" s="50">
        <v>19</v>
      </c>
      <c r="J24" s="47">
        <v>4.1500000000000004</v>
      </c>
      <c r="K24" s="26">
        <v>240</v>
      </c>
      <c r="L24" s="98">
        <f t="shared" ref="L24" si="11">_xlfn.STDEV.S(K24:K26)</f>
        <v>50.332229568471618</v>
      </c>
      <c r="M24" s="75">
        <v>19</v>
      </c>
      <c r="N24" s="75">
        <f t="shared" ref="N24" si="12">MEDIAN(K24:K26)</f>
        <v>280</v>
      </c>
    </row>
    <row r="25" spans="3:16" ht="18.75" x14ac:dyDescent="0.25">
      <c r="C25" s="65"/>
      <c r="D25" s="103">
        <v>1.5</v>
      </c>
      <c r="E25" s="41">
        <v>4.53</v>
      </c>
      <c r="F25" s="92">
        <v>1280</v>
      </c>
      <c r="G25" s="97"/>
      <c r="H25" s="65"/>
      <c r="I25" s="50">
        <v>19</v>
      </c>
      <c r="J25" s="47">
        <v>4.1459999999999999</v>
      </c>
      <c r="K25" s="26">
        <v>280</v>
      </c>
      <c r="L25" s="98"/>
      <c r="M25" s="75"/>
      <c r="N25" s="75"/>
    </row>
    <row r="26" spans="3:16" ht="18.75" x14ac:dyDescent="0.25">
      <c r="C26" s="65"/>
      <c r="D26" s="103">
        <v>1.5</v>
      </c>
      <c r="E26" s="41">
        <v>4.57</v>
      </c>
      <c r="F26" s="92">
        <v>1260</v>
      </c>
      <c r="G26" s="97"/>
      <c r="H26" s="65"/>
      <c r="I26" s="50">
        <v>19</v>
      </c>
      <c r="J26" s="47">
        <v>4.1890000000000001</v>
      </c>
      <c r="K26" s="26">
        <v>340</v>
      </c>
      <c r="L26" s="98"/>
      <c r="M26" s="75"/>
      <c r="N26" s="75"/>
    </row>
    <row r="27" spans="3:16" ht="18.75" x14ac:dyDescent="0.25">
      <c r="C27" s="65" t="s">
        <v>90</v>
      </c>
      <c r="D27" s="103">
        <v>1.5</v>
      </c>
      <c r="E27" s="41">
        <v>4.3600000000000003</v>
      </c>
      <c r="F27" s="92">
        <v>1120</v>
      </c>
      <c r="G27" s="97"/>
      <c r="H27" s="65" t="s">
        <v>8</v>
      </c>
      <c r="I27" s="50">
        <v>3</v>
      </c>
      <c r="J27" s="47">
        <v>4.21</v>
      </c>
      <c r="K27" s="26">
        <v>690</v>
      </c>
      <c r="L27" s="98">
        <f t="shared" ref="L27" si="13">_xlfn.STDEV.S(K27:K29)</f>
        <v>305.12292604784716</v>
      </c>
      <c r="M27" s="75">
        <v>3</v>
      </c>
      <c r="N27" s="75">
        <f t="shared" ref="N27" si="14">MEDIAN(K27:K29)</f>
        <v>690</v>
      </c>
      <c r="O27" s="75"/>
      <c r="P27" s="75"/>
    </row>
    <row r="28" spans="3:16" ht="18.75" x14ac:dyDescent="0.25">
      <c r="C28" s="65"/>
      <c r="D28" s="103">
        <v>1.5</v>
      </c>
      <c r="E28" s="41">
        <v>4.34</v>
      </c>
      <c r="F28" s="92">
        <v>1100</v>
      </c>
      <c r="G28" s="97"/>
      <c r="H28" s="65"/>
      <c r="I28" s="50">
        <v>3</v>
      </c>
      <c r="J28" s="47">
        <v>3.96</v>
      </c>
      <c r="K28" s="26">
        <v>200</v>
      </c>
      <c r="L28" s="98"/>
      <c r="M28" s="75"/>
      <c r="N28" s="75"/>
      <c r="O28" s="75"/>
      <c r="P28" s="75"/>
    </row>
    <row r="29" spans="3:16" ht="18.75" x14ac:dyDescent="0.25">
      <c r="C29" s="65"/>
      <c r="D29" s="103">
        <v>1.5</v>
      </c>
      <c r="E29" s="41">
        <v>4.3600000000000003</v>
      </c>
      <c r="F29" s="92">
        <v>1160</v>
      </c>
      <c r="G29" s="97"/>
      <c r="H29" s="65"/>
      <c r="I29" s="50">
        <v>3</v>
      </c>
      <c r="J29" s="47">
        <v>4.22</v>
      </c>
      <c r="K29" s="26">
        <v>760</v>
      </c>
      <c r="L29" s="98"/>
      <c r="M29" s="75"/>
      <c r="N29" s="75"/>
      <c r="O29" s="75"/>
      <c r="P29" s="75"/>
    </row>
    <row r="30" spans="3:16" ht="18.75" x14ac:dyDescent="0.25">
      <c r="C30" s="65" t="s">
        <v>91</v>
      </c>
      <c r="D30" s="103">
        <v>1.5</v>
      </c>
      <c r="E30" s="41">
        <v>4.0999999999999996</v>
      </c>
      <c r="F30" s="92">
        <v>780</v>
      </c>
      <c r="G30" s="97"/>
      <c r="H30" s="65" t="s">
        <v>91</v>
      </c>
      <c r="I30" s="50">
        <v>1.5</v>
      </c>
      <c r="J30" s="41">
        <v>4.0999999999999996</v>
      </c>
      <c r="K30" s="92">
        <v>780</v>
      </c>
      <c r="L30" s="98">
        <f t="shared" ref="L30" si="15">_xlfn.STDEV.S(K30:K32)</f>
        <v>30.550504633038933</v>
      </c>
      <c r="M30" s="75">
        <v>1.5</v>
      </c>
      <c r="N30" s="75">
        <f t="shared" ref="N30" si="16">MEDIAN(K30:K32)</f>
        <v>800</v>
      </c>
    </row>
    <row r="31" spans="3:16" ht="18.75" x14ac:dyDescent="0.25">
      <c r="C31" s="65"/>
      <c r="D31" s="103">
        <v>1.5</v>
      </c>
      <c r="E31" s="41">
        <v>4.16</v>
      </c>
      <c r="F31" s="92">
        <v>840</v>
      </c>
      <c r="G31" s="97"/>
      <c r="H31" s="65"/>
      <c r="I31" s="50">
        <v>1.5</v>
      </c>
      <c r="J31" s="41">
        <v>4.16</v>
      </c>
      <c r="K31" s="92">
        <v>840</v>
      </c>
      <c r="L31" s="98"/>
      <c r="M31" s="75"/>
      <c r="N31" s="75"/>
    </row>
    <row r="32" spans="3:16" ht="18.75" x14ac:dyDescent="0.25">
      <c r="C32" s="65"/>
      <c r="D32" s="103">
        <v>1.5</v>
      </c>
      <c r="E32" s="41">
        <v>4.1100000000000003</v>
      </c>
      <c r="F32" s="92">
        <v>800</v>
      </c>
      <c r="G32" s="97"/>
      <c r="H32" s="65"/>
      <c r="I32" s="50">
        <v>1.5</v>
      </c>
      <c r="J32" s="41">
        <v>4.1100000000000003</v>
      </c>
      <c r="K32" s="92">
        <v>800</v>
      </c>
      <c r="L32" s="98"/>
      <c r="M32" s="75"/>
      <c r="N32" s="75"/>
    </row>
    <row r="33" spans="3:14" ht="18.75" x14ac:dyDescent="0.25">
      <c r="C33" s="66" t="s">
        <v>2</v>
      </c>
      <c r="D33" s="104">
        <v>0</v>
      </c>
      <c r="E33" s="47">
        <v>4.7149999999999999</v>
      </c>
      <c r="F33" s="26">
        <v>1240</v>
      </c>
    </row>
    <row r="34" spans="3:14" ht="18.75" x14ac:dyDescent="0.25">
      <c r="C34" s="67"/>
      <c r="D34" s="105">
        <v>0</v>
      </c>
      <c r="E34" s="47">
        <v>4.742</v>
      </c>
      <c r="F34" s="26">
        <v>1240</v>
      </c>
    </row>
    <row r="35" spans="3:14" ht="18.75" x14ac:dyDescent="0.25">
      <c r="C35" s="68"/>
      <c r="D35" s="106">
        <v>0</v>
      </c>
      <c r="E35" s="47">
        <v>4.734</v>
      </c>
      <c r="F35" s="26">
        <v>1200</v>
      </c>
    </row>
    <row r="36" spans="3:14" ht="18.75" x14ac:dyDescent="0.25">
      <c r="C36" s="65" t="s">
        <v>2</v>
      </c>
      <c r="D36" s="103">
        <v>0</v>
      </c>
      <c r="E36" s="47">
        <v>4.7839999999999998</v>
      </c>
      <c r="F36" s="26">
        <v>1210</v>
      </c>
      <c r="L36" s="100" t="s">
        <v>118</v>
      </c>
    </row>
    <row r="37" spans="3:14" ht="18.75" x14ac:dyDescent="0.25">
      <c r="C37" s="65"/>
      <c r="D37" s="103">
        <v>0</v>
      </c>
      <c r="E37" s="47">
        <v>4.7839999999999998</v>
      </c>
      <c r="F37" s="26">
        <v>1200</v>
      </c>
      <c r="I37" s="99">
        <v>-42188.142200000002</v>
      </c>
      <c r="K37" s="99">
        <f>I37</f>
        <v>-42188.142200000002</v>
      </c>
      <c r="L37">
        <v>-42000</v>
      </c>
      <c r="N37" s="99">
        <f>L37</f>
        <v>-42000</v>
      </c>
    </row>
    <row r="38" spans="3:14" ht="18.75" x14ac:dyDescent="0.25">
      <c r="C38" s="65"/>
      <c r="D38" s="103">
        <v>0</v>
      </c>
      <c r="E38" s="47">
        <v>4.7640000000000002</v>
      </c>
      <c r="F38" s="26">
        <v>1200</v>
      </c>
      <c r="I38" s="99">
        <v>-20.025777300000001</v>
      </c>
      <c r="J38">
        <v>0</v>
      </c>
      <c r="K38" s="99">
        <f>I38*J38</f>
        <v>0</v>
      </c>
      <c r="L38">
        <v>-20</v>
      </c>
      <c r="M38" s="42">
        <v>0</v>
      </c>
      <c r="N38" s="99">
        <f>L38*M38</f>
        <v>0</v>
      </c>
    </row>
    <row r="39" spans="3:14" ht="18.75" x14ac:dyDescent="0.25">
      <c r="C39" s="66" t="s">
        <v>2</v>
      </c>
      <c r="D39" s="104">
        <v>0</v>
      </c>
      <c r="E39" s="41">
        <v>4.74</v>
      </c>
      <c r="F39" s="92">
        <v>1260</v>
      </c>
      <c r="I39" s="99">
        <v>18662.462800000001</v>
      </c>
      <c r="J39">
        <v>4.7</v>
      </c>
      <c r="K39" s="99">
        <f t="shared" ref="K39:K40" si="17">I39*J39</f>
        <v>87713.575160000008</v>
      </c>
      <c r="L39">
        <v>19000</v>
      </c>
      <c r="M39" s="42">
        <v>4.7</v>
      </c>
      <c r="N39" s="99">
        <f t="shared" ref="N39" si="18">L39*M39</f>
        <v>89300</v>
      </c>
    </row>
    <row r="40" spans="3:14" ht="18.75" x14ac:dyDescent="0.25">
      <c r="C40" s="67"/>
      <c r="D40" s="105">
        <v>0</v>
      </c>
      <c r="E40" s="41">
        <v>4.72</v>
      </c>
      <c r="F40" s="92">
        <v>1200</v>
      </c>
      <c r="I40" s="99">
        <v>-2004.05576</v>
      </c>
      <c r="J40">
        <f>J39^2</f>
        <v>22.090000000000003</v>
      </c>
      <c r="K40" s="99">
        <f>I40*J40</f>
        <v>-44269.591738400006</v>
      </c>
      <c r="L40">
        <v>-2000</v>
      </c>
      <c r="M40" s="42">
        <f>M39^2</f>
        <v>22.090000000000003</v>
      </c>
      <c r="N40" s="99">
        <f>L40*M40</f>
        <v>-44180.000000000007</v>
      </c>
    </row>
    <row r="41" spans="3:14" ht="18.75" x14ac:dyDescent="0.25">
      <c r="C41" s="68"/>
      <c r="D41" s="106">
        <v>0</v>
      </c>
      <c r="E41" s="41">
        <v>4.7699999999999996</v>
      </c>
      <c r="F41" s="92">
        <v>1340</v>
      </c>
      <c r="K41" s="99">
        <f>SUM(K37:K40)</f>
        <v>1255.8412215999997</v>
      </c>
      <c r="N41" s="99">
        <f>SUM(N37:N40)</f>
        <v>3119.9999999999927</v>
      </c>
    </row>
  </sheetData>
  <mergeCells count="64">
    <mergeCell ref="M18:M20"/>
    <mergeCell ref="M21:M23"/>
    <mergeCell ref="M24:M26"/>
    <mergeCell ref="M27:M29"/>
    <mergeCell ref="M30:M32"/>
    <mergeCell ref="N24:N26"/>
    <mergeCell ref="N27:N29"/>
    <mergeCell ref="N30:N32"/>
    <mergeCell ref="O27:O29"/>
    <mergeCell ref="P27:P29"/>
    <mergeCell ref="M3:M5"/>
    <mergeCell ref="M6:M8"/>
    <mergeCell ref="M9:M11"/>
    <mergeCell ref="M12:M14"/>
    <mergeCell ref="M15:M17"/>
    <mergeCell ref="L24:L26"/>
    <mergeCell ref="L27:L29"/>
    <mergeCell ref="L30:L32"/>
    <mergeCell ref="N3:N5"/>
    <mergeCell ref="N6:N8"/>
    <mergeCell ref="N9:N11"/>
    <mergeCell ref="N12:N14"/>
    <mergeCell ref="N15:N17"/>
    <mergeCell ref="N18:N20"/>
    <mergeCell ref="N21:N23"/>
    <mergeCell ref="G6:G14"/>
    <mergeCell ref="G15:G23"/>
    <mergeCell ref="G24:G32"/>
    <mergeCell ref="L3:L5"/>
    <mergeCell ref="L6:L8"/>
    <mergeCell ref="L9:L11"/>
    <mergeCell ref="L12:L14"/>
    <mergeCell ref="L15:L17"/>
    <mergeCell ref="L18:L20"/>
    <mergeCell ref="L21:L23"/>
    <mergeCell ref="K1:K2"/>
    <mergeCell ref="H6:H8"/>
    <mergeCell ref="H9:H11"/>
    <mergeCell ref="H12:H14"/>
    <mergeCell ref="H15:H17"/>
    <mergeCell ref="H18:H20"/>
    <mergeCell ref="H3:H5"/>
    <mergeCell ref="C30:C32"/>
    <mergeCell ref="C33:C35"/>
    <mergeCell ref="C36:C38"/>
    <mergeCell ref="C39:C41"/>
    <mergeCell ref="H1:H2"/>
    <mergeCell ref="J1:J2"/>
    <mergeCell ref="H21:H23"/>
    <mergeCell ref="H24:H26"/>
    <mergeCell ref="H27:H29"/>
    <mergeCell ref="H30:H32"/>
    <mergeCell ref="C12:C14"/>
    <mergeCell ref="C15:C17"/>
    <mergeCell ref="C18:C20"/>
    <mergeCell ref="C21:C23"/>
    <mergeCell ref="C24:C26"/>
    <mergeCell ref="C27:C29"/>
    <mergeCell ref="E1:E2"/>
    <mergeCell ref="F1:F2"/>
    <mergeCell ref="C1:C2"/>
    <mergeCell ref="C3:C5"/>
    <mergeCell ref="C6:C8"/>
    <mergeCell ref="C9:C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5"/>
  <sheetViews>
    <sheetView topLeftCell="B25" zoomScale="93" zoomScaleNormal="93" workbookViewId="0">
      <selection activeCell="F40" sqref="F40:F42"/>
    </sheetView>
  </sheetViews>
  <sheetFormatPr defaultRowHeight="15" x14ac:dyDescent="0.25"/>
  <cols>
    <col min="1" max="1" width="5.42578125" style="42" bestFit="1" customWidth="1"/>
    <col min="2" max="2" width="16.7109375" style="3" customWidth="1"/>
    <col min="3" max="3" width="13.42578125" style="3" customWidth="1"/>
    <col min="4" max="4" width="11.42578125" style="3" customWidth="1"/>
    <col min="5" max="5" width="13.28515625" style="7" bestFit="1" customWidth="1"/>
    <col min="6" max="6" width="11" style="7" customWidth="1"/>
    <col min="7" max="7" width="9.5703125" style="3" bestFit="1" customWidth="1"/>
    <col min="8" max="8" width="16.42578125" style="7" customWidth="1"/>
    <col min="9" max="9" width="15.28515625" style="7" bestFit="1" customWidth="1"/>
    <col min="10" max="10" width="13" style="7" customWidth="1"/>
    <col min="11" max="11" width="12.85546875" style="7" customWidth="1"/>
    <col min="12" max="12" width="11" style="94" customWidth="1"/>
    <col min="13" max="14" width="11" style="3" customWidth="1"/>
    <col min="15" max="15" width="12.5703125" style="3" bestFit="1" customWidth="1"/>
    <col min="16" max="18" width="12.5703125" style="3" customWidth="1"/>
    <col min="19" max="19" width="12.5703125" bestFit="1" customWidth="1"/>
    <col min="20" max="20" width="9.5703125" customWidth="1"/>
    <col min="21" max="21" width="12.5703125" bestFit="1" customWidth="1"/>
    <col min="22" max="22" width="9.5703125" customWidth="1"/>
    <col min="23" max="24" width="12.5703125" style="3" customWidth="1"/>
    <col min="25" max="25" width="12.5703125" bestFit="1" customWidth="1"/>
    <col min="26" max="26" width="9.5703125" customWidth="1"/>
    <col min="27" max="27" width="12.5703125" bestFit="1" customWidth="1"/>
    <col min="28" max="29" width="9.5703125" customWidth="1"/>
    <col min="31" max="31" width="14.42578125" customWidth="1"/>
    <col min="34" max="34" width="9.5703125" bestFit="1" customWidth="1"/>
    <col min="35" max="37" width="11.7109375" customWidth="1"/>
  </cols>
  <sheetData>
    <row r="1" spans="1:45" ht="23.25" x14ac:dyDescent="0.25">
      <c r="B1" s="76" t="s">
        <v>10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23"/>
      <c r="Q1" s="23"/>
      <c r="R1" s="23"/>
      <c r="W1" s="23"/>
      <c r="X1" s="23"/>
    </row>
    <row r="2" spans="1:45" s="2" customFormat="1" ht="28.5" customHeight="1" x14ac:dyDescent="0.25">
      <c r="B2" s="78" t="s">
        <v>9</v>
      </c>
      <c r="C2" s="78" t="s">
        <v>21</v>
      </c>
      <c r="D2" s="78" t="s">
        <v>0</v>
      </c>
      <c r="E2" s="78" t="s">
        <v>57</v>
      </c>
      <c r="F2" s="78" t="s">
        <v>52</v>
      </c>
      <c r="G2" s="78" t="s">
        <v>13</v>
      </c>
      <c r="H2" s="53" t="s">
        <v>48</v>
      </c>
      <c r="I2" s="53"/>
      <c r="J2" s="53"/>
      <c r="K2" s="53"/>
      <c r="L2" s="90" t="s">
        <v>1</v>
      </c>
      <c r="M2" s="80" t="s">
        <v>64</v>
      </c>
      <c r="N2" s="80"/>
      <c r="O2" s="82" t="s">
        <v>12</v>
      </c>
      <c r="P2" s="82" t="s">
        <v>84</v>
      </c>
      <c r="Q2" s="53" t="s">
        <v>104</v>
      </c>
      <c r="R2" s="53"/>
      <c r="S2" s="53" t="s">
        <v>72</v>
      </c>
      <c r="T2" s="53"/>
      <c r="U2" s="53" t="s">
        <v>73</v>
      </c>
      <c r="V2" s="53"/>
      <c r="W2" s="53" t="s">
        <v>104</v>
      </c>
      <c r="X2" s="53"/>
      <c r="Y2" s="53" t="s">
        <v>70</v>
      </c>
      <c r="Z2" s="53"/>
      <c r="AA2" s="53" t="s">
        <v>71</v>
      </c>
      <c r="AB2" s="53"/>
      <c r="AD2" s="82" t="s">
        <v>9</v>
      </c>
      <c r="AE2" s="82" t="s">
        <v>21</v>
      </c>
      <c r="AF2" s="82" t="s">
        <v>13</v>
      </c>
      <c r="AG2" s="82" t="s">
        <v>49</v>
      </c>
      <c r="AH2" s="82" t="s">
        <v>49</v>
      </c>
      <c r="AI2" s="82" t="s">
        <v>12</v>
      </c>
      <c r="AJ2" s="80" t="s">
        <v>64</v>
      </c>
      <c r="AK2" s="80"/>
    </row>
    <row r="3" spans="1:45" s="2" customFormat="1" ht="30" x14ac:dyDescent="0.25">
      <c r="B3" s="79"/>
      <c r="C3" s="79"/>
      <c r="D3" s="79"/>
      <c r="E3" s="79"/>
      <c r="F3" s="79"/>
      <c r="G3" s="79"/>
      <c r="H3" s="18" t="s">
        <v>86</v>
      </c>
      <c r="I3" s="18" t="s">
        <v>77</v>
      </c>
      <c r="J3" s="18" t="s">
        <v>87</v>
      </c>
      <c r="K3" s="18" t="s">
        <v>77</v>
      </c>
      <c r="L3" s="91"/>
      <c r="M3" s="4" t="s">
        <v>65</v>
      </c>
      <c r="N3" s="4" t="s">
        <v>66</v>
      </c>
      <c r="O3" s="83"/>
      <c r="P3" s="83"/>
      <c r="Q3" s="11" t="s">
        <v>68</v>
      </c>
      <c r="R3" s="35" t="s">
        <v>69</v>
      </c>
      <c r="S3" s="11" t="s">
        <v>68</v>
      </c>
      <c r="T3" s="20" t="s">
        <v>69</v>
      </c>
      <c r="U3" s="11" t="s">
        <v>68</v>
      </c>
      <c r="V3" s="20" t="s">
        <v>69</v>
      </c>
      <c r="W3" s="11" t="s">
        <v>68</v>
      </c>
      <c r="X3" s="35" t="s">
        <v>69</v>
      </c>
      <c r="Y3" s="11" t="s">
        <v>68</v>
      </c>
      <c r="Z3" s="20" t="s">
        <v>69</v>
      </c>
      <c r="AA3" s="11" t="s">
        <v>68</v>
      </c>
      <c r="AB3" s="20" t="s">
        <v>69</v>
      </c>
      <c r="AC3" s="19"/>
      <c r="AD3" s="83"/>
      <c r="AE3" s="83"/>
      <c r="AF3" s="83"/>
      <c r="AG3" s="83"/>
      <c r="AH3" s="83"/>
      <c r="AI3" s="83"/>
      <c r="AJ3" s="5" t="s">
        <v>65</v>
      </c>
      <c r="AK3" s="5" t="s">
        <v>66</v>
      </c>
      <c r="AL3"/>
    </row>
    <row r="4" spans="1:45" x14ac:dyDescent="0.25">
      <c r="A4" s="42">
        <v>0.1</v>
      </c>
      <c r="B4" s="65" t="s">
        <v>2</v>
      </c>
      <c r="C4" s="65">
        <v>0</v>
      </c>
      <c r="D4" s="4">
        <v>1</v>
      </c>
      <c r="E4" s="6">
        <v>4.76</v>
      </c>
      <c r="F4" s="6">
        <f>E4</f>
        <v>4.76</v>
      </c>
      <c r="G4" s="61">
        <f>AVERAGE(F4:F6)</f>
        <v>4.7766666666666664</v>
      </c>
      <c r="H4" s="6">
        <f t="shared" ref="H4:H24" si="0">$L$43-(E4-F4)</f>
        <v>0.81</v>
      </c>
      <c r="I4" s="61">
        <f>AVERAGE(H4:H6)</f>
        <v>0.81</v>
      </c>
      <c r="J4" s="6">
        <f t="shared" ref="J4:J24" si="1">$L$43-(E4-F4)-($E$43-E4)</f>
        <v>0.81</v>
      </c>
      <c r="K4" s="61">
        <f>AVERAGE(J4:J6)</f>
        <v>0.82666666666666666</v>
      </c>
      <c r="L4" s="26">
        <v>1240</v>
      </c>
      <c r="M4" s="16">
        <f>L4*(1- 0.015)</f>
        <v>1221.4000000000001</v>
      </c>
      <c r="N4" s="16">
        <f>L4*1.015</f>
        <v>1258.5999999999999</v>
      </c>
      <c r="O4" s="61">
        <f>AVERAGE(L4:L6)</f>
        <v>1220</v>
      </c>
      <c r="P4" s="6">
        <f>L4/1.5</f>
        <v>826.66666666666663</v>
      </c>
      <c r="Q4" s="34">
        <f xml:space="preserve"> -1739.7*J4^2 + 2367.4*J4 + 452.35</f>
        <v>1228.5268300000002</v>
      </c>
      <c r="R4" s="21">
        <f>1-($L4/Q4)</f>
        <v>-9.3389657595022157E-3</v>
      </c>
      <c r="S4" s="16">
        <f>-1692.7*J4^2 + 2683.5*J4 + 159.75</f>
        <v>1222.8045299999999</v>
      </c>
      <c r="T4" s="21">
        <f>1-($L4/S4)</f>
        <v>-1.4062321146291579E-2</v>
      </c>
      <c r="U4" s="16">
        <f>-1512.7*J4^2 + 3104.9*J4 - 310.64</f>
        <v>1211.8465299999998</v>
      </c>
      <c r="V4" s="21">
        <f>1-(L4/U4)</f>
        <v>-2.3231877389623179E-2</v>
      </c>
      <c r="W4" s="34">
        <f>-1739.7*F4^2+16111*F4-36043</f>
        <v>1227.9332800000047</v>
      </c>
      <c r="X4" s="21">
        <f>1-($L4/W4)</f>
        <v>-9.8268531332543763E-3</v>
      </c>
      <c r="Y4" s="16">
        <f>-1692.7*F4^2 + 16056*F4 - 36850</f>
        <v>1224.040479999996</v>
      </c>
      <c r="Z4" s="21">
        <f>1-(L4/Y4)</f>
        <v>-1.3038392325067649E-2</v>
      </c>
      <c r="AA4" s="16">
        <f xml:space="preserve"> -1512.7*F4^2 + 15056*F4 - 36177</f>
        <v>1215.4084799999982</v>
      </c>
      <c r="AB4" s="21">
        <f t="shared" ref="AB4:AB15" si="2">1-(N4/AA4)</f>
        <v>-3.5536628804829329E-2</v>
      </c>
      <c r="AC4" s="15"/>
      <c r="AD4" s="12" t="str">
        <f>B4</f>
        <v>Sem</v>
      </c>
      <c r="AE4" s="12">
        <f>C4</f>
        <v>0</v>
      </c>
      <c r="AF4" s="12">
        <f>G4</f>
        <v>4.7766666666666664</v>
      </c>
      <c r="AG4" s="12">
        <f>I4</f>
        <v>0.81</v>
      </c>
      <c r="AH4" s="12">
        <f>K4</f>
        <v>0.82666666666666666</v>
      </c>
      <c r="AI4" s="17">
        <f>O4</f>
        <v>1220</v>
      </c>
      <c r="AJ4" s="16">
        <f>AI4*(1- 0.015)</f>
        <v>1201.7</v>
      </c>
      <c r="AK4" s="16">
        <f>AI4*1.015</f>
        <v>1238.3</v>
      </c>
      <c r="AL4" s="15"/>
    </row>
    <row r="5" spans="1:45" x14ac:dyDescent="0.25">
      <c r="A5" s="42">
        <v>0.1</v>
      </c>
      <c r="B5" s="65"/>
      <c r="C5" s="65"/>
      <c r="D5" s="4">
        <v>2</v>
      </c>
      <c r="E5" s="6">
        <v>4.7699999999999996</v>
      </c>
      <c r="F5" s="6">
        <f>E5</f>
        <v>4.7699999999999996</v>
      </c>
      <c r="G5" s="61"/>
      <c r="H5" s="6">
        <f t="shared" si="0"/>
        <v>0.81</v>
      </c>
      <c r="I5" s="61"/>
      <c r="J5" s="6">
        <f t="shared" si="1"/>
        <v>0.81999999999999984</v>
      </c>
      <c r="K5" s="61"/>
      <c r="L5" s="26">
        <v>1220</v>
      </c>
      <c r="M5" s="16">
        <f t="shared" ref="M5:M39" si="3">L5*(1- 0.015)</f>
        <v>1201.7</v>
      </c>
      <c r="N5" s="16">
        <f t="shared" ref="N5:N39" si="4">L5*1.015</f>
        <v>1238.3</v>
      </c>
      <c r="O5" s="61"/>
      <c r="P5" s="6">
        <f t="shared" ref="P5:P53" si="5">L5/1.5</f>
        <v>813.33333333333337</v>
      </c>
      <c r="Q5" s="34">
        <f t="shared" ref="Q5:Q6" si="6" xml:space="preserve"> -1739.7*J5^2 + 2367.4*J5 + 452.35</f>
        <v>1223.8437200000003</v>
      </c>
      <c r="R5" s="21">
        <f t="shared" ref="R5:T6" si="7">1-($L5/Q5)</f>
        <v>3.1406951207791911E-3</v>
      </c>
      <c r="S5" s="16">
        <f>-1692.7*J5^2 + 2683.5*J5 + 159.75</f>
        <v>1222.0485199999996</v>
      </c>
      <c r="T5" s="21">
        <f t="shared" si="7"/>
        <v>1.6763000539451456E-3</v>
      </c>
      <c r="U5" s="16">
        <f t="shared" ref="U5:U15" si="8">-1512.7*J5^2 + 3104.9*J5 - 310.64</f>
        <v>1218.2385199999999</v>
      </c>
      <c r="V5" s="21">
        <f t="shared" ref="V5:V15" si="9">1-(L5/U5)</f>
        <v>-1.4459237424211402E-3</v>
      </c>
      <c r="W5" s="34">
        <f t="shared" ref="W5:W6" si="10">-1739.7*F5^2+16111*F5-36043</f>
        <v>1223.2498699999924</v>
      </c>
      <c r="X5" s="21">
        <f t="shared" ref="X5" si="11">1-($L5/W5)</f>
        <v>2.6567507421786374E-3</v>
      </c>
      <c r="Y5" s="16">
        <f>-1692.7*F5^2 + 16056*F5 - 36850</f>
        <v>1223.2861699999994</v>
      </c>
      <c r="Z5" s="21">
        <f>1-(L5/Y5)</f>
        <v>2.6863460738703049E-3</v>
      </c>
      <c r="AA5" s="16">
        <f t="shared" ref="AA5:AA15" si="12" xml:space="preserve"> -1512.7*F5^2 + 15056*F5 - 36177</f>
        <v>1221.8081699999966</v>
      </c>
      <c r="AB5" s="21">
        <f t="shared" si="2"/>
        <v>-1.3497888134111458E-2</v>
      </c>
      <c r="AC5" s="15"/>
      <c r="AD5" s="12" t="str">
        <f>B7</f>
        <v>19x0,2</v>
      </c>
      <c r="AE5" s="12">
        <f>C7</f>
        <v>0</v>
      </c>
      <c r="AF5" s="12">
        <f>G7</f>
        <v>4.5386666666666668</v>
      </c>
      <c r="AG5" s="12">
        <f>I7</f>
        <v>0.59300000000000008</v>
      </c>
      <c r="AH5" s="12">
        <f>K7</f>
        <v>0.58866666666666678</v>
      </c>
      <c r="AI5" s="17">
        <f>O7</f>
        <v>1010</v>
      </c>
      <c r="AJ5" s="16">
        <f t="shared" ref="AJ5:AJ15" si="13">AI5*(1- 0.015)</f>
        <v>994.85</v>
      </c>
      <c r="AK5" s="16">
        <f t="shared" ref="AK5:AK15" si="14">AI5*1.015</f>
        <v>1025.1499999999999</v>
      </c>
      <c r="AL5" s="15"/>
    </row>
    <row r="6" spans="1:45" x14ac:dyDescent="0.25">
      <c r="A6" s="42">
        <v>0.1</v>
      </c>
      <c r="B6" s="65"/>
      <c r="C6" s="65"/>
      <c r="D6" s="4">
        <v>3</v>
      </c>
      <c r="E6" s="6">
        <v>4.8</v>
      </c>
      <c r="F6" s="6">
        <f>E6</f>
        <v>4.8</v>
      </c>
      <c r="G6" s="61"/>
      <c r="H6" s="6">
        <f t="shared" si="0"/>
        <v>0.81</v>
      </c>
      <c r="I6" s="61"/>
      <c r="J6" s="6">
        <f t="shared" si="1"/>
        <v>0.85000000000000009</v>
      </c>
      <c r="K6" s="61"/>
      <c r="L6" s="26">
        <v>1200</v>
      </c>
      <c r="M6" s="16">
        <f t="shared" si="3"/>
        <v>1182</v>
      </c>
      <c r="N6" s="16">
        <f t="shared" si="4"/>
        <v>1217.9999999999998</v>
      </c>
      <c r="O6" s="61"/>
      <c r="P6" s="6">
        <f t="shared" si="5"/>
        <v>800</v>
      </c>
      <c r="Q6" s="34">
        <f t="shared" si="6"/>
        <v>1207.7067499999998</v>
      </c>
      <c r="R6" s="21">
        <f t="shared" si="7"/>
        <v>6.3813090388041838E-3</v>
      </c>
      <c r="S6" s="16">
        <f>-1692.7*J6^2 + 2683.5*J6 + 159.75</f>
        <v>1217.7492500000001</v>
      </c>
      <c r="T6" s="21">
        <f t="shared" si="7"/>
        <v>1.4575455497098488E-2</v>
      </c>
      <c r="U6" s="16">
        <f t="shared" si="8"/>
        <v>1235.5992500000002</v>
      </c>
      <c r="V6" s="21">
        <f t="shared" si="9"/>
        <v>2.881132373623585E-2</v>
      </c>
      <c r="W6" s="34">
        <f t="shared" si="10"/>
        <v>1207.112000000001</v>
      </c>
      <c r="X6" s="21">
        <f t="shared" ref="X6" si="15">1-($L6/W6)</f>
        <v>5.8917482387723652E-3</v>
      </c>
      <c r="Y6" s="16">
        <f>-1692.7*F6^2 + 16056*F6 - 36850</f>
        <v>1218.9920000000056</v>
      </c>
      <c r="Z6" s="21">
        <f>1-(L6/Y6)</f>
        <v>1.5580085841421121E-2</v>
      </c>
      <c r="AA6" s="16">
        <f t="shared" si="12"/>
        <v>1239.1920000000027</v>
      </c>
      <c r="AB6" s="21">
        <f t="shared" si="2"/>
        <v>1.7101466116633213E-2</v>
      </c>
      <c r="AC6" s="15"/>
      <c r="AD6" s="12" t="str">
        <f>B10</f>
        <v>19x0,4</v>
      </c>
      <c r="AE6" s="12">
        <f>C10</f>
        <v>0</v>
      </c>
      <c r="AF6" s="12">
        <f>G10</f>
        <v>4.344333333333334</v>
      </c>
      <c r="AG6" s="12">
        <f>I10</f>
        <v>0.40866666666666679</v>
      </c>
      <c r="AH6" s="12">
        <f>K10</f>
        <v>0.3943333333333337</v>
      </c>
      <c r="AI6" s="17">
        <f>O10</f>
        <v>653.33333333333337</v>
      </c>
      <c r="AJ6" s="16">
        <f t="shared" si="13"/>
        <v>643.53333333333342</v>
      </c>
      <c r="AK6" s="16">
        <f t="shared" si="14"/>
        <v>663.13333333333333</v>
      </c>
      <c r="AL6" s="15"/>
    </row>
    <row r="7" spans="1:45" ht="15" customHeight="1" x14ac:dyDescent="0.25">
      <c r="A7" s="42">
        <v>0.2</v>
      </c>
      <c r="B7" s="65" t="s">
        <v>3</v>
      </c>
      <c r="C7" s="65">
        <v>0</v>
      </c>
      <c r="D7" s="4">
        <v>4</v>
      </c>
      <c r="E7" s="6">
        <v>4.7469999999999999</v>
      </c>
      <c r="F7" s="6">
        <v>4.508</v>
      </c>
      <c r="G7" s="61">
        <f>AVERAGE(F7:F9)</f>
        <v>4.5386666666666668</v>
      </c>
      <c r="H7" s="6">
        <f t="shared" si="0"/>
        <v>0.57100000000000017</v>
      </c>
      <c r="I7" s="61">
        <f>AVERAGE(H7:H9)</f>
        <v>0.59300000000000008</v>
      </c>
      <c r="J7" s="6">
        <f t="shared" si="1"/>
        <v>0.55800000000000027</v>
      </c>
      <c r="K7" s="61">
        <f>AVERAGE(J7:J9)</f>
        <v>0.58866666666666678</v>
      </c>
      <c r="L7" s="26">
        <v>990</v>
      </c>
      <c r="M7" s="16">
        <f t="shared" si="3"/>
        <v>975.15</v>
      </c>
      <c r="N7" s="16">
        <f t="shared" si="4"/>
        <v>1004.8499999999999</v>
      </c>
      <c r="O7" s="61">
        <f>AVERAGE(L7:L9)</f>
        <v>1010</v>
      </c>
      <c r="P7" s="6">
        <f t="shared" si="5"/>
        <v>660</v>
      </c>
      <c r="Q7" s="55"/>
      <c r="R7" s="56"/>
      <c r="S7" s="55"/>
      <c r="T7" s="56"/>
      <c r="U7" s="16">
        <f t="shared" si="8"/>
        <v>950.89387720000047</v>
      </c>
      <c r="V7" s="21">
        <f t="shared" si="9"/>
        <v>-4.1125643710264725E-2</v>
      </c>
      <c r="W7" s="55"/>
      <c r="X7" s="56"/>
      <c r="Y7" s="55"/>
      <c r="Z7" s="56"/>
      <c r="AA7" s="16">
        <f t="shared" si="12"/>
        <v>954.26178719999734</v>
      </c>
      <c r="AB7" s="21">
        <f t="shared" si="2"/>
        <v>-5.3012929448258639E-2</v>
      </c>
      <c r="AD7" s="12" t="str">
        <f>B13</f>
        <v>19x0,6</v>
      </c>
      <c r="AE7" s="12">
        <f>C13</f>
        <v>0</v>
      </c>
      <c r="AF7" s="12">
        <f>G13</f>
        <v>4.1616666666666662</v>
      </c>
      <c r="AG7" s="12">
        <f>I13</f>
        <v>0.20866666666666664</v>
      </c>
      <c r="AH7" s="12">
        <f>K13</f>
        <v>0.21166666666666703</v>
      </c>
      <c r="AI7" s="17">
        <f>O13</f>
        <v>286.66666666666669</v>
      </c>
      <c r="AJ7" s="16">
        <f t="shared" si="13"/>
        <v>282.36666666666667</v>
      </c>
      <c r="AK7" s="16">
        <f t="shared" si="14"/>
        <v>290.96666666666664</v>
      </c>
      <c r="AL7" s="15"/>
    </row>
    <row r="8" spans="1:45" x14ac:dyDescent="0.25">
      <c r="A8" s="42">
        <v>0.2</v>
      </c>
      <c r="B8" s="65"/>
      <c r="C8" s="65"/>
      <c r="D8" s="4">
        <v>5</v>
      </c>
      <c r="E8" s="6">
        <v>4.7679999999999998</v>
      </c>
      <c r="F8" s="6">
        <v>4.5789999999999997</v>
      </c>
      <c r="G8" s="61"/>
      <c r="H8" s="6">
        <f t="shared" si="0"/>
        <v>0.621</v>
      </c>
      <c r="I8" s="61"/>
      <c r="J8" s="6">
        <f t="shared" si="1"/>
        <v>0.629</v>
      </c>
      <c r="K8" s="61"/>
      <c r="L8" s="26">
        <v>1020</v>
      </c>
      <c r="M8" s="16">
        <f t="shared" si="3"/>
        <v>1004.6999999999999</v>
      </c>
      <c r="N8" s="16">
        <f t="shared" si="4"/>
        <v>1035.3</v>
      </c>
      <c r="O8" s="61"/>
      <c r="P8" s="6">
        <f t="shared" si="5"/>
        <v>680</v>
      </c>
      <c r="Q8" s="57"/>
      <c r="R8" s="58"/>
      <c r="S8" s="57"/>
      <c r="T8" s="58"/>
      <c r="U8" s="16">
        <f t="shared" si="8"/>
        <v>1043.8559593</v>
      </c>
      <c r="V8" s="21">
        <f t="shared" si="9"/>
        <v>2.2853688851858012E-2</v>
      </c>
      <c r="W8" s="57"/>
      <c r="X8" s="58"/>
      <c r="Y8" s="57"/>
      <c r="Z8" s="58"/>
      <c r="AA8" s="16">
        <f t="shared" si="12"/>
        <v>1047.2785393000013</v>
      </c>
      <c r="AB8" s="21">
        <f t="shared" si="2"/>
        <v>1.1437777869493737E-2</v>
      </c>
      <c r="AD8" s="12" t="str">
        <f>B16</f>
        <v>3x0,2</v>
      </c>
      <c r="AE8" s="12">
        <f>C16</f>
        <v>0</v>
      </c>
      <c r="AF8" s="12">
        <f>G16</f>
        <v>4.4866666666666672</v>
      </c>
      <c r="AG8" s="12">
        <f>I16</f>
        <v>0.60333333333333339</v>
      </c>
      <c r="AH8" s="12">
        <f>K16</f>
        <v>0.53666666666666718</v>
      </c>
      <c r="AI8" s="17">
        <f>O16</f>
        <v>963.33333333333337</v>
      </c>
      <c r="AJ8" s="16">
        <f t="shared" si="13"/>
        <v>948.88333333333333</v>
      </c>
      <c r="AK8" s="16">
        <f t="shared" si="14"/>
        <v>977.7833333333333</v>
      </c>
      <c r="AL8" s="15"/>
    </row>
    <row r="9" spans="1:45" x14ac:dyDescent="0.25">
      <c r="A9" s="42">
        <v>0.2</v>
      </c>
      <c r="B9" s="65"/>
      <c r="C9" s="65"/>
      <c r="D9" s="4">
        <v>6</v>
      </c>
      <c r="E9" s="6">
        <v>4.7519999999999998</v>
      </c>
      <c r="F9" s="6">
        <v>4.5289999999999999</v>
      </c>
      <c r="G9" s="61"/>
      <c r="H9" s="6">
        <f t="shared" si="0"/>
        <v>0.58700000000000019</v>
      </c>
      <c r="I9" s="61"/>
      <c r="J9" s="6">
        <f t="shared" si="1"/>
        <v>0.57900000000000018</v>
      </c>
      <c r="K9" s="61"/>
      <c r="L9" s="26">
        <v>1020</v>
      </c>
      <c r="M9" s="16">
        <f t="shared" si="3"/>
        <v>1004.6999999999999</v>
      </c>
      <c r="N9" s="16">
        <f t="shared" si="4"/>
        <v>1035.3</v>
      </c>
      <c r="O9" s="61"/>
      <c r="P9" s="6">
        <f t="shared" si="5"/>
        <v>680</v>
      </c>
      <c r="Q9" s="57"/>
      <c r="R9" s="58"/>
      <c r="S9" s="57"/>
      <c r="T9" s="58"/>
      <c r="U9" s="16">
        <f t="shared" si="8"/>
        <v>979.97803930000021</v>
      </c>
      <c r="V9" s="21">
        <f t="shared" si="9"/>
        <v>-4.0839650578892162E-2</v>
      </c>
      <c r="W9" s="57"/>
      <c r="X9" s="58"/>
      <c r="Y9" s="57"/>
      <c r="Z9" s="58"/>
      <c r="AA9" s="16">
        <f t="shared" si="12"/>
        <v>983.3621192999999</v>
      </c>
      <c r="AB9" s="21">
        <f t="shared" si="2"/>
        <v>-5.2816637615623829E-2</v>
      </c>
      <c r="AD9" s="12" t="str">
        <f>B19</f>
        <v>3x0,4</v>
      </c>
      <c r="AE9" s="12">
        <f>C19</f>
        <v>0</v>
      </c>
      <c r="AF9" s="12">
        <f>G19</f>
        <v>4.32</v>
      </c>
      <c r="AG9" s="12">
        <f>I19</f>
        <v>0.41999999999999976</v>
      </c>
      <c r="AH9" s="12">
        <f>K19</f>
        <v>0.37000000000000027</v>
      </c>
      <c r="AI9" s="17">
        <f>O19</f>
        <v>933.33333333333337</v>
      </c>
      <c r="AJ9" s="16">
        <f t="shared" si="13"/>
        <v>919.33333333333337</v>
      </c>
      <c r="AK9" s="16">
        <f t="shared" si="14"/>
        <v>947.33333333333326</v>
      </c>
      <c r="AL9" s="15"/>
    </row>
    <row r="10" spans="1:45" ht="15" customHeight="1" x14ac:dyDescent="0.25">
      <c r="A10" s="42">
        <v>0.4</v>
      </c>
      <c r="B10" s="65" t="s">
        <v>4</v>
      </c>
      <c r="C10" s="65">
        <v>0</v>
      </c>
      <c r="D10" s="4">
        <v>7</v>
      </c>
      <c r="E10" s="6">
        <v>4.7240000000000002</v>
      </c>
      <c r="F10" s="6">
        <v>4.3390000000000004</v>
      </c>
      <c r="G10" s="61">
        <f>AVERAGE(F10:F12)</f>
        <v>4.344333333333334</v>
      </c>
      <c r="H10" s="6">
        <f t="shared" si="0"/>
        <v>0.42500000000000027</v>
      </c>
      <c r="I10" s="61">
        <f>AVERAGE(H10:H12)</f>
        <v>0.40866666666666679</v>
      </c>
      <c r="J10" s="6">
        <f t="shared" si="1"/>
        <v>0.38900000000000068</v>
      </c>
      <c r="K10" s="61">
        <f>AVERAGE(J10:J12)</f>
        <v>0.3943333333333337</v>
      </c>
      <c r="L10" s="26">
        <v>620</v>
      </c>
      <c r="M10" s="16">
        <f t="shared" si="3"/>
        <v>610.70000000000005</v>
      </c>
      <c r="N10" s="16">
        <f t="shared" si="4"/>
        <v>629.29999999999995</v>
      </c>
      <c r="O10" s="61">
        <f>AVERAGE(L10:L12)</f>
        <v>653.33333333333337</v>
      </c>
      <c r="P10" s="6">
        <f t="shared" si="5"/>
        <v>413.33333333333331</v>
      </c>
      <c r="Q10" s="57"/>
      <c r="R10" s="58"/>
      <c r="S10" s="57"/>
      <c r="T10" s="58"/>
      <c r="U10" s="16">
        <f t="shared" si="8"/>
        <v>668.26282330000129</v>
      </c>
      <c r="V10" s="21">
        <f t="shared" si="9"/>
        <v>7.2221320141184653E-2</v>
      </c>
      <c r="W10" s="57"/>
      <c r="X10" s="58"/>
      <c r="Y10" s="57"/>
      <c r="Z10" s="58"/>
      <c r="AA10" s="16">
        <f t="shared" si="12"/>
        <v>671.50060329999542</v>
      </c>
      <c r="AB10" s="21">
        <f t="shared" si="2"/>
        <v>6.2845220231532939E-2</v>
      </c>
      <c r="AD10" s="12" t="str">
        <f>B22</f>
        <v>3x0,6</v>
      </c>
      <c r="AE10" s="12">
        <f>C22</f>
        <v>0</v>
      </c>
      <c r="AF10" s="12">
        <f>G22</f>
        <v>4.13</v>
      </c>
      <c r="AG10" s="12">
        <f>I22</f>
        <v>0.21666666666666665</v>
      </c>
      <c r="AH10" s="12">
        <f>K22</f>
        <v>0.18000000000000016</v>
      </c>
      <c r="AI10" s="17">
        <f>O22</f>
        <v>550</v>
      </c>
      <c r="AJ10" s="16">
        <f t="shared" si="13"/>
        <v>541.75</v>
      </c>
      <c r="AK10" s="16">
        <f t="shared" si="14"/>
        <v>558.25</v>
      </c>
      <c r="AL10" s="15"/>
      <c r="AO10" s="75" t="s">
        <v>63</v>
      </c>
      <c r="AP10" s="75"/>
      <c r="AQ10" s="75"/>
      <c r="AR10" s="75"/>
      <c r="AS10" s="75"/>
    </row>
    <row r="11" spans="1:45" x14ac:dyDescent="0.25">
      <c r="A11" s="42">
        <v>0.4</v>
      </c>
      <c r="B11" s="65"/>
      <c r="C11" s="65"/>
      <c r="D11" s="4">
        <v>8</v>
      </c>
      <c r="E11" s="6">
        <v>4.7690000000000001</v>
      </c>
      <c r="F11" s="6">
        <v>4.3369999999999997</v>
      </c>
      <c r="G11" s="61"/>
      <c r="H11" s="6">
        <f t="shared" si="0"/>
        <v>0.37799999999999967</v>
      </c>
      <c r="I11" s="61"/>
      <c r="J11" s="6">
        <f t="shared" si="1"/>
        <v>0.38700000000000001</v>
      </c>
      <c r="K11" s="61"/>
      <c r="L11" s="26">
        <v>620</v>
      </c>
      <c r="M11" s="16">
        <f t="shared" si="3"/>
        <v>610.70000000000005</v>
      </c>
      <c r="N11" s="16">
        <f t="shared" si="4"/>
        <v>629.29999999999995</v>
      </c>
      <c r="O11" s="61"/>
      <c r="P11" s="6">
        <f t="shared" si="5"/>
        <v>413.33333333333331</v>
      </c>
      <c r="Q11" s="57"/>
      <c r="R11" s="58"/>
      <c r="S11" s="57"/>
      <c r="T11" s="58"/>
      <c r="U11" s="16">
        <f t="shared" si="8"/>
        <v>664.40073370000016</v>
      </c>
      <c r="V11" s="21">
        <f t="shared" si="9"/>
        <v>6.6828243028474121E-2</v>
      </c>
      <c r="W11" s="57"/>
      <c r="X11" s="58"/>
      <c r="Y11" s="57"/>
      <c r="Z11" s="58"/>
      <c r="AA11" s="16">
        <f t="shared" si="12"/>
        <v>667.63697370000591</v>
      </c>
      <c r="AB11" s="21">
        <f t="shared" si="2"/>
        <v>5.7421885261303984E-2</v>
      </c>
      <c r="AD11" s="12" t="str">
        <f>B25</f>
        <v>1,5x0,2</v>
      </c>
      <c r="AE11" s="12">
        <f>C25</f>
        <v>0</v>
      </c>
      <c r="AF11" s="12">
        <f>G25</f>
        <v>4.5333333333333341</v>
      </c>
      <c r="AG11" s="12">
        <f>I25</f>
        <v>0.61000000000000021</v>
      </c>
      <c r="AH11" s="12">
        <f>K25</f>
        <v>0.58333333333333381</v>
      </c>
      <c r="AI11" s="12">
        <f>O25</f>
        <v>1266.6666666666667</v>
      </c>
      <c r="AJ11" s="16">
        <f t="shared" ref="AJ11:AJ13" si="16">AI11*(1- 0.015)</f>
        <v>1247.6666666666667</v>
      </c>
      <c r="AK11" s="16">
        <f t="shared" ref="AK11:AK13" si="17">AI11*1.015</f>
        <v>1285.6666666666665</v>
      </c>
    </row>
    <row r="12" spans="1:45" x14ac:dyDescent="0.25">
      <c r="A12" s="42">
        <v>0.4</v>
      </c>
      <c r="B12" s="65"/>
      <c r="C12" s="65"/>
      <c r="D12" s="4">
        <v>9</v>
      </c>
      <c r="E12" s="6">
        <v>4.7439999999999998</v>
      </c>
      <c r="F12" s="6">
        <v>4.3570000000000002</v>
      </c>
      <c r="G12" s="61"/>
      <c r="H12" s="6">
        <f t="shared" si="0"/>
        <v>0.42300000000000049</v>
      </c>
      <c r="I12" s="61"/>
      <c r="J12" s="6">
        <f t="shared" si="1"/>
        <v>0.40700000000000047</v>
      </c>
      <c r="K12" s="61"/>
      <c r="L12" s="26">
        <v>720</v>
      </c>
      <c r="M12" s="16">
        <f t="shared" si="3"/>
        <v>709.2</v>
      </c>
      <c r="N12" s="16">
        <f t="shared" si="4"/>
        <v>730.8</v>
      </c>
      <c r="O12" s="61"/>
      <c r="P12" s="6">
        <f t="shared" si="5"/>
        <v>480</v>
      </c>
      <c r="Q12" s="57"/>
      <c r="R12" s="58"/>
      <c r="S12" s="57"/>
      <c r="T12" s="58"/>
      <c r="U12" s="16">
        <f t="shared" si="8"/>
        <v>702.47705770000096</v>
      </c>
      <c r="V12" s="21">
        <f t="shared" si="9"/>
        <v>-2.4944504746349239E-2</v>
      </c>
      <c r="W12" s="57"/>
      <c r="X12" s="58"/>
      <c r="Y12" s="57"/>
      <c r="Z12" s="58"/>
      <c r="AA12" s="16">
        <f t="shared" si="12"/>
        <v>705.7286976999967</v>
      </c>
      <c r="AB12" s="21">
        <f t="shared" si="2"/>
        <v>-3.5525411368011239E-2</v>
      </c>
      <c r="AD12" s="12" t="str">
        <f>B28</f>
        <v>1,5x0,4</v>
      </c>
      <c r="AE12" s="12">
        <f>C28</f>
        <v>0</v>
      </c>
      <c r="AF12" s="12">
        <f>G28</f>
        <v>4.3533333333333326</v>
      </c>
      <c r="AG12" s="12">
        <f>I28</f>
        <v>0.41000000000000031</v>
      </c>
      <c r="AH12" s="12">
        <f>K28</f>
        <v>0.40333333333333377</v>
      </c>
      <c r="AI12" s="12">
        <f>O28</f>
        <v>1126.6666666666667</v>
      </c>
      <c r="AJ12" s="16">
        <f t="shared" si="16"/>
        <v>1109.7666666666667</v>
      </c>
      <c r="AK12" s="16">
        <f t="shared" si="17"/>
        <v>1143.5666666666666</v>
      </c>
    </row>
    <row r="13" spans="1:45" ht="15" customHeight="1" x14ac:dyDescent="0.25">
      <c r="A13" s="42">
        <v>0.6</v>
      </c>
      <c r="B13" s="65" t="s">
        <v>5</v>
      </c>
      <c r="C13" s="65">
        <v>0</v>
      </c>
      <c r="D13" s="4">
        <v>10</v>
      </c>
      <c r="E13" s="6">
        <v>4.74</v>
      </c>
      <c r="F13" s="6">
        <v>4.1500000000000004</v>
      </c>
      <c r="G13" s="61">
        <f>AVERAGE(F13:F15)</f>
        <v>4.1616666666666662</v>
      </c>
      <c r="H13" s="6">
        <f t="shared" si="0"/>
        <v>0.2200000000000002</v>
      </c>
      <c r="I13" s="61">
        <f>AVERAGE(H13:H15)</f>
        <v>0.20866666666666664</v>
      </c>
      <c r="J13" s="6">
        <f t="shared" si="1"/>
        <v>0.20000000000000062</v>
      </c>
      <c r="K13" s="61">
        <f>AVERAGE(J13:J15)</f>
        <v>0.21166666666666703</v>
      </c>
      <c r="L13" s="26">
        <v>240</v>
      </c>
      <c r="M13" s="16">
        <f t="shared" si="3"/>
        <v>236.4</v>
      </c>
      <c r="N13" s="16">
        <f t="shared" si="4"/>
        <v>243.59999999999997</v>
      </c>
      <c r="O13" s="61">
        <f>AVERAGE(L13:L15)</f>
        <v>286.66666666666669</v>
      </c>
      <c r="P13" s="6">
        <f t="shared" si="5"/>
        <v>160</v>
      </c>
      <c r="Q13" s="57"/>
      <c r="R13" s="58"/>
      <c r="S13" s="57"/>
      <c r="T13" s="58"/>
      <c r="U13" s="16">
        <f t="shared" si="8"/>
        <v>249.83200000000159</v>
      </c>
      <c r="V13" s="22">
        <f t="shared" si="9"/>
        <v>3.9354446187844339E-2</v>
      </c>
      <c r="W13" s="57"/>
      <c r="X13" s="58"/>
      <c r="Y13" s="57"/>
      <c r="Z13" s="58"/>
      <c r="AA13" s="16">
        <f t="shared" si="12"/>
        <v>252.92425000000367</v>
      </c>
      <c r="AB13" s="21">
        <f t="shared" si="2"/>
        <v>3.6865780960123717E-2</v>
      </c>
      <c r="AD13" s="12" t="str">
        <f>B31</f>
        <v>1,5x0,6</v>
      </c>
      <c r="AE13" s="12">
        <f>C31</f>
        <v>0</v>
      </c>
      <c r="AF13" s="12">
        <f>G31</f>
        <v>4.123333333333334</v>
      </c>
      <c r="AG13" s="12">
        <f>I31</f>
        <v>0.2100000000000001</v>
      </c>
      <c r="AH13" s="12">
        <f>K31</f>
        <v>0.17333333333333364</v>
      </c>
      <c r="AI13" s="12">
        <f>O31</f>
        <v>806.66666666666663</v>
      </c>
      <c r="AJ13" s="16">
        <f t="shared" si="16"/>
        <v>794.56666666666661</v>
      </c>
      <c r="AK13" s="16">
        <f t="shared" si="17"/>
        <v>818.76666666666654</v>
      </c>
    </row>
    <row r="14" spans="1:45" x14ac:dyDescent="0.25">
      <c r="A14" s="42">
        <v>0.6</v>
      </c>
      <c r="B14" s="65"/>
      <c r="C14" s="65"/>
      <c r="D14" s="4">
        <v>11</v>
      </c>
      <c r="E14" s="6">
        <v>4.7690000000000001</v>
      </c>
      <c r="F14" s="6">
        <v>4.1459999999999999</v>
      </c>
      <c r="G14" s="61"/>
      <c r="H14" s="6">
        <f t="shared" si="0"/>
        <v>0.18699999999999983</v>
      </c>
      <c r="I14" s="61"/>
      <c r="J14" s="6">
        <f t="shared" si="1"/>
        <v>0.19600000000000017</v>
      </c>
      <c r="K14" s="61"/>
      <c r="L14" s="26">
        <v>280</v>
      </c>
      <c r="M14" s="16">
        <f t="shared" si="3"/>
        <v>275.8</v>
      </c>
      <c r="N14" s="16">
        <f t="shared" si="4"/>
        <v>284.2</v>
      </c>
      <c r="O14" s="61"/>
      <c r="P14" s="6">
        <f t="shared" si="5"/>
        <v>186.66666666666666</v>
      </c>
      <c r="Q14" s="57"/>
      <c r="R14" s="58"/>
      <c r="S14" s="57"/>
      <c r="T14" s="58"/>
      <c r="U14" s="16">
        <f t="shared" si="8"/>
        <v>239.80851680000046</v>
      </c>
      <c r="V14" s="22">
        <f t="shared" si="9"/>
        <v>-0.16759823102329219</v>
      </c>
      <c r="W14" s="57"/>
      <c r="X14" s="58"/>
      <c r="Y14" s="57"/>
      <c r="Z14" s="58"/>
      <c r="AA14" s="16">
        <f t="shared" si="12"/>
        <v>242.8976868000027</v>
      </c>
      <c r="AB14" s="22">
        <f t="shared" si="2"/>
        <v>-0.17003996103925356</v>
      </c>
      <c r="AD14" s="12" t="str">
        <f>B34</f>
        <v>Sem</v>
      </c>
      <c r="AE14" s="12" t="str">
        <f>C34</f>
        <v>1x90°</v>
      </c>
      <c r="AF14" s="12">
        <f>G34</f>
        <v>4.7303333333333333</v>
      </c>
      <c r="AG14" s="12">
        <f>I34</f>
        <v>0.81</v>
      </c>
      <c r="AH14" s="12">
        <f>K34</f>
        <v>0.78033333333333355</v>
      </c>
      <c r="AI14" s="17">
        <f>O34</f>
        <v>1226.6666666666667</v>
      </c>
      <c r="AJ14" s="16">
        <f t="shared" si="13"/>
        <v>1208.2666666666667</v>
      </c>
      <c r="AK14" s="16">
        <f t="shared" si="14"/>
        <v>1245.0666666666666</v>
      </c>
    </row>
    <row r="15" spans="1:45" x14ac:dyDescent="0.25">
      <c r="A15" s="42">
        <v>0.6</v>
      </c>
      <c r="B15" s="65"/>
      <c r="C15" s="65"/>
      <c r="D15" s="4">
        <v>12</v>
      </c>
      <c r="E15" s="6">
        <v>4.78</v>
      </c>
      <c r="F15" s="6">
        <v>4.1890000000000001</v>
      </c>
      <c r="G15" s="61"/>
      <c r="H15" s="6">
        <f t="shared" si="0"/>
        <v>0.21899999999999986</v>
      </c>
      <c r="I15" s="61"/>
      <c r="J15" s="6">
        <f t="shared" si="1"/>
        <v>0.23900000000000032</v>
      </c>
      <c r="K15" s="61"/>
      <c r="L15" s="26">
        <v>340</v>
      </c>
      <c r="M15" s="16">
        <f t="shared" si="3"/>
        <v>334.9</v>
      </c>
      <c r="N15" s="16">
        <f t="shared" si="4"/>
        <v>345.09999999999997</v>
      </c>
      <c r="O15" s="61"/>
      <c r="P15" s="6">
        <f t="shared" si="5"/>
        <v>226.66666666666666</v>
      </c>
      <c r="Q15" s="59"/>
      <c r="R15" s="60"/>
      <c r="S15" s="59"/>
      <c r="T15" s="60"/>
      <c r="U15" s="16">
        <f t="shared" si="8"/>
        <v>345.02416330000085</v>
      </c>
      <c r="V15" s="21">
        <f t="shared" si="9"/>
        <v>1.4561772288488428E-2</v>
      </c>
      <c r="W15" s="59"/>
      <c r="X15" s="60"/>
      <c r="Y15" s="59"/>
      <c r="Z15" s="60"/>
      <c r="AA15" s="16">
        <f t="shared" si="12"/>
        <v>348.14644330000738</v>
      </c>
      <c r="AB15" s="21">
        <f t="shared" si="2"/>
        <v>8.7504650948917462E-3</v>
      </c>
      <c r="AD15" s="12" t="str">
        <f>B37</f>
        <v>Sem</v>
      </c>
      <c r="AE15" s="12" t="str">
        <f>C37</f>
        <v>2x90°</v>
      </c>
      <c r="AF15" s="12">
        <f>G37</f>
        <v>4.7773333333333339</v>
      </c>
      <c r="AG15" s="12">
        <f>I37</f>
        <v>0.81</v>
      </c>
      <c r="AH15" s="12">
        <f>K37</f>
        <v>0.82733333333333359</v>
      </c>
      <c r="AI15" s="17">
        <f>O37</f>
        <v>1203.3333333333333</v>
      </c>
      <c r="AJ15" s="16">
        <f t="shared" si="13"/>
        <v>1185.2833333333333</v>
      </c>
      <c r="AK15" s="16">
        <f t="shared" si="14"/>
        <v>1221.3833333333332</v>
      </c>
    </row>
    <row r="16" spans="1:45" x14ac:dyDescent="0.25">
      <c r="A16" s="42">
        <v>0.2</v>
      </c>
      <c r="B16" s="65" t="s">
        <v>6</v>
      </c>
      <c r="C16" s="65">
        <v>0</v>
      </c>
      <c r="D16" s="4">
        <v>13</v>
      </c>
      <c r="E16" s="6">
        <v>4.7</v>
      </c>
      <c r="F16" s="6">
        <v>4.53</v>
      </c>
      <c r="G16" s="61">
        <f>AVERAGE(F16:F18)</f>
        <v>4.4866666666666672</v>
      </c>
      <c r="H16" s="6">
        <f t="shared" si="0"/>
        <v>0.64000000000000012</v>
      </c>
      <c r="I16" s="61">
        <f>AVERAGE(H16:H18)</f>
        <v>0.60333333333333339</v>
      </c>
      <c r="J16" s="6">
        <f t="shared" si="1"/>
        <v>0.58000000000000052</v>
      </c>
      <c r="K16" s="61">
        <f>AVERAGE(J16:J18)</f>
        <v>0.53666666666666718</v>
      </c>
      <c r="L16" s="26">
        <v>900</v>
      </c>
      <c r="M16" s="16">
        <f t="shared" si="3"/>
        <v>886.5</v>
      </c>
      <c r="N16" s="16">
        <f t="shared" si="4"/>
        <v>913.49999999999989</v>
      </c>
      <c r="O16" s="61">
        <f>AVERAGE(L16:L18)</f>
        <v>963.33333333333337</v>
      </c>
      <c r="P16" s="6">
        <f t="shared" si="5"/>
        <v>600</v>
      </c>
      <c r="Q16" s="55"/>
      <c r="R16" s="56"/>
      <c r="S16" s="16">
        <f>-1692.7*J16^2 + 2683.5*J16 + 159.75</f>
        <v>1146.7557200000006</v>
      </c>
      <c r="T16" s="22">
        <f t="shared" ref="T16:T24" si="18">1-(L16/S16)</f>
        <v>0.21517723059624283</v>
      </c>
      <c r="U16" s="69"/>
      <c r="V16" s="70"/>
      <c r="W16" s="55"/>
      <c r="X16" s="56"/>
      <c r="Y16" s="16">
        <f t="shared" ref="Y16:Y24" si="19">-1692.7*F16^2 + 16056*F16 - 36850</f>
        <v>1147.9525700000013</v>
      </c>
      <c r="Z16" s="22">
        <f t="shared" ref="Z16:Z24" si="20">1-(L16/Y16)</f>
        <v>0.21599548315833383</v>
      </c>
      <c r="AA16" s="69"/>
      <c r="AB16" s="70"/>
      <c r="AC16" s="15"/>
      <c r="AD16" s="12" t="str">
        <f>B40</f>
        <v>Sem</v>
      </c>
      <c r="AE16" s="12" t="str">
        <f>C40</f>
        <v>2x90°+
4x180°</v>
      </c>
      <c r="AF16" s="12">
        <f>G40</f>
        <v>4.7433333333333332</v>
      </c>
      <c r="AG16" s="12">
        <f>I40</f>
        <v>0.81</v>
      </c>
      <c r="AH16" s="12">
        <f>F40</f>
        <v>4.74</v>
      </c>
      <c r="AI16" s="17">
        <f>O40</f>
        <v>1266.6666666666667</v>
      </c>
      <c r="AJ16" s="16">
        <f t="shared" ref="AJ16" si="21">AI16*(1- 0.015)</f>
        <v>1247.6666666666667</v>
      </c>
      <c r="AK16" s="16">
        <f t="shared" ref="AK16" si="22">AI16*1.015</f>
        <v>1285.6666666666665</v>
      </c>
    </row>
    <row r="17" spans="1:35" ht="15" customHeight="1" x14ac:dyDescent="0.25">
      <c r="A17" s="42">
        <v>0.2</v>
      </c>
      <c r="B17" s="65"/>
      <c r="C17" s="65"/>
      <c r="D17" s="4">
        <v>14</v>
      </c>
      <c r="E17" s="6">
        <v>4.6900000000000004</v>
      </c>
      <c r="F17" s="6">
        <v>4.4800000000000004</v>
      </c>
      <c r="G17" s="61"/>
      <c r="H17" s="6">
        <f t="shared" si="0"/>
        <v>0.60000000000000009</v>
      </c>
      <c r="I17" s="61"/>
      <c r="J17" s="6">
        <f t="shared" si="1"/>
        <v>0.53000000000000069</v>
      </c>
      <c r="K17" s="61"/>
      <c r="L17" s="26">
        <v>910</v>
      </c>
      <c r="M17" s="16">
        <f t="shared" si="3"/>
        <v>896.35</v>
      </c>
      <c r="N17" s="16">
        <f t="shared" si="4"/>
        <v>923.64999999999986</v>
      </c>
      <c r="O17" s="61"/>
      <c r="P17" s="6">
        <f t="shared" si="5"/>
        <v>606.66666666666663</v>
      </c>
      <c r="Q17" s="57"/>
      <c r="R17" s="58"/>
      <c r="S17" s="16">
        <f t="shared" ref="S17:S24" si="23">-1692.7*J17^2 + 2683.5*J17 + 159.75</f>
        <v>1106.5255700000007</v>
      </c>
      <c r="T17" s="22">
        <f t="shared" si="18"/>
        <v>0.1776059906143882</v>
      </c>
      <c r="U17" s="71"/>
      <c r="V17" s="72"/>
      <c r="W17" s="57"/>
      <c r="X17" s="58"/>
      <c r="Y17" s="16">
        <f t="shared" si="19"/>
        <v>1107.713920000002</v>
      </c>
      <c r="Z17" s="22">
        <f t="shared" si="20"/>
        <v>0.1784882508292408</v>
      </c>
      <c r="AA17" s="71"/>
      <c r="AB17" s="72"/>
      <c r="AC17" s="15"/>
      <c r="AD17" s="75" t="s">
        <v>105</v>
      </c>
      <c r="AE17" s="75"/>
      <c r="AF17" s="75"/>
      <c r="AG17" s="75"/>
      <c r="AH17" s="75"/>
    </row>
    <row r="18" spans="1:35" x14ac:dyDescent="0.25">
      <c r="A18" s="42">
        <v>0.2</v>
      </c>
      <c r="B18" s="65"/>
      <c r="C18" s="65"/>
      <c r="D18" s="4">
        <v>15</v>
      </c>
      <c r="E18" s="6">
        <v>4.6900000000000004</v>
      </c>
      <c r="F18" s="6">
        <v>4.45</v>
      </c>
      <c r="G18" s="61"/>
      <c r="H18" s="6">
        <f t="shared" si="0"/>
        <v>0.56999999999999984</v>
      </c>
      <c r="I18" s="61"/>
      <c r="J18" s="6">
        <f t="shared" si="1"/>
        <v>0.50000000000000044</v>
      </c>
      <c r="K18" s="61"/>
      <c r="L18" s="26">
        <v>1080</v>
      </c>
      <c r="M18" s="16">
        <f t="shared" si="3"/>
        <v>1063.8</v>
      </c>
      <c r="N18" s="16">
        <f t="shared" si="4"/>
        <v>1096.1999999999998</v>
      </c>
      <c r="O18" s="61"/>
      <c r="P18" s="6">
        <f t="shared" si="5"/>
        <v>720</v>
      </c>
      <c r="Q18" s="57"/>
      <c r="R18" s="58"/>
      <c r="S18" s="16">
        <f t="shared" si="23"/>
        <v>1078.3250000000003</v>
      </c>
      <c r="T18" s="21">
        <f t="shared" si="18"/>
        <v>-1.5533350335008578E-3</v>
      </c>
      <c r="U18" s="71"/>
      <c r="V18" s="72"/>
      <c r="W18" s="57"/>
      <c r="X18" s="58"/>
      <c r="Y18" s="16">
        <f t="shared" si="19"/>
        <v>1079.5082499999917</v>
      </c>
      <c r="Z18" s="21">
        <f t="shared" si="20"/>
        <v>-4.5553148853505476E-4</v>
      </c>
      <c r="AA18" s="71"/>
      <c r="AB18" s="72"/>
      <c r="AC18" s="15"/>
      <c r="AD18" s="75" t="s">
        <v>107</v>
      </c>
      <c r="AE18" s="75"/>
      <c r="AF18" s="75"/>
      <c r="AG18" s="75"/>
      <c r="AH18" s="75"/>
      <c r="AI18" s="1"/>
    </row>
    <row r="19" spans="1:35" x14ac:dyDescent="0.25">
      <c r="A19" s="42">
        <v>0.4</v>
      </c>
      <c r="B19" s="65" t="s">
        <v>7</v>
      </c>
      <c r="C19" s="65">
        <v>0</v>
      </c>
      <c r="D19" s="4">
        <v>16</v>
      </c>
      <c r="E19" s="6">
        <v>4.6900000000000004</v>
      </c>
      <c r="F19" s="6">
        <v>4.3</v>
      </c>
      <c r="G19" s="61">
        <f>AVERAGE(F19:F21)</f>
        <v>4.32</v>
      </c>
      <c r="H19" s="6">
        <f t="shared" si="0"/>
        <v>0.41999999999999948</v>
      </c>
      <c r="I19" s="61">
        <f>AVERAGE(H19:H21)</f>
        <v>0.41999999999999976</v>
      </c>
      <c r="J19" s="6">
        <f t="shared" si="1"/>
        <v>0.35000000000000009</v>
      </c>
      <c r="K19" s="61">
        <f>AVERAGE(J19:J21)</f>
        <v>0.37000000000000027</v>
      </c>
      <c r="L19" s="26">
        <v>900</v>
      </c>
      <c r="M19" s="16">
        <f t="shared" si="3"/>
        <v>886.5</v>
      </c>
      <c r="N19" s="16">
        <f t="shared" si="4"/>
        <v>913.49999999999989</v>
      </c>
      <c r="O19" s="61">
        <f>AVERAGE(L19:L21)</f>
        <v>933.33333333333337</v>
      </c>
      <c r="P19" s="6">
        <f t="shared" si="5"/>
        <v>600</v>
      </c>
      <c r="Q19" s="57"/>
      <c r="R19" s="58"/>
      <c r="S19" s="16">
        <f t="shared" si="23"/>
        <v>891.61925000000019</v>
      </c>
      <c r="T19" s="21">
        <f t="shared" si="18"/>
        <v>-9.399471803687387E-3</v>
      </c>
      <c r="U19" s="71"/>
      <c r="V19" s="72"/>
      <c r="W19" s="57"/>
      <c r="X19" s="58"/>
      <c r="Y19" s="16">
        <f t="shared" si="19"/>
        <v>892.77700000000186</v>
      </c>
      <c r="Z19" s="21">
        <f t="shared" si="20"/>
        <v>-8.0904862020394486E-3</v>
      </c>
      <c r="AA19" s="71"/>
      <c r="AB19" s="72"/>
      <c r="AC19" s="15"/>
      <c r="AD19" s="75" t="s">
        <v>58</v>
      </c>
      <c r="AE19" s="75"/>
      <c r="AF19" s="75"/>
      <c r="AG19" s="75"/>
      <c r="AH19" s="75"/>
    </row>
    <row r="20" spans="1:35" ht="15" customHeight="1" x14ac:dyDescent="0.25">
      <c r="A20" s="42">
        <v>0.4</v>
      </c>
      <c r="B20" s="65"/>
      <c r="C20" s="65"/>
      <c r="D20" s="4">
        <v>17</v>
      </c>
      <c r="E20" s="6">
        <v>4.7</v>
      </c>
      <c r="F20" s="6">
        <v>4.3</v>
      </c>
      <c r="G20" s="61"/>
      <c r="H20" s="6">
        <f t="shared" si="0"/>
        <v>0.4099999999999997</v>
      </c>
      <c r="I20" s="61"/>
      <c r="J20" s="6">
        <f t="shared" si="1"/>
        <v>0.35000000000000009</v>
      </c>
      <c r="K20" s="61"/>
      <c r="L20" s="26">
        <v>900</v>
      </c>
      <c r="M20" s="16">
        <f t="shared" si="3"/>
        <v>886.5</v>
      </c>
      <c r="N20" s="16">
        <f t="shared" si="4"/>
        <v>913.49999999999989</v>
      </c>
      <c r="O20" s="61"/>
      <c r="P20" s="6">
        <f t="shared" si="5"/>
        <v>600</v>
      </c>
      <c r="Q20" s="57"/>
      <c r="R20" s="58"/>
      <c r="S20" s="16">
        <f t="shared" si="23"/>
        <v>891.61925000000019</v>
      </c>
      <c r="T20" s="21">
        <f t="shared" si="18"/>
        <v>-9.399471803687387E-3</v>
      </c>
      <c r="U20" s="71"/>
      <c r="V20" s="72"/>
      <c r="W20" s="57"/>
      <c r="X20" s="58"/>
      <c r="Y20" s="16">
        <f t="shared" si="19"/>
        <v>892.77700000000186</v>
      </c>
      <c r="Z20" s="21">
        <f t="shared" si="20"/>
        <v>-8.0904862020394486E-3</v>
      </c>
      <c r="AA20" s="71"/>
      <c r="AB20" s="72"/>
      <c r="AC20" s="15"/>
      <c r="AD20" s="75" t="s">
        <v>82</v>
      </c>
      <c r="AE20" s="75"/>
      <c r="AF20" s="75"/>
      <c r="AG20" s="75"/>
      <c r="AH20" s="75"/>
    </row>
    <row r="21" spans="1:35" x14ac:dyDescent="0.25">
      <c r="A21" s="42">
        <v>0.4</v>
      </c>
      <c r="B21" s="65"/>
      <c r="C21" s="65"/>
      <c r="D21" s="4">
        <v>18</v>
      </c>
      <c r="E21" s="6">
        <v>4.74</v>
      </c>
      <c r="F21" s="6">
        <v>4.3600000000000003</v>
      </c>
      <c r="G21" s="61"/>
      <c r="H21" s="6">
        <f t="shared" si="0"/>
        <v>0.43000000000000016</v>
      </c>
      <c r="I21" s="61"/>
      <c r="J21" s="6">
        <f t="shared" si="1"/>
        <v>0.41000000000000059</v>
      </c>
      <c r="K21" s="61"/>
      <c r="L21" s="26">
        <v>1000</v>
      </c>
      <c r="M21" s="16">
        <f t="shared" si="3"/>
        <v>985</v>
      </c>
      <c r="N21" s="16">
        <f t="shared" si="4"/>
        <v>1014.9999999999999</v>
      </c>
      <c r="O21" s="61"/>
      <c r="P21" s="6">
        <f t="shared" si="5"/>
        <v>666.66666666666663</v>
      </c>
      <c r="Q21" s="57"/>
      <c r="R21" s="58"/>
      <c r="S21" s="16">
        <f t="shared" si="23"/>
        <v>975.4421300000007</v>
      </c>
      <c r="T21" s="21">
        <f t="shared" si="18"/>
        <v>-2.5176142432969728E-2</v>
      </c>
      <c r="U21" s="71"/>
      <c r="V21" s="72"/>
      <c r="W21" s="57"/>
      <c r="X21" s="58"/>
      <c r="Y21" s="16">
        <f t="shared" si="19"/>
        <v>976.61007999999856</v>
      </c>
      <c r="Z21" s="21">
        <f t="shared" si="20"/>
        <v>-2.3950111184600331E-2</v>
      </c>
      <c r="AA21" s="71"/>
      <c r="AB21" s="72"/>
      <c r="AC21" s="15"/>
      <c r="AD21" s="75" t="s">
        <v>61</v>
      </c>
      <c r="AE21" s="75"/>
      <c r="AF21" s="75"/>
      <c r="AG21" s="75"/>
      <c r="AH21" s="75"/>
    </row>
    <row r="22" spans="1:35" x14ac:dyDescent="0.25">
      <c r="A22" s="42">
        <v>0.6</v>
      </c>
      <c r="B22" s="65" t="s">
        <v>8</v>
      </c>
      <c r="C22" s="65">
        <v>0</v>
      </c>
      <c r="D22" s="4">
        <v>19</v>
      </c>
      <c r="E22" s="6">
        <v>4.72</v>
      </c>
      <c r="F22" s="6">
        <v>4.21</v>
      </c>
      <c r="G22" s="61">
        <f>AVERAGE(F22:F24)</f>
        <v>4.13</v>
      </c>
      <c r="H22" s="6">
        <f t="shared" si="0"/>
        <v>0.30000000000000027</v>
      </c>
      <c r="I22" s="61">
        <f>AVERAGE(H22:H24)</f>
        <v>0.21666666666666665</v>
      </c>
      <c r="J22" s="6">
        <f t="shared" si="1"/>
        <v>0.26000000000000023</v>
      </c>
      <c r="K22" s="61">
        <f>AVERAGE(J22:J24)</f>
        <v>0.18000000000000016</v>
      </c>
      <c r="L22" s="26">
        <v>690</v>
      </c>
      <c r="M22" s="16">
        <f t="shared" si="3"/>
        <v>679.65</v>
      </c>
      <c r="N22" s="16">
        <f t="shared" si="4"/>
        <v>700.34999999999991</v>
      </c>
      <c r="O22" s="61">
        <f>AVERAGE(L22:L24)</f>
        <v>550</v>
      </c>
      <c r="P22" s="6">
        <f t="shared" si="5"/>
        <v>460</v>
      </c>
      <c r="Q22" s="57"/>
      <c r="R22" s="58"/>
      <c r="S22" s="16">
        <f t="shared" si="23"/>
        <v>743.0334800000004</v>
      </c>
      <c r="T22" s="21">
        <f t="shared" si="18"/>
        <v>7.1374280469838847E-2</v>
      </c>
      <c r="U22" s="71"/>
      <c r="V22" s="72"/>
      <c r="W22" s="57"/>
      <c r="X22" s="58"/>
      <c r="Y22" s="16">
        <f t="shared" si="19"/>
        <v>744.17592999999761</v>
      </c>
      <c r="Z22" s="21">
        <f t="shared" si="20"/>
        <v>7.2799895583827601E-2</v>
      </c>
      <c r="AA22" s="71"/>
      <c r="AB22" s="72"/>
      <c r="AC22" s="15"/>
      <c r="AD22" s="81" t="s">
        <v>81</v>
      </c>
      <c r="AE22" s="81"/>
      <c r="AF22" s="81"/>
      <c r="AG22" s="81"/>
      <c r="AH22" s="81"/>
    </row>
    <row r="23" spans="1:35" x14ac:dyDescent="0.25">
      <c r="A23" s="42">
        <v>0.6</v>
      </c>
      <c r="B23" s="65"/>
      <c r="C23" s="65"/>
      <c r="D23" s="4">
        <v>20</v>
      </c>
      <c r="E23" s="6">
        <v>4.6900000000000004</v>
      </c>
      <c r="F23" s="6">
        <v>3.96</v>
      </c>
      <c r="G23" s="61"/>
      <c r="H23" s="6">
        <f t="shared" si="0"/>
        <v>7.9999999999999627E-2</v>
      </c>
      <c r="I23" s="61"/>
      <c r="J23" s="6">
        <f t="shared" si="1"/>
        <v>1.0000000000000231E-2</v>
      </c>
      <c r="K23" s="61"/>
      <c r="L23" s="26">
        <v>200</v>
      </c>
      <c r="M23" s="16">
        <f t="shared" si="3"/>
        <v>197</v>
      </c>
      <c r="N23" s="16">
        <f t="shared" si="4"/>
        <v>202.99999999999997</v>
      </c>
      <c r="O23" s="61"/>
      <c r="P23" s="6">
        <f t="shared" si="5"/>
        <v>133.33333333333334</v>
      </c>
      <c r="Q23" s="57"/>
      <c r="R23" s="58"/>
      <c r="S23" s="16">
        <f t="shared" si="23"/>
        <v>186.41573000000062</v>
      </c>
      <c r="T23" s="21">
        <f t="shared" si="18"/>
        <v>-7.2870835524444955E-2</v>
      </c>
      <c r="U23" s="71"/>
      <c r="V23" s="72"/>
      <c r="W23" s="57"/>
      <c r="X23" s="58"/>
      <c r="Y23" s="16">
        <f t="shared" si="19"/>
        <v>187.51567999999679</v>
      </c>
      <c r="Z23" s="21">
        <f t="shared" si="20"/>
        <v>-6.6577472347930655E-2</v>
      </c>
      <c r="AA23" s="71"/>
      <c r="AB23" s="72"/>
      <c r="AC23" s="15"/>
      <c r="AD23" s="75" t="s">
        <v>106</v>
      </c>
      <c r="AE23" s="75"/>
      <c r="AF23" s="75"/>
      <c r="AG23" s="75"/>
      <c r="AH23" s="75"/>
    </row>
    <row r="24" spans="1:35" x14ac:dyDescent="0.25">
      <c r="A24" s="42">
        <v>0.6</v>
      </c>
      <c r="B24" s="65"/>
      <c r="C24" s="65"/>
      <c r="D24" s="4">
        <v>21</v>
      </c>
      <c r="E24" s="6">
        <v>4.76</v>
      </c>
      <c r="F24" s="6">
        <v>4.22</v>
      </c>
      <c r="G24" s="61"/>
      <c r="H24" s="6">
        <f t="shared" si="0"/>
        <v>0.27</v>
      </c>
      <c r="I24" s="61"/>
      <c r="J24" s="6">
        <f t="shared" si="1"/>
        <v>0.27</v>
      </c>
      <c r="K24" s="61"/>
      <c r="L24" s="26">
        <v>760</v>
      </c>
      <c r="M24" s="16">
        <f t="shared" si="3"/>
        <v>748.6</v>
      </c>
      <c r="N24" s="16">
        <f t="shared" si="4"/>
        <v>771.4</v>
      </c>
      <c r="O24" s="61"/>
      <c r="P24" s="6">
        <f t="shared" si="5"/>
        <v>506.66666666666669</v>
      </c>
      <c r="Q24" s="59"/>
      <c r="R24" s="60"/>
      <c r="S24" s="16">
        <f t="shared" si="23"/>
        <v>760.89717000000007</v>
      </c>
      <c r="T24" s="21">
        <f t="shared" si="18"/>
        <v>1.179094936047731E-3</v>
      </c>
      <c r="U24" s="73"/>
      <c r="V24" s="74"/>
      <c r="W24" s="59"/>
      <c r="X24" s="60"/>
      <c r="Y24" s="16">
        <f t="shared" si="19"/>
        <v>762.04131999998935</v>
      </c>
      <c r="Z24" s="21">
        <f t="shared" si="20"/>
        <v>2.6787523805000824E-3</v>
      </c>
      <c r="AA24" s="73"/>
      <c r="AB24" s="74"/>
      <c r="AC24" s="15"/>
      <c r="AD24" s="75" t="s">
        <v>108</v>
      </c>
      <c r="AE24" s="75"/>
      <c r="AF24" s="75"/>
      <c r="AG24" s="75"/>
      <c r="AH24" s="75"/>
    </row>
    <row r="25" spans="1:35" s="36" customFormat="1" x14ac:dyDescent="0.25">
      <c r="A25" s="42">
        <v>0.2</v>
      </c>
      <c r="B25" s="65" t="s">
        <v>89</v>
      </c>
      <c r="C25" s="65">
        <v>0</v>
      </c>
      <c r="D25" s="43" t="s">
        <v>92</v>
      </c>
      <c r="E25" s="41">
        <v>4.7</v>
      </c>
      <c r="F25" s="41">
        <v>4.5</v>
      </c>
      <c r="G25" s="61">
        <f t="shared" ref="G25" si="24">AVERAGE(F25:F27)</f>
        <v>4.5333333333333341</v>
      </c>
      <c r="H25" s="34">
        <f t="shared" ref="H25:H33" si="25">$L$43-(E25-F25)</f>
        <v>0.60999999999999988</v>
      </c>
      <c r="I25" s="61">
        <f t="shared" ref="I25" si="26">AVERAGE(H25:H27)</f>
        <v>0.61000000000000021</v>
      </c>
      <c r="J25" s="34">
        <f t="shared" ref="J25:J33" si="27">$L$43-(E25-F25)-($E$43-E25)</f>
        <v>0.55000000000000027</v>
      </c>
      <c r="K25" s="61">
        <f t="shared" ref="K25" si="28">AVERAGE(J25:J27)</f>
        <v>0.58333333333333381</v>
      </c>
      <c r="L25" s="92">
        <v>1260</v>
      </c>
      <c r="M25" s="16">
        <f t="shared" ref="M25:M33" si="29">L25*(1- 0.015)</f>
        <v>1241.0999999999999</v>
      </c>
      <c r="N25" s="16">
        <f t="shared" ref="N25:N33" si="30">L25*1.015</f>
        <v>1278.8999999999999</v>
      </c>
      <c r="O25" s="61">
        <f t="shared" ref="O25" si="31">AVERAGE(L25:L27)</f>
        <v>1266.6666666666667</v>
      </c>
      <c r="P25" s="34">
        <f t="shared" ref="P25:P33" si="32">L25/1.5</f>
        <v>840</v>
      </c>
      <c r="Q25" s="34">
        <f t="shared" ref="Q25:Q33" si="33" xml:space="preserve"> -1739.7*J25^2 + 2367.4*J25 + 452.35</f>
        <v>1228.16075</v>
      </c>
      <c r="R25" s="21">
        <f t="shared" ref="R25:R33" si="34">1-($L25/Q25)</f>
        <v>-2.592433441632136E-2</v>
      </c>
      <c r="S25" s="55"/>
      <c r="T25" s="56"/>
      <c r="U25" s="40"/>
      <c r="V25" s="40"/>
      <c r="W25" s="34">
        <f>-1739.7*F25^2+16111*F25-36043</f>
        <v>1227.5749999999971</v>
      </c>
      <c r="X25" s="21">
        <f>1-($L25/W25)</f>
        <v>-2.6413864733318082E-2</v>
      </c>
      <c r="Y25" s="69"/>
      <c r="Z25" s="70"/>
      <c r="AA25" s="69"/>
      <c r="AB25" s="70"/>
      <c r="AC25" s="15"/>
      <c r="AD25" s="75" t="s">
        <v>59</v>
      </c>
      <c r="AE25" s="75"/>
      <c r="AF25" s="75"/>
      <c r="AG25" s="75"/>
      <c r="AH25" s="75"/>
    </row>
    <row r="26" spans="1:35" s="36" customFormat="1" x14ac:dyDescent="0.25">
      <c r="A26" s="42">
        <v>0.2</v>
      </c>
      <c r="B26" s="65"/>
      <c r="C26" s="65"/>
      <c r="D26" s="43" t="s">
        <v>93</v>
      </c>
      <c r="E26" s="41">
        <v>4.7300000000000004</v>
      </c>
      <c r="F26" s="41">
        <v>4.53</v>
      </c>
      <c r="G26" s="61"/>
      <c r="H26" s="34">
        <f t="shared" si="25"/>
        <v>0.60999999999999988</v>
      </c>
      <c r="I26" s="61"/>
      <c r="J26" s="34">
        <f t="shared" si="27"/>
        <v>0.58000000000000052</v>
      </c>
      <c r="K26" s="61"/>
      <c r="L26" s="92">
        <v>1280</v>
      </c>
      <c r="M26" s="16">
        <f t="shared" si="29"/>
        <v>1260.8</v>
      </c>
      <c r="N26" s="16">
        <f t="shared" si="30"/>
        <v>1299.1999999999998</v>
      </c>
      <c r="O26" s="61"/>
      <c r="P26" s="34">
        <f t="shared" si="32"/>
        <v>853.33333333333337</v>
      </c>
      <c r="Q26" s="34">
        <f t="shared" si="33"/>
        <v>1240.2069200000001</v>
      </c>
      <c r="R26" s="21">
        <f t="shared" ref="R26:R32" si="35">1-($L26/Q26)</f>
        <v>-3.2085839353323431E-2</v>
      </c>
      <c r="S26" s="57"/>
      <c r="T26" s="58"/>
      <c r="U26" s="40"/>
      <c r="V26" s="40"/>
      <c r="W26" s="34">
        <f t="shared" ref="W26:W28" si="36">-1739.7*F26^2+16111*F26-36043</f>
        <v>1239.6202699999994</v>
      </c>
      <c r="X26" s="21">
        <f t="shared" ref="X26:X33" si="37">1-($L26/W26)</f>
        <v>-3.2574273733036563E-2</v>
      </c>
      <c r="Y26" s="71"/>
      <c r="Z26" s="72"/>
      <c r="AA26" s="71"/>
      <c r="AB26" s="72"/>
      <c r="AC26" s="15"/>
      <c r="AD26" s="75" t="s">
        <v>67</v>
      </c>
      <c r="AE26" s="75"/>
      <c r="AF26" s="75"/>
      <c r="AG26" s="75"/>
      <c r="AH26" s="75"/>
    </row>
    <row r="27" spans="1:35" s="36" customFormat="1" x14ac:dyDescent="0.25">
      <c r="A27" s="42">
        <v>0.2</v>
      </c>
      <c r="B27" s="65"/>
      <c r="C27" s="65"/>
      <c r="D27" s="43" t="s">
        <v>94</v>
      </c>
      <c r="E27" s="41">
        <v>4.7699999999999996</v>
      </c>
      <c r="F27" s="41">
        <v>4.57</v>
      </c>
      <c r="G27" s="61"/>
      <c r="H27" s="34">
        <f t="shared" si="25"/>
        <v>0.61000000000000076</v>
      </c>
      <c r="I27" s="61"/>
      <c r="J27" s="34">
        <f t="shared" si="27"/>
        <v>0.62000000000000055</v>
      </c>
      <c r="K27" s="61"/>
      <c r="L27" s="92">
        <v>1260</v>
      </c>
      <c r="M27" s="16">
        <f t="shared" si="29"/>
        <v>1241.0999999999999</v>
      </c>
      <c r="N27" s="16">
        <f t="shared" si="30"/>
        <v>1278.8999999999999</v>
      </c>
      <c r="O27" s="61"/>
      <c r="P27" s="34">
        <f t="shared" si="32"/>
        <v>840</v>
      </c>
      <c r="Q27" s="34">
        <f t="shared" si="33"/>
        <v>1251.39732</v>
      </c>
      <c r="R27" s="21">
        <f t="shared" si="34"/>
        <v>-6.8744593443750279E-3</v>
      </c>
      <c r="S27" s="57"/>
      <c r="T27" s="58"/>
      <c r="U27" s="40"/>
      <c r="V27" s="40"/>
      <c r="W27" s="34">
        <f t="shared" si="36"/>
        <v>1250.8094700000001</v>
      </c>
      <c r="X27" s="21">
        <f t="shared" si="37"/>
        <v>-7.3476658279536533E-3</v>
      </c>
      <c r="Y27" s="71"/>
      <c r="Z27" s="72"/>
      <c r="AA27" s="71"/>
      <c r="AB27" s="72"/>
      <c r="AC27" s="15"/>
      <c r="AD27" s="75" t="s">
        <v>62</v>
      </c>
      <c r="AE27" s="75"/>
      <c r="AF27" s="75"/>
      <c r="AG27" s="75"/>
      <c r="AH27" s="75"/>
    </row>
    <row r="28" spans="1:35" s="36" customFormat="1" x14ac:dyDescent="0.25">
      <c r="A28" s="42">
        <v>0.4</v>
      </c>
      <c r="B28" s="65" t="s">
        <v>90</v>
      </c>
      <c r="C28" s="65">
        <v>0</v>
      </c>
      <c r="D28" s="43" t="s">
        <v>95</v>
      </c>
      <c r="E28" s="41">
        <v>4.76</v>
      </c>
      <c r="F28" s="41">
        <v>4.3600000000000003</v>
      </c>
      <c r="G28" s="61">
        <f t="shared" ref="G28" si="38">AVERAGE(F28:F30)</f>
        <v>4.3533333333333326</v>
      </c>
      <c r="H28" s="34">
        <f t="shared" si="25"/>
        <v>0.41000000000000059</v>
      </c>
      <c r="I28" s="61">
        <f t="shared" ref="I28" si="39">AVERAGE(H28:H30)</f>
        <v>0.41000000000000031</v>
      </c>
      <c r="J28" s="34">
        <f t="shared" si="27"/>
        <v>0.41000000000000059</v>
      </c>
      <c r="K28" s="61">
        <f t="shared" ref="K28" si="40">AVERAGE(J28:J30)</f>
        <v>0.40333333333333377</v>
      </c>
      <c r="L28" s="92">
        <v>1120</v>
      </c>
      <c r="M28" s="16">
        <f t="shared" si="29"/>
        <v>1103.2</v>
      </c>
      <c r="N28" s="16">
        <f t="shared" si="30"/>
        <v>1136.8</v>
      </c>
      <c r="O28" s="61">
        <f t="shared" ref="O28" si="41">AVERAGE(L28:L30)</f>
        <v>1126.6666666666667</v>
      </c>
      <c r="P28" s="34">
        <f t="shared" si="32"/>
        <v>746.66666666666663</v>
      </c>
      <c r="Q28" s="34">
        <f t="shared" si="33"/>
        <v>1130.5404300000005</v>
      </c>
      <c r="R28" s="21">
        <f t="shared" si="35"/>
        <v>9.3233552027860433E-3</v>
      </c>
      <c r="S28" s="57"/>
      <c r="T28" s="58"/>
      <c r="U28" s="40"/>
      <c r="V28" s="40"/>
      <c r="W28" s="34">
        <f t="shared" si="36"/>
        <v>1129.9588799999983</v>
      </c>
      <c r="X28" s="21">
        <f t="shared" si="37"/>
        <v>8.8134888589913585E-3</v>
      </c>
      <c r="Y28" s="71"/>
      <c r="Z28" s="72"/>
      <c r="AA28" s="71"/>
      <c r="AB28" s="72"/>
      <c r="AC28" s="15"/>
      <c r="AD28" s="75" t="s">
        <v>60</v>
      </c>
      <c r="AE28" s="75"/>
      <c r="AF28" s="75"/>
      <c r="AG28" s="75"/>
      <c r="AH28" s="75"/>
    </row>
    <row r="29" spans="1:35" s="36" customFormat="1" x14ac:dyDescent="0.25">
      <c r="A29" s="42">
        <v>0.4</v>
      </c>
      <c r="B29" s="65"/>
      <c r="C29" s="65"/>
      <c r="D29" s="43" t="s">
        <v>96</v>
      </c>
      <c r="E29" s="41">
        <v>4.74</v>
      </c>
      <c r="F29" s="41">
        <v>4.34</v>
      </c>
      <c r="G29" s="61"/>
      <c r="H29" s="34">
        <f t="shared" si="25"/>
        <v>0.4099999999999997</v>
      </c>
      <c r="I29" s="61"/>
      <c r="J29" s="34">
        <f t="shared" si="27"/>
        <v>0.39000000000000012</v>
      </c>
      <c r="K29" s="61"/>
      <c r="L29" s="92">
        <v>1100</v>
      </c>
      <c r="M29" s="16">
        <f t="shared" si="29"/>
        <v>1083.5</v>
      </c>
      <c r="N29" s="16">
        <f t="shared" si="30"/>
        <v>1116.5</v>
      </c>
      <c r="O29" s="61"/>
      <c r="P29" s="34">
        <f t="shared" si="32"/>
        <v>733.33333333333337</v>
      </c>
      <c r="Q29" s="34">
        <f t="shared" si="33"/>
        <v>1111.02763</v>
      </c>
      <c r="R29" s="21">
        <f t="shared" si="34"/>
        <v>9.9256127410620731E-3</v>
      </c>
      <c r="S29" s="57"/>
      <c r="T29" s="58"/>
      <c r="U29" s="40"/>
      <c r="V29" s="40"/>
      <c r="W29" s="34">
        <f t="shared" ref="W29:W33" si="42">-1739.7*F29^2+16111*F29-36043</f>
        <v>1110.4466799999936</v>
      </c>
      <c r="X29" s="21">
        <f t="shared" si="37"/>
        <v>9.4076376544199869E-3</v>
      </c>
      <c r="Y29" s="71"/>
      <c r="Z29" s="72"/>
      <c r="AA29" s="71"/>
      <c r="AB29" s="72"/>
      <c r="AC29" s="15"/>
    </row>
    <row r="30" spans="1:35" s="36" customFormat="1" x14ac:dyDescent="0.25">
      <c r="A30" s="42">
        <v>0.4</v>
      </c>
      <c r="B30" s="65"/>
      <c r="C30" s="65"/>
      <c r="D30" s="43" t="s">
        <v>97</v>
      </c>
      <c r="E30" s="41">
        <v>4.76</v>
      </c>
      <c r="F30" s="41">
        <v>4.3600000000000003</v>
      </c>
      <c r="G30" s="61"/>
      <c r="H30" s="34">
        <f t="shared" si="25"/>
        <v>0.41000000000000059</v>
      </c>
      <c r="I30" s="61"/>
      <c r="J30" s="34">
        <f t="shared" si="27"/>
        <v>0.41000000000000059</v>
      </c>
      <c r="K30" s="61"/>
      <c r="L30" s="92">
        <v>1160</v>
      </c>
      <c r="M30" s="16">
        <f t="shared" si="29"/>
        <v>1142.5999999999999</v>
      </c>
      <c r="N30" s="16">
        <f t="shared" si="30"/>
        <v>1177.3999999999999</v>
      </c>
      <c r="O30" s="61"/>
      <c r="P30" s="34">
        <f t="shared" si="32"/>
        <v>773.33333333333337</v>
      </c>
      <c r="Q30" s="34">
        <f t="shared" si="33"/>
        <v>1130.5404300000005</v>
      </c>
      <c r="R30" s="21">
        <f t="shared" si="35"/>
        <v>-2.6057953539971646E-2</v>
      </c>
      <c r="S30" s="57"/>
      <c r="T30" s="58"/>
      <c r="U30" s="40"/>
      <c r="V30" s="40"/>
      <c r="W30" s="34">
        <f t="shared" si="42"/>
        <v>1129.9588799999983</v>
      </c>
      <c r="X30" s="21">
        <f t="shared" si="37"/>
        <v>-2.6586029396044708E-2</v>
      </c>
      <c r="Y30" s="71"/>
      <c r="Z30" s="72"/>
      <c r="AA30" s="71"/>
      <c r="AB30" s="72"/>
      <c r="AC30" s="15"/>
    </row>
    <row r="31" spans="1:35" s="36" customFormat="1" x14ac:dyDescent="0.25">
      <c r="A31" s="42">
        <v>0.6</v>
      </c>
      <c r="B31" s="65" t="s">
        <v>91</v>
      </c>
      <c r="C31" s="65">
        <v>0</v>
      </c>
      <c r="D31" s="43" t="s">
        <v>98</v>
      </c>
      <c r="E31" s="41">
        <v>4.7</v>
      </c>
      <c r="F31" s="41">
        <v>4.0999999999999996</v>
      </c>
      <c r="G31" s="61">
        <f t="shared" ref="G31" si="43">AVERAGE(F31:F33)</f>
        <v>4.123333333333334</v>
      </c>
      <c r="H31" s="34">
        <f t="shared" si="25"/>
        <v>0.20999999999999952</v>
      </c>
      <c r="I31" s="61">
        <f t="shared" ref="I31" si="44">AVERAGE(H31:H33)</f>
        <v>0.2100000000000001</v>
      </c>
      <c r="J31" s="34">
        <f t="shared" si="27"/>
        <v>0.14999999999999991</v>
      </c>
      <c r="K31" s="61">
        <f t="shared" ref="K31" si="45">AVERAGE(J31:J33)</f>
        <v>0.17333333333333364</v>
      </c>
      <c r="L31" s="92">
        <v>780</v>
      </c>
      <c r="M31" s="16">
        <f t="shared" si="29"/>
        <v>768.3</v>
      </c>
      <c r="N31" s="16">
        <f t="shared" si="30"/>
        <v>791.69999999999993</v>
      </c>
      <c r="O31" s="61">
        <f t="shared" ref="O31" si="46">AVERAGE(L31:L33)</f>
        <v>806.66666666666663</v>
      </c>
      <c r="P31" s="34">
        <f t="shared" si="32"/>
        <v>520</v>
      </c>
      <c r="Q31" s="34">
        <f t="shared" si="33"/>
        <v>768.31674999999984</v>
      </c>
      <c r="R31" s="21">
        <f t="shared" si="34"/>
        <v>-1.5206293498091883E-2</v>
      </c>
      <c r="S31" s="57"/>
      <c r="T31" s="58"/>
      <c r="U31" s="40"/>
      <c r="V31" s="40"/>
      <c r="W31" s="34">
        <f t="shared" si="42"/>
        <v>767.74299999998766</v>
      </c>
      <c r="X31" s="21">
        <f t="shared" si="37"/>
        <v>-1.5964977863702545E-2</v>
      </c>
      <c r="Y31" s="71"/>
      <c r="Z31" s="72"/>
      <c r="AA31" s="71"/>
      <c r="AB31" s="72"/>
      <c r="AC31" s="15"/>
    </row>
    <row r="32" spans="1:35" s="36" customFormat="1" x14ac:dyDescent="0.25">
      <c r="A32" s="42">
        <v>0.6</v>
      </c>
      <c r="B32" s="65"/>
      <c r="C32" s="65"/>
      <c r="D32" s="43" t="s">
        <v>99</v>
      </c>
      <c r="E32" s="41">
        <v>4.76</v>
      </c>
      <c r="F32" s="41">
        <v>4.16</v>
      </c>
      <c r="G32" s="61"/>
      <c r="H32" s="34">
        <f t="shared" si="25"/>
        <v>0.21000000000000041</v>
      </c>
      <c r="I32" s="61"/>
      <c r="J32" s="34">
        <f t="shared" si="27"/>
        <v>0.21000000000000041</v>
      </c>
      <c r="K32" s="61"/>
      <c r="L32" s="92">
        <v>840</v>
      </c>
      <c r="M32" s="16">
        <f t="shared" si="29"/>
        <v>827.4</v>
      </c>
      <c r="N32" s="16">
        <f t="shared" si="30"/>
        <v>852.59999999999991</v>
      </c>
      <c r="O32" s="61"/>
      <c r="P32" s="34">
        <f t="shared" si="32"/>
        <v>560</v>
      </c>
      <c r="Q32" s="34">
        <f t="shared" si="33"/>
        <v>872.78323000000069</v>
      </c>
      <c r="R32" s="21">
        <f t="shared" si="35"/>
        <v>3.7561709337610272E-2</v>
      </c>
      <c r="S32" s="57"/>
      <c r="T32" s="58"/>
      <c r="U32" s="40"/>
      <c r="V32" s="40"/>
      <c r="W32" s="34">
        <f t="shared" si="42"/>
        <v>872.2076800000068</v>
      </c>
      <c r="X32" s="21">
        <f t="shared" si="37"/>
        <v>3.6926618210936346E-2</v>
      </c>
      <c r="Y32" s="71"/>
      <c r="Z32" s="72"/>
      <c r="AA32" s="71"/>
      <c r="AB32" s="72"/>
      <c r="AC32" s="15"/>
    </row>
    <row r="33" spans="1:38" s="36" customFormat="1" x14ac:dyDescent="0.25">
      <c r="A33" s="42">
        <v>0.6</v>
      </c>
      <c r="B33" s="65"/>
      <c r="C33" s="65"/>
      <c r="D33" s="43" t="s">
        <v>100</v>
      </c>
      <c r="E33" s="41">
        <v>4.71</v>
      </c>
      <c r="F33" s="41">
        <v>4.1100000000000003</v>
      </c>
      <c r="G33" s="61"/>
      <c r="H33" s="34">
        <f t="shared" si="25"/>
        <v>0.21000000000000041</v>
      </c>
      <c r="I33" s="61"/>
      <c r="J33" s="34">
        <f t="shared" si="27"/>
        <v>0.16000000000000059</v>
      </c>
      <c r="K33" s="61"/>
      <c r="L33" s="92">
        <v>800</v>
      </c>
      <c r="M33" s="16">
        <f t="shared" si="29"/>
        <v>788</v>
      </c>
      <c r="N33" s="16">
        <f t="shared" si="30"/>
        <v>811.99999999999989</v>
      </c>
      <c r="O33" s="61"/>
      <c r="P33" s="34">
        <f t="shared" si="32"/>
        <v>533.33333333333337</v>
      </c>
      <c r="Q33" s="34">
        <f t="shared" si="33"/>
        <v>786.59768000000111</v>
      </c>
      <c r="R33" s="21">
        <f t="shared" si="34"/>
        <v>-1.7038341633551335E-2</v>
      </c>
      <c r="S33" s="59"/>
      <c r="T33" s="60"/>
      <c r="U33" s="40"/>
      <c r="V33" s="40"/>
      <c r="W33" s="34">
        <f t="shared" si="42"/>
        <v>786.02362999999605</v>
      </c>
      <c r="X33" s="21">
        <f t="shared" si="37"/>
        <v>-1.7781106657065893E-2</v>
      </c>
      <c r="Y33" s="73"/>
      <c r="Z33" s="74"/>
      <c r="AA33" s="73"/>
      <c r="AB33" s="74"/>
      <c r="AC33" s="15"/>
    </row>
    <row r="34" spans="1:38" x14ac:dyDescent="0.25">
      <c r="A34" s="42">
        <v>0.1</v>
      </c>
      <c r="B34" s="66" t="s">
        <v>2</v>
      </c>
      <c r="C34" s="66" t="s">
        <v>22</v>
      </c>
      <c r="D34" s="4">
        <v>22</v>
      </c>
      <c r="E34" s="6">
        <v>4.7149999999999999</v>
      </c>
      <c r="F34" s="6">
        <f t="shared" ref="F34:F39" si="47">E34</f>
        <v>4.7149999999999999</v>
      </c>
      <c r="G34" s="61">
        <f>AVERAGE(F34:F36)</f>
        <v>4.7303333333333333</v>
      </c>
      <c r="H34" s="6">
        <f t="shared" ref="H34:H42" si="48">$L$43-(E34-F34)</f>
        <v>0.81</v>
      </c>
      <c r="I34" s="61">
        <f>AVERAGE(H34:H36)</f>
        <v>0.81</v>
      </c>
      <c r="J34" s="6">
        <f t="shared" ref="J34:J42" si="49">$L$43-(E34-F34)-($E$43-E34)</f>
        <v>0.76500000000000012</v>
      </c>
      <c r="K34" s="61">
        <f>AVERAGE(J34:J36)</f>
        <v>0.78033333333333355</v>
      </c>
      <c r="L34" s="26">
        <v>1240</v>
      </c>
      <c r="M34" s="16">
        <f t="shared" si="3"/>
        <v>1221.4000000000001</v>
      </c>
      <c r="N34" s="16">
        <f t="shared" si="4"/>
        <v>1258.5999999999999</v>
      </c>
      <c r="O34" s="61">
        <f>AVERAGE(L34:L36)</f>
        <v>1226.6666666666667</v>
      </c>
      <c r="P34" s="6">
        <f t="shared" si="5"/>
        <v>826.66666666666663</v>
      </c>
      <c r="Q34" s="39"/>
      <c r="R34" s="39"/>
      <c r="W34" s="39"/>
      <c r="X34" s="39"/>
      <c r="AD34" s="36"/>
      <c r="AE34" s="36"/>
      <c r="AF34" s="36"/>
      <c r="AG34" s="36"/>
      <c r="AH34" s="36"/>
      <c r="AI34" s="36"/>
      <c r="AJ34" s="36"/>
      <c r="AK34" s="36"/>
    </row>
    <row r="35" spans="1:38" x14ac:dyDescent="0.25">
      <c r="A35" s="42">
        <v>0.1</v>
      </c>
      <c r="B35" s="67"/>
      <c r="C35" s="67"/>
      <c r="D35" s="4">
        <v>23</v>
      </c>
      <c r="E35" s="6">
        <v>4.742</v>
      </c>
      <c r="F35" s="6">
        <f t="shared" si="47"/>
        <v>4.742</v>
      </c>
      <c r="G35" s="61"/>
      <c r="H35" s="6">
        <f t="shared" si="48"/>
        <v>0.81</v>
      </c>
      <c r="I35" s="61"/>
      <c r="J35" s="6">
        <f t="shared" si="49"/>
        <v>0.79200000000000026</v>
      </c>
      <c r="K35" s="61"/>
      <c r="L35" s="26">
        <v>1240</v>
      </c>
      <c r="M35" s="16">
        <f t="shared" si="3"/>
        <v>1221.4000000000001</v>
      </c>
      <c r="N35" s="16">
        <f t="shared" si="4"/>
        <v>1258.5999999999999</v>
      </c>
      <c r="O35" s="61"/>
      <c r="P35" s="6">
        <f t="shared" si="5"/>
        <v>826.66666666666663</v>
      </c>
      <c r="Q35" s="39"/>
      <c r="R35" s="39"/>
      <c r="W35" s="39"/>
      <c r="X35" s="39"/>
      <c r="AD35" s="36"/>
      <c r="AE35" s="36"/>
      <c r="AF35" s="36"/>
      <c r="AG35" s="36"/>
      <c r="AH35" s="36"/>
      <c r="AI35" s="36"/>
      <c r="AJ35" s="36"/>
      <c r="AK35" s="36"/>
    </row>
    <row r="36" spans="1:38" x14ac:dyDescent="0.25">
      <c r="A36" s="42">
        <v>0.1</v>
      </c>
      <c r="B36" s="68"/>
      <c r="C36" s="68"/>
      <c r="D36" s="4">
        <v>24</v>
      </c>
      <c r="E36" s="6">
        <v>4.734</v>
      </c>
      <c r="F36" s="6">
        <f t="shared" si="47"/>
        <v>4.734</v>
      </c>
      <c r="G36" s="61"/>
      <c r="H36" s="6">
        <f t="shared" si="48"/>
        <v>0.81</v>
      </c>
      <c r="I36" s="61"/>
      <c r="J36" s="6">
        <f t="shared" si="49"/>
        <v>0.78400000000000025</v>
      </c>
      <c r="K36" s="61"/>
      <c r="L36" s="26">
        <v>1200</v>
      </c>
      <c r="M36" s="16">
        <f t="shared" si="3"/>
        <v>1182</v>
      </c>
      <c r="N36" s="16">
        <f t="shared" si="4"/>
        <v>1217.9999999999998</v>
      </c>
      <c r="O36" s="61"/>
      <c r="P36" s="6">
        <f t="shared" si="5"/>
        <v>800</v>
      </c>
      <c r="Q36" s="39"/>
      <c r="R36" s="39"/>
      <c r="W36" s="39"/>
      <c r="X36" s="39"/>
      <c r="AD36" s="36"/>
      <c r="AE36" s="36"/>
      <c r="AF36" s="36"/>
      <c r="AG36" s="36"/>
      <c r="AH36" s="36"/>
      <c r="AI36" s="36"/>
      <c r="AJ36" s="36"/>
      <c r="AK36" s="36"/>
    </row>
    <row r="37" spans="1:38" ht="15" customHeight="1" x14ac:dyDescent="0.25">
      <c r="A37" s="42">
        <v>0.1</v>
      </c>
      <c r="B37" s="65" t="s">
        <v>2</v>
      </c>
      <c r="C37" s="65" t="s">
        <v>23</v>
      </c>
      <c r="D37" s="4">
        <v>25</v>
      </c>
      <c r="E37" s="6">
        <v>4.7839999999999998</v>
      </c>
      <c r="F37" s="6">
        <f t="shared" si="47"/>
        <v>4.7839999999999998</v>
      </c>
      <c r="G37" s="61">
        <f>AVERAGE(F37:F39)</f>
        <v>4.7773333333333339</v>
      </c>
      <c r="H37" s="6">
        <f t="shared" si="48"/>
        <v>0.81</v>
      </c>
      <c r="I37" s="61">
        <f>AVERAGE(H37:H39)</f>
        <v>0.81</v>
      </c>
      <c r="J37" s="6">
        <f t="shared" si="49"/>
        <v>0.83400000000000007</v>
      </c>
      <c r="K37" s="61">
        <f>AVERAGE(J37:J39)</f>
        <v>0.82733333333333359</v>
      </c>
      <c r="L37" s="26">
        <v>1210</v>
      </c>
      <c r="M37" s="16">
        <f t="shared" si="3"/>
        <v>1191.8499999999999</v>
      </c>
      <c r="N37" s="16">
        <f t="shared" si="4"/>
        <v>1228.1499999999999</v>
      </c>
      <c r="O37" s="61">
        <f>AVERAGE(L37:L39)</f>
        <v>1203.3333333333333</v>
      </c>
      <c r="P37" s="6">
        <f t="shared" si="5"/>
        <v>806.66666666666663</v>
      </c>
      <c r="Q37" s="39"/>
      <c r="R37" s="39"/>
      <c r="W37" s="39"/>
      <c r="X37" s="39"/>
      <c r="AD37" s="36"/>
      <c r="AE37" s="36"/>
      <c r="AF37" s="36"/>
      <c r="AG37" s="36"/>
      <c r="AH37" s="36"/>
      <c r="AI37" s="36"/>
      <c r="AJ37" s="36"/>
      <c r="AK37" s="36"/>
    </row>
    <row r="38" spans="1:38" x14ac:dyDescent="0.25">
      <c r="A38" s="42">
        <v>0.1</v>
      </c>
      <c r="B38" s="65"/>
      <c r="C38" s="65"/>
      <c r="D38" s="4">
        <v>26</v>
      </c>
      <c r="E38" s="6">
        <v>4.7839999999999998</v>
      </c>
      <c r="F38" s="6">
        <f t="shared" si="47"/>
        <v>4.7839999999999998</v>
      </c>
      <c r="G38" s="61"/>
      <c r="H38" s="6">
        <f t="shared" si="48"/>
        <v>0.81</v>
      </c>
      <c r="I38" s="61"/>
      <c r="J38" s="6">
        <f t="shared" si="49"/>
        <v>0.83400000000000007</v>
      </c>
      <c r="K38" s="61"/>
      <c r="L38" s="26">
        <v>1200</v>
      </c>
      <c r="M38" s="16">
        <f t="shared" si="3"/>
        <v>1182</v>
      </c>
      <c r="N38" s="16">
        <f t="shared" si="4"/>
        <v>1217.9999999999998</v>
      </c>
      <c r="O38" s="61"/>
      <c r="P38" s="6">
        <f t="shared" si="5"/>
        <v>800</v>
      </c>
      <c r="Q38" s="39"/>
      <c r="R38" s="39"/>
      <c r="W38" s="39"/>
      <c r="X38" s="39"/>
    </row>
    <row r="39" spans="1:38" x14ac:dyDescent="0.25">
      <c r="A39" s="42">
        <v>0.1</v>
      </c>
      <c r="B39" s="65"/>
      <c r="C39" s="65"/>
      <c r="D39" s="4">
        <v>27</v>
      </c>
      <c r="E39" s="6">
        <v>4.7640000000000002</v>
      </c>
      <c r="F39" s="6">
        <f t="shared" si="47"/>
        <v>4.7640000000000002</v>
      </c>
      <c r="G39" s="61"/>
      <c r="H39" s="6">
        <f t="shared" si="48"/>
        <v>0.81</v>
      </c>
      <c r="I39" s="61"/>
      <c r="J39" s="6">
        <f t="shared" si="49"/>
        <v>0.8140000000000005</v>
      </c>
      <c r="K39" s="61"/>
      <c r="L39" s="26">
        <v>1200</v>
      </c>
      <c r="M39" s="16">
        <f t="shared" si="3"/>
        <v>1182</v>
      </c>
      <c r="N39" s="16">
        <f t="shared" si="4"/>
        <v>1217.9999999999998</v>
      </c>
      <c r="O39" s="61"/>
      <c r="P39" s="6">
        <f t="shared" si="5"/>
        <v>800</v>
      </c>
      <c r="Q39" s="39"/>
      <c r="R39" s="39"/>
      <c r="W39" s="39"/>
      <c r="X39" s="39"/>
    </row>
    <row r="40" spans="1:38" ht="15" customHeight="1" x14ac:dyDescent="0.25">
      <c r="A40" s="42">
        <v>0.1</v>
      </c>
      <c r="B40" s="66" t="s">
        <v>2</v>
      </c>
      <c r="C40" s="65" t="s">
        <v>88</v>
      </c>
      <c r="D40" s="43" t="s">
        <v>101</v>
      </c>
      <c r="E40" s="37">
        <v>4.74</v>
      </c>
      <c r="F40" s="37">
        <v>4.74</v>
      </c>
      <c r="G40" s="61">
        <f>AVERAGE(F40:F42)</f>
        <v>4.7433333333333332</v>
      </c>
      <c r="H40" s="34">
        <f t="shared" si="48"/>
        <v>0.81</v>
      </c>
      <c r="I40" s="61">
        <f>AVERAGE(H40:H42)</f>
        <v>0.81</v>
      </c>
      <c r="J40" s="34">
        <f t="shared" si="49"/>
        <v>0.79000000000000048</v>
      </c>
      <c r="K40" s="61">
        <f>AVERAGE(J40:J42)</f>
        <v>0.79333333333333345</v>
      </c>
      <c r="L40" s="92">
        <v>1260</v>
      </c>
      <c r="M40" s="16">
        <f>L40*(1- 0.015)</f>
        <v>1241.0999999999999</v>
      </c>
      <c r="N40" s="16">
        <f>L40*1.015</f>
        <v>1278.8999999999999</v>
      </c>
      <c r="O40" s="61">
        <f>AVERAGE(L40:L42)</f>
        <v>1266.6666666666667</v>
      </c>
      <c r="P40" s="34">
        <f>L40/1.5</f>
        <v>840</v>
      </c>
      <c r="Q40" s="39"/>
      <c r="R40" s="39"/>
      <c r="S40" s="42"/>
      <c r="T40" s="42"/>
      <c r="U40" s="42"/>
      <c r="V40" s="42"/>
      <c r="W40" s="39"/>
      <c r="X40" s="39"/>
      <c r="Y40" s="42"/>
      <c r="Z40" s="42"/>
      <c r="AA40" s="42"/>
      <c r="AB40" s="42"/>
      <c r="AC40" s="15"/>
      <c r="AL40" s="15"/>
    </row>
    <row r="41" spans="1:38" x14ac:dyDescent="0.25">
      <c r="A41" s="42">
        <v>0.1</v>
      </c>
      <c r="B41" s="67"/>
      <c r="C41" s="65"/>
      <c r="D41" s="43" t="s">
        <v>102</v>
      </c>
      <c r="E41" s="37">
        <v>4.72</v>
      </c>
      <c r="F41" s="37">
        <v>4.72</v>
      </c>
      <c r="G41" s="61"/>
      <c r="H41" s="34">
        <f t="shared" si="48"/>
        <v>0.81</v>
      </c>
      <c r="I41" s="61"/>
      <c r="J41" s="34">
        <f t="shared" si="49"/>
        <v>0.77</v>
      </c>
      <c r="K41" s="61"/>
      <c r="L41" s="92">
        <v>1200</v>
      </c>
      <c r="M41" s="16">
        <f t="shared" ref="M41:M42" si="50">L41*(1- 0.015)</f>
        <v>1182</v>
      </c>
      <c r="N41" s="16">
        <f t="shared" ref="N41:N42" si="51">L41*1.015</f>
        <v>1217.9999999999998</v>
      </c>
      <c r="O41" s="61"/>
      <c r="P41" s="34">
        <f t="shared" ref="P41:P42" si="52">L41/1.5</f>
        <v>800</v>
      </c>
      <c r="Q41" s="39"/>
      <c r="R41" s="39"/>
      <c r="S41" s="42"/>
      <c r="T41" s="42"/>
      <c r="U41" s="42"/>
      <c r="V41" s="42"/>
      <c r="W41" s="39"/>
      <c r="X41" s="39"/>
      <c r="Y41" s="42"/>
      <c r="Z41" s="42"/>
      <c r="AA41" s="42"/>
      <c r="AB41" s="42"/>
      <c r="AC41" s="15"/>
      <c r="AL41" s="15"/>
    </row>
    <row r="42" spans="1:38" x14ac:dyDescent="0.25">
      <c r="A42" s="42">
        <v>0.1</v>
      </c>
      <c r="B42" s="68"/>
      <c r="C42" s="65"/>
      <c r="D42" s="43" t="s">
        <v>103</v>
      </c>
      <c r="E42" s="37">
        <v>4.7699999999999996</v>
      </c>
      <c r="F42" s="37">
        <v>4.7699999999999996</v>
      </c>
      <c r="G42" s="61"/>
      <c r="H42" s="34">
        <f t="shared" si="48"/>
        <v>0.81</v>
      </c>
      <c r="I42" s="61"/>
      <c r="J42" s="34">
        <f t="shared" si="49"/>
        <v>0.81999999999999984</v>
      </c>
      <c r="K42" s="61"/>
      <c r="L42" s="92">
        <v>1340</v>
      </c>
      <c r="M42" s="16">
        <f t="shared" si="50"/>
        <v>1319.9</v>
      </c>
      <c r="N42" s="16">
        <f t="shared" si="51"/>
        <v>1360.1</v>
      </c>
      <c r="O42" s="61"/>
      <c r="P42" s="34">
        <f t="shared" si="52"/>
        <v>893.33333333333337</v>
      </c>
      <c r="Q42" s="39"/>
      <c r="R42" s="39"/>
      <c r="S42" s="42"/>
      <c r="T42" s="42"/>
      <c r="U42" s="42"/>
      <c r="V42" s="42"/>
      <c r="W42" s="39"/>
      <c r="X42" s="39"/>
      <c r="Y42" s="42"/>
      <c r="Z42" s="42"/>
      <c r="AA42" s="42"/>
      <c r="AB42" s="42"/>
      <c r="AC42" s="15"/>
      <c r="AL42" s="15"/>
    </row>
    <row r="43" spans="1:38" x14ac:dyDescent="0.25">
      <c r="B43" s="88" t="s">
        <v>80</v>
      </c>
      <c r="C43" s="80"/>
      <c r="D43" s="80"/>
      <c r="E43" s="6">
        <v>4.76</v>
      </c>
      <c r="F43" s="85" t="s">
        <v>50</v>
      </c>
      <c r="G43" s="86"/>
      <c r="H43" s="86"/>
      <c r="I43" s="87"/>
      <c r="J43" s="29"/>
      <c r="K43" s="29"/>
      <c r="L43" s="26">
        <v>0.81</v>
      </c>
      <c r="M43" s="15"/>
      <c r="N43" s="15"/>
      <c r="P43" s="6"/>
      <c r="Q43" s="39"/>
      <c r="R43" s="39"/>
      <c r="S43" s="42"/>
      <c r="T43" s="42"/>
      <c r="U43" s="42"/>
      <c r="V43" s="42"/>
      <c r="W43" s="39"/>
      <c r="X43" s="39"/>
      <c r="Y43" s="42"/>
      <c r="Z43" s="42"/>
      <c r="AA43" s="42"/>
      <c r="AB43" s="42"/>
    </row>
    <row r="44" spans="1:38" x14ac:dyDescent="0.25">
      <c r="D44" s="6" t="s">
        <v>14</v>
      </c>
      <c r="E44" s="6">
        <f>MAX(E4:E42)</f>
        <v>4.8</v>
      </c>
      <c r="F44" s="6">
        <f>MAX(F4:F42)</f>
        <v>4.8</v>
      </c>
      <c r="G44" s="6" t="s">
        <v>14</v>
      </c>
      <c r="H44" s="6">
        <f>MAX(H4:H42)</f>
        <v>0.81</v>
      </c>
      <c r="I44" s="6" t="s">
        <v>14</v>
      </c>
      <c r="J44" s="6">
        <f>MAX(J4:J42)</f>
        <v>0.85000000000000009</v>
      </c>
      <c r="K44" s="6" t="s">
        <v>14</v>
      </c>
      <c r="L44" s="93">
        <f>MAX(L4:L42)</f>
        <v>1340</v>
      </c>
      <c r="M44" s="15"/>
      <c r="N44" s="15"/>
      <c r="P44" s="6"/>
      <c r="Q44" s="39"/>
      <c r="R44" s="39"/>
      <c r="W44" s="39"/>
      <c r="X44" s="39"/>
      <c r="AD44" s="44"/>
      <c r="AE44" s="44"/>
      <c r="AF44" s="44"/>
      <c r="AG44" s="44"/>
      <c r="AH44" s="44"/>
      <c r="AI44" s="44"/>
      <c r="AJ44" s="38"/>
      <c r="AK44" s="38"/>
    </row>
    <row r="45" spans="1:38" x14ac:dyDescent="0.25">
      <c r="D45" s="6" t="s">
        <v>77</v>
      </c>
      <c r="E45" s="6">
        <f>AVERAGE(E4:E42)</f>
        <v>4.7406666666666677</v>
      </c>
      <c r="F45" s="6">
        <f>AVERAGE(F4:F42)</f>
        <v>4.4630000000000001</v>
      </c>
      <c r="G45" s="6" t="s">
        <v>77</v>
      </c>
      <c r="H45" s="6">
        <f>AVERAGE(H4:H42)</f>
        <v>0.53233333333333321</v>
      </c>
      <c r="I45" s="6" t="s">
        <v>77</v>
      </c>
      <c r="J45" s="6">
        <f>AVERAGE(J4:J42)</f>
        <v>0.51300000000000023</v>
      </c>
      <c r="K45" s="6" t="s">
        <v>77</v>
      </c>
      <c r="L45" s="93">
        <f>AVERAGE(L4:L42)</f>
        <v>962.56410256410254</v>
      </c>
      <c r="M45" s="15"/>
      <c r="N45" s="15"/>
      <c r="P45" s="6"/>
      <c r="Q45" s="39"/>
      <c r="R45" s="39"/>
      <c r="W45" s="39"/>
      <c r="X45" s="39"/>
      <c r="AD45" s="44"/>
      <c r="AE45" s="44"/>
      <c r="AF45" s="44"/>
      <c r="AG45" s="44"/>
      <c r="AH45" s="44"/>
      <c r="AI45" s="44"/>
      <c r="AJ45" s="38"/>
      <c r="AK45" s="38"/>
    </row>
    <row r="46" spans="1:38" x14ac:dyDescent="0.25">
      <c r="D46" s="6" t="s">
        <v>15</v>
      </c>
      <c r="E46" s="6">
        <f>MIN(E4:E42)</f>
        <v>4.6900000000000004</v>
      </c>
      <c r="F46" s="6">
        <f>MIN(F4:F42)</f>
        <v>3.96</v>
      </c>
      <c r="G46" s="6" t="s">
        <v>15</v>
      </c>
      <c r="H46" s="6">
        <f>MIN(H4:H42)</f>
        <v>7.9999999999999627E-2</v>
      </c>
      <c r="I46" s="6" t="s">
        <v>15</v>
      </c>
      <c r="J46" s="6">
        <f>MIN(J4:J42)</f>
        <v>1.0000000000000231E-2</v>
      </c>
      <c r="K46" s="6" t="s">
        <v>15</v>
      </c>
      <c r="L46" s="93">
        <f>MIN(L4:L42)</f>
        <v>200</v>
      </c>
      <c r="M46" s="15"/>
      <c r="N46" s="15"/>
      <c r="P46" s="6"/>
      <c r="Q46" s="39"/>
      <c r="R46" s="39"/>
      <c r="W46" s="39"/>
      <c r="X46" s="39"/>
      <c r="AD46" s="44"/>
      <c r="AE46" s="44"/>
      <c r="AF46" s="44"/>
      <c r="AG46" s="44"/>
      <c r="AH46" s="44"/>
      <c r="AI46" s="44"/>
      <c r="AJ46" s="38"/>
      <c r="AK46" s="38"/>
    </row>
    <row r="47" spans="1:38" x14ac:dyDescent="0.25">
      <c r="B47" s="3" t="s">
        <v>16</v>
      </c>
      <c r="M47" s="15"/>
      <c r="N47" s="15"/>
      <c r="P47" s="6">
        <f t="shared" si="5"/>
        <v>0</v>
      </c>
      <c r="Q47" s="39"/>
      <c r="R47" s="39"/>
      <c r="W47" s="39"/>
      <c r="X47" s="39"/>
    </row>
    <row r="48" spans="1:38" x14ac:dyDescent="0.25">
      <c r="B48" s="8" t="s">
        <v>20</v>
      </c>
      <c r="M48" s="15"/>
      <c r="N48" s="15"/>
      <c r="P48" s="6">
        <f t="shared" si="5"/>
        <v>0</v>
      </c>
      <c r="Q48" s="39"/>
      <c r="R48" s="39"/>
      <c r="W48" s="39"/>
      <c r="X48" s="39"/>
    </row>
    <row r="49" spans="2:24" x14ac:dyDescent="0.25">
      <c r="B49" s="8" t="s">
        <v>17</v>
      </c>
      <c r="M49" s="15"/>
      <c r="N49" s="15"/>
      <c r="P49" s="6">
        <f t="shared" si="5"/>
        <v>0</v>
      </c>
      <c r="Q49" s="39"/>
      <c r="R49" s="39"/>
      <c r="W49" s="39"/>
      <c r="X49" s="39"/>
    </row>
    <row r="50" spans="2:24" x14ac:dyDescent="0.25">
      <c r="B50" s="8" t="s">
        <v>18</v>
      </c>
      <c r="M50" s="15"/>
      <c r="N50" s="15"/>
      <c r="P50" s="6">
        <f t="shared" si="5"/>
        <v>0</v>
      </c>
      <c r="Q50" s="39"/>
      <c r="R50" s="39"/>
      <c r="W50" s="39"/>
      <c r="X50" s="39"/>
    </row>
    <row r="51" spans="2:24" x14ac:dyDescent="0.25">
      <c r="B51" s="8" t="s">
        <v>19</v>
      </c>
      <c r="M51" s="15"/>
      <c r="N51" s="15"/>
      <c r="P51" s="6">
        <f t="shared" si="5"/>
        <v>0</v>
      </c>
      <c r="Q51" s="39"/>
      <c r="R51" s="39"/>
      <c r="W51" s="39"/>
      <c r="X51" s="39"/>
    </row>
    <row r="52" spans="2:24" x14ac:dyDescent="0.25">
      <c r="B52" s="84" t="s">
        <v>24</v>
      </c>
      <c r="C52" s="84"/>
      <c r="D52" s="84"/>
      <c r="E52" s="84"/>
      <c r="F52" s="84"/>
      <c r="M52" s="15"/>
      <c r="N52" s="15"/>
      <c r="P52" s="6">
        <f t="shared" si="5"/>
        <v>0</v>
      </c>
      <c r="Q52" s="39"/>
      <c r="R52" s="39"/>
      <c r="W52" s="39"/>
      <c r="X52" s="39"/>
    </row>
    <row r="53" spans="2:24" x14ac:dyDescent="0.25">
      <c r="B53" s="8" t="s">
        <v>51</v>
      </c>
      <c r="C53" s="8"/>
      <c r="D53" s="8"/>
      <c r="E53" s="14"/>
      <c r="F53" s="14"/>
      <c r="M53" s="15"/>
      <c r="N53" s="15"/>
      <c r="P53" s="6">
        <f t="shared" si="5"/>
        <v>0</v>
      </c>
      <c r="Q53" s="39"/>
      <c r="R53" s="39"/>
      <c r="W53" s="39"/>
      <c r="X53" s="39"/>
    </row>
    <row r="54" spans="2:24" x14ac:dyDescent="0.25">
      <c r="M54" s="15"/>
    </row>
    <row r="55" spans="2:24" x14ac:dyDescent="0.25">
      <c r="B55" s="3" t="s">
        <v>53</v>
      </c>
    </row>
    <row r="56" spans="2:24" x14ac:dyDescent="0.25">
      <c r="B56" s="8" t="s">
        <v>54</v>
      </c>
      <c r="F56" s="33" t="s">
        <v>85</v>
      </c>
      <c r="G56" s="3">
        <f>_xlfn.STDEV.S(L4:L6,L34:L42)</f>
        <v>40.778410806194842</v>
      </c>
    </row>
    <row r="57" spans="2:24" x14ac:dyDescent="0.25">
      <c r="B57" s="8" t="s">
        <v>55</v>
      </c>
    </row>
    <row r="58" spans="2:24" x14ac:dyDescent="0.25">
      <c r="B58" s="8" t="s">
        <v>56</v>
      </c>
    </row>
    <row r="59" spans="2:24" ht="42.75" customHeight="1" x14ac:dyDescent="0.25">
      <c r="B59" s="53" t="s">
        <v>76</v>
      </c>
      <c r="C59" s="53" t="s">
        <v>48</v>
      </c>
      <c r="D59" s="53" t="s">
        <v>78</v>
      </c>
      <c r="E59" s="53"/>
      <c r="F59" s="53"/>
      <c r="G59" s="53"/>
      <c r="H59" s="53"/>
      <c r="I59" s="53"/>
      <c r="K59" s="53" t="s">
        <v>83</v>
      </c>
      <c r="L59" s="53"/>
      <c r="M59" s="53"/>
      <c r="N59" s="53"/>
      <c r="R59" s="42"/>
      <c r="W59" s="42"/>
      <c r="X59" s="42"/>
    </row>
    <row r="60" spans="2:24" ht="45" x14ac:dyDescent="0.25">
      <c r="B60" s="53"/>
      <c r="C60" s="53"/>
      <c r="D60" s="43" t="s">
        <v>109</v>
      </c>
      <c r="E60" s="24" t="s">
        <v>79</v>
      </c>
      <c r="F60" s="4" t="s">
        <v>74</v>
      </c>
      <c r="G60" s="24" t="s">
        <v>79</v>
      </c>
      <c r="H60" s="4" t="s">
        <v>75</v>
      </c>
      <c r="I60" s="24" t="s">
        <v>79</v>
      </c>
      <c r="K60" s="30" t="s">
        <v>11</v>
      </c>
      <c r="L60" s="95">
        <v>1.5</v>
      </c>
      <c r="M60" s="32">
        <v>3</v>
      </c>
      <c r="N60" s="32">
        <v>19</v>
      </c>
      <c r="R60" s="42"/>
      <c r="W60" s="42"/>
      <c r="X60" s="42"/>
    </row>
    <row r="61" spans="2:24" x14ac:dyDescent="0.25">
      <c r="B61" s="25">
        <f>E45</f>
        <v>4.7406666666666677</v>
      </c>
      <c r="C61" s="26">
        <f>L43</f>
        <v>0.81</v>
      </c>
      <c r="D61" s="45">
        <f>-1739.7*B61^2 + 16111*B61 - 36043</f>
        <v>1236.0012694666657</v>
      </c>
      <c r="E61" s="51"/>
      <c r="F61" s="25">
        <f t="shared" ref="F61:F75" si="53">-1692.7*B61^2 + 16056*B61 - 36850</f>
        <v>1224.5388636888893</v>
      </c>
      <c r="G61" s="51"/>
      <c r="H61" s="6">
        <f t="shared" ref="H61:H75" si="54" xml:space="preserve"> -1512.7*B61^2 + 15056*B61 - 36177</f>
        <v>1202.1778770222154</v>
      </c>
      <c r="I61" s="62"/>
      <c r="K61" s="6">
        <v>0.2</v>
      </c>
      <c r="L61" s="96">
        <v>0</v>
      </c>
      <c r="M61" s="31">
        <f>G65</f>
        <v>5.6427293067020545E-2</v>
      </c>
      <c r="N61" s="31">
        <f>I65</f>
        <v>0.16904770684743153</v>
      </c>
      <c r="R61" s="42"/>
      <c r="W61" s="42"/>
      <c r="X61" s="42"/>
    </row>
    <row r="62" spans="2:24" x14ac:dyDescent="0.25">
      <c r="B62" s="25">
        <f>B61-0.05</f>
        <v>4.6906666666666679</v>
      </c>
      <c r="C62" s="4">
        <f>C61-0.05</f>
        <v>0.76</v>
      </c>
      <c r="D62" s="45">
        <f t="shared" ref="D62:D75" si="55">-1739.7*B62^2 + 16111*B62 - 36043</f>
        <v>1250.8357994666731</v>
      </c>
      <c r="E62" s="54"/>
      <c r="F62" s="25">
        <f t="shared" si="53"/>
        <v>1219.9597603555667</v>
      </c>
      <c r="G62" s="54"/>
      <c r="H62" s="6">
        <f t="shared" si="54"/>
        <v>1162.716773688895</v>
      </c>
      <c r="I62" s="64"/>
      <c r="K62" s="6">
        <v>0.4</v>
      </c>
      <c r="L62" s="96">
        <f>E69</f>
        <v>0.10103691888107069</v>
      </c>
      <c r="M62" s="31">
        <f>G69</f>
        <v>0.22343988809176574</v>
      </c>
      <c r="N62" s="31">
        <f>I69</f>
        <v>0.43875938556878691</v>
      </c>
      <c r="R62" s="42"/>
      <c r="W62" s="42"/>
      <c r="X62" s="42"/>
    </row>
    <row r="63" spans="2:24" x14ac:dyDescent="0.25">
      <c r="B63" s="25">
        <f t="shared" ref="B63:B69" si="56">B62-0.05</f>
        <v>4.640666666666668</v>
      </c>
      <c r="C63" s="4">
        <f t="shared" ref="C63:C69" si="57">C62-0.05</f>
        <v>0.71</v>
      </c>
      <c r="D63" s="45">
        <f t="shared" si="55"/>
        <v>1256.9718294666673</v>
      </c>
      <c r="E63" s="54"/>
      <c r="F63" s="25">
        <f t="shared" si="53"/>
        <v>1206.9171570222243</v>
      </c>
      <c r="G63" s="54"/>
      <c r="H63" s="6">
        <f t="shared" si="54"/>
        <v>1115.6921703555563</v>
      </c>
      <c r="I63" s="64"/>
      <c r="K63" s="6">
        <v>0.6</v>
      </c>
      <c r="L63" s="96">
        <f>E73</f>
        <v>0.32045811746690633</v>
      </c>
      <c r="M63" s="31">
        <f>G73</f>
        <v>0.50103778507422936</v>
      </c>
      <c r="N63" s="31">
        <f>I73</f>
        <v>0.80913503616404192</v>
      </c>
      <c r="R63" s="42"/>
      <c r="W63" s="42"/>
      <c r="X63" s="42"/>
    </row>
    <row r="64" spans="2:24" x14ac:dyDescent="0.25">
      <c r="B64" s="25">
        <f t="shared" si="56"/>
        <v>4.5906666666666682</v>
      </c>
      <c r="C64" s="4">
        <f t="shared" si="57"/>
        <v>0.65999999999999992</v>
      </c>
      <c r="D64" s="45">
        <f t="shared" si="55"/>
        <v>1254.4093594666556</v>
      </c>
      <c r="E64" s="52"/>
      <c r="F64" s="25">
        <f t="shared" si="53"/>
        <v>1185.4110536888838</v>
      </c>
      <c r="G64" s="52"/>
      <c r="H64" s="6">
        <f t="shared" si="54"/>
        <v>1061.1040670222283</v>
      </c>
      <c r="I64" s="63"/>
    </row>
    <row r="65" spans="2:9" x14ac:dyDescent="0.25">
      <c r="B65" s="25">
        <f t="shared" si="56"/>
        <v>4.5406666666666684</v>
      </c>
      <c r="C65" s="26">
        <f t="shared" si="57"/>
        <v>0.60999999999999988</v>
      </c>
      <c r="D65" s="45">
        <f t="shared" si="55"/>
        <v>1243.1483894666671</v>
      </c>
      <c r="E65" s="46">
        <f>1-(D65/D61)</f>
        <v>-5.7824536079040811E-3</v>
      </c>
      <c r="F65" s="25">
        <f t="shared" si="53"/>
        <v>1155.4414503555599</v>
      </c>
      <c r="G65" s="27">
        <f>1-(F65/F61)</f>
        <v>5.6427293067020545E-2</v>
      </c>
      <c r="H65" s="6">
        <f t="shared" si="54"/>
        <v>998.95246368889639</v>
      </c>
      <c r="I65" s="27">
        <f>1-(H65/H61)</f>
        <v>0.16904770684743153</v>
      </c>
    </row>
    <row r="66" spans="2:9" x14ac:dyDescent="0.25">
      <c r="B66" s="25">
        <f t="shared" si="56"/>
        <v>4.4906666666666686</v>
      </c>
      <c r="C66" s="4">
        <f t="shared" si="57"/>
        <v>0.55999999999999983</v>
      </c>
      <c r="D66" s="45">
        <f t="shared" si="55"/>
        <v>1223.1889194666655</v>
      </c>
      <c r="E66" s="51"/>
      <c r="F66" s="25">
        <f t="shared" si="53"/>
        <v>1117.0083470222235</v>
      </c>
      <c r="G66" s="51"/>
      <c r="H66" s="6">
        <f t="shared" si="54"/>
        <v>929.23736035555339</v>
      </c>
      <c r="I66" s="51"/>
    </row>
    <row r="67" spans="2:9" x14ac:dyDescent="0.25">
      <c r="B67" s="25">
        <f t="shared" si="56"/>
        <v>4.4406666666666688</v>
      </c>
      <c r="C67" s="4">
        <f t="shared" si="57"/>
        <v>0.50999999999999979</v>
      </c>
      <c r="D67" s="45">
        <f t="shared" si="55"/>
        <v>1194.5309494666726</v>
      </c>
      <c r="E67" s="54"/>
      <c r="F67" s="25">
        <f t="shared" si="53"/>
        <v>1070.1117436888817</v>
      </c>
      <c r="G67" s="54"/>
      <c r="H67" s="6">
        <f t="shared" si="54"/>
        <v>851.95875702222838</v>
      </c>
      <c r="I67" s="54"/>
    </row>
    <row r="68" spans="2:9" x14ac:dyDescent="0.25">
      <c r="B68" s="25">
        <f t="shared" si="56"/>
        <v>4.3906666666666689</v>
      </c>
      <c r="C68" s="4">
        <f t="shared" si="57"/>
        <v>0.4599999999999998</v>
      </c>
      <c r="D68" s="45">
        <f t="shared" si="55"/>
        <v>1157.1744794666665</v>
      </c>
      <c r="E68" s="52"/>
      <c r="F68" s="25">
        <f t="shared" si="53"/>
        <v>1014.7516403555637</v>
      </c>
      <c r="G68" s="52"/>
      <c r="H68" s="6">
        <f t="shared" si="54"/>
        <v>767.11665368889226</v>
      </c>
      <c r="I68" s="52"/>
    </row>
    <row r="69" spans="2:9" x14ac:dyDescent="0.25">
      <c r="B69" s="25">
        <f t="shared" si="56"/>
        <v>4.3406666666666691</v>
      </c>
      <c r="C69" s="26">
        <f t="shared" si="57"/>
        <v>0.40999999999999981</v>
      </c>
      <c r="D69" s="45">
        <f t="shared" si="55"/>
        <v>1111.1195094666618</v>
      </c>
      <c r="E69" s="27">
        <f>1-(D69/D61)</f>
        <v>0.10103691888107069</v>
      </c>
      <c r="F69" s="25">
        <f t="shared" si="53"/>
        <v>950.92803702222591</v>
      </c>
      <c r="G69" s="27">
        <f>1-(F69/F61)</f>
        <v>0.22343988809176574</v>
      </c>
      <c r="H69" s="6">
        <f t="shared" si="54"/>
        <v>674.71105035555956</v>
      </c>
      <c r="I69" s="27">
        <f>1-(H69/H61)</f>
        <v>0.43875938556878691</v>
      </c>
    </row>
    <row r="70" spans="2:9" x14ac:dyDescent="0.25">
      <c r="B70" s="25">
        <f t="shared" ref="B70:C75" si="58">B69-0.05</f>
        <v>4.2906666666666693</v>
      </c>
      <c r="C70" s="4">
        <f t="shared" si="58"/>
        <v>0.35999999999999982</v>
      </c>
      <c r="D70" s="45">
        <f t="shared" si="55"/>
        <v>1056.3660394666658</v>
      </c>
      <c r="E70" s="51"/>
      <c r="F70" s="25">
        <f t="shared" si="53"/>
        <v>878.64093368889735</v>
      </c>
      <c r="G70" s="51"/>
      <c r="H70" s="6">
        <f t="shared" si="54"/>
        <v>574.74194702223031</v>
      </c>
      <c r="I70" s="51"/>
    </row>
    <row r="71" spans="2:9" x14ac:dyDescent="0.25">
      <c r="B71" s="25">
        <f t="shared" si="58"/>
        <v>4.2406666666666695</v>
      </c>
      <c r="C71" s="4">
        <f t="shared" si="58"/>
        <v>0.30999999999999983</v>
      </c>
      <c r="D71" s="45">
        <f t="shared" si="55"/>
        <v>992.91406946667121</v>
      </c>
      <c r="E71" s="54"/>
      <c r="F71" s="25">
        <f t="shared" si="53"/>
        <v>797.89033035555622</v>
      </c>
      <c r="G71" s="54"/>
      <c r="H71" s="6">
        <f t="shared" si="54"/>
        <v>467.20934368889721</v>
      </c>
      <c r="I71" s="54"/>
    </row>
    <row r="72" spans="2:9" x14ac:dyDescent="0.25">
      <c r="B72" s="25">
        <f t="shared" si="58"/>
        <v>4.1906666666666696</v>
      </c>
      <c r="C72" s="4">
        <f t="shared" si="58"/>
        <v>0.25999999999999984</v>
      </c>
      <c r="D72" s="45">
        <f t="shared" si="55"/>
        <v>920.76359946667799</v>
      </c>
      <c r="E72" s="52"/>
      <c r="F72" s="25">
        <f t="shared" si="53"/>
        <v>708.67622702221706</v>
      </c>
      <c r="G72" s="52"/>
      <c r="H72" s="6">
        <f t="shared" si="54"/>
        <v>352.11324035556027</v>
      </c>
      <c r="I72" s="52"/>
    </row>
    <row r="73" spans="2:9" x14ac:dyDescent="0.25">
      <c r="B73" s="25">
        <f t="shared" si="58"/>
        <v>4.1406666666666698</v>
      </c>
      <c r="C73" s="26">
        <f t="shared" si="58"/>
        <v>0.20999999999999985</v>
      </c>
      <c r="D73" s="45">
        <f t="shared" si="55"/>
        <v>839.91462946667161</v>
      </c>
      <c r="E73" s="27">
        <f>1-(D73/D61)</f>
        <v>0.32045811746690633</v>
      </c>
      <c r="F73" s="25">
        <f t="shared" si="53"/>
        <v>610.99862368889444</v>
      </c>
      <c r="G73" s="27">
        <f>1-(F73/F61)</f>
        <v>0.50103778507422936</v>
      </c>
      <c r="H73" s="28">
        <f t="shared" si="54"/>
        <v>229.45363702223403</v>
      </c>
      <c r="I73" s="27">
        <f>1-(H73/H61)</f>
        <v>0.80913503616404192</v>
      </c>
    </row>
    <row r="74" spans="2:9" x14ac:dyDescent="0.25">
      <c r="B74" s="25">
        <f t="shared" si="58"/>
        <v>4.09066666666667</v>
      </c>
      <c r="C74" s="4">
        <f t="shared" si="58"/>
        <v>0.15999999999999986</v>
      </c>
      <c r="D74" s="45">
        <f t="shared" si="55"/>
        <v>750.36715946666664</v>
      </c>
      <c r="E74" s="51"/>
      <c r="F74" s="25">
        <f t="shared" si="53"/>
        <v>504.85752035555925</v>
      </c>
      <c r="G74" s="51"/>
      <c r="H74" s="28">
        <f t="shared" si="54"/>
        <v>99.230533688896685</v>
      </c>
      <c r="I74" s="62"/>
    </row>
    <row r="75" spans="2:9" x14ac:dyDescent="0.25">
      <c r="B75" s="25">
        <f t="shared" si="58"/>
        <v>4.0406666666666702</v>
      </c>
      <c r="C75" s="4">
        <f t="shared" si="58"/>
        <v>0.10999999999999986</v>
      </c>
      <c r="D75" s="45">
        <f t="shared" si="55"/>
        <v>652.12118946667761</v>
      </c>
      <c r="E75" s="52"/>
      <c r="F75" s="25">
        <f t="shared" si="53"/>
        <v>390.25291702222603</v>
      </c>
      <c r="G75" s="52"/>
      <c r="H75" s="28">
        <f t="shared" si="54"/>
        <v>-38.556069644429954</v>
      </c>
      <c r="I75" s="63"/>
    </row>
  </sheetData>
  <dataConsolidate link="1"/>
  <mergeCells count="146">
    <mergeCell ref="C59:C60"/>
    <mergeCell ref="B59:B60"/>
    <mergeCell ref="S7:T15"/>
    <mergeCell ref="Y7:Z15"/>
    <mergeCell ref="U16:V24"/>
    <mergeCell ref="O2:O3"/>
    <mergeCell ref="G34:G36"/>
    <mergeCell ref="G37:G39"/>
    <mergeCell ref="B52:F52"/>
    <mergeCell ref="F43:I43"/>
    <mergeCell ref="B43:D43"/>
    <mergeCell ref="B37:B39"/>
    <mergeCell ref="C37:C39"/>
    <mergeCell ref="C10:C12"/>
    <mergeCell ref="C13:C15"/>
    <mergeCell ref="B34:B36"/>
    <mergeCell ref="C34:C36"/>
    <mergeCell ref="C25:C27"/>
    <mergeCell ref="C28:C30"/>
    <mergeCell ref="O40:O42"/>
    <mergeCell ref="O25:O27"/>
    <mergeCell ref="O28:O30"/>
    <mergeCell ref="O31:O33"/>
    <mergeCell ref="Q2:R2"/>
    <mergeCell ref="B13:B15"/>
    <mergeCell ref="B16:B18"/>
    <mergeCell ref="B19:B21"/>
    <mergeCell ref="C4:C6"/>
    <mergeCell ref="C7:C9"/>
    <mergeCell ref="S2:T2"/>
    <mergeCell ref="U2:V2"/>
    <mergeCell ref="I13:I15"/>
    <mergeCell ref="I16:I18"/>
    <mergeCell ref="H2:K2"/>
    <mergeCell ref="Q7:R15"/>
    <mergeCell ref="K13:K15"/>
    <mergeCell ref="K16:K18"/>
    <mergeCell ref="K19:K21"/>
    <mergeCell ref="Y2:Z2"/>
    <mergeCell ref="AA2:AB2"/>
    <mergeCell ref="AH2:AH3"/>
    <mergeCell ref="P2:P3"/>
    <mergeCell ref="AD27:AH27"/>
    <mergeCell ref="AD2:AD3"/>
    <mergeCell ref="AE2:AE3"/>
    <mergeCell ref="M2:N2"/>
    <mergeCell ref="B2:B3"/>
    <mergeCell ref="C2:C3"/>
    <mergeCell ref="D2:D3"/>
    <mergeCell ref="E2:E3"/>
    <mergeCell ref="F2:F3"/>
    <mergeCell ref="G22:G24"/>
    <mergeCell ref="I4:I6"/>
    <mergeCell ref="I7:I9"/>
    <mergeCell ref="I10:I12"/>
    <mergeCell ref="B22:B24"/>
    <mergeCell ref="C16:C18"/>
    <mergeCell ref="C19:C21"/>
    <mergeCell ref="C22:C24"/>
    <mergeCell ref="B4:B6"/>
    <mergeCell ref="B7:B9"/>
    <mergeCell ref="B10:B12"/>
    <mergeCell ref="AO10:AS10"/>
    <mergeCell ref="AJ2:AK2"/>
    <mergeCell ref="AD19:AH19"/>
    <mergeCell ref="AD21:AH21"/>
    <mergeCell ref="AD22:AH22"/>
    <mergeCell ref="AD25:AH25"/>
    <mergeCell ref="AD26:AH26"/>
    <mergeCell ref="AD20:AH20"/>
    <mergeCell ref="AA16:AB24"/>
    <mergeCell ref="AF2:AF3"/>
    <mergeCell ref="AG2:AG3"/>
    <mergeCell ref="AI2:AI3"/>
    <mergeCell ref="B1:O1"/>
    <mergeCell ref="G2:G3"/>
    <mergeCell ref="L2:L3"/>
    <mergeCell ref="O19:O21"/>
    <mergeCell ref="O22:O24"/>
    <mergeCell ref="O34:O36"/>
    <mergeCell ref="O37:O39"/>
    <mergeCell ref="G4:G6"/>
    <mergeCell ref="G7:G9"/>
    <mergeCell ref="G10:G12"/>
    <mergeCell ref="G13:G15"/>
    <mergeCell ref="G16:G18"/>
    <mergeCell ref="G19:G21"/>
    <mergeCell ref="I19:I21"/>
    <mergeCell ref="I22:I24"/>
    <mergeCell ref="I34:I36"/>
    <mergeCell ref="I37:I39"/>
    <mergeCell ref="O4:O6"/>
    <mergeCell ref="O7:O9"/>
    <mergeCell ref="O10:O12"/>
    <mergeCell ref="O13:O15"/>
    <mergeCell ref="O16:O18"/>
    <mergeCell ref="K4:K6"/>
    <mergeCell ref="K7:K9"/>
    <mergeCell ref="C31:C33"/>
    <mergeCell ref="B25:B27"/>
    <mergeCell ref="B28:B30"/>
    <mergeCell ref="B31:B33"/>
    <mergeCell ref="B40:B42"/>
    <mergeCell ref="C40:C42"/>
    <mergeCell ref="AA25:AB33"/>
    <mergeCell ref="Y25:Z33"/>
    <mergeCell ref="AD17:AH17"/>
    <mergeCell ref="AD18:AH18"/>
    <mergeCell ref="AD23:AH23"/>
    <mergeCell ref="AD24:AH24"/>
    <mergeCell ref="S25:T33"/>
    <mergeCell ref="G28:G30"/>
    <mergeCell ref="I28:I30"/>
    <mergeCell ref="K28:K30"/>
    <mergeCell ref="G31:G33"/>
    <mergeCell ref="I31:I33"/>
    <mergeCell ref="K31:K33"/>
    <mergeCell ref="G25:G27"/>
    <mergeCell ref="I25:I27"/>
    <mergeCell ref="K25:K27"/>
    <mergeCell ref="AD28:AH28"/>
    <mergeCell ref="K22:K24"/>
    <mergeCell ref="E74:E75"/>
    <mergeCell ref="K59:N59"/>
    <mergeCell ref="D59:I59"/>
    <mergeCell ref="E61:E64"/>
    <mergeCell ref="E66:E68"/>
    <mergeCell ref="E70:E72"/>
    <mergeCell ref="Q16:R24"/>
    <mergeCell ref="W2:X2"/>
    <mergeCell ref="W7:X15"/>
    <mergeCell ref="W16:X24"/>
    <mergeCell ref="G40:G42"/>
    <mergeCell ref="I40:I42"/>
    <mergeCell ref="K40:K42"/>
    <mergeCell ref="G61:G64"/>
    <mergeCell ref="G66:G68"/>
    <mergeCell ref="G70:G72"/>
    <mergeCell ref="G74:G75"/>
    <mergeCell ref="I74:I75"/>
    <mergeCell ref="I70:I72"/>
    <mergeCell ref="I66:I68"/>
    <mergeCell ref="I61:I64"/>
    <mergeCell ref="K34:K36"/>
    <mergeCell ref="K37:K39"/>
    <mergeCell ref="K10:K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:E5"/>
    </sheetView>
  </sheetViews>
  <sheetFormatPr defaultRowHeight="15" x14ac:dyDescent="0.25"/>
  <cols>
    <col min="1" max="1" width="23.7109375" bestFit="1" customWidth="1"/>
    <col min="2" max="2" width="9.5703125" bestFit="1" customWidth="1"/>
    <col min="3" max="3" width="7.85546875" bestFit="1" customWidth="1"/>
    <col min="4" max="4" width="16.85546875" bestFit="1" customWidth="1"/>
    <col min="5" max="5" width="10.42578125" bestFit="1" customWidth="1"/>
    <col min="6" max="6" width="17.85546875" bestFit="1" customWidth="1"/>
    <col min="7" max="7" width="19.42578125" bestFit="1" customWidth="1"/>
    <col min="8" max="8" width="20.28515625" bestFit="1" customWidth="1"/>
  </cols>
  <sheetData>
    <row r="1" spans="1:8" ht="18.75" x14ac:dyDescent="0.25">
      <c r="A1" s="89" t="s">
        <v>47</v>
      </c>
      <c r="B1" s="89"/>
      <c r="C1" s="89"/>
      <c r="D1" s="89"/>
      <c r="E1" s="89"/>
      <c r="F1" s="89"/>
      <c r="G1" s="89"/>
      <c r="H1" s="89"/>
    </row>
    <row r="2" spans="1:8" x14ac:dyDescent="0.25">
      <c r="A2" s="4" t="s">
        <v>26</v>
      </c>
      <c r="B2" s="4" t="s">
        <v>27</v>
      </c>
      <c r="C2" s="4" t="s">
        <v>28</v>
      </c>
      <c r="D2" s="6" t="s">
        <v>33</v>
      </c>
      <c r="E2" s="6" t="s">
        <v>31</v>
      </c>
      <c r="F2" s="6" t="s">
        <v>42</v>
      </c>
      <c r="G2" s="4" t="s">
        <v>34</v>
      </c>
      <c r="H2" s="6" t="s">
        <v>35</v>
      </c>
    </row>
    <row r="3" spans="1:8" x14ac:dyDescent="0.25">
      <c r="A3" s="4" t="s">
        <v>25</v>
      </c>
      <c r="B3" s="4" t="s">
        <v>29</v>
      </c>
      <c r="C3" s="4" t="s">
        <v>30</v>
      </c>
      <c r="D3" s="9">
        <v>9039317</v>
      </c>
      <c r="E3" s="6" t="s">
        <v>32</v>
      </c>
      <c r="F3" s="6"/>
      <c r="G3" s="10">
        <v>43221</v>
      </c>
      <c r="H3" s="6" t="s">
        <v>36</v>
      </c>
    </row>
    <row r="4" spans="1:8" x14ac:dyDescent="0.25">
      <c r="A4" s="4" t="s">
        <v>37</v>
      </c>
      <c r="B4" s="4" t="s">
        <v>38</v>
      </c>
      <c r="C4" s="4">
        <v>799</v>
      </c>
      <c r="D4" s="4" t="s">
        <v>39</v>
      </c>
      <c r="E4" s="4" t="s">
        <v>40</v>
      </c>
      <c r="F4" s="4"/>
      <c r="G4" s="10">
        <v>43252</v>
      </c>
      <c r="H4" s="6" t="s">
        <v>36</v>
      </c>
    </row>
    <row r="5" spans="1:8" x14ac:dyDescent="0.25">
      <c r="A5" s="4" t="s">
        <v>41</v>
      </c>
      <c r="B5" s="4" t="s">
        <v>45</v>
      </c>
      <c r="C5" s="4" t="s">
        <v>46</v>
      </c>
      <c r="D5" s="4" t="s">
        <v>43</v>
      </c>
      <c r="E5" s="4" t="s">
        <v>44</v>
      </c>
      <c r="F5" s="13">
        <v>42788</v>
      </c>
      <c r="G5" s="10">
        <v>43160</v>
      </c>
      <c r="H5" s="6" t="s">
        <v>36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11</vt:i4>
      </vt:variant>
    </vt:vector>
  </HeadingPairs>
  <TitlesOfParts>
    <vt:vector size="14" baseType="lpstr">
      <vt:lpstr>Source</vt:lpstr>
      <vt:lpstr>Dados</vt:lpstr>
      <vt:lpstr>Equipamento utilizados</vt:lpstr>
      <vt:lpstr>Gráfico Espessura completo</vt:lpstr>
      <vt:lpstr>Gráfico Espessura completo (fl)</vt:lpstr>
      <vt:lpstr>Gráfico Diâmetro completo</vt:lpstr>
      <vt:lpstr>Gráfico Diâmetro completo (fil)</vt:lpstr>
      <vt:lpstr>Gráfico Dobras</vt:lpstr>
      <vt:lpstr>Gráfico Espessura</vt:lpstr>
      <vt:lpstr>Gráfico Espessura (2)</vt:lpstr>
      <vt:lpstr>Gráfico Diâmetro desg</vt:lpstr>
      <vt:lpstr>Diameter Graph</vt:lpstr>
      <vt:lpstr>Lenght Graph</vt:lpstr>
      <vt:lpstr>Lenght Graph (2)</vt:lpstr>
    </vt:vector>
  </TitlesOfParts>
  <Company>PEUGEOT CITROEN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CIOLFI - U406859</dc:creator>
  <cp:lastModifiedBy>MARCIO CIOLFI - U406859</cp:lastModifiedBy>
  <dcterms:created xsi:type="dcterms:W3CDTF">2017-07-11T15:42:57Z</dcterms:created>
  <dcterms:modified xsi:type="dcterms:W3CDTF">2019-01-03T17:07:12Z</dcterms:modified>
</cp:coreProperties>
</file>