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drawings/drawing1.xml" ContentType="application/vnd.openxmlformats-officedocument.drawing+xml"/>
  <Override PartName="/xl/tables/table6.xml" ContentType="application/vnd.openxmlformats-officedocument.spreadsheetml.table+xml"/>
  <Override PartName="/xl/comments2.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7.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mclare\OneDrive - Brock University\Ontario SMAs\reports\all\"/>
    </mc:Choice>
  </mc:AlternateContent>
  <xr:revisionPtr revIDLastSave="4949" documentId="8_{6DE7B7F7-2F7B-4B4F-AB59-3AB7674C63FA}" xr6:coauthVersionLast="44" xr6:coauthVersionMax="45" xr10:uidLastSave="{CD876DE5-24DE-4AB8-A674-93A44232F87D}"/>
  <bookViews>
    <workbookView xWindow="120" yWindow="0" windowWidth="5073" windowHeight="2733" tabRatio="882" xr2:uid="{4519AEFD-1713-4293-A800-1B6CA684E812}"/>
  </bookViews>
  <sheets>
    <sheet name="Metrics" sheetId="1" r:id="rId1"/>
    <sheet name="Strengths" sheetId="3" r:id="rId2"/>
    <sheet name="Expansion" sheetId="4" r:id="rId3"/>
    <sheet name="Weighted Grant Units" sheetId="6" r:id="rId4"/>
    <sheet name="Enrolment" sheetId="2" r:id="rId5"/>
    <sheet name="Financial sustainability" sheetId="5" r:id="rId6"/>
    <sheet name="Reference" sheetId="10"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P161" i="1" l="1"/>
  <c r="AN158" i="1"/>
  <c r="AN156" i="1"/>
  <c r="AN154" i="1"/>
  <c r="AR156" i="1"/>
  <c r="AR154" i="1"/>
  <c r="AP160" i="1"/>
  <c r="AP159" i="1"/>
  <c r="AP158" i="1"/>
  <c r="AP157" i="1"/>
  <c r="AP156" i="1"/>
  <c r="AP155" i="1"/>
  <c r="AP154" i="1"/>
  <c r="AL158" i="1"/>
  <c r="AL156" i="1"/>
  <c r="AL154" i="1"/>
  <c r="AJ154" i="1"/>
  <c r="AJ156" i="1"/>
  <c r="AJ158" i="1"/>
  <c r="AH159" i="1"/>
  <c r="AH157" i="1"/>
  <c r="AH155" i="1"/>
  <c r="AN160" i="1" l="1"/>
  <c r="X157" i="1"/>
  <c r="X159" i="1"/>
  <c r="X155" i="1"/>
  <c r="V161" i="1"/>
  <c r="R158" i="1" l="1"/>
  <c r="R156" i="1"/>
  <c r="R154" i="1"/>
  <c r="L160" i="1"/>
  <c r="L158" i="1"/>
  <c r="L156" i="1"/>
  <c r="L154" i="1"/>
  <c r="L159" i="1"/>
  <c r="L157" i="1"/>
  <c r="L155" i="1"/>
  <c r="L161" i="1"/>
  <c r="H3" i="10"/>
  <c r="AH160" i="1" l="1"/>
  <c r="AJ160" i="1"/>
  <c r="X161" i="1"/>
  <c r="R160" i="1"/>
  <c r="AN161" i="1"/>
  <c r="E26" i="2"/>
  <c r="F26" i="2"/>
  <c r="G26" i="2"/>
  <c r="H26" i="2"/>
  <c r="I26" i="2"/>
  <c r="J26" i="2"/>
  <c r="K26" i="2"/>
  <c r="R104" i="1" s="1"/>
  <c r="L26" i="2"/>
  <c r="T106" i="1" s="1"/>
  <c r="M26" i="2"/>
  <c r="N26" i="2"/>
  <c r="O26" i="2"/>
  <c r="P26" i="2"/>
  <c r="Q26" i="2"/>
  <c r="R26" i="2"/>
  <c r="S26" i="2"/>
  <c r="T26" i="2"/>
  <c r="U26" i="2"/>
  <c r="V26" i="2"/>
  <c r="AN103" i="1" s="1"/>
  <c r="W26" i="2"/>
  <c r="AP100" i="1" s="1"/>
  <c r="X26" i="2"/>
  <c r="D26" i="2"/>
  <c r="V110" i="1"/>
  <c r="T101" i="1"/>
  <c r="T100" i="1" s="1"/>
  <c r="T103" i="1"/>
  <c r="T102" i="1" s="1"/>
  <c r="AR4" i="1"/>
  <c r="T4" i="1"/>
  <c r="D107" i="1" l="1"/>
  <c r="D103" i="1"/>
  <c r="D105" i="1"/>
  <c r="R106" i="1"/>
  <c r="AN105" i="1"/>
  <c r="R100" i="1"/>
  <c r="AN107" i="1"/>
  <c r="R102" i="1"/>
  <c r="AN101" i="1"/>
  <c r="C7" i="5"/>
  <c r="V7" i="5"/>
  <c r="T7" i="5"/>
  <c r="S7" i="5"/>
  <c r="R7" i="5"/>
  <c r="Q7" i="5"/>
  <c r="P7" i="5"/>
  <c r="O7" i="5"/>
  <c r="N7" i="5"/>
  <c r="M7" i="5"/>
  <c r="L7" i="5"/>
  <c r="J7" i="5"/>
  <c r="D7" i="5"/>
  <c r="B7" i="5"/>
  <c r="B12" i="5"/>
  <c r="AR261" i="1" l="1"/>
  <c r="AR260" i="1"/>
  <c r="AR159" i="1"/>
  <c r="AR158" i="1" s="1"/>
  <c r="AR161" i="1"/>
  <c r="AR160" i="1" s="1"/>
  <c r="AR108" i="1"/>
  <c r="AR81" i="1"/>
  <c r="AR2" i="1"/>
  <c r="AP211" i="1" l="1"/>
  <c r="AP210" i="1"/>
  <c r="AP105" i="1"/>
  <c r="AP104" i="1" s="1"/>
  <c r="AP103" i="1"/>
  <c r="AP102" i="1" s="1"/>
  <c r="AP97" i="1"/>
  <c r="AP96" i="1"/>
  <c r="AP55" i="1"/>
  <c r="AP47" i="1"/>
  <c r="AP46" i="1"/>
  <c r="AP4" i="1"/>
  <c r="AP3" i="1"/>
  <c r="AL213" i="1" l="1"/>
  <c r="AL212" i="1"/>
  <c r="AL211" i="1"/>
  <c r="AL210" i="1"/>
  <c r="AL202" i="1"/>
  <c r="AL164" i="1"/>
  <c r="AL162" i="1"/>
  <c r="AL77" i="1"/>
  <c r="AL57" i="1"/>
  <c r="AL55" i="1"/>
  <c r="AL51" i="1" l="1"/>
  <c r="AL4" i="1"/>
  <c r="AL3" i="1"/>
  <c r="AL2" i="1"/>
  <c r="AJ4" i="1"/>
  <c r="AD55" i="1" l="1"/>
  <c r="AB246" i="1" l="1"/>
  <c r="AB190" i="1"/>
  <c r="AB189" i="1"/>
  <c r="AB188" i="1"/>
  <c r="AB144" i="1"/>
  <c r="AB138" i="1"/>
  <c r="AB137" i="1"/>
  <c r="AB110" i="1"/>
  <c r="AB109" i="1"/>
  <c r="AB108" i="1"/>
  <c r="AB106" i="1"/>
  <c r="AB107" i="1" s="1"/>
  <c r="AB104" i="1"/>
  <c r="AB105" i="1" s="1"/>
  <c r="AB102" i="1"/>
  <c r="AB103" i="1" s="1"/>
  <c r="AB100" i="1"/>
  <c r="AB101" i="1" s="1"/>
  <c r="AB59" i="1"/>
  <c r="AB56" i="1"/>
  <c r="Z57" i="1"/>
  <c r="Z55" i="1"/>
  <c r="Z32" i="1"/>
  <c r="Z33" i="1"/>
  <c r="Z3" i="1"/>
  <c r="N110" i="1"/>
  <c r="V109" i="1"/>
  <c r="P110" i="1"/>
  <c r="N109" i="1"/>
  <c r="X4" i="1"/>
  <c r="V239" i="1"/>
  <c r="V238" i="1"/>
  <c r="V237" i="1"/>
  <c r="V213" i="1"/>
  <c r="V212" i="1"/>
  <c r="V211" i="1"/>
  <c r="V210" i="1"/>
  <c r="V186" i="1"/>
  <c r="V187" i="1"/>
  <c r="V181" i="1"/>
  <c r="V164" i="1"/>
  <c r="V162" i="1"/>
  <c r="V132" i="1"/>
  <c r="V131" i="1"/>
  <c r="V108" i="1"/>
  <c r="V107" i="1"/>
  <c r="V106" i="1"/>
  <c r="V105" i="1"/>
  <c r="V104" i="1"/>
  <c r="V103" i="1"/>
  <c r="V102" i="1"/>
  <c r="V101" i="1"/>
  <c r="V100" i="1"/>
  <c r="V78" i="1"/>
  <c r="V76" i="1"/>
  <c r="V57" i="1"/>
  <c r="V56" i="1"/>
  <c r="V55" i="1"/>
  <c r="V26" i="1"/>
  <c r="V25" i="1"/>
  <c r="V4" i="1"/>
  <c r="V3" i="1"/>
  <c r="V2" i="1"/>
  <c r="T236" i="1"/>
  <c r="T235" i="1"/>
  <c r="T234" i="1"/>
  <c r="T233" i="1"/>
  <c r="T232" i="1"/>
  <c r="T213" i="1"/>
  <c r="T212" i="1"/>
  <c r="T181" i="1"/>
  <c r="T164" i="1"/>
  <c r="T162" i="1"/>
  <c r="T129" i="1"/>
  <c r="T105" i="1"/>
  <c r="T104" i="1" s="1"/>
  <c r="T57" i="1"/>
  <c r="T55" i="1"/>
  <c r="T24" i="1"/>
  <c r="T23" i="1"/>
  <c r="T22" i="1"/>
  <c r="T21" i="1"/>
  <c r="T20" i="1"/>
  <c r="T3" i="1"/>
  <c r="T2" i="1"/>
  <c r="P213" i="1"/>
  <c r="P212" i="1"/>
  <c r="P178" i="1"/>
  <c r="P177" i="1"/>
  <c r="P165" i="1"/>
  <c r="P163" i="1"/>
  <c r="P161" i="1"/>
  <c r="P108" i="1"/>
  <c r="P57" i="1"/>
  <c r="P56" i="1"/>
  <c r="P55" i="1"/>
  <c r="P3" i="1"/>
  <c r="P2" i="1"/>
  <c r="N210" i="1"/>
  <c r="N108" i="1"/>
  <c r="N107" i="1"/>
  <c r="N106" i="1"/>
  <c r="N105" i="1"/>
  <c r="N104" i="1"/>
  <c r="N103" i="1"/>
  <c r="N102" i="1"/>
  <c r="N101" i="1"/>
  <c r="N100" i="1"/>
  <c r="L107" i="1"/>
  <c r="J213" i="1" l="1"/>
  <c r="J211" i="1"/>
  <c r="J2" i="1"/>
  <c r="AF2" i="1" s="1"/>
  <c r="J3" i="1"/>
  <c r="J4" i="1"/>
  <c r="J13" i="1"/>
  <c r="J55" i="1"/>
  <c r="AF55" i="1" s="1"/>
  <c r="J56" i="1"/>
  <c r="J57" i="1"/>
  <c r="J100" i="1"/>
  <c r="J101" i="1"/>
  <c r="J102" i="1"/>
  <c r="J103" i="1"/>
  <c r="J117" i="1"/>
  <c r="J118" i="1"/>
  <c r="J121" i="1"/>
  <c r="J155" i="1"/>
  <c r="J157" i="1"/>
  <c r="J159" i="1"/>
  <c r="J161" i="1"/>
  <c r="J160" i="1" s="1"/>
  <c r="J163" i="1"/>
  <c r="J165" i="1"/>
  <c r="J210" i="1"/>
  <c r="J156" i="1" l="1"/>
  <c r="J154" i="1"/>
  <c r="J158" i="1"/>
  <c r="D6" i="1"/>
  <c r="C14" i="2"/>
  <c r="C3" i="2"/>
  <c r="C4" i="2"/>
  <c r="C5" i="2"/>
  <c r="C6" i="2"/>
  <c r="C7" i="2"/>
  <c r="C8" i="2"/>
  <c r="C9" i="2"/>
  <c r="C10" i="2"/>
  <c r="C11" i="2"/>
  <c r="C12" i="2"/>
  <c r="C13" i="2"/>
  <c r="C15" i="2"/>
  <c r="C16" i="2"/>
  <c r="C17" i="2"/>
  <c r="C18" i="2"/>
  <c r="C19" i="2"/>
  <c r="C20" i="2"/>
  <c r="C21" i="2"/>
  <c r="C22" i="2"/>
  <c r="C23" i="2"/>
  <c r="C24" i="2"/>
  <c r="C25" i="2"/>
  <c r="C2"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Matt Clare</author>
  </authors>
  <commentList>
    <comment ref="AF2" authorId="0" shapeId="0" xr:uid="{7B78947D-FB2F-496C-AEC3-5F6A9F78EECA}">
      <text>
        <r>
          <rPr>
            <b/>
            <sz val="9"/>
            <color rgb="FF000000"/>
            <rFont val="Tahoma"/>
            <family val="2"/>
          </rPr>
          <t>Matt Clare:</t>
        </r>
        <r>
          <rPr>
            <sz val="9"/>
            <color rgb="FF000000"/>
            <rFont val="Tahoma"/>
            <family val="2"/>
          </rPr>
          <t xml:space="preserve">
</t>
        </r>
        <r>
          <rPr>
            <sz val="9"/>
            <color rgb="FF000000"/>
            <rFont val="Tahoma"/>
            <family val="2"/>
          </rPr>
          <t>It is clear that UofT meant the Mean of actuals, but mean of targets will do for now.</t>
        </r>
      </text>
    </comment>
    <comment ref="AF3" authorId="0" shapeId="0" xr:uid="{4629CFA9-2C5A-47DC-81E1-C92B752848D6}">
      <text>
        <r>
          <rPr>
            <b/>
            <sz val="9"/>
            <color rgb="FF000000"/>
            <rFont val="Tahoma"/>
            <family val="2"/>
          </rPr>
          <t>Matt Clare:</t>
        </r>
        <r>
          <rPr>
            <sz val="9"/>
            <color rgb="FF000000"/>
            <rFont val="Tahoma"/>
            <family val="2"/>
          </rPr>
          <t xml:space="preserve">
</t>
        </r>
        <r>
          <rPr>
            <sz val="9"/>
            <color rgb="FF000000"/>
            <rFont val="Tahoma"/>
            <family val="2"/>
          </rPr>
          <t>2016 CUDO - K3 :: Rentention Rates, UofT INCLUDED</t>
        </r>
      </text>
    </comment>
    <comment ref="AF4" authorId="0" shapeId="0" xr:uid="{10FACF2E-4763-416E-AE19-BDD67D9EFCC2}">
      <text>
        <r>
          <rPr>
            <b/>
            <sz val="9"/>
            <color rgb="FF000000"/>
            <rFont val="Tahoma"/>
            <family val="2"/>
          </rPr>
          <t xml:space="preserve">Matt Clare:
</t>
        </r>
        <r>
          <rPr>
            <sz val="9"/>
            <color rgb="FF000000"/>
            <rFont val="Tahoma"/>
            <family val="2"/>
          </rPr>
          <t xml:space="preserve">U6 Mean, 12.42%
</t>
        </r>
        <r>
          <rPr>
            <sz val="9"/>
            <color rgb="FF000000"/>
            <rFont val="Tahoma"/>
            <family val="2"/>
          </rPr>
          <t xml:space="preserve">Ontario mean, 12.90%
</t>
        </r>
        <r>
          <rPr>
            <sz val="9"/>
            <color rgb="FF000000"/>
            <rFont val="Tahoma"/>
            <family val="2"/>
          </rPr>
          <t xml:space="preserve">-CAUBO dashboard
</t>
        </r>
      </text>
    </comment>
    <comment ref="AR4" authorId="0" shapeId="0" xr:uid="{644ADFCD-96D3-43A1-B0D6-F8455E54E06C}">
      <text>
        <r>
          <rPr>
            <b/>
            <sz val="9"/>
            <color indexed="81"/>
            <rFont val="Tahoma"/>
            <family val="2"/>
          </rPr>
          <t>Matt Clare:</t>
        </r>
        <r>
          <rPr>
            <sz val="9"/>
            <color indexed="81"/>
            <rFont val="Tahoma"/>
            <family val="2"/>
          </rPr>
          <t xml:space="preserve">
Canadian Association of University Business Officers. (2019). Financial Information of Universities and Colleges (FIUC) – CAUBO (FOR THE FISCAL YEAR ENDING IN 2018). Retrieved from Canadian Association of University Business Officers website: https://www.caubo.ca/knowledge-centre/surveysreports/fiuc-reports/, Page 142
</t>
        </r>
      </text>
    </comment>
    <comment ref="C55" authorId="0" shapeId="0" xr:uid="{F67ACD97-7BD5-402F-AB94-326464BAB137}">
      <text>
        <r>
          <rPr>
            <b/>
            <sz val="9"/>
            <color indexed="81"/>
            <rFont val="Tahoma"/>
            <family val="2"/>
          </rPr>
          <t>Matt Clare:</t>
        </r>
        <r>
          <rPr>
            <sz val="9"/>
            <color indexed="81"/>
            <rFont val="Tahoma"/>
            <family val="2"/>
          </rPr>
          <t xml:space="preserve">
Difficult to report.  NSSE asks 1yr and 4yr, are these X-X targets 1y, and 4yr or a range?  What is the composite of?  1yr and 4yr, or a number of questions?  What's reported to MacLanes is not a direct match to this measure.  NSSE results sample  http://nsse.indiana.edu/2019_Institutional_Report/pdf/NSSE19%20Snapshot%20(NSSEville%20State).pdf</t>
        </r>
      </text>
    </comment>
    <comment ref="AF55" authorId="0" shapeId="0" xr:uid="{4FA5FFC9-7B73-4B26-BE10-C392F24AA45E}">
      <text>
        <r>
          <rPr>
            <b/>
            <sz val="9"/>
            <color rgb="FF000000"/>
            <rFont val="Tahoma"/>
            <family val="2"/>
          </rPr>
          <t>Matt Clare:</t>
        </r>
        <r>
          <rPr>
            <sz val="9"/>
            <color rgb="FF000000"/>
            <rFont val="Tahoma"/>
            <family val="2"/>
          </rPr>
          <t xml:space="preserve">
</t>
        </r>
        <r>
          <rPr>
            <sz val="9"/>
            <color rgb="FF000000"/>
            <rFont val="Tahoma"/>
            <family val="2"/>
          </rPr>
          <t>It is clear that UofT meant the Mean of actuals, but mean of targets will do for now. https://data.utoronto.ca/performance-indicators/student-experience/ug-nsse-survey/</t>
        </r>
      </text>
    </comment>
    <comment ref="AF102" authorId="0" shapeId="0" xr:uid="{823A2000-8114-4DEA-A58B-A5129172527D}">
      <text>
        <r>
          <rPr>
            <b/>
            <sz val="9"/>
            <color indexed="81"/>
            <rFont val="Tahoma"/>
            <family val="2"/>
          </rPr>
          <t>Matt Clare:</t>
        </r>
        <r>
          <rPr>
            <sz val="9"/>
            <color indexed="81"/>
            <rFont val="Tahoma"/>
            <family val="2"/>
          </rPr>
          <t xml:space="preserve">
2016 
https://data.utoronto.ca/performance-indicators/education-pathways/diversity/</t>
        </r>
      </text>
    </comment>
    <comment ref="D103" authorId="0" shapeId="0" xr:uid="{E405A6E3-D4CE-4AA0-983D-9DDD7713BE74}">
      <text>
        <r>
          <rPr>
            <b/>
            <sz val="9"/>
            <color indexed="81"/>
            <rFont val="Tahoma"/>
            <family val="2"/>
          </rPr>
          <t>Matt Clare:</t>
        </r>
        <r>
          <rPr>
            <sz val="9"/>
            <color indexed="81"/>
            <rFont val="Tahoma"/>
            <family val="2"/>
          </rPr>
          <t xml:space="preserve">
Calculated against 2019-2020 enrolment projection</t>
        </r>
      </text>
    </comment>
    <comment ref="AF103" authorId="0" shapeId="0" xr:uid="{90991C78-C096-4F64-A288-8D1DE0352F6F}">
      <text>
        <r>
          <rPr>
            <b/>
            <sz val="9"/>
            <color indexed="81"/>
            <rFont val="Tahoma"/>
            <family val="2"/>
          </rPr>
          <t>Matt Clare:</t>
        </r>
        <r>
          <rPr>
            <sz val="9"/>
            <color indexed="81"/>
            <rFont val="Tahoma"/>
            <family val="2"/>
          </rPr>
          <t xml:space="preserve">
2017 https://data.utoronto.ca/performance-indicators/education-pathways/diversity/</t>
        </r>
      </text>
    </comment>
    <comment ref="D105" authorId="0" shapeId="0" xr:uid="{47FB47E9-0965-42E4-A9F3-C6D81B07EA15}">
      <text>
        <r>
          <rPr>
            <b/>
            <sz val="9"/>
            <color indexed="81"/>
            <rFont val="Tahoma"/>
            <family val="2"/>
          </rPr>
          <t>Matt Clare:</t>
        </r>
        <r>
          <rPr>
            <sz val="9"/>
            <color indexed="81"/>
            <rFont val="Tahoma"/>
            <family val="2"/>
          </rPr>
          <t xml:space="preserve">
Calculated against 2019-2020 enrolment projection</t>
        </r>
      </text>
    </comment>
    <comment ref="D107" authorId="0" shapeId="0" xr:uid="{46C251D3-C981-496F-B1E4-D7AE03BEEAE2}">
      <text>
        <r>
          <rPr>
            <b/>
            <sz val="9"/>
            <color indexed="81"/>
            <rFont val="Tahoma"/>
            <family val="2"/>
          </rPr>
          <t>Matt Clare:</t>
        </r>
        <r>
          <rPr>
            <sz val="9"/>
            <color indexed="81"/>
            <rFont val="Tahoma"/>
            <family val="2"/>
          </rPr>
          <t xml:space="preserve">
Calculated against 2019-2020 enrolment projection</t>
        </r>
      </text>
    </comment>
    <comment ref="H154" authorId="0" shapeId="0" xr:uid="{A090F2BB-118B-42E8-806B-0148EFD08679}">
      <text>
        <r>
          <rPr>
            <b/>
            <sz val="9"/>
            <color rgb="FF000000"/>
            <rFont val="Tahoma"/>
            <family val="2"/>
          </rPr>
          <t>Matt Clare:</t>
        </r>
        <r>
          <rPr>
            <sz val="9"/>
            <color rgb="FF000000"/>
            <rFont val="Tahoma"/>
            <family val="2"/>
          </rPr>
          <t xml:space="preserve">
</t>
        </r>
        <r>
          <rPr>
            <sz val="9"/>
            <color rgb="FF000000"/>
            <rFont val="Tahoma"/>
            <family val="2"/>
          </rPr>
          <t>From 2017 CAUBO data</t>
        </r>
      </text>
    </comment>
    <comment ref="J154" authorId="0" shapeId="0" xr:uid="{3FA09B2E-20E5-4422-A71F-C1D8027A4843}">
      <text>
        <r>
          <rPr>
            <b/>
            <sz val="9"/>
            <color rgb="FF000000"/>
            <rFont val="Tahoma"/>
            <family val="2"/>
          </rPr>
          <t>Matt Clare:</t>
        </r>
        <r>
          <rPr>
            <sz val="9"/>
            <color rgb="FF000000"/>
            <rFont val="Tahoma"/>
            <family val="2"/>
          </rPr>
          <t xml:space="preserve">
</t>
        </r>
        <r>
          <rPr>
            <sz val="9"/>
            <color rgb="FF000000"/>
            <rFont val="Tahoma"/>
            <family val="2"/>
          </rPr>
          <t>Reported % against 2017 CAUBO data</t>
        </r>
      </text>
    </comment>
    <comment ref="L154" authorId="0" shapeId="0" xr:uid="{99A54755-A297-4ACF-96C8-132837558F87}">
      <text>
        <r>
          <rPr>
            <b/>
            <sz val="9"/>
            <color indexed="81"/>
            <rFont val="Tahoma"/>
            <family val="2"/>
          </rPr>
          <t>Matt Clare:</t>
        </r>
        <r>
          <rPr>
            <sz val="9"/>
            <color indexed="81"/>
            <rFont val="Tahoma"/>
            <family val="2"/>
          </rPr>
          <t xml:space="preserve">
CAUBO 2017 data plus $1</t>
        </r>
      </text>
    </comment>
    <comment ref="P154" authorId="0" shapeId="0" xr:uid="{83C0E2E9-04F2-4182-ACF8-E2FBE2F09D05}">
      <text>
        <r>
          <rPr>
            <b/>
            <sz val="9"/>
            <color indexed="81"/>
            <rFont val="Tahoma"/>
            <family val="2"/>
          </rPr>
          <t>Matt Clare:</t>
        </r>
        <r>
          <rPr>
            <sz val="9"/>
            <color indexed="81"/>
            <rFont val="Tahoma"/>
            <family val="2"/>
          </rPr>
          <t xml:space="preserve">
Tri-council target is close to CAUBO 2017 numbers.  CAUBO 2017 numbers used.</t>
        </r>
      </text>
    </comment>
    <comment ref="R154" authorId="0" shapeId="0" xr:uid="{C963415F-7E1E-46F4-87C7-AE595780336E}">
      <text>
        <r>
          <rPr>
            <b/>
            <sz val="9"/>
            <color indexed="81"/>
            <rFont val="Tahoma"/>
            <family val="2"/>
          </rPr>
          <t>Matt Clare:</t>
        </r>
        <r>
          <rPr>
            <sz val="9"/>
            <color indexed="81"/>
            <rFont val="Tahoma"/>
            <family val="2"/>
          </rPr>
          <t xml:space="preserve">
Reported % against 2017 CAUBO data</t>
        </r>
      </text>
    </comment>
    <comment ref="T154" authorId="0" shapeId="0" xr:uid="{73F0D89E-6914-405B-A9DB-C5F870CBC5FA}">
      <text>
        <r>
          <rPr>
            <b/>
            <sz val="9"/>
            <color indexed="81"/>
            <rFont val="Tahoma"/>
            <family val="2"/>
          </rPr>
          <t>Matt Clare:</t>
        </r>
        <r>
          <rPr>
            <sz val="9"/>
            <color indexed="81"/>
            <rFont val="Tahoma"/>
            <family val="2"/>
          </rPr>
          <t xml:space="preserve">
From CAUBO 2017 Data</t>
        </r>
      </text>
    </comment>
    <comment ref="V154" authorId="0" shapeId="0" xr:uid="{04A0A711-1A78-4C48-B4B7-68F17F38F7C5}">
      <text>
        <r>
          <rPr>
            <b/>
            <sz val="9"/>
            <color indexed="81"/>
            <rFont val="Tahoma"/>
            <family val="2"/>
          </rPr>
          <t>Matt Clare:</t>
        </r>
        <r>
          <rPr>
            <sz val="9"/>
            <color indexed="81"/>
            <rFont val="Tahoma"/>
            <family val="2"/>
          </rPr>
          <t xml:space="preserve">
Ryerson's SMA has a large band that representes $27.5M of variance. Using 2017 CAUBO data.</t>
        </r>
      </text>
    </comment>
    <comment ref="AB154" authorId="0" shapeId="0" xr:uid="{D588E85B-D4BC-4736-B2A4-84619F5CBAB8}">
      <text>
        <r>
          <rPr>
            <b/>
            <sz val="9"/>
            <color indexed="81"/>
            <rFont val="Tahoma"/>
            <family val="2"/>
          </rPr>
          <t>Matt Clare:</t>
        </r>
        <r>
          <rPr>
            <sz val="9"/>
            <color indexed="81"/>
            <rFont val="Tahoma"/>
            <family val="2"/>
          </rPr>
          <t xml:space="preserve">
Assuming maintain 2017 CAUBO data</t>
        </r>
      </text>
    </comment>
    <comment ref="AD154" authorId="0" shapeId="0" xr:uid="{967871A3-4E36-411C-9519-E272EAED989D}">
      <text>
        <r>
          <rPr>
            <b/>
            <sz val="9"/>
            <color indexed="81"/>
            <rFont val="Tahoma"/>
            <family val="2"/>
          </rPr>
          <t>Matt Clare:</t>
        </r>
        <r>
          <rPr>
            <sz val="9"/>
            <color indexed="81"/>
            <rFont val="Tahoma"/>
            <family val="2"/>
          </rPr>
          <t xml:space="preserve">
CAUBO 2017 Data places Ottawa at 6th with this value</t>
        </r>
      </text>
    </comment>
    <comment ref="AF154" authorId="0" shapeId="0" xr:uid="{EDB9E1FB-66C5-438F-976D-BF748EED897A}">
      <text>
        <r>
          <rPr>
            <b/>
            <sz val="9"/>
            <color indexed="81"/>
            <rFont val="Tahoma"/>
            <family val="2"/>
          </rPr>
          <t>Matt Clare:</t>
        </r>
        <r>
          <rPr>
            <sz val="9"/>
            <color indexed="81"/>
            <rFont val="Tahoma"/>
            <family val="2"/>
          </rPr>
          <t xml:space="preserve">
CAUBO 2017 Data</t>
        </r>
      </text>
    </comment>
    <comment ref="AJ154" authorId="0" shapeId="0" xr:uid="{9B46C5C2-F4EE-4F9C-B6B6-3362233B622E}">
      <text>
        <r>
          <rPr>
            <b/>
            <sz val="9"/>
            <color indexed="81"/>
            <rFont val="Tahoma"/>
            <family val="2"/>
          </rPr>
          <t>Matt Clare:</t>
        </r>
        <r>
          <rPr>
            <sz val="9"/>
            <color indexed="81"/>
            <rFont val="Tahoma"/>
            <family val="2"/>
          </rPr>
          <t xml:space="preserve">
% of CAUBO 2017 Data</t>
        </r>
      </text>
    </comment>
    <comment ref="AL154" authorId="0" shapeId="0" xr:uid="{8DF28979-9F8D-4094-ADDB-314723D6ABA0}">
      <text>
        <r>
          <rPr>
            <b/>
            <sz val="9"/>
            <color indexed="81"/>
            <rFont val="Tahoma"/>
            <family val="2"/>
          </rPr>
          <t>Matt Clare:</t>
        </r>
        <r>
          <rPr>
            <sz val="9"/>
            <color indexed="81"/>
            <rFont val="Tahoma"/>
            <family val="2"/>
          </rPr>
          <t xml:space="preserve">
% of CAUBO 2017 Data</t>
        </r>
      </text>
    </comment>
    <comment ref="AN154" authorId="0" shapeId="0" xr:uid="{1CBBD4FB-008B-4BF8-96FA-62A1A22BEC76}">
      <text>
        <r>
          <rPr>
            <b/>
            <sz val="9"/>
            <color indexed="81"/>
            <rFont val="Tahoma"/>
            <family val="2"/>
          </rPr>
          <t>Matt Clare:</t>
        </r>
        <r>
          <rPr>
            <sz val="9"/>
            <color indexed="81"/>
            <rFont val="Tahoma"/>
            <family val="2"/>
          </rPr>
          <t xml:space="preserve">
% of CAUBO 2017 Data</t>
        </r>
      </text>
    </comment>
    <comment ref="AP154" authorId="0" shapeId="0" xr:uid="{B5A46C71-1AA6-434F-848E-7C183D72BC6E}">
      <text>
        <r>
          <rPr>
            <b/>
            <sz val="9"/>
            <color indexed="81"/>
            <rFont val="Tahoma"/>
            <family val="2"/>
          </rPr>
          <t>Matt Clare:</t>
        </r>
        <r>
          <rPr>
            <sz val="9"/>
            <color indexed="81"/>
            <rFont val="Tahoma"/>
            <family val="2"/>
          </rPr>
          <t xml:space="preserve">
CAUBO 2017 Data growing at 2% over 3 years</t>
        </r>
      </text>
    </comment>
    <comment ref="AR154" authorId="0" shapeId="0" xr:uid="{E7668B0D-7545-400B-871A-01FE2127F6DE}">
      <text>
        <r>
          <rPr>
            <b/>
            <sz val="9"/>
            <color indexed="81"/>
            <rFont val="Tahoma"/>
            <family val="2"/>
          </rPr>
          <t>Matt Clare:</t>
        </r>
        <r>
          <rPr>
            <sz val="9"/>
            <color indexed="81"/>
            <rFont val="Tahoma"/>
            <family val="2"/>
          </rPr>
          <t xml:space="preserve">
% of CAUBO 2017 Data</t>
        </r>
      </text>
    </comment>
    <comment ref="H155" authorId="0" shapeId="0" xr:uid="{6BF5A2FD-1AEE-4E97-9674-FB28168A2A1B}">
      <text>
        <r>
          <rPr>
            <b/>
            <sz val="9"/>
            <color indexed="81"/>
            <rFont val="Tahoma"/>
            <family val="2"/>
          </rPr>
          <t>Matt Clare:</t>
        </r>
        <r>
          <rPr>
            <sz val="9"/>
            <color indexed="81"/>
            <rFont val="Tahoma"/>
            <family val="2"/>
          </rPr>
          <t xml:space="preserve">
From 2017 CAUBO data</t>
        </r>
      </text>
    </comment>
    <comment ref="L155" authorId="0" shapeId="0" xr:uid="{32AB6FA5-2B09-4A7F-8D23-5056D92CCBBC}">
      <text>
        <r>
          <rPr>
            <b/>
            <sz val="9"/>
            <color indexed="81"/>
            <rFont val="Tahoma"/>
            <family val="2"/>
          </rPr>
          <t>Matt Clare:</t>
        </r>
        <r>
          <rPr>
            <sz val="9"/>
            <color indexed="81"/>
            <rFont val="Tahoma"/>
            <family val="2"/>
          </rPr>
          <t xml:space="preserve">
CAUBO 2017 share plus 0.001%</t>
        </r>
      </text>
    </comment>
    <comment ref="P155" authorId="0" shapeId="0" xr:uid="{3DF312A2-DEE7-42B7-BED6-EEC8D25F8895}">
      <text>
        <r>
          <rPr>
            <b/>
            <sz val="9"/>
            <color indexed="81"/>
            <rFont val="Tahoma"/>
            <family val="2"/>
          </rPr>
          <t>Matt Clare:</t>
        </r>
        <r>
          <rPr>
            <sz val="9"/>
            <color indexed="81"/>
            <rFont val="Tahoma"/>
            <family val="2"/>
          </rPr>
          <t xml:space="preserve">
Tri-council target is close to CAUBO 2017 numbers.  CAUBO 2017 numbers used.</t>
        </r>
      </text>
    </comment>
    <comment ref="T155" authorId="0" shapeId="0" xr:uid="{0D6F26C2-18A0-4E3D-A862-E3EF106C53AC}">
      <text>
        <r>
          <rPr>
            <b/>
            <sz val="9"/>
            <color indexed="81"/>
            <rFont val="Tahoma"/>
            <family val="2"/>
          </rPr>
          <t>Matt Clare:</t>
        </r>
        <r>
          <rPr>
            <sz val="9"/>
            <color indexed="81"/>
            <rFont val="Tahoma"/>
            <family val="2"/>
          </rPr>
          <t xml:space="preserve">
From CAUBO 2017 Data</t>
        </r>
      </text>
    </comment>
    <comment ref="V155" authorId="0" shapeId="0" xr:uid="{7469CDF2-62A4-455E-8058-6797583190A0}">
      <text>
        <r>
          <rPr>
            <b/>
            <sz val="9"/>
            <color indexed="81"/>
            <rFont val="Tahoma"/>
            <family val="2"/>
          </rPr>
          <t>Matt Clare:</t>
        </r>
        <r>
          <rPr>
            <sz val="9"/>
            <color indexed="81"/>
            <rFont val="Tahoma"/>
            <family val="2"/>
          </rPr>
          <t xml:space="preserve">
Ryerson's SMA has a large band that representes $27.5M of variance. Using 2017 CAUBO data.</t>
        </r>
      </text>
    </comment>
    <comment ref="X155" authorId="0" shapeId="0" xr:uid="{2FD93BBE-0002-45BD-9929-944B7CE97104}">
      <text>
        <r>
          <rPr>
            <b/>
            <sz val="9"/>
            <color indexed="81"/>
            <rFont val="Tahoma"/>
            <family val="2"/>
          </rPr>
          <t>Matt Clare:</t>
        </r>
        <r>
          <rPr>
            <sz val="9"/>
            <color indexed="81"/>
            <rFont val="Tahoma"/>
            <family val="2"/>
          </rPr>
          <t xml:space="preserve">
$ devided by CAUBO 2017 total for NSERC in Ontario</t>
        </r>
      </text>
    </comment>
    <comment ref="AB155" authorId="0" shapeId="0" xr:uid="{9A0F5BF1-CE57-48B7-9A4D-579F1A6CA029}">
      <text>
        <r>
          <rPr>
            <b/>
            <sz val="9"/>
            <color indexed="81"/>
            <rFont val="Tahoma"/>
            <family val="2"/>
          </rPr>
          <t>Matt Clare:</t>
        </r>
        <r>
          <rPr>
            <sz val="9"/>
            <color indexed="81"/>
            <rFont val="Tahoma"/>
            <family val="2"/>
          </rPr>
          <t xml:space="preserve">
Assuming maintain 2017 CAUBO data</t>
        </r>
      </text>
    </comment>
    <comment ref="AD155" authorId="0" shapeId="0" xr:uid="{2272DD9C-6E38-45A1-85B0-8D1A7996EDA7}">
      <text>
        <r>
          <rPr>
            <b/>
            <sz val="9"/>
            <color indexed="81"/>
            <rFont val="Tahoma"/>
            <family val="2"/>
          </rPr>
          <t>Matt Clare:</t>
        </r>
        <r>
          <rPr>
            <sz val="9"/>
            <color indexed="81"/>
            <rFont val="Tahoma"/>
            <family val="2"/>
          </rPr>
          <t xml:space="preserve">
CAUBO 2017 Data places Ottawa at 6th with this value</t>
        </r>
      </text>
    </comment>
    <comment ref="AF155" authorId="0" shapeId="0" xr:uid="{C69D1F0F-F245-4788-93D9-8BC83F6189EE}">
      <text>
        <r>
          <rPr>
            <b/>
            <sz val="9"/>
            <color indexed="81"/>
            <rFont val="Tahoma"/>
            <family val="2"/>
          </rPr>
          <t>Matt Clare:</t>
        </r>
        <r>
          <rPr>
            <sz val="9"/>
            <color indexed="81"/>
            <rFont val="Tahoma"/>
            <family val="2"/>
          </rPr>
          <t xml:space="preserve">
CAUBO 2017 Data</t>
        </r>
      </text>
    </comment>
    <comment ref="AH155" authorId="0" shapeId="0" xr:uid="{D5199629-24AF-449B-AD5D-9A538F8AD60B}">
      <text>
        <r>
          <rPr>
            <b/>
            <sz val="9"/>
            <color indexed="81"/>
            <rFont val="Tahoma"/>
            <family val="2"/>
          </rPr>
          <t>Matt Clare:</t>
        </r>
        <r>
          <rPr>
            <sz val="9"/>
            <color indexed="81"/>
            <rFont val="Tahoma"/>
            <family val="2"/>
          </rPr>
          <t xml:space="preserve">
% of CAUBO 2017 Data</t>
        </r>
      </text>
    </comment>
    <comment ref="AP155" authorId="0" shapeId="0" xr:uid="{2C46668F-0AD8-46A6-BF3D-9549D6E3BE68}">
      <text>
        <r>
          <rPr>
            <b/>
            <sz val="9"/>
            <color indexed="81"/>
            <rFont val="Tahoma"/>
            <family val="2"/>
          </rPr>
          <t>Matt Clare:</t>
        </r>
        <r>
          <rPr>
            <sz val="9"/>
            <color indexed="81"/>
            <rFont val="Tahoma"/>
            <family val="2"/>
          </rPr>
          <t xml:space="preserve">
CAUBO 2017 Data growing at 2% over 3 years</t>
        </r>
      </text>
    </comment>
    <comment ref="H156" authorId="0" shapeId="0" xr:uid="{BD69742C-EAB3-4149-9F2B-E25CEBE2636C}">
      <text>
        <r>
          <rPr>
            <b/>
            <sz val="9"/>
            <color indexed="81"/>
            <rFont val="Tahoma"/>
            <family val="2"/>
          </rPr>
          <t>Matt Clare:</t>
        </r>
        <r>
          <rPr>
            <sz val="9"/>
            <color indexed="81"/>
            <rFont val="Tahoma"/>
            <family val="2"/>
          </rPr>
          <t xml:space="preserve">
From 2017 CAUBO data</t>
        </r>
      </text>
    </comment>
    <comment ref="J156" authorId="0" shapeId="0" xr:uid="{5F5C3D8B-941A-4878-80DC-C381358BF646}">
      <text>
        <r>
          <rPr>
            <b/>
            <sz val="9"/>
            <color indexed="81"/>
            <rFont val="Tahoma"/>
            <family val="2"/>
          </rPr>
          <t>Matt Clare:</t>
        </r>
        <r>
          <rPr>
            <sz val="9"/>
            <color indexed="81"/>
            <rFont val="Tahoma"/>
            <family val="2"/>
          </rPr>
          <t xml:space="preserve">
Reported % against 2017 CAUBO data</t>
        </r>
      </text>
    </comment>
    <comment ref="L156" authorId="0" shapeId="0" xr:uid="{342FDF3E-0229-48AE-8A38-5B7B9A5B7D83}">
      <text>
        <r>
          <rPr>
            <b/>
            <sz val="9"/>
            <color indexed="81"/>
            <rFont val="Tahoma"/>
            <family val="2"/>
          </rPr>
          <t>Matt Clare:</t>
        </r>
        <r>
          <rPr>
            <sz val="9"/>
            <color indexed="81"/>
            <rFont val="Tahoma"/>
            <family val="2"/>
          </rPr>
          <t xml:space="preserve">
CAUBO 2017 data plus $1</t>
        </r>
      </text>
    </comment>
    <comment ref="P156" authorId="0" shapeId="0" xr:uid="{93A614C1-E725-48D4-B6F9-AFB5E0F6DE56}">
      <text>
        <r>
          <rPr>
            <b/>
            <sz val="9"/>
            <color indexed="81"/>
            <rFont val="Tahoma"/>
            <family val="2"/>
          </rPr>
          <t>Matt Clare:</t>
        </r>
        <r>
          <rPr>
            <sz val="9"/>
            <color indexed="81"/>
            <rFont val="Tahoma"/>
            <family val="2"/>
          </rPr>
          <t xml:space="preserve">
Tri-council target is close to CAUBO 2017 numbers.  CAUBO 2017 numbers used.</t>
        </r>
      </text>
    </comment>
    <comment ref="R156" authorId="0" shapeId="0" xr:uid="{6BEBB831-168E-432D-A5C9-C4541998E03B}">
      <text>
        <r>
          <rPr>
            <b/>
            <sz val="9"/>
            <color indexed="81"/>
            <rFont val="Tahoma"/>
            <family val="2"/>
          </rPr>
          <t>Matt Clare:</t>
        </r>
        <r>
          <rPr>
            <sz val="9"/>
            <color indexed="81"/>
            <rFont val="Tahoma"/>
            <family val="2"/>
          </rPr>
          <t xml:space="preserve">
Reported % against 2017 CAUBO data</t>
        </r>
      </text>
    </comment>
    <comment ref="T156" authorId="0" shapeId="0" xr:uid="{3CB9905B-264E-4C5E-B9C6-8A3B7A025A0A}">
      <text>
        <r>
          <rPr>
            <b/>
            <sz val="9"/>
            <color indexed="81"/>
            <rFont val="Tahoma"/>
            <family val="2"/>
          </rPr>
          <t>Matt Clare:</t>
        </r>
        <r>
          <rPr>
            <sz val="9"/>
            <color indexed="81"/>
            <rFont val="Tahoma"/>
            <family val="2"/>
          </rPr>
          <t xml:space="preserve">
From CAUBO 2017 Data</t>
        </r>
      </text>
    </comment>
    <comment ref="V156" authorId="0" shapeId="0" xr:uid="{03DBF7FB-FCA3-485D-9204-1E31418E9AD8}">
      <text>
        <r>
          <rPr>
            <b/>
            <sz val="9"/>
            <color indexed="81"/>
            <rFont val="Tahoma"/>
            <family val="2"/>
          </rPr>
          <t>Matt Clare:</t>
        </r>
        <r>
          <rPr>
            <sz val="9"/>
            <color indexed="81"/>
            <rFont val="Tahoma"/>
            <family val="2"/>
          </rPr>
          <t xml:space="preserve">
Ryerson's SMA has a large band that representes $27.5M of variance. Using 2017 CAUBO data.</t>
        </r>
      </text>
    </comment>
    <comment ref="AB156" authorId="0" shapeId="0" xr:uid="{5D1DC896-9DC2-48AF-8AB5-FAC41C92E2FB}">
      <text>
        <r>
          <rPr>
            <b/>
            <sz val="9"/>
            <color indexed="81"/>
            <rFont val="Tahoma"/>
            <family val="2"/>
          </rPr>
          <t>Matt Clare:</t>
        </r>
        <r>
          <rPr>
            <sz val="9"/>
            <color indexed="81"/>
            <rFont val="Tahoma"/>
            <family val="2"/>
          </rPr>
          <t xml:space="preserve">
Assuming maintain 2017 CAUBO data</t>
        </r>
      </text>
    </comment>
    <comment ref="AD156" authorId="0" shapeId="0" xr:uid="{3E7CCD32-E51A-4198-8A4A-F4017C7F5525}">
      <text>
        <r>
          <rPr>
            <b/>
            <sz val="9"/>
            <color indexed="81"/>
            <rFont val="Tahoma"/>
            <family val="2"/>
          </rPr>
          <t>Matt Clare:</t>
        </r>
        <r>
          <rPr>
            <sz val="9"/>
            <color indexed="81"/>
            <rFont val="Tahoma"/>
            <family val="2"/>
          </rPr>
          <t xml:space="preserve">
CAUBO 2017 data has McMaster at 3rd at $40,786,000, Ottawa at $54,802,000</t>
        </r>
      </text>
    </comment>
    <comment ref="AF156" authorId="0" shapeId="0" xr:uid="{354A9522-6E4E-4C71-BC14-DE8538D3123A}">
      <text>
        <r>
          <rPr>
            <b/>
            <sz val="9"/>
            <color indexed="81"/>
            <rFont val="Tahoma"/>
            <family val="2"/>
          </rPr>
          <t>Matt Clare:</t>
        </r>
        <r>
          <rPr>
            <sz val="9"/>
            <color indexed="81"/>
            <rFont val="Tahoma"/>
            <family val="2"/>
          </rPr>
          <t xml:space="preserve">
CAUBO 2017 Data</t>
        </r>
      </text>
    </comment>
    <comment ref="AJ156" authorId="0" shapeId="0" xr:uid="{660DE2DE-8549-4D2F-9A6D-ADD46479F38B}">
      <text>
        <r>
          <rPr>
            <b/>
            <sz val="9"/>
            <color indexed="81"/>
            <rFont val="Tahoma"/>
            <family val="2"/>
          </rPr>
          <t>Matt Clare:</t>
        </r>
        <r>
          <rPr>
            <sz val="9"/>
            <color indexed="81"/>
            <rFont val="Tahoma"/>
            <family val="2"/>
          </rPr>
          <t xml:space="preserve">
% of CAUBO 2017 Data</t>
        </r>
      </text>
    </comment>
    <comment ref="AL156" authorId="0" shapeId="0" xr:uid="{8F8715FF-5FF7-44E0-8D04-7A40139C8C5D}">
      <text>
        <r>
          <rPr>
            <b/>
            <sz val="9"/>
            <color indexed="81"/>
            <rFont val="Tahoma"/>
            <family val="2"/>
          </rPr>
          <t>Matt Clare:</t>
        </r>
        <r>
          <rPr>
            <sz val="9"/>
            <color indexed="81"/>
            <rFont val="Tahoma"/>
            <family val="2"/>
          </rPr>
          <t xml:space="preserve">
% of CAUBO 2017 Data</t>
        </r>
      </text>
    </comment>
    <comment ref="AN156" authorId="0" shapeId="0" xr:uid="{B8E6D980-A98A-4C1D-BDDD-1151B47C7AFD}">
      <text>
        <r>
          <rPr>
            <b/>
            <sz val="9"/>
            <color indexed="81"/>
            <rFont val="Tahoma"/>
            <family val="2"/>
          </rPr>
          <t>Matt Clare:</t>
        </r>
        <r>
          <rPr>
            <sz val="9"/>
            <color indexed="81"/>
            <rFont val="Tahoma"/>
            <family val="2"/>
          </rPr>
          <t xml:space="preserve">
% of CAUBO 2017 Data</t>
        </r>
      </text>
    </comment>
    <comment ref="AP156" authorId="0" shapeId="0" xr:uid="{91A6893C-2F6C-4299-A129-9829ABA81B18}">
      <text>
        <r>
          <rPr>
            <b/>
            <sz val="9"/>
            <color indexed="81"/>
            <rFont val="Tahoma"/>
            <family val="2"/>
          </rPr>
          <t>Matt Clare:</t>
        </r>
        <r>
          <rPr>
            <sz val="9"/>
            <color indexed="81"/>
            <rFont val="Tahoma"/>
            <family val="2"/>
          </rPr>
          <t xml:space="preserve">
CAUBO 2017 Data growing at 2% over 3 years</t>
        </r>
      </text>
    </comment>
    <comment ref="AR156" authorId="0" shapeId="0" xr:uid="{51ADA1E3-36E7-42D5-B2A1-353B33F14240}">
      <text>
        <r>
          <rPr>
            <b/>
            <sz val="9"/>
            <color indexed="81"/>
            <rFont val="Tahoma"/>
            <family val="2"/>
          </rPr>
          <t>Matt Clare:</t>
        </r>
        <r>
          <rPr>
            <sz val="9"/>
            <color indexed="81"/>
            <rFont val="Tahoma"/>
            <family val="2"/>
          </rPr>
          <t xml:space="preserve">
% of CAUBO 2017 Data</t>
        </r>
      </text>
    </comment>
    <comment ref="H157" authorId="0" shapeId="0" xr:uid="{10F81C11-2A75-49F4-B8B9-D6B5B52D00CC}">
      <text>
        <r>
          <rPr>
            <b/>
            <sz val="9"/>
            <color indexed="81"/>
            <rFont val="Tahoma"/>
            <family val="2"/>
          </rPr>
          <t>Matt Clare:</t>
        </r>
        <r>
          <rPr>
            <sz val="9"/>
            <color indexed="81"/>
            <rFont val="Tahoma"/>
            <family val="2"/>
          </rPr>
          <t xml:space="preserve">
From 2017 CAUBO data</t>
        </r>
      </text>
    </comment>
    <comment ref="L157" authorId="0" shapeId="0" xr:uid="{3BD525D2-21A6-4C4C-B8AF-D5B4838C9E94}">
      <text>
        <r>
          <rPr>
            <b/>
            <sz val="9"/>
            <color indexed="81"/>
            <rFont val="Tahoma"/>
            <family val="2"/>
          </rPr>
          <t>Matt Clare:</t>
        </r>
        <r>
          <rPr>
            <sz val="9"/>
            <color indexed="81"/>
            <rFont val="Tahoma"/>
            <family val="2"/>
          </rPr>
          <t xml:space="preserve">
CAUBO 2017 share plus 0.001%</t>
        </r>
      </text>
    </comment>
    <comment ref="P157" authorId="0" shapeId="0" xr:uid="{B879F81C-0F0C-4EB2-8853-C671013D267B}">
      <text>
        <r>
          <rPr>
            <b/>
            <sz val="9"/>
            <color indexed="81"/>
            <rFont val="Tahoma"/>
            <family val="2"/>
          </rPr>
          <t>Matt Clare:</t>
        </r>
        <r>
          <rPr>
            <sz val="9"/>
            <color indexed="81"/>
            <rFont val="Tahoma"/>
            <family val="2"/>
          </rPr>
          <t xml:space="preserve">
Tri-council target is close to CAUBO 2017 numbers.  CAUBO 2017 numbers used.</t>
        </r>
      </text>
    </comment>
    <comment ref="T157" authorId="0" shapeId="0" xr:uid="{9C98147F-99D6-414B-AF77-FC5E5AD25EFC}">
      <text>
        <r>
          <rPr>
            <b/>
            <sz val="9"/>
            <color indexed="81"/>
            <rFont val="Tahoma"/>
            <family val="2"/>
          </rPr>
          <t>Matt Clare:</t>
        </r>
        <r>
          <rPr>
            <sz val="9"/>
            <color indexed="81"/>
            <rFont val="Tahoma"/>
            <family val="2"/>
          </rPr>
          <t xml:space="preserve">
From CAUBO 2017 Data</t>
        </r>
      </text>
    </comment>
    <comment ref="V157" authorId="0" shapeId="0" xr:uid="{379FCF49-0EF6-4F9A-BB3C-768B9CFC3191}">
      <text>
        <r>
          <rPr>
            <b/>
            <sz val="9"/>
            <color indexed="81"/>
            <rFont val="Tahoma"/>
            <family val="2"/>
          </rPr>
          <t>Matt Clare:</t>
        </r>
        <r>
          <rPr>
            <sz val="9"/>
            <color indexed="81"/>
            <rFont val="Tahoma"/>
            <family val="2"/>
          </rPr>
          <t xml:space="preserve">
Ryerson's SMA has a large band that representes $27.5M of variance. Using 2017 CAUBO data.</t>
        </r>
      </text>
    </comment>
    <comment ref="X157" authorId="0" shapeId="0" xr:uid="{0333CC5B-DE12-4D2D-BE0F-02B20FB02BCF}">
      <text>
        <r>
          <rPr>
            <b/>
            <sz val="9"/>
            <color indexed="81"/>
            <rFont val="Tahoma"/>
            <family val="2"/>
          </rPr>
          <t>Matt Clare:</t>
        </r>
        <r>
          <rPr>
            <sz val="9"/>
            <color indexed="81"/>
            <rFont val="Tahoma"/>
            <family val="2"/>
          </rPr>
          <t xml:space="preserve">
$ devided by CIHR 2017 total for NSERC in Ontario</t>
        </r>
      </text>
    </comment>
    <comment ref="AB157" authorId="0" shapeId="0" xr:uid="{5627D71E-5C4E-45B5-A5B4-CC99F24D1104}">
      <text>
        <r>
          <rPr>
            <b/>
            <sz val="9"/>
            <color indexed="81"/>
            <rFont val="Tahoma"/>
            <family val="2"/>
          </rPr>
          <t>Matt Clare:</t>
        </r>
        <r>
          <rPr>
            <sz val="9"/>
            <color indexed="81"/>
            <rFont val="Tahoma"/>
            <family val="2"/>
          </rPr>
          <t xml:space="preserve">
Assuming maintain 2017 CAUBO data</t>
        </r>
      </text>
    </comment>
    <comment ref="AD157" authorId="0" shapeId="0" xr:uid="{00688FE5-67C1-4BE8-A581-404A538795DE}">
      <text>
        <r>
          <rPr>
            <b/>
            <sz val="9"/>
            <color indexed="81"/>
            <rFont val="Tahoma"/>
            <family val="2"/>
          </rPr>
          <t>Matt Clare:</t>
        </r>
        <r>
          <rPr>
            <sz val="9"/>
            <color indexed="81"/>
            <rFont val="Tahoma"/>
            <family val="2"/>
          </rPr>
          <t xml:space="preserve">
CAUBO 2017 data has McMaster at 3rd at 11.490%, Ottawa at 15.430%</t>
        </r>
      </text>
    </comment>
    <comment ref="AF157" authorId="0" shapeId="0" xr:uid="{AF8B3A91-D24D-4B20-B90F-7B1381668185}">
      <text>
        <r>
          <rPr>
            <b/>
            <sz val="9"/>
            <color indexed="81"/>
            <rFont val="Tahoma"/>
            <family val="2"/>
          </rPr>
          <t>Matt Clare:</t>
        </r>
        <r>
          <rPr>
            <sz val="9"/>
            <color indexed="81"/>
            <rFont val="Tahoma"/>
            <family val="2"/>
          </rPr>
          <t xml:space="preserve">
CAUBO 2017 Data</t>
        </r>
      </text>
    </comment>
    <comment ref="AH157" authorId="0" shapeId="0" xr:uid="{2EAF3792-C70F-41FC-968E-95B0763F047E}">
      <text>
        <r>
          <rPr>
            <b/>
            <sz val="9"/>
            <color indexed="81"/>
            <rFont val="Tahoma"/>
            <family val="2"/>
          </rPr>
          <t>Matt Clare:</t>
        </r>
        <r>
          <rPr>
            <sz val="9"/>
            <color indexed="81"/>
            <rFont val="Tahoma"/>
            <family val="2"/>
          </rPr>
          <t xml:space="preserve">
% of CAUBO 2017 Data</t>
        </r>
      </text>
    </comment>
    <comment ref="AP157" authorId="0" shapeId="0" xr:uid="{CD9BE159-84A6-414B-A270-908083E10534}">
      <text>
        <r>
          <rPr>
            <b/>
            <sz val="9"/>
            <color indexed="81"/>
            <rFont val="Tahoma"/>
            <family val="2"/>
          </rPr>
          <t>Matt Clare:</t>
        </r>
        <r>
          <rPr>
            <sz val="9"/>
            <color indexed="81"/>
            <rFont val="Tahoma"/>
            <family val="2"/>
          </rPr>
          <t xml:space="preserve">
CAUBO 2017 Data growing at 2% over 3 years</t>
        </r>
      </text>
    </comment>
    <comment ref="H158" authorId="0" shapeId="0" xr:uid="{CFC350A4-D314-41C3-8722-DACF6DC038F0}">
      <text>
        <r>
          <rPr>
            <b/>
            <sz val="9"/>
            <color indexed="81"/>
            <rFont val="Tahoma"/>
            <family val="2"/>
          </rPr>
          <t>Matt Clare:</t>
        </r>
        <r>
          <rPr>
            <sz val="9"/>
            <color indexed="81"/>
            <rFont val="Tahoma"/>
            <family val="2"/>
          </rPr>
          <t xml:space="preserve">
From 2017 CAUBO data</t>
        </r>
      </text>
    </comment>
    <comment ref="J158" authorId="0" shapeId="0" xr:uid="{100B2F32-923A-4345-BD75-E8FCE452C339}">
      <text>
        <r>
          <rPr>
            <b/>
            <sz val="9"/>
            <color indexed="81"/>
            <rFont val="Tahoma"/>
            <family val="2"/>
          </rPr>
          <t>Matt Clare:</t>
        </r>
        <r>
          <rPr>
            <sz val="9"/>
            <color indexed="81"/>
            <rFont val="Tahoma"/>
            <family val="2"/>
          </rPr>
          <t xml:space="preserve">
Reported % against 2017 CAUBO data</t>
        </r>
      </text>
    </comment>
    <comment ref="L158" authorId="0" shapeId="0" xr:uid="{0B69E23E-3135-4C2B-917C-6BE938BE6281}">
      <text>
        <r>
          <rPr>
            <b/>
            <sz val="9"/>
            <color indexed="81"/>
            <rFont val="Tahoma"/>
            <family val="2"/>
          </rPr>
          <t>Matt Clare:</t>
        </r>
        <r>
          <rPr>
            <sz val="9"/>
            <color indexed="81"/>
            <rFont val="Tahoma"/>
            <family val="2"/>
          </rPr>
          <t xml:space="preserve">
CAUBO 2017 data plus $1</t>
        </r>
      </text>
    </comment>
    <comment ref="P158" authorId="0" shapeId="0" xr:uid="{0668AE77-0174-4E27-942E-DB0DF6C3FB54}">
      <text>
        <r>
          <rPr>
            <b/>
            <sz val="9"/>
            <color indexed="81"/>
            <rFont val="Tahoma"/>
            <family val="2"/>
          </rPr>
          <t>Matt Clare:</t>
        </r>
        <r>
          <rPr>
            <sz val="9"/>
            <color indexed="81"/>
            <rFont val="Tahoma"/>
            <family val="2"/>
          </rPr>
          <t xml:space="preserve">
Tri-council target is close to CAUBO 2017 numbers.  CAUBO 2017 numbers used.</t>
        </r>
      </text>
    </comment>
    <comment ref="R158" authorId="0" shapeId="0" xr:uid="{1CDF9700-F4EA-4CFC-8E5A-9E02C67AF224}">
      <text>
        <r>
          <rPr>
            <b/>
            <sz val="9"/>
            <color indexed="81"/>
            <rFont val="Tahoma"/>
            <family val="2"/>
          </rPr>
          <t>Matt Clare:</t>
        </r>
        <r>
          <rPr>
            <sz val="9"/>
            <color indexed="81"/>
            <rFont val="Tahoma"/>
            <family val="2"/>
          </rPr>
          <t xml:space="preserve">
Reported % against 2017 CAUBO data</t>
        </r>
      </text>
    </comment>
    <comment ref="T158" authorId="0" shapeId="0" xr:uid="{8E4B2053-6730-471F-9A87-C4A5CC5F7B23}">
      <text>
        <r>
          <rPr>
            <b/>
            <sz val="9"/>
            <color indexed="81"/>
            <rFont val="Tahoma"/>
            <family val="2"/>
          </rPr>
          <t>Matt Clare:</t>
        </r>
        <r>
          <rPr>
            <sz val="9"/>
            <color indexed="81"/>
            <rFont val="Tahoma"/>
            <family val="2"/>
          </rPr>
          <t xml:space="preserve">
From CAUBO 2017 Data</t>
        </r>
      </text>
    </comment>
    <comment ref="V158" authorId="0" shapeId="0" xr:uid="{03030388-EC3C-4F79-9405-4ACC251904B1}">
      <text>
        <r>
          <rPr>
            <b/>
            <sz val="9"/>
            <color indexed="81"/>
            <rFont val="Tahoma"/>
            <family val="2"/>
          </rPr>
          <t>Matt Clare:</t>
        </r>
        <r>
          <rPr>
            <sz val="9"/>
            <color indexed="81"/>
            <rFont val="Tahoma"/>
            <family val="2"/>
          </rPr>
          <t xml:space="preserve">
Ryerson's SMA has a large band that representes $27.5M of variance. Using 2017 CAUBO data.</t>
        </r>
      </text>
    </comment>
    <comment ref="AB158" authorId="0" shapeId="0" xr:uid="{0940B026-36E3-4702-B8A0-E0B32E8D79FE}">
      <text>
        <r>
          <rPr>
            <b/>
            <sz val="9"/>
            <color indexed="81"/>
            <rFont val="Tahoma"/>
            <family val="2"/>
          </rPr>
          <t>Matt Clare:</t>
        </r>
        <r>
          <rPr>
            <sz val="9"/>
            <color indexed="81"/>
            <rFont val="Tahoma"/>
            <family val="2"/>
          </rPr>
          <t xml:space="preserve">
Assuming maintain 2017 CAUBO data</t>
        </r>
      </text>
    </comment>
    <comment ref="AD158" authorId="0" shapeId="0" xr:uid="{00F19404-1937-4595-BBD5-0582B696BFE3}">
      <text>
        <r>
          <rPr>
            <b/>
            <sz val="9"/>
            <color indexed="81"/>
            <rFont val="Tahoma"/>
            <family val="2"/>
          </rPr>
          <t>Matt Clare:</t>
        </r>
        <r>
          <rPr>
            <sz val="9"/>
            <color indexed="81"/>
            <rFont val="Tahoma"/>
            <family val="2"/>
          </rPr>
          <t xml:space="preserve">
CAUBO 2017 Data places Ottawa at 3rdwith this value</t>
        </r>
      </text>
    </comment>
    <comment ref="AF158" authorId="0" shapeId="0" xr:uid="{37011359-0F36-4DDE-928B-F9BA050BB720}">
      <text>
        <r>
          <rPr>
            <b/>
            <sz val="9"/>
            <color indexed="81"/>
            <rFont val="Tahoma"/>
            <family val="2"/>
          </rPr>
          <t>Matt Clare:</t>
        </r>
        <r>
          <rPr>
            <sz val="9"/>
            <color indexed="81"/>
            <rFont val="Tahoma"/>
            <family val="2"/>
          </rPr>
          <t xml:space="preserve">
CAUBO 2017 Data</t>
        </r>
      </text>
    </comment>
    <comment ref="AJ158" authorId="0" shapeId="0" xr:uid="{384883B3-880F-4E7C-91EC-260BCDAB2131}">
      <text>
        <r>
          <rPr>
            <b/>
            <sz val="9"/>
            <color indexed="81"/>
            <rFont val="Tahoma"/>
            <family val="2"/>
          </rPr>
          <t>Matt Clare:</t>
        </r>
        <r>
          <rPr>
            <sz val="9"/>
            <color indexed="81"/>
            <rFont val="Tahoma"/>
            <family val="2"/>
          </rPr>
          <t xml:space="preserve">
% of CAUBO 2017 Data</t>
        </r>
      </text>
    </comment>
    <comment ref="AL158" authorId="0" shapeId="0" xr:uid="{41D9DFB3-1E37-4FDA-B967-0142A0C9CD8D}">
      <text>
        <r>
          <rPr>
            <b/>
            <sz val="9"/>
            <color indexed="81"/>
            <rFont val="Tahoma"/>
            <family val="2"/>
          </rPr>
          <t>Matt Clare:</t>
        </r>
        <r>
          <rPr>
            <sz val="9"/>
            <color indexed="81"/>
            <rFont val="Tahoma"/>
            <family val="2"/>
          </rPr>
          <t xml:space="preserve">
% of CAUBO 2017 Data</t>
        </r>
      </text>
    </comment>
    <comment ref="AN158" authorId="0" shapeId="0" xr:uid="{1D1DDEA7-186D-4C44-BFF3-16D604C0ACB5}">
      <text>
        <r>
          <rPr>
            <b/>
            <sz val="9"/>
            <color indexed="81"/>
            <rFont val="Tahoma"/>
            <family val="2"/>
          </rPr>
          <t>Matt Clare:</t>
        </r>
        <r>
          <rPr>
            <sz val="9"/>
            <color indexed="81"/>
            <rFont val="Tahoma"/>
            <family val="2"/>
          </rPr>
          <t xml:space="preserve">
% of CAUBO 2017 Data</t>
        </r>
      </text>
    </comment>
    <comment ref="AP158" authorId="0" shapeId="0" xr:uid="{5160AEF3-5E5B-482B-9B3A-79E9C6D2E561}">
      <text>
        <r>
          <rPr>
            <b/>
            <sz val="9"/>
            <color indexed="81"/>
            <rFont val="Tahoma"/>
            <family val="2"/>
          </rPr>
          <t>Matt Clare:</t>
        </r>
        <r>
          <rPr>
            <sz val="9"/>
            <color indexed="81"/>
            <rFont val="Tahoma"/>
            <family val="2"/>
          </rPr>
          <t xml:space="preserve">
CAUBO 2017 Data growing at 2% over 3 years</t>
        </r>
      </text>
    </comment>
    <comment ref="AR158" authorId="0" shapeId="0" xr:uid="{1A99C687-1261-4DA2-A6B5-9FBA98C4DF5A}">
      <text>
        <r>
          <rPr>
            <b/>
            <sz val="9"/>
            <color indexed="81"/>
            <rFont val="Tahoma"/>
            <family val="2"/>
          </rPr>
          <t>Matt Clare:</t>
        </r>
        <r>
          <rPr>
            <sz val="9"/>
            <color indexed="81"/>
            <rFont val="Tahoma"/>
            <family val="2"/>
          </rPr>
          <t xml:space="preserve">
% of CAUBO 2017 Data</t>
        </r>
      </text>
    </comment>
    <comment ref="H159" authorId="0" shapeId="0" xr:uid="{361CCBDE-A04A-4568-89F8-305022DBE883}">
      <text>
        <r>
          <rPr>
            <b/>
            <sz val="9"/>
            <color indexed="81"/>
            <rFont val="Tahoma"/>
            <family val="2"/>
          </rPr>
          <t>Matt Clare:</t>
        </r>
        <r>
          <rPr>
            <sz val="9"/>
            <color indexed="81"/>
            <rFont val="Tahoma"/>
            <family val="2"/>
          </rPr>
          <t xml:space="preserve">
From 2017 CAUBO data</t>
        </r>
      </text>
    </comment>
    <comment ref="L159" authorId="0" shapeId="0" xr:uid="{BF7D3250-5B55-4604-9EF0-7F28604E5136}">
      <text>
        <r>
          <rPr>
            <b/>
            <sz val="9"/>
            <color indexed="81"/>
            <rFont val="Tahoma"/>
            <family val="2"/>
          </rPr>
          <t>Matt Clare:</t>
        </r>
        <r>
          <rPr>
            <sz val="9"/>
            <color indexed="81"/>
            <rFont val="Tahoma"/>
            <family val="2"/>
          </rPr>
          <t xml:space="preserve">
CAUBO 2017 share plus 0.001%</t>
        </r>
      </text>
    </comment>
    <comment ref="P159" authorId="0" shapeId="0" xr:uid="{590932C4-8762-4456-8C88-834C7050BF6B}">
      <text>
        <r>
          <rPr>
            <b/>
            <sz val="9"/>
            <color indexed="81"/>
            <rFont val="Tahoma"/>
            <family val="2"/>
          </rPr>
          <t>Matt Clare:</t>
        </r>
        <r>
          <rPr>
            <sz val="9"/>
            <color indexed="81"/>
            <rFont val="Tahoma"/>
            <family val="2"/>
          </rPr>
          <t xml:space="preserve">
Tri-council target is close to CAUBO 2017 numbers.  CAUBO 2017 numbers used.</t>
        </r>
      </text>
    </comment>
    <comment ref="T159" authorId="0" shapeId="0" xr:uid="{F0E3D02A-EFCC-408F-A6B7-404FADF111D2}">
      <text>
        <r>
          <rPr>
            <b/>
            <sz val="9"/>
            <color indexed="81"/>
            <rFont val="Tahoma"/>
            <family val="2"/>
          </rPr>
          <t>Matt Clare:</t>
        </r>
        <r>
          <rPr>
            <sz val="9"/>
            <color indexed="81"/>
            <rFont val="Tahoma"/>
            <family val="2"/>
          </rPr>
          <t xml:space="preserve">
From CAUBO 2017 Data</t>
        </r>
      </text>
    </comment>
    <comment ref="V159" authorId="0" shapeId="0" xr:uid="{ACC0F9BA-3B85-4804-BAF6-B6DE4421B5BF}">
      <text>
        <r>
          <rPr>
            <b/>
            <sz val="9"/>
            <color indexed="81"/>
            <rFont val="Tahoma"/>
            <family val="2"/>
          </rPr>
          <t>Matt Clare:</t>
        </r>
        <r>
          <rPr>
            <sz val="9"/>
            <color indexed="81"/>
            <rFont val="Tahoma"/>
            <family val="2"/>
          </rPr>
          <t xml:space="preserve">
Ryerson's SMA has a large band that representes $27.5M of variance. Using 2017 CAUBO data.</t>
        </r>
      </text>
    </comment>
    <comment ref="X159" authorId="0" shapeId="0" xr:uid="{7B4EA1C5-6A62-4CD4-A4B3-CF283C6B8155}">
      <text>
        <r>
          <rPr>
            <b/>
            <sz val="9"/>
            <color indexed="81"/>
            <rFont val="Tahoma"/>
            <family val="2"/>
          </rPr>
          <t>Matt Clare:</t>
        </r>
        <r>
          <rPr>
            <sz val="9"/>
            <color indexed="81"/>
            <rFont val="Tahoma"/>
            <family val="2"/>
          </rPr>
          <t xml:space="preserve">
$ devided by CAUBO 2017 total for SSHRC in Ontario</t>
        </r>
      </text>
    </comment>
    <comment ref="AB159" authorId="0" shapeId="0" xr:uid="{FFEE5326-2B93-4C3D-A576-B509EE2A924D}">
      <text>
        <r>
          <rPr>
            <b/>
            <sz val="9"/>
            <color indexed="81"/>
            <rFont val="Tahoma"/>
            <family val="2"/>
          </rPr>
          <t>Matt Clare:</t>
        </r>
        <r>
          <rPr>
            <sz val="9"/>
            <color indexed="81"/>
            <rFont val="Tahoma"/>
            <family val="2"/>
          </rPr>
          <t xml:space="preserve">
Assuming maintain 2017 CAUBO data</t>
        </r>
      </text>
    </comment>
    <comment ref="AD159" authorId="0" shapeId="0" xr:uid="{D19AE786-001B-450E-8909-399A658CCC2A}">
      <text>
        <r>
          <rPr>
            <b/>
            <sz val="9"/>
            <color indexed="81"/>
            <rFont val="Tahoma"/>
            <family val="2"/>
          </rPr>
          <t>Matt Clare:</t>
        </r>
        <r>
          <rPr>
            <sz val="9"/>
            <color indexed="81"/>
            <rFont val="Tahoma"/>
            <family val="2"/>
          </rPr>
          <t xml:space="preserve">
CAUBO 2017 Data places Ottawa at 3rdwith this value</t>
        </r>
      </text>
    </comment>
    <comment ref="AF159" authorId="0" shapeId="0" xr:uid="{2FA010E3-CD7F-4402-8A06-302022777433}">
      <text>
        <r>
          <rPr>
            <b/>
            <sz val="9"/>
            <color indexed="81"/>
            <rFont val="Tahoma"/>
            <family val="2"/>
          </rPr>
          <t>Matt Clare:</t>
        </r>
        <r>
          <rPr>
            <sz val="9"/>
            <color indexed="81"/>
            <rFont val="Tahoma"/>
            <family val="2"/>
          </rPr>
          <t xml:space="preserve">
CAUBO 2017 Data</t>
        </r>
      </text>
    </comment>
    <comment ref="AH159" authorId="0" shapeId="0" xr:uid="{8D4F9DFB-2A1E-4B58-A45A-0E5E0A3349E0}">
      <text>
        <r>
          <rPr>
            <b/>
            <sz val="9"/>
            <color indexed="81"/>
            <rFont val="Tahoma"/>
            <family val="2"/>
          </rPr>
          <t>Matt Clare:</t>
        </r>
        <r>
          <rPr>
            <sz val="9"/>
            <color indexed="81"/>
            <rFont val="Tahoma"/>
            <family val="2"/>
          </rPr>
          <t xml:space="preserve">
% of CAUBO 2017 Data</t>
        </r>
      </text>
    </comment>
    <comment ref="AP159" authorId="0" shapeId="0" xr:uid="{37B022E8-0CDE-41CB-A044-53F064A44572}">
      <text>
        <r>
          <rPr>
            <b/>
            <sz val="9"/>
            <color indexed="81"/>
            <rFont val="Tahoma"/>
            <family val="2"/>
          </rPr>
          <t>Matt Clare:</t>
        </r>
        <r>
          <rPr>
            <sz val="9"/>
            <color indexed="81"/>
            <rFont val="Tahoma"/>
            <family val="2"/>
          </rPr>
          <t xml:space="preserve">
CAUBO 2017 Data growing at 2% over 3 years</t>
        </r>
      </text>
    </comment>
    <comment ref="J160" authorId="0" shapeId="0" xr:uid="{9CA02325-CEAC-4786-8E01-CD757D12B1A5}">
      <text>
        <r>
          <rPr>
            <b/>
            <sz val="9"/>
            <color rgb="FF000000"/>
            <rFont val="Tahoma"/>
            <family val="2"/>
          </rPr>
          <t>Matt Clare:</t>
        </r>
        <r>
          <rPr>
            <sz val="9"/>
            <color rgb="FF000000"/>
            <rFont val="Tahoma"/>
            <family val="2"/>
          </rPr>
          <t xml:space="preserve">
</t>
        </r>
        <r>
          <rPr>
            <sz val="9"/>
            <color rgb="FF000000"/>
            <rFont val="Tahoma"/>
            <family val="2"/>
          </rPr>
          <t xml:space="preserve">Reported % against 2017 CAUBO data
</t>
        </r>
      </text>
    </comment>
    <comment ref="L160" authorId="0" shapeId="0" xr:uid="{D2E3984D-BC87-497A-BEC7-0FCAF4D06EAF}">
      <text>
        <r>
          <rPr>
            <b/>
            <sz val="9"/>
            <color indexed="81"/>
            <rFont val="Tahoma"/>
            <family val="2"/>
          </rPr>
          <t>Matt Clare:</t>
        </r>
        <r>
          <rPr>
            <sz val="9"/>
            <color indexed="81"/>
            <rFont val="Tahoma"/>
            <family val="2"/>
          </rPr>
          <t xml:space="preserve">
CAUBO 2017 data plus $1</t>
        </r>
      </text>
    </comment>
    <comment ref="P160" authorId="0" shapeId="0" xr:uid="{5CF4CBB2-B4E4-4545-9065-54C6078D7677}">
      <text>
        <r>
          <rPr>
            <b/>
            <sz val="9"/>
            <color indexed="81"/>
            <rFont val="Tahoma"/>
            <family val="2"/>
          </rPr>
          <t>Matt Clare:</t>
        </r>
        <r>
          <rPr>
            <sz val="9"/>
            <color indexed="81"/>
            <rFont val="Tahoma"/>
            <family val="2"/>
          </rPr>
          <t xml:space="preserve">
Tri-council target is close to CAUBO 2017 numbers.  CAUBO 2017 numbers used.</t>
        </r>
      </text>
    </comment>
    <comment ref="R160" authorId="0" shapeId="0" xr:uid="{07512A1D-8CDD-4E17-9712-72FF089ACC88}">
      <text>
        <r>
          <rPr>
            <b/>
            <sz val="9"/>
            <color indexed="81"/>
            <rFont val="Tahoma"/>
            <family val="2"/>
          </rPr>
          <t>Matt Clare:</t>
        </r>
        <r>
          <rPr>
            <sz val="9"/>
            <color indexed="81"/>
            <rFont val="Tahoma"/>
            <family val="2"/>
          </rPr>
          <t xml:space="preserve">
Reported % against 2017 CAUBO data
</t>
        </r>
      </text>
    </comment>
    <comment ref="T160" authorId="0" shapeId="0" xr:uid="{2D789F99-7929-4283-8407-81AAE383E57B}">
      <text>
        <r>
          <rPr>
            <b/>
            <sz val="9"/>
            <color indexed="81"/>
            <rFont val="Tahoma"/>
            <family val="2"/>
          </rPr>
          <t>Matt Clare:</t>
        </r>
        <r>
          <rPr>
            <sz val="9"/>
            <color indexed="81"/>
            <rFont val="Tahoma"/>
            <family val="2"/>
          </rPr>
          <t xml:space="preserve">
From CAUBO 2017 Data</t>
        </r>
      </text>
    </comment>
    <comment ref="V160" authorId="0" shapeId="0" xr:uid="{176443A5-66A4-4710-AFBD-B41D5275D3B9}">
      <text>
        <r>
          <rPr>
            <b/>
            <sz val="9"/>
            <color indexed="81"/>
            <rFont val="Tahoma"/>
            <family val="2"/>
          </rPr>
          <t>Matt Clare:</t>
        </r>
        <r>
          <rPr>
            <sz val="9"/>
            <color indexed="81"/>
            <rFont val="Tahoma"/>
            <family val="2"/>
          </rPr>
          <t xml:space="preserve">
Ryerson's SMA has a large band that representes $27.5M of variance. Using 2017 CAUBO data.</t>
        </r>
      </text>
    </comment>
    <comment ref="AB160" authorId="0" shapeId="0" xr:uid="{2028DCCB-92F9-4963-A209-74734521B488}">
      <text>
        <r>
          <rPr>
            <b/>
            <sz val="9"/>
            <color indexed="81"/>
            <rFont val="Tahoma"/>
            <family val="2"/>
          </rPr>
          <t>Matt Clare:</t>
        </r>
        <r>
          <rPr>
            <sz val="9"/>
            <color indexed="81"/>
            <rFont val="Tahoma"/>
            <family val="2"/>
          </rPr>
          <t xml:space="preserve">
Assuming maintain 2017 CAUBO data</t>
        </r>
      </text>
    </comment>
    <comment ref="AD160" authorId="0" shapeId="0" xr:uid="{32B468A1-99D8-4C8C-A517-CD79EE0846B8}">
      <text>
        <r>
          <rPr>
            <b/>
            <sz val="9"/>
            <color indexed="81"/>
            <rFont val="Tahoma"/>
            <family val="2"/>
          </rPr>
          <t>Matt Clare:</t>
        </r>
        <r>
          <rPr>
            <sz val="9"/>
            <color indexed="81"/>
            <rFont val="Tahoma"/>
            <family val="2"/>
          </rPr>
          <t xml:space="preserve">
CAUBO 2017 Data</t>
        </r>
      </text>
    </comment>
    <comment ref="AF160" authorId="0" shapeId="0" xr:uid="{8EF4E603-E4A4-4D92-A746-097ECBE993A3}">
      <text>
        <r>
          <rPr>
            <b/>
            <sz val="9"/>
            <color indexed="81"/>
            <rFont val="Tahoma"/>
            <family val="2"/>
          </rPr>
          <t>Matt Clare:</t>
        </r>
        <r>
          <rPr>
            <sz val="9"/>
            <color indexed="81"/>
            <rFont val="Tahoma"/>
            <family val="2"/>
          </rPr>
          <t xml:space="preserve">
CAUBO 2017 Data</t>
        </r>
      </text>
    </comment>
    <comment ref="AH160" authorId="0" shapeId="0" xr:uid="{EAEE7B0E-ADEC-4304-99CB-72A2EB4EB2F0}">
      <text>
        <r>
          <rPr>
            <b/>
            <sz val="9"/>
            <color indexed="81"/>
            <rFont val="Tahoma"/>
            <family val="2"/>
          </rPr>
          <t>Matt Clare:</t>
        </r>
        <r>
          <rPr>
            <sz val="9"/>
            <color indexed="81"/>
            <rFont val="Tahoma"/>
            <family val="2"/>
          </rPr>
          <t xml:space="preserve">
7.5% of CAUBO 2017 Data</t>
        </r>
      </text>
    </comment>
    <comment ref="AJ160" authorId="0" shapeId="0" xr:uid="{BF4DF34B-B110-4B58-A155-BB279217E471}">
      <text>
        <r>
          <rPr>
            <b/>
            <sz val="9"/>
            <color indexed="81"/>
            <rFont val="Tahoma"/>
            <family val="2"/>
          </rPr>
          <t>Matt Clare:</t>
        </r>
        <r>
          <rPr>
            <sz val="9"/>
            <color indexed="81"/>
            <rFont val="Tahoma"/>
            <family val="2"/>
          </rPr>
          <t xml:space="preserve">
% of CAUBO 2017 Data</t>
        </r>
      </text>
    </comment>
    <comment ref="AN160" authorId="0" shapeId="0" xr:uid="{7CFE4CFE-9D51-409C-835F-69D0EC8CD6E3}">
      <text>
        <r>
          <rPr>
            <b/>
            <sz val="9"/>
            <color indexed="81"/>
            <rFont val="Tahoma"/>
            <family val="2"/>
          </rPr>
          <t>Matt Clare:</t>
        </r>
        <r>
          <rPr>
            <sz val="9"/>
            <color indexed="81"/>
            <rFont val="Tahoma"/>
            <family val="2"/>
          </rPr>
          <t xml:space="preserve">
% of CAUBO 2017 Data</t>
        </r>
      </text>
    </comment>
    <comment ref="AP160" authorId="0" shapeId="0" xr:uid="{A33B1E6B-1A5D-4358-89A7-1D11FF54BB35}">
      <text>
        <r>
          <rPr>
            <b/>
            <sz val="9"/>
            <color indexed="81"/>
            <rFont val="Tahoma"/>
            <family val="2"/>
          </rPr>
          <t>Matt Clare:</t>
        </r>
        <r>
          <rPr>
            <sz val="9"/>
            <color indexed="81"/>
            <rFont val="Tahoma"/>
            <family val="2"/>
          </rPr>
          <t xml:space="preserve">
CAUBO 2017 Data growing at 2% over 3 years</t>
        </r>
      </text>
    </comment>
    <comment ref="AR160" authorId="0" shapeId="0" xr:uid="{5B771106-EE8C-4E38-8186-B7B6B9B0D518}">
      <text>
        <r>
          <rPr>
            <b/>
            <sz val="9"/>
            <color indexed="81"/>
            <rFont val="Tahoma"/>
            <family val="2"/>
          </rPr>
          <t>Matt Clare:</t>
        </r>
        <r>
          <rPr>
            <sz val="9"/>
            <color indexed="81"/>
            <rFont val="Tahoma"/>
            <family val="2"/>
          </rPr>
          <t xml:space="preserve">
% of CAUBO 2017 Data</t>
        </r>
      </text>
    </comment>
    <comment ref="L161" authorId="0" shapeId="0" xr:uid="{3A9DFAF0-E880-4684-A165-9E365C3748EE}">
      <text>
        <r>
          <rPr>
            <b/>
            <sz val="9"/>
            <color indexed="81"/>
            <rFont val="Tahoma"/>
            <family val="2"/>
          </rPr>
          <t>Matt Clare:</t>
        </r>
        <r>
          <rPr>
            <sz val="9"/>
            <color indexed="81"/>
            <rFont val="Tahoma"/>
            <family val="2"/>
          </rPr>
          <t xml:space="preserve">
CAUBO 2017 share plus 0.001%</t>
        </r>
      </text>
    </comment>
    <comment ref="T161" authorId="0" shapeId="0" xr:uid="{9BA93679-B3B9-4E10-A75A-A446DE032C3A}">
      <text>
        <r>
          <rPr>
            <b/>
            <sz val="9"/>
            <color indexed="81"/>
            <rFont val="Tahoma"/>
            <family val="2"/>
          </rPr>
          <t>Matt Clare:</t>
        </r>
        <r>
          <rPr>
            <sz val="9"/>
            <color indexed="81"/>
            <rFont val="Tahoma"/>
            <family val="2"/>
          </rPr>
          <t xml:space="preserve">
From CAUBO 2017 Data</t>
        </r>
      </text>
    </comment>
    <comment ref="X161" authorId="0" shapeId="0" xr:uid="{F8E1B539-B03A-47EB-8C98-807D402654BE}">
      <text>
        <r>
          <rPr>
            <b/>
            <sz val="9"/>
            <color indexed="81"/>
            <rFont val="Tahoma"/>
            <family val="2"/>
          </rPr>
          <t>Matt Clare:</t>
        </r>
        <r>
          <rPr>
            <sz val="9"/>
            <color indexed="81"/>
            <rFont val="Tahoma"/>
            <family val="2"/>
          </rPr>
          <t xml:space="preserve">
$ devided by CAUBO 2017 total for Tri-Council in Ontario</t>
        </r>
      </text>
    </comment>
    <comment ref="AB161" authorId="0" shapeId="0" xr:uid="{9CE295B2-8C71-40D8-9B0C-799E17215DF0}">
      <text>
        <r>
          <rPr>
            <b/>
            <sz val="9"/>
            <color indexed="81"/>
            <rFont val="Tahoma"/>
            <family val="2"/>
          </rPr>
          <t>Matt Clare:</t>
        </r>
        <r>
          <rPr>
            <sz val="9"/>
            <color indexed="81"/>
            <rFont val="Tahoma"/>
            <family val="2"/>
          </rPr>
          <t xml:space="preserve">
Assuming maintain 2017 CAUBO data</t>
        </r>
      </text>
    </comment>
    <comment ref="AD161" authorId="0" shapeId="0" xr:uid="{7B5E576B-B426-480D-B9FD-095B73208749}">
      <text>
        <r>
          <rPr>
            <b/>
            <sz val="9"/>
            <color indexed="81"/>
            <rFont val="Tahoma"/>
            <family val="2"/>
          </rPr>
          <t>Matt Clare:</t>
        </r>
        <r>
          <rPr>
            <sz val="9"/>
            <color indexed="81"/>
            <rFont val="Tahoma"/>
            <family val="2"/>
          </rPr>
          <t xml:space="preserve">
CAUBO 2017 Data</t>
        </r>
      </text>
    </comment>
    <comment ref="AF161" authorId="0" shapeId="0" xr:uid="{75F62DDD-851B-4883-A559-6E51B5DA518E}">
      <text>
        <r>
          <rPr>
            <b/>
            <sz val="9"/>
            <color indexed="81"/>
            <rFont val="Tahoma"/>
            <family val="2"/>
          </rPr>
          <t>Matt Clare:</t>
        </r>
        <r>
          <rPr>
            <sz val="9"/>
            <color indexed="81"/>
            <rFont val="Tahoma"/>
            <family val="2"/>
          </rPr>
          <t xml:space="preserve">
CAUBO 2017 Data</t>
        </r>
      </text>
    </comment>
    <comment ref="AP161" authorId="0" shapeId="0" xr:uid="{6E6CE10F-72C4-4075-B2B3-320122444FCF}">
      <text>
        <r>
          <rPr>
            <b/>
            <sz val="9"/>
            <color indexed="81"/>
            <rFont val="Tahoma"/>
            <family val="2"/>
          </rPr>
          <t>Matt Clare:</t>
        </r>
        <r>
          <rPr>
            <sz val="9"/>
            <color indexed="81"/>
            <rFont val="Tahoma"/>
            <family val="2"/>
          </rPr>
          <t xml:space="preserve">
CAUBO 2017 Data growing at 2% over 3 years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Matt Clare</author>
  </authors>
  <commentList>
    <comment ref="A3" authorId="0" shapeId="0" xr:uid="{B5BA954E-60BD-47F0-BD7F-BA068F98F19D}">
      <text>
        <r>
          <rPr>
            <sz val="9"/>
            <color rgb="FF000000"/>
            <rFont val="Tahoma"/>
            <family val="2"/>
          </rPr>
          <t>Operating reserve. This ratio addresses the question of whether resources are sufficient and flexible enough to support your mission without having to borrow externally. It compares expendable net assets to total expenses. It describes your organization's ability to fund programs and other expenses from expendable net assets, should no additional operating revenue be available. Not-for-profit organizations should aim to have an operating reserve ratio of no less than 25 percent, or enough to cover at least three months of their annual expenses.</t>
        </r>
      </text>
    </comment>
    <comment ref="A6" authorId="0" shapeId="0" xr:uid="{3E54EAA8-99E6-40DD-AACE-84C9BD1249BB}">
      <text>
        <r>
          <rPr>
            <sz val="9"/>
            <color indexed="81"/>
            <rFont val="Tahoma"/>
            <family val="2"/>
          </rPr>
          <t>Viability ratio. It compares expendable net assets (including unrestricted and temporarily restricted net assets) to long-term debt. This ratio indicates a not-for-profit's relative liquidity or its ability to cover its debt. It serves as a basic indicator of financial strength because it measures the availability of cash and other liquid assets to meet the organization's financial obligations.</t>
        </r>
      </text>
    </comment>
  </commentList>
</comments>
</file>

<file path=xl/sharedStrings.xml><?xml version="1.0" encoding="utf-8"?>
<sst xmlns="http://schemas.openxmlformats.org/spreadsheetml/2006/main" count="2005" uniqueCount="1026">
  <si>
    <t>Metrics and targets</t>
  </si>
  <si>
    <t>Scope</t>
  </si>
  <si>
    <t>Algoma University</t>
  </si>
  <si>
    <t>Brock University</t>
  </si>
  <si>
    <t>Carleton University</t>
  </si>
  <si>
    <t>Lakehead University</t>
  </si>
  <si>
    <t>Laurentian University</t>
  </si>
  <si>
    <t>McMaster University</t>
  </si>
  <si>
    <t>Nipissing University</t>
  </si>
  <si>
    <t>OCADu</t>
  </si>
  <si>
    <t>Queen's University</t>
  </si>
  <si>
    <t>Ryerson University</t>
  </si>
  <si>
    <t>Trent University</t>
  </si>
  <si>
    <t>Université de Hearst</t>
  </si>
  <si>
    <t>University of Guelph</t>
  </si>
  <si>
    <t>University of Ottawa</t>
  </si>
  <si>
    <t>University of Toronto</t>
  </si>
  <si>
    <t>University of Waterloo</t>
  </si>
  <si>
    <t>University of Windsor</t>
  </si>
  <si>
    <t>UOIT (OTU)</t>
  </si>
  <si>
    <t>Western University</t>
  </si>
  <si>
    <t>Wilfrid Laurier University</t>
  </si>
  <si>
    <t>York University</t>
  </si>
  <si>
    <t>System-wide</t>
  </si>
  <si>
    <t>Institution-specific</t>
  </si>
  <si>
    <t>University</t>
  </si>
  <si>
    <t>System-wide Metrics</t>
  </si>
  <si>
    <t>Composite score on National Survey of Student Engagement questions related to students’ perceived gains in higher order learning outcomes</t>
  </si>
  <si>
    <t>Maintain at Ontario average scores</t>
  </si>
  <si>
    <t>Proportion of programs with explicit curriculum maps and articulation of learning outcomes</t>
  </si>
  <si>
    <t>Graduation rate (from the Consortium for Student Retention Data Exchange)</t>
  </si>
  <si>
    <t>51% or higher</t>
  </si>
  <si>
    <t>69% or higher</t>
  </si>
  <si>
    <t>Proportion of fourth year students with two or more High-Impact Practices (HIPs) (from the National Survey of Student Engagement)</t>
  </si>
  <si>
    <t>Year 1 to Year 2 retention (from the Consortium for Student Retention Data Exchange)</t>
  </si>
  <si>
    <t>Proportion of operating expenditures on student services, net of student assistance (as reported in the Council of University Finance Officers data)</t>
  </si>
  <si>
    <t>8% or higher</t>
  </si>
  <si>
    <t>Number of substantive interactions between the learning common’s services and students</t>
  </si>
  <si>
    <t>Quality of the co-curricular experience as expressed by the CCR Intensity Matrix.</t>
  </si>
  <si>
    <t>Percentage of fourth-year, graduating students who have completed group case studies, undergraduate research projects, capstone thesis projects.</t>
  </si>
  <si>
    <t>65% or higher</t>
  </si>
  <si>
    <t>Number of co-op work terms completed by students each year</t>
  </si>
  <si>
    <t>&gt;42</t>
  </si>
  <si>
    <t>20% or 180 students</t>
  </si>
  <si>
    <t>Share of OSAP recipients at an institution relative to its total number of eligible students</t>
  </si>
  <si>
    <t>Number of three-credit courses offered at a distance (online, online hybrid, video-conferenced, at extension sites, at partner institutions.</t>
  </si>
  <si>
    <t>Number of students (FTEs) enrolled in courses offered at a distance.</t>
  </si>
  <si>
    <t>29 or .5 per faculty</t>
  </si>
  <si>
    <t>Maintain current levels</t>
  </si>
  <si>
    <t>Number of research-related projects or grants with internal or external funding</t>
  </si>
  <si>
    <t>Number of students employed in research positions remunerated by Algoma</t>
  </si>
  <si>
    <t>Number of research chairs</t>
  </si>
  <si>
    <t>Number of public- and private-sector partners located on campus and-or actively involved in campus projects</t>
  </si>
  <si>
    <t>80% or higher</t>
  </si>
  <si>
    <t>Graduate employment rates (2 Year Employment Rate)</t>
  </si>
  <si>
    <t>Graduate employment rates (6 Month Employment Rate)</t>
  </si>
  <si>
    <t>Weighted Grant Units</t>
  </si>
  <si>
    <t>Number of international and out-of-region students studying at Algoma in degree programs (excluding KASP)*</t>
  </si>
  <si>
    <t>Number of participants in workshops, presentations and historical tours based on the Shingwauk Residential Schools Centre’s research expertise concerning the legacies and impacts of the Residential Schools system.</t>
  </si>
  <si>
    <t>Projected international enrolment</t>
  </si>
  <si>
    <t>Projected funding-eligible undergraduate enrolments</t>
  </si>
  <si>
    <t>Enrolment Type</t>
  </si>
  <si>
    <t>Biology</t>
  </si>
  <si>
    <t>Business Administration</t>
  </si>
  <si>
    <t>Computer Science</t>
  </si>
  <si>
    <t>Social Work</t>
  </si>
  <si>
    <t>Psychology</t>
  </si>
  <si>
    <t>Anishinaabe Studies</t>
  </si>
  <si>
    <t>Community Economic and Social Development</t>
  </si>
  <si>
    <t>Environmental Science</t>
  </si>
  <si>
    <t>Net Income / (Loss) Ratio</t>
  </si>
  <si>
    <t>Net Operating Revenues Ratio</t>
  </si>
  <si>
    <t>Interest Burden Ratio</t>
  </si>
  <si>
    <t>Maintain at current Ontario average of 54%</t>
  </si>
  <si>
    <t>Maintain or improve current proportion (53 %)</t>
  </si>
  <si>
    <t>Increase towards the Provincial average (89.5% in 2016-17)</t>
  </si>
  <si>
    <t>Maintain current proportion (8 %)</t>
  </si>
  <si>
    <t>Student Experience</t>
  </si>
  <si>
    <t>Number of courses offered in a non-traditional format (e.g., online, blended, accelerated, spring-summer offering) from baseline in 2016-17</t>
  </si>
  <si>
    <t>Maintain current number (607)</t>
  </si>
  <si>
    <t>Number of students engaged in co-curriculum</t>
  </si>
  <si>
    <t>Increase by 2 % a year to 8,500</t>
  </si>
  <si>
    <t>Innovation in Teaching and Learning Excellence</t>
  </si>
  <si>
    <t>Maintain current score (27.9)</t>
  </si>
  <si>
    <t>Increase to 98 %</t>
  </si>
  <si>
    <t>Increase towards provincial average (72% for 2016-17)</t>
  </si>
  <si>
    <t>Number of courses that include experiential education component</t>
  </si>
  <si>
    <t>Baseline will be established in 2018-19, and our target for 2019-20 will be 2% over the baseline.</t>
  </si>
  <si>
    <t>2% over baseline</t>
  </si>
  <si>
    <t>The quality of interactions with students, faculty and staff as measured by the National Survey of Student Engagement [questions q13 a-e].</t>
  </si>
  <si>
    <t>Maintain NSSE (q13 a-e) score above NSSE Group 2 average.</t>
  </si>
  <si>
    <t xml:space="preserve"> score above NSSE Group 2 average</t>
  </si>
  <si>
    <t>Access and Equity</t>
  </si>
  <si>
    <t>Number of Indigenous students</t>
  </si>
  <si>
    <t>Proportion of Indigenous students</t>
  </si>
  <si>
    <t>Number of First generation students</t>
  </si>
  <si>
    <t>Proportion of First generation students</t>
  </si>
  <si>
    <t>Number of Students with disabilities</t>
  </si>
  <si>
    <t>Proportion of Students with disabilities</t>
  </si>
  <si>
    <t>Number of Francophone students</t>
  </si>
  <si>
    <t>Proportion of Francophone students</t>
  </si>
  <si>
    <t>Between 50-60%</t>
  </si>
  <si>
    <t>12 students</t>
  </si>
  <si>
    <t>145 students</t>
  </si>
  <si>
    <t>320 students</t>
  </si>
  <si>
    <t>90% (2 Year Employment Rate</t>
  </si>
  <si>
    <t>88% (6 Month Employment Rate)</t>
  </si>
  <si>
    <t>Maintain or improve number and proportion (240; 1.5 %)</t>
  </si>
  <si>
    <t>Maintain or improve number  and proportion (4,300; 27 %)</t>
  </si>
  <si>
    <t>Maintain or improve number and proportion (1,000; 6 %)</t>
  </si>
  <si>
    <t>N/A</t>
  </si>
  <si>
    <t>Maintain or improve share (45%)</t>
  </si>
  <si>
    <t>Maintain or improve number (98)</t>
  </si>
  <si>
    <t>Graduation rate of students utilizing accessibility services</t>
  </si>
  <si>
    <t>Maintain or improve graduation rate (baseline to be established in 2017)</t>
  </si>
  <si>
    <t>Maintain level of funding, as a proportion (6.49 %)</t>
  </si>
  <si>
    <t>Research Excellence and Impact</t>
  </si>
  <si>
    <t>Maintain or increase [NSERC: $2.5M; 0.93 %]</t>
  </si>
  <si>
    <t>Maintain or increase [SSHRC: $1.6M; 2.23 %]</t>
  </si>
  <si>
    <t>Maintain or increase [CIHR: $452K; 0.12 %]</t>
  </si>
  <si>
    <t>Maintain or increase Total: $4.57M; 0.68 %</t>
  </si>
  <si>
    <t>Number of papers (total)</t>
  </si>
  <si>
    <t>Number of papers (per full-time faculty)</t>
  </si>
  <si>
    <t>Maintain or increase (2,295 papers; 0.79 per faculty member)</t>
  </si>
  <si>
    <t>Number of citations (total)</t>
  </si>
  <si>
    <t>Number of citations (per paper)</t>
  </si>
  <si>
    <t>Maintain or increase (14,376 citations; 6.3 per paper)</t>
  </si>
  <si>
    <t>Number of Research Centres, Institutes, and Research Hubs</t>
  </si>
  <si>
    <t>Number of graduate and undergraduate students supervised by faculty members in a research setting for academic credit</t>
  </si>
  <si>
    <t>Maintain or increase number from 2017 (20)</t>
  </si>
  <si>
    <t>Innovation, Economic Development and Community Engagement</t>
  </si>
  <si>
    <t>Maintain or increase number (in aggregate) from 2017 (1,322)</t>
  </si>
  <si>
    <t>Maintain or increase rate (87 %)</t>
  </si>
  <si>
    <t>Maintain or increase (90 % at 6 mo, 96 % at 2 yrs)</t>
  </si>
  <si>
    <t>Number of graduates employed full time in a related job (6 Month Employment Rate)</t>
  </si>
  <si>
    <t>Number of graduates employed full time in a related job (2 Year Employment Rate)</t>
  </si>
  <si>
    <t>Number of formal relationships with organizations in Niagara (including profit, not-for-profit, government, non-governmental organizations)</t>
  </si>
  <si>
    <t>Maintain or increase</t>
  </si>
  <si>
    <t>Proportion of graduating students who have worked on a community service project by senior year</t>
  </si>
  <si>
    <t>Maintain above average score for NSSE (Q12)</t>
  </si>
  <si>
    <t>Undergraduate Full-time Headcounts (Projected 2018-19)</t>
  </si>
  <si>
    <t>Undergraduate Full-time Headcounts (Projected 2017-18)</t>
  </si>
  <si>
    <t>Undergraduate Full-time Headcounts (Projected 2019-20)</t>
  </si>
  <si>
    <t>Masters Full-time Headcounts (Projected 2017-18)</t>
  </si>
  <si>
    <t>Total Full-time Headcounts (Projected 2017-18)</t>
  </si>
  <si>
    <t>Total Full-time Headcounts (Projected 2018-19)</t>
  </si>
  <si>
    <t>Total Full-time Headcounts (Projected 2019-20)</t>
  </si>
  <si>
    <t>Masters Full-time Headcounts (Projected 2018-19)</t>
  </si>
  <si>
    <t>Masters Full-time Headcounts (Projected 2019-20)</t>
  </si>
  <si>
    <t>Doctoral Full-time Headcounts	(Projected 2017-18)</t>
  </si>
  <si>
    <t>Doctoral Full-time Headcounts	(Projected 2018-19)</t>
  </si>
  <si>
    <t>Doctoral Full-time Headcounts	(Projected 2019-20)</t>
  </si>
  <si>
    <t>Graduate allocation – SMA 2017-2020</t>
  </si>
  <si>
    <t>Health and Well-Being through the Lifespan</t>
  </si>
  <si>
    <t>Business</t>
  </si>
  <si>
    <t>Sustainability and Social Justice</t>
  </si>
  <si>
    <t>Arts, Cultures and Communication</t>
  </si>
  <si>
    <t>Scientific and Technological Applications</t>
  </si>
  <si>
    <t>Education</t>
  </si>
  <si>
    <t>Arts, Cultures and Communications</t>
  </si>
  <si>
    <t>Percentage of students using co-curricular reporting (CCR): 20.91%</t>
  </si>
  <si>
    <t>Number of First-Year Experiential Opportunities (e.g. first-year seminars, science seminars, business intro) and number of students in first-year courses with laboratories</t>
  </si>
  <si>
    <t>FYSM+: 1,800
Labs: 3,625</t>
  </si>
  <si>
    <t>Percentage of programs with three or more experiential learning opportunities</t>
  </si>
  <si>
    <t>Percentage of faculty and contract instructors who have participated in teaching development programs offered by the Educational Development Centre since January 2015</t>
  </si>
  <si>
    <t>Average teaching evaluation score</t>
  </si>
  <si>
    <t>Maintain at 4.4</t>
  </si>
  <si>
    <t>981 – applications
90 - registrations</t>
  </si>
  <si>
    <t>Number of students registered with the Paul Menton Centre for Students with Disabilities</t>
  </si>
  <si>
    <t xml:space="preserve">Number of non-conventional students in Enhanced Support Program and Aboriginal Enhanced Support Program	</t>
  </si>
  <si>
    <t>Maintain</t>
  </si>
  <si>
    <t>$17.2M. 3.35% share (3 year average)</t>
  </si>
  <si>
    <t>1.6 per faculty (5 year average)</t>
  </si>
  <si>
    <t xml:space="preserve">	8.5 per paper (5 year average)</t>
  </si>
  <si>
    <t>Total research funding excluding tri-council funding</t>
  </si>
  <si>
    <t xml:space="preserve"> $40M</t>
  </si>
  <si>
    <t>Number of formal research partnerships (including industry, government, international and not-for-profit organisations)</t>
  </si>
  <si>
    <t>6 month: 85%
2 years: 92.7%</t>
  </si>
  <si>
    <t>Number of companies with Carleton origin (since 1975)</t>
  </si>
  <si>
    <t>Number of students in entrepreneurship courses/programs</t>
  </si>
  <si>
    <t>Environment and Sustainability</t>
  </si>
  <si>
    <t>Public Policy, Administration, and Governance</t>
  </si>
  <si>
    <t>Information Technology</t>
  </si>
  <si>
    <t>Human Behaviour and Development</t>
  </si>
  <si>
    <t>Advanced Technology and Design</t>
  </si>
  <si>
    <t>Business, Entrepreneurship, and Innovation</t>
  </si>
  <si>
    <t>Media, Communications, and Culture</t>
  </si>
  <si>
    <t>Global and International Studies</t>
  </si>
  <si>
    <t>Life and Health Sciences</t>
  </si>
  <si>
    <t>Law and Social Justice</t>
  </si>
  <si>
    <t>Information Management and Digital Media</t>
  </si>
  <si>
    <t>Business, Entrepreneurship, and Governance</t>
  </si>
  <si>
    <t>Advanced Technology and Innovation</t>
  </si>
  <si>
    <t>Community Engagement, Engaged Communities</t>
  </si>
  <si>
    <t>55% - 65%</t>
  </si>
  <si>
    <t>80% - 85%</t>
  </si>
  <si>
    <t>10% - 13%</t>
  </si>
  <si>
    <t>Number of professional development opportunities for graduate students (e.g. workshops and networking events) per year</t>
  </si>
  <si>
    <t>National Survey of Student Engagement (NSSE) student-reported satisfaction: overall experience</t>
  </si>
  <si>
    <t>First Year: 2.7 – 3.2
Senior Year: 2.7 – 3.2</t>
  </si>
  <si>
    <t>SSE student-reported satisfaction: choice</t>
  </si>
  <si>
    <t>Average number of (HIPs) per senior-year student</t>
  </si>
  <si>
    <t>1.7 – 2.0</t>
  </si>
  <si>
    <t>26 - 28</t>
  </si>
  <si>
    <t>98% - 100%</t>
  </si>
  <si>
    <t>60% - 65%</t>
  </si>
  <si>
    <t>Total number of students enrolled in an undergraduate program that includes an experiential learning component</t>
  </si>
  <si>
    <t>under development</t>
  </si>
  <si>
    <t>680 – 825</t>
  </si>
  <si>
    <t xml:space="preserve">	1,200 – 1,400</t>
  </si>
  <si>
    <t>17% - 20%</t>
  </si>
  <si>
    <t>55% - 60%</t>
  </si>
  <si>
    <t>Applications: 400
Registrations: 100</t>
  </si>
  <si>
    <t>Budget allocation for scholarships and bursaries</t>
  </si>
  <si>
    <t>Proportion of self-identified Canadian Indigenous students as a proportion of the domestic student population enrolled at institution</t>
  </si>
  <si>
    <t>Proportion of students whose parents do not have a university degree enrolled at institution</t>
  </si>
  <si>
    <t>Number of transfer student registrations</t>
  </si>
  <si>
    <t>Number of students in Lakehead University Gateway Program</t>
  </si>
  <si>
    <t>Number of students in Lakehead University Native Programming (Native Access Program and Native Nursing Entry Program)</t>
  </si>
  <si>
    <t>Number of students from Northwestern Ontario and Simcoe County enrolled at institution</t>
  </si>
  <si>
    <t>10%-13%</t>
  </si>
  <si>
    <t>52%-57%</t>
  </si>
  <si>
    <t>35-50</t>
  </si>
  <si>
    <t>Northwestern Ontario: 3,350
Simcoe County: 1,100</t>
  </si>
  <si>
    <t>Tri-Council Funding: 0.7%-0.8%</t>
  </si>
  <si>
    <t>CIHR: 0.25% - 0.35%</t>
  </si>
  <si>
    <t>SSHRC: 1.8% - 2.0%</t>
  </si>
  <si>
    <t>NSERC: 0.85% - 1.0%</t>
  </si>
  <si>
    <t>1.0 - 1.2</t>
  </si>
  <si>
    <t>7.5 – 8.5</t>
  </si>
  <si>
    <t>External research funding: $25M</t>
  </si>
  <si>
    <t>Research intensity</t>
  </si>
  <si>
    <t>Research Centres: 15</t>
  </si>
  <si>
    <t>Number of graduate programs</t>
  </si>
  <si>
    <t>Masters: 38
PhD: 10</t>
  </si>
  <si>
    <t>6 Months: 87% - 93%
2 Years: 90% - 95%</t>
  </si>
  <si>
    <t xml:space="preserve">	 2 Years: 90% - 95%</t>
  </si>
  <si>
    <t>Graduate employment rates (Masters/PhD)</t>
  </si>
  <si>
    <t>Under development</t>
  </si>
  <si>
    <t>Number of graduates from a graduate program employed full-time in a related job</t>
  </si>
  <si>
    <t>Lakehead Innovates</t>
  </si>
  <si>
    <t>Community partnerships: Enhance and institutionalize collaboration with economic development, educational, government, private sector, and Non-Government Organizations including First Nations, Aboriginal, Métis and Inuit partners.</t>
  </si>
  <si>
    <t>Community partnerships: 15</t>
  </si>
  <si>
    <t>Increase the number of MOUs with industry partners both domestically and internationally</t>
  </si>
  <si>
    <t>Industry partnerships: Increase collaborations, research development grants and Industrial Research Chair positions</t>
  </si>
  <si>
    <t>Industry events: Hold 6 events per year that bring industry partners together with faculty and researchers to network and further establish relationships with Lakehead</t>
  </si>
  <si>
    <t>Clients: 15
Events: 20
Start-ups: 1-3
Students reached: 500
Summer Company Applicants: 3-5</t>
  </si>
  <si>
    <t>New MOUs: 4 per annum</t>
  </si>
  <si>
    <t>Create 4 new collaborations as a direct result of the MOUs
Create 1 new Industrial Research Chair</t>
  </si>
  <si>
    <t>Events: 6
Number of industry partners in attendance at industry events: 300
Number of faculty/researchers attending industry events to meet with industry partners: 300</t>
  </si>
  <si>
    <t>Engineering</t>
  </si>
  <si>
    <t>Health and Health Sciences</t>
  </si>
  <si>
    <t>Natural Resources</t>
  </si>
  <si>
    <t>Social Justice/Indigenous Emphasis</t>
  </si>
  <si>
    <t>Social and Behaviour Sciences</t>
  </si>
  <si>
    <t>Core programming (Science and Environmental Studies, Social Sciences and Humanities)</t>
  </si>
  <si>
    <t>Business, Entrepreneurship and Innovation</t>
  </si>
  <si>
    <t>Health Sciences/Health and Medicine</t>
  </si>
  <si>
    <t>Sustainability</t>
  </si>
  <si>
    <t>Increase from 62.3% on the National Survey of Student Engagement (NSSE) 2014 (last year available) to 63% on NSSE 2020 the %age of fourth-year students who participated in 2 or more High-Impact Practices. Includes participation in a learning community, service learning, research with faculty, participation in an internship or field experience, study abroad, and culminating senior experience.</t>
  </si>
  <si>
    <t>Increase from 84.5% on CSRDE 2014 fall cohort (last year available) to 85.5% on 2020 fall cohort.</t>
  </si>
  <si>
    <t>Maintain the proportion of operating expenditures at 6.08%, as reflected in the 2015-16 COFO Report.</t>
  </si>
  <si>
    <t>Number of students asked to withdraw from the University or their program</t>
  </si>
  <si>
    <t>Maintain the composite score of 26.9 in fourth year in NSSE 2014 to NSSE 2020</t>
  </si>
  <si>
    <t>20% of programs by 2020-2021 will have explicit curriculum maps and articulation of learning outcomes</t>
  </si>
  <si>
    <t>Increase the graduation rate from 64.9% (2009 Fall cohort, first-time, full-time, first-year, fall term who graduated within six years) to 65.0% for the 2015 Fall cohort.</t>
  </si>
  <si>
    <t>Capacity to implement learning outcomes in the curriculum at the course, program and degree level</t>
  </si>
  <si>
    <t>40 faculty members will have been trained to incorporate learning outcomes in the curriculum</t>
  </si>
  <si>
    <t>Increase Indigenous
student enrolment
from 808 and 11.5%
in 2016-17 to 819
and 11.6% in 2020-2021.</t>
  </si>
  <si>
    <t>In 2016-17, 3,500 students and 49.8% were first- generation students. In 2020, this is expected to rise to 3,549 and 50%.</t>
  </si>
  <si>
    <t xml:space="preserve">	In 2015-16, 848 or 9% of students were students with disabilities. In 2020-2021 9% or 860 would be expected to be students with disabilities.</t>
  </si>
  <si>
    <t>In 2016-17, 1,517 or 21.6% of students were Francophone students. Laurentian’s target is to maintain the enrolment of Francophone students at at least 1,517 by 2020-2021.</t>
  </si>
  <si>
    <t>In 2015-16, 59.7% of Laurentian students were OSAP recipients.</t>
  </si>
  <si>
    <t>Maintain the number of transfer applicants and registrants at 746 and 104 respectively in 2015-16 despite a&lt; demographic decline in colleges feeding Laurentian programs.</t>
  </si>
  <si>
    <t>Increase the number from 6 in 2016-2017 to 34 programs in 2020-2021.</t>
  </si>
  <si>
    <t>Number of programs requiring credits in courses with Indigenous content</t>
  </si>
  <si>
    <t>Increase the CIHR, NSERC, SSHRC and total Tri-Council funding - shares to total Ontario Universities</t>
  </si>
  <si>
    <t>Increase slightly the number of papers per faculty member</t>
  </si>
  <si>
    <t>Maintain or increase the number of citations per paper.</t>
  </si>
  <si>
    <t>Increase from 18 in 2016-17 to 23 in 2020-21.</t>
  </si>
  <si>
    <t xml:space="preserve">	Remain in the top 5 Ontario universities by 2020-2021 in terms of 6-month graduate employment rates.</t>
  </si>
  <si>
    <t>Remain in the top 5 Ontario universities by 2020-2021 in terms of the proportion of graduates employed full time in a related job.</t>
  </si>
  <si>
    <t>Laurentian will engage by 2020 in six (6) new meaningful community, social and/or health development initiatives and collaborations.</t>
  </si>
  <si>
    <t>Community, social and/or health development initiatives and collaborations</t>
  </si>
  <si>
    <t>Target</t>
  </si>
  <si>
    <t>Geology, including Mineral Exploration</t>
  </si>
  <si>
    <t>Engineering and Architecture</t>
  </si>
  <si>
    <t>French-Language Programs</t>
  </si>
  <si>
    <t>Forensic Science</t>
  </si>
  <si>
    <t>Medicine/Rural and Northern Health</t>
  </si>
  <si>
    <t>Indigenous Relations</t>
  </si>
  <si>
    <t>Restoration and Conservation Ecology</t>
  </si>
  <si>
    <t>Business and Sports Administration</t>
  </si>
  <si>
    <t>Interdisciplinary Arts</t>
  </si>
  <si>
    <t>French Language and Bilingual Programs</t>
  </si>
  <si>
    <t>Indigenous programming</t>
  </si>
  <si>
    <t>Earth Sciences, Forensic Science and Information Technology</t>
  </si>
  <si>
    <t>Northern Health and Development including PhD in Human Kinetics,</t>
  </si>
  <si>
    <t>and</t>
  </si>
  <si>
    <t>Occupational</t>
  </si>
  <si>
    <t>Primary Reserve Ratio (days)</t>
  </si>
  <si>
    <t>Percentage of graduate students satisfied with their academic experience (rating of excellent or very good) – Canadian Graduate and Professional Student Survey</t>
  </si>
  <si>
    <t>Curriculum Maps: 100% Learning Outcomes: 86%</t>
  </si>
  <si>
    <t>Aggregated Normalized Instructor Effectiveness Score</t>
  </si>
  <si>
    <t>76*</t>
  </si>
  <si>
    <t>380-480 / 1.4%-1.8%</t>
  </si>
  <si>
    <t>3,750 – 4,850 / 14%-18%</t>
  </si>
  <si>
    <t>850-1,000 / 3.1% - 3.7%</t>
  </si>
  <si>
    <t>140-190 / 0.5% - 0.7%</t>
  </si>
  <si>
    <t>50-60%</t>
  </si>
  <si>
    <t>Transfer Applications: 500-600 Registrations: 60-70</t>
  </si>
  <si>
    <t>Student Satisfaction with services delivered to under-represented groups (composite of Indigenous, international, and students with disabilities) McMaster Graduand Survey</t>
  </si>
  <si>
    <t>85% - 88% (6 months)</t>
  </si>
  <si>
    <t>90% (2 years)</t>
  </si>
  <si>
    <t>New licenses (three-year rolling average)</t>
  </si>
  <si>
    <t>Medical Education and Research</t>
  </si>
  <si>
    <t>Health and Society</t>
  </si>
  <si>
    <t>Engineering and Sustainability</t>
  </si>
  <si>
    <t>Science and Discovery</t>
  </si>
  <si>
    <t>Digital Economy</t>
  </si>
  <si>
    <t>Materials and Manufacturing</t>
  </si>
  <si>
    <t>Business and Economics</t>
  </si>
  <si>
    <t>Policy and Ethics in a Globalized World</t>
  </si>
  <si>
    <t>Human Behaviour, Culture, and Society</t>
  </si>
  <si>
    <t>The Arts and Creative Expression</t>
  </si>
  <si>
    <t>Health Sciences and the Broad Determinants of Health</t>
  </si>
  <si>
    <t>Fostering Robust Societies</t>
  </si>
  <si>
    <t>Science and Engineering</t>
  </si>
  <si>
    <t>Communications and Culture</t>
  </si>
  <si>
    <t>Target Range: 52-58%</t>
  </si>
  <si>
    <t>Target Range 80-86%</t>
  </si>
  <si>
    <t>Percentage of NSSE Senior respondents with a response of "Excellent" or "Good" for question 18: How would you evaluate your entire educational experience at this institution?</t>
  </si>
  <si>
    <t>Percentage of NSSE senior respondents with a response of "Definitely yes" or "Probably yes" on question 19: If you could start over again, would you go to the same institution you are not attending?</t>
  </si>
  <si>
    <t>Percentage of CUSC Graduate Survey respondents with a response of "Very Satisfied" or "Satisfied" for question 4: How satisfied are you with your decision to attend the university"?</t>
  </si>
  <si>
    <t>Target Range: 27 – 29 and better than average of Ontario Peer Group (Lakehead, Laurentian, Trent &amp; UOIT)</t>
  </si>
  <si>
    <t>Target Range: 85% - 90%</t>
  </si>
  <si>
    <t>Target Range: 63.5% - 72%</t>
  </si>
  <si>
    <t>Community based learning/research initiatives and student participation</t>
  </si>
  <si>
    <t>Composite score of NSSE senior respondents on the engagement indicator: Reflective and Integrative Learning</t>
  </si>
  <si>
    <t>TBD as tracking system needs to be created</t>
  </si>
  <si>
    <t>38.4 and better than average of Ontario Peer Group (Lakehead, Laurentian, Trent and UOIT)</t>
  </si>
  <si>
    <t xml:space="preserve">	10% (240 students)</t>
  </si>
  <si>
    <t>10% (350 students)</t>
  </si>
  <si>
    <t>10% (410 students)</t>
  </si>
  <si>
    <t xml:space="preserve">	2% (80 students)</t>
  </si>
  <si>
    <t>66-70%</t>
  </si>
  <si>
    <t xml:space="preserve">	220-240 students. Transfer students representing 20% of incoming class</t>
  </si>
  <si>
    <t>Number of students registered in an integrated college/university program</t>
  </si>
  <si>
    <t>8% of student population</t>
  </si>
  <si>
    <t xml:space="preserve">	Target Range: 0.12% - 0.13%</t>
  </si>
  <si>
    <t>Target Range: 0.47% - 0.52%</t>
  </si>
  <si>
    <t>Target Range: 3.5 – 3.85</t>
  </si>
  <si>
    <t>Number of graduate degree awarded (Highly Qualified Personnel)</t>
  </si>
  <si>
    <t>Tri-council funding per university faculty (eligible for tri-council funding)</t>
  </si>
  <si>
    <t>Target Range: 75 - 100</t>
  </si>
  <si>
    <t>Range: $4,200 – $4,400</t>
  </si>
  <si>
    <t>At least 85% and 2% higher than ON average (6 months)</t>
  </si>
  <si>
    <t>At least 90% and 1% higher than ON average (2 Year)</t>
  </si>
  <si>
    <t>Target Range: 90% - 92%</t>
  </si>
  <si>
    <t>Number of Indigenous community partners</t>
  </si>
  <si>
    <t>Humanities and Liberal Arts</t>
  </si>
  <si>
    <t>Environmental Studies/Biology</t>
  </si>
  <si>
    <t>Nursing</t>
  </si>
  <si>
    <t>Criminal Justice</t>
  </si>
  <si>
    <t>Bachelor of Physical and Health Education</t>
  </si>
  <si>
    <t>Administration/Management</t>
  </si>
  <si>
    <t>Native Studies</t>
  </si>
  <si>
    <t>Digital Humanities</t>
  </si>
  <si>
    <t>Data Science</t>
  </si>
  <si>
    <t>Nursing – new programming will focus on rural, Aboriginal and Northern contexts</t>
  </si>
  <si>
    <t>Administration/Management– focus on experiential learning, social innovation and SMEs</t>
  </si>
  <si>
    <t>Year 1 retention (in-year)</t>
  </si>
  <si>
    <t>Number of Students Participating in Experiential Learning</t>
  </si>
  <si>
    <t>Proportion of students in STEM courses (e.g., numeracy, digital skills)</t>
  </si>
  <si>
    <t>Number of post-graduation employment opportunities</t>
  </si>
  <si>
    <t>Develop a baseline that tracks participation in a broad set of experiential learning opportunities at OCAD U</t>
  </si>
  <si>
    <t>126 applicants, 78 registrations</t>
  </si>
  <si>
    <t>Number of institutional pathways</t>
  </si>
  <si>
    <t>.04% NSERC; 0% CIHR; .63% SSHRC; .08% total</t>
  </si>
  <si>
    <t>.07 per full-time faculty (5 year average) OCAD University research outputs require differentiated metrics</t>
  </si>
  <si>
    <t>2.6 per full-time faculty (5 year average) OCAD University research outputs require differentiated metrics</t>
  </si>
  <si>
    <t>Total sponsored research per full-time faculty</t>
  </si>
  <si>
    <t>Implement research and research creation output and impact index specific to OCAD University (e.g., publications, exhibitions, designs, curatorial practices)</t>
  </si>
  <si>
    <t>Determine baseline and track 2% year over year increase</t>
  </si>
  <si>
    <t>2% per year</t>
  </si>
  <si>
    <t>85.5%, 6 months after graduation</t>
  </si>
  <si>
    <t>93.1%, 2 years after graduation</t>
  </si>
  <si>
    <t>Number of industry partnerships</t>
  </si>
  <si>
    <t>Percentage of OCAD U graduates reporting that OCAD U helped them acquire or develop business and financial management skills</t>
  </si>
  <si>
    <t>Establish an institutional definition of partnerships, baseline, tracking mechanism and year-over-year growth goal for partnerships on which to report by end of SMA2</t>
  </si>
  <si>
    <t>Fine Art</t>
  </si>
  <si>
    <t>Design</t>
  </si>
  <si>
    <t>Digital Media</t>
  </si>
  <si>
    <t>Visual and Critical Studies</t>
  </si>
  <si>
    <t>62% - 66%</t>
  </si>
  <si>
    <t>93 - 95%</t>
  </si>
  <si>
    <t>3.0% - 3.4%</t>
  </si>
  <si>
    <t>Undergraduate Senior-Year Student Satisfaction: Evaluate your entire educational experience at this institution ("Good” + "Excellent” responses)</t>
  </si>
  <si>
    <t>Undergraduate Senior-Year Student Satisfaction: If you could start over again, would you attend the same institution? ("Probably Yes” + "Definitely Yes” responses)</t>
  </si>
  <si>
    <t>85 - 91%</t>
  </si>
  <si>
    <t>82 - 88%</t>
  </si>
  <si>
    <t>Graduate Student Academic Experience Rating: Overall rating of the quality of the academic experience ("Good” + "Very Good” + "Excellent” responses)</t>
  </si>
  <si>
    <t>Graduate Student Academic Experience Rating: Overall rating of the quality of the academic experience ("Good” + "Very Good” + "Excellent” responses), Professional Masters students, Research Masters students</t>
  </si>
  <si>
    <t>Graduate Student Academic Experience Rating: Overall rating of the quality of the academic experience ("Good” + "Very Good” + "Excellent” responses), Doctoral students</t>
  </si>
  <si>
    <t>80% - 90%</t>
  </si>
  <si>
    <t>85% - 95%</t>
  </si>
  <si>
    <t>29.0 – 30.0</t>
  </si>
  <si>
    <t xml:space="preserve">	Maintain at 100%  (learning outcomes)
70 - 80% (curriculum maps)</t>
  </si>
  <si>
    <t>84 - 86%</t>
  </si>
  <si>
    <t>Composite Engagement Score
Average engagement score across all engagement indicators and HIPs relative to the national averag
(Alternate): Actual average engagement score across all engagement indicators excluding HIPs
The Spirit of Inquiry
Selected dimensions of teaching and learning that demonstrate the spirit of inquiry relative to the national average (4th year)
(Alternate): Actual scores on selected teaching and learning items that demonstrate the spirit of inquiry (4th year)
(a) Perceived gains in writing (mean)
(b) Perceived gains in speaking (mean)
(c) Undertaking research with faculty (%)
(d) Having a capstone experience (%)
(e) Perceived gains in solving complex problems (mean)
(f) Perceived gains in critical thinking (mean)</t>
  </si>
  <si>
    <t>108%
37.5
106 – 150%
Maintain
+/- 5% (means)
+/- 4% (%s)</t>
  </si>
  <si>
    <t>2.0 – 2.4%</t>
  </si>
  <si>
    <t xml:space="preserve">	8.0 – 8.5%</t>
  </si>
  <si>
    <t xml:space="preserve">	5.25 – 5.75%</t>
  </si>
  <si>
    <t>140/12</t>
  </si>
  <si>
    <t>Indigenous Student Retention Rate
Percentage of self-identified first-year students returning to second-year the following fall (2-year smooth)</t>
  </si>
  <si>
    <t>91 - 95%</t>
  </si>
  <si>
    <t>Collaborative Programs
Number of academic and research programs delivered in collaboration with other institutions/organizations
Enrolments in collaborative academic programs</t>
  </si>
  <si>
    <t>TBD</t>
  </si>
  <si>
    <t>Maintain funding and funding shares +/- allowances for annual fluctuations</t>
  </si>
  <si>
    <t>2.20 – 2.50 (over 5 years)</t>
  </si>
  <si>
    <t xml:space="preserve">	8.20 – 9.20 (over 5 years)</t>
  </si>
  <si>
    <t>Faculty Awards
5-year average of percentage of faculty members winning national awards</t>
  </si>
  <si>
    <t>9.5 – 10.5%</t>
  </si>
  <si>
    <t>Industry-funded research revenue</t>
  </si>
  <si>
    <t>$25 million (2-year rolling average)</t>
  </si>
  <si>
    <t>$7 million (2-year rolling average)</t>
  </si>
  <si>
    <t>Internationally-funded	research revenue</t>
  </si>
  <si>
    <t>Research funding from industrial sources</t>
  </si>
  <si>
    <t>Research Intensity Ratio: Total sponsored research income / full-time faculty</t>
  </si>
  <si>
    <t>Maintain position relative to Ontario average or maintain current rates +/- 1%</t>
  </si>
  <si>
    <t>92 – 94%</t>
  </si>
  <si>
    <t>Contribution to the Regional Economy: Number of living alumni in Eastern Ontario (Kingston and Ottawa regions)</t>
  </si>
  <si>
    <t>Contribution to the Regional Economy: Eastern Ontario alumni as percentage of total alumni</t>
  </si>
  <si>
    <t>42,000 – 43,000</t>
  </si>
  <si>
    <t>28.3 – 29.3%</t>
  </si>
  <si>
    <t>Technology and Commercialization: Number of annual invention disclosures (3-year average)</t>
  </si>
  <si>
    <t>Technology and Commercialization: Licences/option agreements (3-year average)</t>
  </si>
  <si>
    <t>Technology and Commercialization: Number of US patents issued (3-year average)</t>
  </si>
  <si>
    <t>45 – 55 (3-year average)</t>
  </si>
  <si>
    <t>6 – 9 (3-year average)</t>
  </si>
  <si>
    <t>17 – 21 (3-year average)</t>
  </si>
  <si>
    <t>Arts and Science: Humanities</t>
  </si>
  <si>
    <t>Arts and Science: Science</t>
  </si>
  <si>
    <t>Arts and Science: Social Science</t>
  </si>
  <si>
    <t>Engineering and Applied Science</t>
  </si>
  <si>
    <t>Law</t>
  </si>
  <si>
    <t>Medicine</t>
  </si>
  <si>
    <t>Rehabilitation Therapy</t>
  </si>
  <si>
    <t>Science and Technology</t>
  </si>
  <si>
    <t>Business Administration and Education</t>
  </si>
  <si>
    <t>Endowment per student FTE ($000)</t>
  </si>
  <si>
    <t>Debt rating – Dominion Bond Rating Service (DBRS)</t>
  </si>
  <si>
    <t>AA/Stable</t>
  </si>
  <si>
    <t>Debt rating – Standard &amp; Poor’s (S&amp;P)</t>
  </si>
  <si>
    <t>AA+/Stable</t>
  </si>
  <si>
    <t>48-58%</t>
  </si>
  <si>
    <t>87-92%</t>
  </si>
  <si>
    <t>8-12%</t>
  </si>
  <si>
    <t>Number of students building ePortfolios</t>
  </si>
  <si>
    <t>Registrations in courses with experiential learning</t>
  </si>
  <si>
    <t>400-500</t>
  </si>
  <si>
    <t>95,000-110,000</t>
  </si>
  <si>
    <t>2.5-3</t>
  </si>
  <si>
    <t>65-80%</t>
  </si>
  <si>
    <t>68-72%</t>
  </si>
  <si>
    <t>Online learning registrations in credit courses</t>
  </si>
  <si>
    <t>Registrants in teaching and learning professional development activities</t>
  </si>
  <si>
    <t>17,000-20,000</t>
  </si>
  <si>
    <t>1,200-1,600</t>
  </si>
  <si>
    <t>300 – 500</t>
  </si>
  <si>
    <t>(1.0% – 1.7%)</t>
  </si>
  <si>
    <t>5,500 – 8,000</t>
  </si>
  <si>
    <t>(18.5% – 27.7%)</t>
  </si>
  <si>
    <t>800 – 1,600</t>
  </si>
  <si>
    <t>(2.7% – 5.4%)</t>
  </si>
  <si>
    <t>150 – 200</t>
  </si>
  <si>
    <t>(0.5% – 0.7%)</t>
  </si>
  <si>
    <t xml:space="preserve">	60% – 70%</t>
  </si>
  <si>
    <t>Certificates awarded</t>
  </si>
  <si>
    <t>Students in transitional and bridging programs</t>
  </si>
  <si>
    <t>900-1,200</t>
  </si>
  <si>
    <t xml:space="preserve">	400-600</t>
  </si>
  <si>
    <t>0.5% – 4.0%</t>
  </si>
  <si>
    <t>0.5-1.5</t>
  </si>
  <si>
    <t xml:space="preserve">	3.0-6.0</t>
  </si>
  <si>
    <t xml:space="preserve">Number of creative outputs	</t>
  </si>
  <si>
    <t>40-70</t>
  </si>
  <si>
    <t>120-160</t>
  </si>
  <si>
    <t>$9M-$15M</t>
  </si>
  <si>
    <t>76% - 84% after 6 months</t>
  </si>
  <si>
    <t>85% - 93% after two years</t>
  </si>
  <si>
    <t>Student enrolment in innovation zones (FFTE)</t>
  </si>
  <si>
    <t>Registrations in entrepreneurship courses</t>
  </si>
  <si>
    <t>Number of start-ups</t>
  </si>
  <si>
    <t>900-1,000</t>
  </si>
  <si>
    <t>5,000-6,000</t>
  </si>
  <si>
    <t xml:space="preserve">	250-350</t>
  </si>
  <si>
    <t>Digital Economy, Innovation and Entrepreneurship</t>
  </si>
  <si>
    <t>Design, Technology and Manufacturing</t>
  </si>
  <si>
    <t>Management, Administration and the Economy</t>
  </si>
  <si>
    <t>Creative Industries</t>
  </si>
  <si>
    <t>Communities, Diversity and City Building</t>
  </si>
  <si>
    <t>Culture and Communications</t>
  </si>
  <si>
    <t>Health, Wellness and Related Sciences</t>
  </si>
  <si>
    <t>Built Environment and Spatial Analysis</t>
  </si>
  <si>
    <t>Innovation and Entrepreneurship</t>
  </si>
  <si>
    <t>Design and Technology</t>
  </si>
  <si>
    <t>Management and Competitiveness</t>
  </si>
  <si>
    <t>Creative Economy and Culture</t>
  </si>
  <si>
    <t>Health and Technology</t>
  </si>
  <si>
    <t>&gt;54%</t>
  </si>
  <si>
    <t>5-7%</t>
  </si>
  <si>
    <t>Maclean’s Overall Ranking (primarily undergraduate)</t>
  </si>
  <si>
    <t>Top 2 in Ontario</t>
  </si>
  <si>
    <t>NSSE Question 18: How would you evaluate your entire educational experience at this institution? (First-year/Seniors)</t>
  </si>
  <si>
    <t>Reflective and Integrated Learning - Senior (NSSE Engagement Indicator)</t>
  </si>
  <si>
    <t>Teaching Recognition (awards, nominations and showcases)</t>
  </si>
  <si>
    <t>Teaching Innovations and Enhancements (One change challenge reports, teaching pilots, number of consultations with faculty, number of consultations with departments, PD attendees, special curriculum events)</t>
  </si>
  <si>
    <t>Number of internships, placements, co-op placements, and experiential learning spaces</t>
  </si>
  <si>
    <t>300; 3.1%</t>
  </si>
  <si>
    <t>1,100; 11.9%</t>
  </si>
  <si>
    <t>1500; 16%</t>
  </si>
  <si>
    <t>529;108</t>
  </si>
  <si>
    <t>Number of transfer applicants, as captured by the Ontario University Application Centre</t>
  </si>
  <si>
    <t>Number of transfer registrations, as captured by the Ontario University Application Centre</t>
  </si>
  <si>
    <t>Registrants/Registrations in courses with Indigenous content.</t>
  </si>
  <si>
    <t>Number of articulation agreements</t>
  </si>
  <si>
    <t>Number of students entering through articulation agreements/completing degrees from articulation pathways</t>
  </si>
  <si>
    <t>NSERC $3.01M; CIHR $0.13M; SSHRC $0.95M; Total $4.09M*</t>
  </si>
  <si>
    <t>300*; 1.33</t>
  </si>
  <si>
    <t>Funding per university faculty (Research InfoSource)</t>
  </si>
  <si>
    <t>Research output (Research InfoSource)</t>
  </si>
  <si>
    <t>Research impact (Research InfoSource)</t>
  </si>
  <si>
    <t>86.98% (6 months); 93.56% (2 years)</t>
  </si>
  <si>
    <t>88% (2 years)</t>
  </si>
  <si>
    <t>Jobs through startups</t>
  </si>
  <si>
    <t>Economic impact Durham</t>
  </si>
  <si>
    <t>Economic impact Peterborough</t>
  </si>
  <si>
    <t>5000 JE</t>
  </si>
  <si>
    <t>526 JE</t>
  </si>
  <si>
    <t>47 jobs</t>
  </si>
  <si>
    <t>20 companies</t>
  </si>
  <si>
    <t>Humanities</t>
  </si>
  <si>
    <t>Social Science</t>
  </si>
  <si>
    <t>Science</t>
  </si>
  <si>
    <t>Study of the Environment</t>
  </si>
  <si>
    <t>Study of Canada</t>
  </si>
  <si>
    <t>Indigenous Studies</t>
  </si>
  <si>
    <t>The Environment</t>
  </si>
  <si>
    <t>Interdisciplinary Sciences, Humanities &amp; Social Sciences</t>
  </si>
  <si>
    <t>Indigenous Studies &amp; The Study of Canada</t>
  </si>
  <si>
    <t>Social Justice and Global Development</t>
  </si>
  <si>
    <t>Health, Culture and Society</t>
  </si>
  <si>
    <t>75% - 85%</t>
  </si>
  <si>
    <t>L’Université de Hearst (UdeH) students’ well-being index</t>
  </si>
  <si>
    <t>Proportion of courses which, during the year, include one High-Impact Practice</t>
  </si>
  <si>
    <t>Average number of High-Impact and Innovative Practices per student per year (learning community, community-based project, thesis, internship, study abroad, etc.)</t>
  </si>
  <si>
    <t>Average number of contacts per first-year student for support services for basic skills (French Writing Centre, Learning Commons)</t>
  </si>
  <si>
    <t>Proportion of programs that include a culminating senior experience (capstone course, senior project, thesis, portfolio, comprehensive exam, etc.)</t>
  </si>
  <si>
    <t>5 to 10 per year</t>
  </si>
  <si>
    <t>5 to 10 (to be adjusted after one year)</t>
  </si>
  <si>
    <t xml:space="preserve">	75% (to be adjusted after one year)</t>
  </si>
  <si>
    <t>30-35</t>
  </si>
  <si>
    <t>100% (curriculum map/ program mapping)</t>
  </si>
  <si>
    <t>50-75%</t>
  </si>
  <si>
    <t>Proportion of courses that use experiential learning</t>
  </si>
  <si>
    <t>Proportion of programs that offer the option of a work experience placement</t>
  </si>
  <si>
    <t xml:space="preserve">Proportion of graduates who enrol in at least one internship course while pursuing their studies at l’Université de Hearst	</t>
  </si>
  <si>
    <t>Proportion of courses that integrate technological learning (e-skills development)</t>
  </si>
  <si>
    <t>5 persons
3.3% of the student population</t>
  </si>
  <si>
    <t>20 persons
13.3% of the student population</t>
  </si>
  <si>
    <t>10 persons
6.6% of the student population</t>
  </si>
  <si>
    <t>150 persons
100% of the student population</t>
  </si>
  <si>
    <t>Target for 2019-2020: 50%</t>
  </si>
  <si>
    <t>Targets for 2019-2020:
Applicants: 12
Registrations: 10</t>
  </si>
  <si>
    <t>Course success rates of  the following groups at l’Université de Hearst:
A. Indigenous students;
B. First generation students;
C. Students with disabilities;
D. Francophone students.</t>
  </si>
  <si>
    <t>Number of students who take advantage of mobility or transfer agreements</t>
  </si>
  <si>
    <t>85% or higher
85% or higher
85% or higher
85% or higher</t>
  </si>
  <si>
    <t>Increase from one year to the next</t>
  </si>
  <si>
    <t>Percentage of graduates who conduct at least one scientific research project during their studies at l’Université de Hearst</t>
  </si>
  <si>
    <t>Number of community organizations that benefit from research initiatives led by students, faculty or InnovaNor (research institute affiliate with l’Université de Hearst)</t>
  </si>
  <si>
    <t>5 per year</t>
  </si>
  <si>
    <t>90% after 6 months; 100% after 2 years</t>
  </si>
  <si>
    <t>85% of a given year’s total number of graduates</t>
  </si>
  <si>
    <t>UdeH social balance sheet:
UdeH or Innovanor’s initiatives and collaborations in social and economic development (business startups, development of various projects)
Number of community organizations which benefit from initiatives/projects led by students, faculty or InnovaNor (target: 50 per year)
Other possible considerations: number of students who do volunteer work, impact of UdeH or its initiatives on the quality of life of people of the area, sponsorships, proportion of alumni who work in the north after graduation, etc.</t>
  </si>
  <si>
    <t>A sum of initiatives sufficiently important to conclude to a positive social balance sheet for the region
More specific targets will be set once we have drawn up our first social balance sheet, but the  concept of "quantity” does not apply well to many of the initiatives that will be considered here</t>
  </si>
  <si>
    <t>Administration des affaires (Business Administration)</t>
  </si>
  <si>
    <t>Psychologie (Psychology)</t>
  </si>
  <si>
    <t>Études interdisciplinaires – enjeux humains et sociaux (Interdisciplinary Studies – Human and Social Issues)</t>
  </si>
  <si>
    <t xml:space="preserve"> Administration des affaires (Business Administration)</t>
  </si>
  <si>
    <t>More than 50% of fourth-year students will have 2 or more HIPs (as measured by NSSE).</t>
  </si>
  <si>
    <t>Sustain the first- to second-year retention rate at or above 90%</t>
  </si>
  <si>
    <t>Increase the proportion of operating expenditures on student services, net of student assistance, up to 6%</t>
  </si>
  <si>
    <t xml:space="preserve">Maintain our commitment to a supportive learning environment </t>
  </si>
  <si>
    <t>Maintain our commitment to a positive student life experience for our graduate students</t>
  </si>
  <si>
    <t>Exceed the Ontario Mean in the NSSE Engagement Indicators: Quality of Interactions and Supportive Environment</t>
  </si>
  <si>
    <t>Sustain a higher proportion of graduate students reporting positively on student life than the rest of Canada on the Canadian Graduate and Professional Student Survey</t>
  </si>
  <si>
    <t>Ensure that the composite score of fourth-year students' perceived gains in higher order learning outcomes is above 25 (as defined in NSSE).</t>
  </si>
  <si>
    <t>Ensure that between 65% and 75% of our undergraduate programs have curriculum maps and articulated learning outcomes.</t>
  </si>
  <si>
    <t>By 2019/20 strive for a 6 year graduation rate at or above 78%.</t>
  </si>
  <si>
    <t>Target to have between 2,500 and 3,200 students enrolled in a co-op program</t>
  </si>
  <si>
    <t>Expand the type and number of high-impact practices (10 types) in which students participate in across the various Guelph campuses</t>
  </si>
  <si>
    <t>Ensure all undergraduate programs have articulated learning outcomes</t>
  </si>
  <si>
    <t>Target an average of 2.5 HIPs for undergraduate students.</t>
  </si>
  <si>
    <t>Target  to have 100% of undergraduate programs have articulated learning outcomes.</t>
  </si>
  <si>
    <t>300 - 325</t>
  </si>
  <si>
    <t xml:space="preserve">	1,800 - 2,200</t>
  </si>
  <si>
    <t>1,400 - 1,700</t>
  </si>
  <si>
    <t>200 - 240</t>
  </si>
  <si>
    <t>56% to 62%</t>
  </si>
  <si>
    <t>Applications: 900 – 1,100
Registrations: 100 - 110
Note this does not include the large number of students who apply directly to U of G for transfer.</t>
  </si>
  <si>
    <t>Review and refine (as needed) the academic policies and procedures to support mental wellness and health of our students by ensuring our academic policies align with our goal of fostering well-being</t>
  </si>
  <si>
    <t>Continue to provide equitable and inclusive environments for qualified students through digital access</t>
  </si>
  <si>
    <t>Ensure exceptional quality in online courses through quality assurance and quality improvement processes, via Quality Matters</t>
  </si>
  <si>
    <t>Review and adjust 3-7 academic policies and procedures by 2019-20</t>
  </si>
  <si>
    <t>Increase the number of online courses to 300-315</t>
  </si>
  <si>
    <t>Continue our commitment to quality by increasing the number of online courses that are certified  by Quality Matters, to between 2 and 6 by 2019-20</t>
  </si>
  <si>
    <t>Maintain sector share of Tri-Council funding among Ontario’s top comprehensive universities</t>
  </si>
  <si>
    <t>Maintain or increase overall outputs as measured by the number of papers published</t>
  </si>
  <si>
    <t>Maintain or increase overall impact as measured by the number of citations</t>
  </si>
  <si>
    <t>Promoting research excellence: to create meaningful advances in innovation, and the economy through exceptional research and scholarly endeavors as indicated through total external funding ($)</t>
  </si>
  <si>
    <t>Catalyzing and Stewarding Research Partnerships: To promote our established research strengths while exploring new opportunities in an environment that fosters excellence and partnership as indicated through total external funding awarded from industry</t>
  </si>
  <si>
    <t>Connecting our Research with the World: To ensure that our knowledge and discoveries shape understanding and improve life as indicated by the number of net new disclosures.</t>
  </si>
  <si>
    <t>Total awarded funding falls between $130 million and $175 million.</t>
  </si>
  <si>
    <t>Total external funding from industry falls between $12 million and $25 million.</t>
  </si>
  <si>
    <t>Total net new disclosures falls between 50 and 150 net new disclosures.</t>
  </si>
  <si>
    <t>6 months: 87% or higher</t>
  </si>
  <si>
    <t>2 year: 92% or higher</t>
  </si>
  <si>
    <t>90% or higher</t>
  </si>
  <si>
    <t>Actively engage with partners in developing pathways for students to industry through round tables</t>
  </si>
  <si>
    <t>Continue to support opportunities for global experiences for students</t>
  </si>
  <si>
    <t xml:space="preserve">	By 2019-20 host 5-7 Industry Round Tables</t>
  </si>
  <si>
    <t>By 2019-20 increase the number of global experiences for students by a minimum of 10% (850-950)</t>
  </si>
  <si>
    <t>Food, Agriculture and Environment</t>
  </si>
  <si>
    <t>Veterinary Medicine</t>
  </si>
  <si>
    <t>Health and Life Sciences</t>
  </si>
  <si>
    <t>Engineering, Physical and Computing Sciences</t>
  </si>
  <si>
    <t>Business, Management and Economics</t>
  </si>
  <si>
    <t>Arts, Culture, and Creative Practice</t>
  </si>
  <si>
    <t>Justice, Governance, and Partner Engagement</t>
  </si>
  <si>
    <t>Human Services</t>
  </si>
  <si>
    <t>Data Sciences and Analytics</t>
  </si>
  <si>
    <t>Justice, Governance and Partner Engagement</t>
  </si>
  <si>
    <t>53% or 1.78 HIPs per student</t>
  </si>
  <si>
    <t>Learning space per student FTEs [m2/FTEs]</t>
  </si>
  <si>
    <t>Number of co-op work term placements</t>
  </si>
  <si>
    <t>10% increase end of SMA2</t>
  </si>
  <si>
    <t>Maintain current level</t>
  </si>
  <si>
    <t>26.0-27.0</t>
  </si>
  <si>
    <t>Establishing baseline in 2017</t>
  </si>
  <si>
    <t>Retention: 90% Graduation rate: 69%</t>
  </si>
  <si>
    <t>Number of student visits at innovative learning spaces (e.g., MakerSpace, learning centre, simulation labs, Finance Research and Learning Lab); that this may also include use of innovative online spaces, including the new LMS[3]</t>
  </si>
  <si>
    <t>1,000 (2.8%)</t>
  </si>
  <si>
    <t>4,250 (11.8%)</t>
  </si>
  <si>
    <t xml:space="preserve">	2,100 (5.9%)</t>
  </si>
  <si>
    <t>16,000 (45%)</t>
  </si>
  <si>
    <t>Applicants: 1,600 Registrants: 160</t>
  </si>
  <si>
    <t>Number of undergraduate programs delivered entirely in French</t>
  </si>
  <si>
    <t>Percentage of undergraduate courses taught in both French and English</t>
  </si>
  <si>
    <t>Total: Top 3 in Ontario SSHRC: Top 3 in Ontario NSERC: Top 6 in Ontario CIHR: Top 3 in Ontario</t>
  </si>
  <si>
    <t xml:space="preserve">	17,300 (Over a 5 year period) 13.4 per faculty (Over a 5 year period)</t>
  </si>
  <si>
    <t>176,000 (Over a 5 year period) 10.3 (per paper, over a 5 year period)</t>
  </si>
  <si>
    <t>PhD admissions</t>
  </si>
  <si>
    <t>Research intensity in dollars per faculty member, based on 3-year average for 2012-2014 Research Infosource data.</t>
  </si>
  <si>
    <t>Top 3 in Ontario</t>
  </si>
  <si>
    <t>6 months: 89% 2 years: 94%</t>
  </si>
  <si>
    <t>Annual economic impact</t>
  </si>
  <si>
    <t>Number of students involved in entrepreneurship courses</t>
  </si>
  <si>
    <t>Increase by 25% over the duration of SMA2</t>
  </si>
  <si>
    <t>Increase 5% over the duration of SMA2</t>
  </si>
  <si>
    <t>Health Sciences</t>
  </si>
  <si>
    <t>Sciences</t>
  </si>
  <si>
    <t>Technology</t>
  </si>
  <si>
    <t>Government and Management</t>
  </si>
  <si>
    <t>Health</t>
  </si>
  <si>
    <t>Public and International Affairs</t>
  </si>
  <si>
    <t>≥ Ontario mean</t>
  </si>
  <si>
    <t>≥ U6 mean</t>
  </si>
  <si>
    <t>Graduate student (non-professional) academic experience (CGPSS)</t>
  </si>
  <si>
    <t>Professional Masters student satisfaction (CGPSS)</t>
  </si>
  <si>
    <t>Undergraduate participation in Study Abroad (NSSE)</t>
  </si>
  <si>
    <t>≥ Ontario university mean</t>
  </si>
  <si>
    <t>25% of programs</t>
  </si>
  <si>
    <t>Undergraduate research experience with a faculty member (NSSE)</t>
  </si>
  <si>
    <t>Practicum experience for professional masters students (CGPSS)</t>
  </si>
  <si>
    <t>Current levels</t>
  </si>
  <si>
    <t xml:space="preserve">	≥ Ontario university mean</t>
  </si>
  <si>
    <t>Student Aid per recipient, Student Access Guarantee (SAG) expenditures per recipient</t>
  </si>
  <si>
    <t>Scholarships and Bursaries – Expenditures per Student FTE</t>
  </si>
  <si>
    <t>Top Ontario university</t>
  </si>
  <si>
    <t>Top quartile of Ontario universities</t>
  </si>
  <si>
    <t>Highly-cited researchers – 3 year average</t>
  </si>
  <si>
    <t>International honours - % of Ontario faculty recipients</t>
  </si>
  <si>
    <t>National honours - % of Ontario faculty recipients</t>
  </si>
  <si>
    <t>Global rankings performance (THE, QS, NTU, US News &amp; World, Shanghai – Average of overall ranks)</t>
  </si>
  <si>
    <t>Top Ontario University</t>
  </si>
  <si>
    <t>Top GTA University</t>
  </si>
  <si>
    <t>≥ GTA university average</t>
  </si>
  <si>
    <t>New invention disclosures – 3 year average</t>
  </si>
  <si>
    <t>Education, Physical Education, Recreation and Leisure</t>
  </si>
  <si>
    <t>Fine and Applied Arts</t>
  </si>
  <si>
    <t>Social Sciences</t>
  </si>
  <si>
    <t>Agricultural and Biological Sciences</t>
  </si>
  <si>
    <t>Engineering and Applied Sciences</t>
  </si>
  <si>
    <t>Health Professions and Occupations</t>
  </si>
  <si>
    <t>Mathematics and Physical Sciences</t>
  </si>
  <si>
    <t>Biomedicine and Health-related</t>
  </si>
  <si>
    <t>Engineering/Architecture/Environment</t>
  </si>
  <si>
    <t>Global Affairs/Public Policy</t>
  </si>
  <si>
    <t>Business/Management/Finance</t>
  </si>
  <si>
    <t>Arts &amp; Science – doctoral-stream</t>
  </si>
  <si>
    <t>Graduate Teacher Education</t>
  </si>
  <si>
    <t>At or above 50%</t>
  </si>
  <si>
    <t>At or above 90%</t>
  </si>
  <si>
    <t>At or above 3%</t>
  </si>
  <si>
    <t>Proportion of operating expenditures on student scholarships and bursaries</t>
  </si>
  <si>
    <t>Number of student international experiences</t>
  </si>
  <si>
    <t>Percentage of graduate students who would recommend Waterloo (Canadian Graduate and Professional Student Survey)</t>
  </si>
  <si>
    <t>At or above 12%</t>
  </si>
  <si>
    <t>At or above 1,000</t>
  </si>
  <si>
    <t>At or above 70%</t>
  </si>
  <si>
    <t>At or above 30</t>
  </si>
  <si>
    <t>At or above 75%</t>
  </si>
  <si>
    <t>Percentage of undergraduate students enrolled in co-op programs</t>
  </si>
  <si>
    <t>Total annual earnings by co-op students</t>
  </si>
  <si>
    <t>Percentage of students rated between very good and outstanding in work term performance</t>
  </si>
  <si>
    <t>At or above 62%</t>
  </si>
  <si>
    <t>At or above $200 million</t>
  </si>
  <si>
    <t>109; 0.4%</t>
  </si>
  <si>
    <t>3,500; 13%</t>
  </si>
  <si>
    <t>2,100; 8%</t>
  </si>
  <si>
    <t>230; 0.4%</t>
  </si>
  <si>
    <t>430; 40</t>
  </si>
  <si>
    <t>Percentage of undergraduate courses offered in more than one term, or in more than one mode</t>
  </si>
  <si>
    <t>Average Ontario Student Assistance Program (OSAP) debt of graduating Waterloo students</t>
  </si>
  <si>
    <t>Female participation in undergraduate Engineering and Mathematics programs</t>
  </si>
  <si>
    <t>At or above 27%</t>
  </si>
  <si>
    <t>At or below $30,000</t>
  </si>
  <si>
    <t>At or above 20%</t>
  </si>
  <si>
    <t>SSHRC – At or above $5M CIHR – At or above $5M NSERC – At or above $5M Overall share – At or above 7.5%</t>
  </si>
  <si>
    <t>Maintain performance</t>
  </si>
  <si>
    <t>At or above $40 million</t>
  </si>
  <si>
    <t>Proportion of publications with international co-authors</t>
  </si>
  <si>
    <t>At or above 30%</t>
  </si>
  <si>
    <t>At or above 85% (2-Year); At or above 80% (6-month)</t>
  </si>
  <si>
    <t>At or above 80%</t>
  </si>
  <si>
    <t>Number of current student- and recent alumni ventures supported by Waterloo entrepreneurship programs</t>
  </si>
  <si>
    <t>Survival rates of Velocity ventures</t>
  </si>
  <si>
    <t>Investment in current student and recent alumni-led ventures</t>
  </si>
  <si>
    <t>At or above 115</t>
  </si>
  <si>
    <t>Exceed industry standard performance as measured by the Kaufmann Institute (currently 60%)</t>
  </si>
  <si>
    <t>At or above $100 million</t>
  </si>
  <si>
    <t>Entrepreneurship</t>
  </si>
  <si>
    <t>Mathematics</t>
  </si>
  <si>
    <t>Quantum Science/Nanotechnology</t>
  </si>
  <si>
    <t>Integrated Business, Accounting, and Finance</t>
  </si>
  <si>
    <t>Health and Well being</t>
  </si>
  <si>
    <t>Environment/Biological Systems</t>
  </si>
  <si>
    <t>Human Behaviour, Institutions, and Interactions</t>
  </si>
  <si>
    <t>Sustainable Societies and Technologies</t>
  </si>
  <si>
    <t>Engineering, Science, and Architecture</t>
  </si>
  <si>
    <t>Social Innovation, Entrepreneurship, and Sustainability</t>
  </si>
  <si>
    <t>Security and Risk Management</t>
  </si>
  <si>
    <t>Technology, Culture, and Communications</t>
  </si>
  <si>
    <t>Health and Aging</t>
  </si>
  <si>
    <t>Strive to ensure that a minimum of 55% of our fourth year students have approximately two HIPs</t>
  </si>
  <si>
    <t>At or above 85%</t>
  </si>
  <si>
    <t>Maintain a commitment that between 4.75% and 5.0% of our operating expenditures are for student services</t>
  </si>
  <si>
    <t>Student placements with employers as part of their academic program</t>
  </si>
  <si>
    <t>Number of students who receive training in sexual assault prevention</t>
  </si>
  <si>
    <t>Minimum of 1,000 students per year</t>
  </si>
  <si>
    <t>By 2018 strive to have in place the ability to offer training under the Bystander Initiative to every incoming first year student</t>
  </si>
  <si>
    <t>27 out of 40 (67%)</t>
  </si>
  <si>
    <t>Establish a baseline and strive to have 50% completed by 2020</t>
  </si>
  <si>
    <t>Maintain a minimum graduation rate of 67% and strive for 70% or greater</t>
  </si>
  <si>
    <t>Participation in e-courses with e-learning formats, including on-line courses: Minimum of 11,000 registrants in e-learning course formats per year</t>
  </si>
  <si>
    <t>Prioritize efforts that encourage high quality teaching practices, eg. through programs offered by Centre for Teaching and Learning, and the UWindsor-Oakland University annual conference on teaching</t>
  </si>
  <si>
    <t>Ensure that all new faculty members receive instruction on best teaching practices</t>
  </si>
  <si>
    <t>140 (approximately 1%)</t>
  </si>
  <si>
    <t>2,650 (approximately 20%)</t>
  </si>
  <si>
    <t>650 (approximately 5%)</t>
  </si>
  <si>
    <t>520 (approximately 4%)</t>
  </si>
  <si>
    <t>575 transfer applicants and 75 transfer registrations</t>
  </si>
  <si>
    <t>Commit to ensuring that services in support of student achievement are inclusive of all students</t>
  </si>
  <si>
    <t>Peer mentorship programs will be available in all Faculties, and by 2020 all incoming students will have access to mentorship</t>
  </si>
  <si>
    <t>NSERC – 2.67%</t>
  </si>
  <si>
    <t>SSHRC – 2.11%</t>
  </si>
  <si>
    <t>CIHR – 0.24%</t>
  </si>
  <si>
    <t>Total – 1.47%</t>
  </si>
  <si>
    <t>1.16 papers per full-time faculty member per year</t>
  </si>
  <si>
    <t>Maintain existing level</t>
  </si>
  <si>
    <t>Institutional commitments to success of Canada Research Chairs, Industrial Research Chairs, other Research Chairs, institutional Research Centres and Institutes, and emerging strategic research opportunities.</t>
  </si>
  <si>
    <t>Each academic unit will have a statement about how it assesses its collective research and creative activity and will establish a mechanism for maintaining a way of measuring research intensity and impact  within its own department</t>
  </si>
  <si>
    <t>Provide a Research Stimulus Fund of $500K per annum to be used to support strategic research opportunities</t>
  </si>
  <si>
    <t>All statements and mechanisms to be established by 2020</t>
  </si>
  <si>
    <t xml:space="preserve">	Employment rate of 85% six months after graduation and 92% two years after graduation</t>
  </si>
  <si>
    <t>Engagement of students in community work and partnerships that contribute to the social, cultural and economic well-being of people in Windsor-Essex</t>
  </si>
  <si>
    <t>University students will contribute 300,000 hours of service annually for the betterment of the community</t>
  </si>
  <si>
    <t>Creative Arts and Media</t>
  </si>
  <si>
    <t>Education in a Global Context</t>
  </si>
  <si>
    <t>Environment and Ecosystem Adaptation and Recovery</t>
  </si>
  <si>
    <t>Health and Wellness</t>
  </si>
  <si>
    <t>International Borders</t>
  </si>
  <si>
    <t>Physical and Chemical Sciences</t>
  </si>
  <si>
    <t>Law, Education, and Professional Studies</t>
  </si>
  <si>
    <t>Engineering, science and computing</t>
  </si>
  <si>
    <t>Creative Arts and Digital Media</t>
  </si>
  <si>
    <t>Business, Cultures and Governance</t>
  </si>
  <si>
    <t>52% to 56%</t>
  </si>
  <si>
    <t>79% to 81%</t>
  </si>
  <si>
    <t>5% to 7%</t>
  </si>
  <si>
    <t>Percentage of undergraduate students accessing peer support programs</t>
  </si>
  <si>
    <t>30% to 35%</t>
  </si>
  <si>
    <t>27% to 30%</t>
  </si>
  <si>
    <t>65% to 69%</t>
  </si>
  <si>
    <t>20% to 22%</t>
  </si>
  <si>
    <t>Percentage of undergraduate e-learning courses (hybrid/ online)</t>
  </si>
  <si>
    <t>0.9% (83)</t>
  </si>
  <si>
    <t>56.8% (5,219)</t>
  </si>
  <si>
    <t>6.4% (581)</t>
  </si>
  <si>
    <t>1400/ 400</t>
  </si>
  <si>
    <t>$4.7 – 5.2M (NSERC 1.1%, SSHRC 0.9%, CIHR 0.1%)</t>
  </si>
  <si>
    <t>1,800 – 2,000 (~1.3)</t>
  </si>
  <si>
    <t>8,000 – 10,000 (~4.5)</t>
  </si>
  <si>
    <t>Total sponsored research</t>
  </si>
  <si>
    <t>$11 - 13 M</t>
  </si>
  <si>
    <t>94% to 96%</t>
  </si>
  <si>
    <t>89% to 91%</t>
  </si>
  <si>
    <t>Percentage of graduating students involved in work-integrated learning activity* *Work-integrated learning includes co-op, internships, practicums, capstones, research/ teaching assistanceship, and designated courses.</t>
  </si>
  <si>
    <t>Digital/Information Science (e.g., software, computer science, analytics)</t>
  </si>
  <si>
    <t>Social Justice</t>
  </si>
  <si>
    <t>Commerce</t>
  </si>
  <si>
    <t>Energy and Environment</t>
  </si>
  <si>
    <t>Professional Arts</t>
  </si>
  <si>
    <t>Life Sciences</t>
  </si>
  <si>
    <t>Informatics/Data Science</t>
  </si>
  <si>
    <t>Liberal Studies</t>
  </si>
  <si>
    <t>Sustainability and Urban Ecologies</t>
  </si>
  <si>
    <t>International Experiences
Number of international experiences divided by degrees conferred</t>
  </si>
  <si>
    <t>Instructor and Course Evaluations: Overall effectiveness of instructor</t>
  </si>
  <si>
    <t>Instructor and Course Evaluations: Course as a learning experience</t>
  </si>
  <si>
    <t>Work Integrated Learning (Co-ops, Internships, and Practicums )</t>
  </si>
  <si>
    <t>800 applicants; 80 registrations</t>
  </si>
  <si>
    <t>Tri-council funding (share within Ontario, by council – 3-year avg)
SSHRC
NSERC
CIHR</t>
  </si>
  <si>
    <t>Total Number of Papers (5 year total)
Average # of Papers per Full-Time Faculty (5 year avg)	16,500</t>
  </si>
  <si>
    <t>Total Number of Citations (5 year total) 152,0009.4</t>
  </si>
  <si>
    <t xml:space="preserve">
Total Research Revenue: All sources per tenured/probationary faculty member</t>
  </si>
  <si>
    <t>Grads to Total: Western, Graduate enrolments as % of total full-time</t>
  </si>
  <si>
    <t>Research Chairs:  Externally-funded and Western-endowed
Total research chairs	110</t>
  </si>
  <si>
    <t>Thesis downloads</t>
  </si>
  <si>
    <t>90% (6 months)93.5% (2 years)</t>
  </si>
  <si>
    <t>Licensing revenue</t>
  </si>
  <si>
    <t>Students Involved in Entrepreneurship courses and activities</t>
  </si>
  <si>
    <t>TBD  (data collection underway)</t>
  </si>
  <si>
    <t>Liberal and Creative Arts in the Digital Age</t>
  </si>
  <si>
    <t>Science, Technology, Engineering and Mathematics (STEM) Disciplines</t>
  </si>
  <si>
    <t>Business, Management, Finance and Law</t>
  </si>
  <si>
    <t>Medical, Health and Behavioural Sciences</t>
  </si>
  <si>
    <t>STEM Disciplines</t>
  </si>
  <si>
    <t>52% / 1.65</t>
  </si>
  <si>
    <t>87-88.5%</t>
  </si>
  <si>
    <t>6.5-7.0%</t>
  </si>
  <si>
    <t>National Survey of Student Engagement (NSSE) – Composite mean score (first year/senior year) for two questions relating to emphasis the institution places on support of overall well-being (Q14f; Q14g)</t>
  </si>
  <si>
    <t>Canadian Graduate and Professional Student Survey (CGPSS) – Satisfaction with relationship of program content to my research/professional goals</t>
  </si>
  <si>
    <t>Percentage of students who used at least one Career Development Centre service (Career Development Centre Survey)</t>
  </si>
  <si>
    <t>4.5 to 5.5</t>
  </si>
  <si>
    <t>80-85%</t>
  </si>
  <si>
    <t>Greater than 80%</t>
  </si>
  <si>
    <t>28-30</t>
  </si>
  <si>
    <t>Learning outcomes: 98%; curriculum maps: 94%</t>
  </si>
  <si>
    <t>NSSE - Composite mean score (First Year/Senior Year) for two questions relating to emphasis the institution places on academic supports (Q14b - providing support to help students succeed academically; Q14c - using learning support services)</t>
  </si>
  <si>
    <t>CGPSS - Opportunities for internships, practicum, and experiential learning as part of the program</t>
  </si>
  <si>
    <t>5.4 to 6.2</t>
  </si>
  <si>
    <t>70-75%</t>
  </si>
  <si>
    <t>15-16%</t>
  </si>
  <si>
    <t>8-10%</t>
  </si>
  <si>
    <t>630 applications; 40 registrations</t>
  </si>
  <si>
    <t>Student Aid Spending
Western, spending (from all sources) as % of total expenditures</t>
  </si>
  <si>
    <t>Net Tuition
% of full-tuition paid by OSAP recipients</t>
  </si>
  <si>
    <t>Mature students as a %age of all undergraduate students</t>
  </si>
  <si>
    <t>Mature students as a %age of all graduate students</t>
  </si>
  <si>
    <t>Greater than 3.5%</t>
  </si>
  <si>
    <t>Greater than 40%</t>
  </si>
  <si>
    <t>2% average annual increase, over three years</t>
  </si>
  <si>
    <t>2-3% average annual increase, over three years</t>
  </si>
  <si>
    <t xml:space="preserve">	2% average annual increase, over three years</t>
  </si>
  <si>
    <t>Number of publications with international collaborators	2% average annual increase, over three years</t>
  </si>
  <si>
    <t>94-95% (2-year rate)</t>
  </si>
  <si>
    <t>89-91% (6-month rate)</t>
  </si>
  <si>
    <t>89% (2-year rate)</t>
  </si>
  <si>
    <t>Undergraduate student placement rate</t>
  </si>
  <si>
    <t>Undergraduate student employment rate</t>
  </si>
  <si>
    <t>Course registrations in courses on entrepreneurship and social innovation (graduate and undergraduate)</t>
  </si>
  <si>
    <t>Greater than 95%</t>
  </si>
  <si>
    <t>Greater than 90%</t>
  </si>
  <si>
    <t>5% increase</t>
  </si>
  <si>
    <t>Business and Management</t>
  </si>
  <si>
    <t>Environmental Science and Policy</t>
  </si>
  <si>
    <t>Community Engaged Health: Individual and Community Well-Being</t>
  </si>
  <si>
    <t>Community Engaged Health: Lifespan Sciences</t>
  </si>
  <si>
    <t>International Policy and Governance</t>
  </si>
  <si>
    <t>Crime and Justice</t>
  </si>
  <si>
    <t>Music: Creative Practice and Critical Perspectives</t>
  </si>
  <si>
    <t>Education: Experiential, Interdisciplinary Learning</t>
  </si>
  <si>
    <t>Communications and Digital Media Studies</t>
  </si>
  <si>
    <t>46-48%</t>
  </si>
  <si>
    <t xml:space="preserve">	Increase by average of 1% each year (to 88%)</t>
  </si>
  <si>
    <t>Maintain current ranking; 2nd in province</t>
  </si>
  <si>
    <t>Number/percentage of 4th year students who have a research experience (curricular or co-curricular, e.g., RAY)</t>
  </si>
  <si>
    <t>Number /percentage of graduates who have earned a combined credential (e.g., double major, certificate, interdisciplinary and transdisciplinary programs)</t>
  </si>
  <si>
    <t>Graduate student (Masters and Doctoral) completion rates within approved requirements of program</t>
  </si>
  <si>
    <t xml:space="preserve">	Improvement over current number (establish definitions, tracking and baseline data over the period of SMA2)</t>
  </si>
  <si>
    <t>Improve %age completing within timeframe of program over period of SMA2 e.g., Masters average of 4.75 terms would decline</t>
  </si>
  <si>
    <t>NSSE Q17; 1st -year baseline
= 2.54; 4th-year baseline
= 2.74; target to increase moderately over next three years</t>
  </si>
  <si>
    <t>Learning outcomes Baseline
= 96% of Undergraduate programs; 86% of Graduate programs; Learning Outcomes Target =100% for Undergraduate programs; 100% for Graduate programs by end of SMA2. Curriculum Map baseline = 83% for Undergraduate programs; 62% for Graduate programs. Curriculum Map Target = 100% for Undergraduate programs; 90% for Graduate programs by the end of SMA2.
Continually improving quality of maps for Undergraduate and Graduate programs over three years.</t>
  </si>
  <si>
    <t>4-year baseline = 33.8%; 5-year baseline = 57.7%; 6-year baseline = 65.5%; target to increase moderately over next three years.</t>
  </si>
  <si>
    <t>Composite number of students participating in an experiential learning experience. In SMA2, depending on capacity to reliably track, the metric may be restricted to placements, internships, and co‐op with a goal to strengthen tracking of all experiential learning activities before SMA3.: Sum of number of students enrolled in placements, internships and co‐ops (baseline: 4,090 with an aim to increase 1-3% over SMA2 period)</t>
  </si>
  <si>
    <t>Composite number of students in blended courses and fully online courses</t>
  </si>
  <si>
    <t>Proportion of tenure/tenure track faculty who attend professional development activities related to teaching and learning (e.g., Teaching Commons workshops/ programs; Teaching in Focus; Moodle Moot; faculty‐based events within faculties, etc.)</t>
  </si>
  <si>
    <t xml:space="preserve">	Sum of number of students enrolled in blended courses and fully online courses (baseline: 20,780 with goal to increase 1-3% over SMA2 period)</t>
  </si>
  <si>
    <t>Number of full-time faculty engaged (baseline: estimated 220 individuals; aim to moderately increase over three years)</t>
  </si>
  <si>
    <t>Modest increase over baseline values.</t>
  </si>
  <si>
    <t>Cannot measure.</t>
  </si>
  <si>
    <t>65-70%</t>
  </si>
  <si>
    <t>Apps 10% of system; Registrations 5% of system</t>
  </si>
  <si>
    <t>Percentage of undergraduate students taking advantage of flexible program options (e.g., part-time study)</t>
  </si>
  <si>
    <t>Percentage of full-time undergraduate students from diverse backgrounds (e.g., Indigenous, first generation, students with disabilities, Francophone, mature students, students with first language other than English) graduating within 6 years</t>
  </si>
  <si>
    <t>Of total students receiving OSAP, the %age who qualify for funds equal to or above average tuition</t>
  </si>
  <si>
    <t>Increase over established baseline</t>
  </si>
  <si>
    <t>Improve over baseline</t>
  </si>
  <si>
    <t>Establish baseline and expect to maintain that level</t>
  </si>
  <si>
    <t>Tri-Council total: 8% increase, with 3.5-3.7% share over 3 years (SSHRC: retain #2 rank in Ontario with 12-13% share; NSERC: 10% growth over 3 years, rank #9 in Ontario with 4% share; CIHR: retain #8 rank in Ontario with 1.3% share)</t>
  </si>
  <si>
    <t>9-10% growth over 3 years for total number of papers and per faculty</t>
  </si>
  <si>
    <t>Maintain rank: 7th for impact, 8th for number of citations.</t>
  </si>
  <si>
    <t>Percentage of York’s collaborative publications that include an international co‐author</t>
  </si>
  <si>
    <t>Number of graduate students/number of full‐ time PhD students/number of eligible Masters and PhD students</t>
  </si>
  <si>
    <t xml:space="preserve">Recognition of research in print and electronic media	</t>
  </si>
  <si>
    <t>5 year rolling average of &gt;50%</t>
  </si>
  <si>
    <t>Increase over baseline (currently 5th in system)</t>
  </si>
  <si>
    <t>Increase measure by 10% over 3 years</t>
  </si>
  <si>
    <t xml:space="preserve">	Improve over baseline; currently 82.9% (6 months after) and 91.3%
(2 years after)</t>
  </si>
  <si>
    <t>Modest improvement over baseline; currently 83.6%</t>
  </si>
  <si>
    <t>Startup companies supported	Increase (40% growth rate) over baseline (85)</t>
  </si>
  <si>
    <t xml:space="preserve">	Increase (35% growth rate) over baseline (1835)</t>
  </si>
  <si>
    <t xml:space="preserve">Entrepreneurs engaged	</t>
  </si>
  <si>
    <t>Community-based research initiatives</t>
  </si>
  <si>
    <t>Increase (20% growth rate) over baseline (59)</t>
  </si>
  <si>
    <t>Arts, Media, Performance and Design</t>
  </si>
  <si>
    <t>Bilingual Programs</t>
  </si>
  <si>
    <t>Education, Human Services and Community Development</t>
  </si>
  <si>
    <t>Environmental Studies</t>
  </si>
  <si>
    <t>Healthy Individuals and Communities</t>
  </si>
  <si>
    <t>Engineering and Science</t>
  </si>
  <si>
    <t>Arts, Digital Media, Performance and Design</t>
  </si>
  <si>
    <t>Business/Management/Administration</t>
  </si>
  <si>
    <t>Health Individual and Communities</t>
  </si>
  <si>
    <t>Rank</t>
  </si>
  <si>
    <t>Viability Ratio (Reported)</t>
  </si>
  <si>
    <t>Viability Ratio (as Percent)</t>
  </si>
  <si>
    <t>2,000 – 5,000 transfer applicants</t>
  </si>
  <si>
    <t>500 – 1,000 transfer registrants</t>
  </si>
  <si>
    <t>Total projected 2019-2020, all populations (Not formally reported)</t>
  </si>
  <si>
    <t>NSERC [% Canada]</t>
  </si>
  <si>
    <t>CIHR [% Canada]</t>
  </si>
  <si>
    <t>SSHRC [% Canada]</t>
  </si>
  <si>
    <t>NSERC [$]</t>
  </si>
  <si>
    <t>CIHR [$]</t>
  </si>
  <si>
    <t>SSHRC [$]</t>
  </si>
  <si>
    <t>Tri-Council [$]</t>
  </si>
  <si>
    <t>Tri-council funding 2019 NSERC: 3 year average ($)</t>
  </si>
  <si>
    <t>Tri-council funding 2019 NSERC: 3 year average (%)</t>
  </si>
  <si>
    <t>NSERC: $130,567 or higher (0.05%)</t>
  </si>
  <si>
    <t>Tri-council funding 2019 CIHR: ($)</t>
  </si>
  <si>
    <t>CIHR: of $89,857 or higher (0.03%)</t>
  </si>
  <si>
    <t>Tri-council funding 2019 CIHR: (%)</t>
  </si>
  <si>
    <t>Tri-council funding 2019 SSHRC: ($)</t>
  </si>
  <si>
    <t>SSHRC: of $68,843 or higher (0.11%)</t>
  </si>
  <si>
    <t>Tri-council funding 2019 SSHRC: (%)</t>
  </si>
  <si>
    <t>Tri-council funding 2019 Tri-Council: of ($)</t>
  </si>
  <si>
    <t>Tri-Council: of $289,297 or higher (0.5%)</t>
  </si>
  <si>
    <t>Tri-council funding 2019 Tri-Council: of (%)</t>
  </si>
  <si>
    <t>Employability rankings (THE, QS) – Average of ranks</t>
  </si>
  <si>
    <t>Algoma University Target</t>
  </si>
  <si>
    <t>Algoma University Literal</t>
  </si>
  <si>
    <t>Brock University Target</t>
  </si>
  <si>
    <t>Brock University Literal</t>
  </si>
  <si>
    <t>Carleton University Target</t>
  </si>
  <si>
    <t>Carleton University Literal</t>
  </si>
  <si>
    <t>Lakehead University Target</t>
  </si>
  <si>
    <t>Lakehead University Target2</t>
  </si>
  <si>
    <t>Laurentian University Target</t>
  </si>
  <si>
    <t>Laurentian University Literal</t>
  </si>
  <si>
    <t>McMaster University Target</t>
  </si>
  <si>
    <t>McMaster University Literal</t>
  </si>
  <si>
    <t>Nipissing University Target</t>
  </si>
  <si>
    <t>Nipissing University Literal</t>
  </si>
  <si>
    <t>OCADu Target</t>
  </si>
  <si>
    <t>OCADu Literal</t>
  </si>
  <si>
    <t>Queen's University Target</t>
  </si>
  <si>
    <t>Queen's University Literal</t>
  </si>
  <si>
    <t>Ryerson University Target</t>
  </si>
  <si>
    <t>Ryerson University Literal</t>
  </si>
  <si>
    <t>Trent University Target</t>
  </si>
  <si>
    <t>Trent University Literal</t>
  </si>
  <si>
    <t>Université de Hearst Target</t>
  </si>
  <si>
    <t>Université de Hearst Literal</t>
  </si>
  <si>
    <t>University of Guelph Target</t>
  </si>
  <si>
    <t>University of Guelph Literal</t>
  </si>
  <si>
    <t>University of Ottawa Target</t>
  </si>
  <si>
    <t>University of Ottawa Literal</t>
  </si>
  <si>
    <t>University of Toronto Target</t>
  </si>
  <si>
    <t>University of Toronto Literal</t>
  </si>
  <si>
    <t>University of Waterloo Target</t>
  </si>
  <si>
    <t>University of Waterloo Literal</t>
  </si>
  <si>
    <t>University of Windsor Target</t>
  </si>
  <si>
    <t>University of Windsor Literal</t>
  </si>
  <si>
    <t>UOIT (OTU) Target</t>
  </si>
  <si>
    <t>UOIT (OTU) Literal</t>
  </si>
  <si>
    <t>Western University Target</t>
  </si>
  <si>
    <t>Western University Literal</t>
  </si>
  <si>
    <t>Wilfrid Laurier University Target</t>
  </si>
  <si>
    <t>Wilfrid Laurier University Literal</t>
  </si>
  <si>
    <t>York University Target</t>
  </si>
  <si>
    <t>York University Literal</t>
  </si>
  <si>
    <t>Priority Area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</si>
</sst>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6" formatCode="&quot;$&quot;#,##0;[Red]\-&quot;$&quot;#,##0"/>
    <numFmt numFmtId="44" formatCode="_-&quot;$&quot;* #,##0.00_-;\-&quot;$&quot;* #,##0.00_-;_-&quot;$&quot;* &quot;-&quot;??_-;_-@_-"/>
    <numFmt numFmtId="164" formatCode="&quot;$&quot;#,##0_);[Red]\(&quot;$&quot;#,##0\)"/>
    <numFmt numFmtId="165" formatCode="0.0%"/>
    <numFmt numFmtId="166" formatCode="0.0"/>
    <numFmt numFmtId="167" formatCode="#,##0.0"/>
    <numFmt numFmtId="168" formatCode="_-&quot;$&quot;* #,##0_-;\-&quot;$&quot;* #,##0_-;_-&quot;$&quot;* &quot;-&quot;??_-;_-@_-"/>
    <numFmt numFmtId="169" formatCode="0.000%"/>
    <numFmt numFmtId="170" formatCode="_-&quot;$&quot;* #,##0.0_-;\-&quot;$&quot;* #,##0.0_-;_-&quot;$&quot;* &quot;-&quot;?_-;_-@_-"/>
  </numFmts>
  <fonts count="11"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b/>
      <sz val="11"/>
      <color theme="4" tint="-0.499984740745262"/>
      <name val="Calibri"/>
      <family val="2"/>
      <scheme val="minor"/>
    </font>
    <font>
      <sz val="9"/>
      <color indexed="81"/>
      <name val="Tahoma"/>
      <family val="2"/>
    </font>
    <font>
      <b/>
      <sz val="9"/>
      <color indexed="81"/>
      <name val="Tahoma"/>
      <family val="2"/>
    </font>
    <font>
      <sz val="11"/>
      <name val="Calibri"/>
      <family val="2"/>
      <scheme val="minor"/>
    </font>
    <font>
      <i/>
      <sz val="11"/>
      <color theme="1"/>
      <name val="Calibri"/>
      <family val="2"/>
      <scheme val="minor"/>
    </font>
    <font>
      <b/>
      <sz val="9"/>
      <color rgb="FF000000"/>
      <name val="Tahoma"/>
      <family val="2"/>
    </font>
    <font>
      <sz val="9"/>
      <color rgb="FF000000"/>
      <name val="Tahoma"/>
      <family val="2"/>
    </font>
  </fonts>
  <fills count="13">
    <fill>
      <patternFill patternType="none"/>
    </fill>
    <fill>
      <patternFill patternType="gray125"/>
    </fill>
    <fill>
      <patternFill patternType="solid">
        <fgColor theme="4" tint="0.39997558519241921"/>
        <bgColor theme="4" tint="0.79998168889431442"/>
      </patternFill>
    </fill>
    <fill>
      <patternFill patternType="solid">
        <fgColor theme="4" tint="0.39997558519241921"/>
        <bgColor indexed="64"/>
      </patternFill>
    </fill>
    <fill>
      <patternFill patternType="solid">
        <fgColor theme="0"/>
        <bgColor indexed="64"/>
      </patternFill>
    </fill>
    <fill>
      <patternFill patternType="solid">
        <fgColor theme="7" tint="0.79998168889431442"/>
        <bgColor indexed="64"/>
      </patternFill>
    </fill>
    <fill>
      <patternFill patternType="solid">
        <fgColor theme="3" tint="0.79998168889431442"/>
        <bgColor indexed="64"/>
      </patternFill>
    </fill>
    <fill>
      <patternFill patternType="solid">
        <fgColor theme="4" tint="0.79998168889431442"/>
        <bgColor theme="4" tint="0.79998168889431442"/>
      </patternFill>
    </fill>
    <fill>
      <patternFill patternType="solid">
        <fgColor rgb="FFFFFF00"/>
        <bgColor indexed="64"/>
      </patternFill>
    </fill>
    <fill>
      <patternFill patternType="solid">
        <fgColor theme="4" tint="0.79998168889431442"/>
        <bgColor indexed="64"/>
      </patternFill>
    </fill>
    <fill>
      <patternFill patternType="solid">
        <fgColor rgb="FFFFFDCD"/>
        <bgColor indexed="64"/>
      </patternFill>
    </fill>
    <fill>
      <patternFill patternType="solid">
        <fgColor theme="7" tint="0.79998168889431442"/>
        <bgColor theme="4" tint="0.79998168889431442"/>
      </patternFill>
    </fill>
    <fill>
      <patternFill patternType="solid">
        <fgColor theme="3" tint="0.79998168889431442"/>
        <bgColor theme="4" tint="0.79998168889431442"/>
      </patternFill>
    </fill>
  </fills>
  <borders count="15">
    <border>
      <left/>
      <right/>
      <top/>
      <bottom/>
      <diagonal/>
    </border>
    <border>
      <left style="thin">
        <color theme="4" tint="0.39997558519241921"/>
      </left>
      <right/>
      <top style="thin">
        <color theme="4" tint="0.39997558519241921"/>
      </top>
      <bottom style="thin">
        <color theme="4" tint="0.39997558519241921"/>
      </bottom>
      <diagonal/>
    </border>
    <border>
      <left/>
      <right style="thin">
        <color indexed="64"/>
      </right>
      <top/>
      <bottom/>
      <diagonal/>
    </border>
    <border>
      <left/>
      <right/>
      <top/>
      <bottom style="thin">
        <color theme="2" tint="-0.249977111117893"/>
      </bottom>
      <diagonal/>
    </border>
    <border>
      <left style="thin">
        <color theme="4" tint="0.39997558519241921"/>
      </left>
      <right/>
      <top/>
      <bottom style="thin">
        <color theme="2" tint="-0.249977111117893"/>
      </bottom>
      <diagonal/>
    </border>
    <border>
      <left style="thin">
        <color indexed="64"/>
      </left>
      <right/>
      <top/>
      <bottom style="thin">
        <color theme="2" tint="-0.249977111117893"/>
      </bottom>
      <diagonal/>
    </border>
    <border>
      <left/>
      <right/>
      <top style="thin">
        <color theme="4" tint="0.39997558519241921"/>
      </top>
      <bottom style="thin">
        <color theme="2" tint="-0.249977111117893"/>
      </bottom>
      <diagonal/>
    </border>
    <border>
      <left style="thin">
        <color theme="4" tint="0.39997558519241921"/>
      </left>
      <right/>
      <top style="thin">
        <color theme="4" tint="0.39997558519241921"/>
      </top>
      <bottom style="thin">
        <color theme="2" tint="-0.249977111117893"/>
      </bottom>
      <diagonal/>
    </border>
    <border>
      <left/>
      <right style="thin">
        <color rgb="FF000000"/>
      </right>
      <top/>
      <bottom/>
      <diagonal/>
    </border>
    <border>
      <left style="thin">
        <color indexed="64"/>
      </left>
      <right/>
      <top/>
      <bottom/>
      <diagonal/>
    </border>
    <border>
      <left style="thin">
        <color indexed="64"/>
      </left>
      <right/>
      <top style="thin">
        <color theme="4" tint="0.39997558519241921"/>
      </top>
      <bottom style="thin">
        <color theme="2" tint="-0.249977111117893"/>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4" tint="0.39997558519241921"/>
      </left>
      <right/>
      <top/>
      <bottom style="thin">
        <color theme="4" tint="0.39997558519241921"/>
      </bottom>
      <diagonal/>
    </border>
    <border>
      <left/>
      <right/>
      <top style="thin">
        <color indexed="64"/>
      </top>
      <bottom style="thin">
        <color indexed="64"/>
      </bottom>
      <diagonal/>
    </border>
  </borders>
  <cellStyleXfs count="3">
    <xf numFmtId="0" fontId="0" fillId="0" borderId="0"/>
    <xf numFmtId="9" fontId="1" fillId="0" borderId="0" applyFont="0" applyFill="0" applyBorder="0" applyAlignment="0" applyProtection="0"/>
    <xf numFmtId="44" fontId="1" fillId="0" borderId="0" applyFont="0" applyFill="0" applyBorder="0" applyAlignment="0" applyProtection="0"/>
  </cellStyleXfs>
  <cellXfs count="234">
    <xf numFmtId="0" fontId="0" fillId="0" borderId="0" xfId="0"/>
    <xf numFmtId="0" fontId="0" fillId="0" borderId="0" xfId="0" applyAlignment="1">
      <alignment wrapText="1"/>
    </xf>
    <xf numFmtId="10" fontId="0" fillId="0" borderId="0" xfId="0" applyNumberFormat="1"/>
    <xf numFmtId="0" fontId="3" fillId="0" borderId="0" xfId="0" applyFont="1"/>
    <xf numFmtId="3" fontId="0" fillId="0" borderId="0" xfId="0" applyNumberFormat="1"/>
    <xf numFmtId="9" fontId="0" fillId="0" borderId="0" xfId="1" applyFont="1"/>
    <xf numFmtId="165" fontId="0" fillId="0" borderId="0" xfId="0" applyNumberFormat="1"/>
    <xf numFmtId="1" fontId="0" fillId="0" borderId="0" xfId="0" applyNumberFormat="1"/>
    <xf numFmtId="0" fontId="0" fillId="0" borderId="1" xfId="0" applyFill="1" applyBorder="1"/>
    <xf numFmtId="0" fontId="0" fillId="0" borderId="0" xfId="0" applyAlignment="1">
      <alignment horizontal="left"/>
    </xf>
    <xf numFmtId="1" fontId="0" fillId="0" borderId="0" xfId="0" applyNumberFormat="1" applyAlignment="1">
      <alignment horizontal="left"/>
    </xf>
    <xf numFmtId="1" fontId="0" fillId="0" borderId="0" xfId="0" applyNumberFormat="1" applyAlignment="1">
      <alignment horizontal="right"/>
    </xf>
    <xf numFmtId="4" fontId="0" fillId="0" borderId="0" xfId="0" applyNumberFormat="1"/>
    <xf numFmtId="166" fontId="0" fillId="0" borderId="0" xfId="0" applyNumberFormat="1" applyAlignment="1">
      <alignment horizontal="left"/>
    </xf>
    <xf numFmtId="0" fontId="0" fillId="0" borderId="2" xfId="0" applyBorder="1"/>
    <xf numFmtId="9" fontId="0" fillId="0" borderId="2" xfId="0" applyNumberFormat="1" applyBorder="1"/>
    <xf numFmtId="165" fontId="0" fillId="0" borderId="2" xfId="0" applyNumberFormat="1" applyBorder="1"/>
    <xf numFmtId="1" fontId="0" fillId="0" borderId="2" xfId="0" applyNumberFormat="1" applyBorder="1"/>
    <xf numFmtId="1" fontId="0" fillId="0" borderId="2" xfId="0" applyNumberFormat="1" applyBorder="1" applyAlignment="1">
      <alignment horizontal="left"/>
    </xf>
    <xf numFmtId="0" fontId="0" fillId="0" borderId="2" xfId="0" applyBorder="1" applyAlignment="1">
      <alignment horizontal="left"/>
    </xf>
    <xf numFmtId="165" fontId="0" fillId="0" borderId="2" xfId="1" applyNumberFormat="1" applyFont="1" applyBorder="1"/>
    <xf numFmtId="0" fontId="0" fillId="0" borderId="0" xfId="0" applyBorder="1"/>
    <xf numFmtId="9" fontId="0" fillId="0" borderId="0" xfId="0" applyNumberFormat="1" applyBorder="1"/>
    <xf numFmtId="165" fontId="0" fillId="0" borderId="0" xfId="0" applyNumberFormat="1" applyBorder="1"/>
    <xf numFmtId="1" fontId="0" fillId="0" borderId="0" xfId="0" applyNumberFormat="1" applyBorder="1"/>
    <xf numFmtId="1" fontId="0" fillId="0" borderId="0" xfId="0" applyNumberFormat="1" applyBorder="1" applyAlignment="1">
      <alignment horizontal="right"/>
    </xf>
    <xf numFmtId="1" fontId="0" fillId="0" borderId="0" xfId="0" applyNumberFormat="1" applyBorder="1" applyAlignment="1">
      <alignment horizontal="left"/>
    </xf>
    <xf numFmtId="166" fontId="0" fillId="0" borderId="0" xfId="0" applyNumberFormat="1" applyBorder="1" applyAlignment="1">
      <alignment horizontal="left"/>
    </xf>
    <xf numFmtId="0" fontId="0" fillId="0" borderId="0" xfId="0" applyBorder="1" applyAlignment="1">
      <alignment horizontal="left"/>
    </xf>
    <xf numFmtId="10" fontId="0" fillId="0" borderId="0" xfId="1" applyNumberFormat="1" applyFont="1" applyBorder="1" applyAlignment="1">
      <alignment horizontal="left"/>
    </xf>
    <xf numFmtId="0" fontId="0" fillId="0" borderId="2" xfId="0" applyFill="1" applyBorder="1"/>
    <xf numFmtId="165" fontId="0" fillId="0" borderId="2" xfId="1" applyNumberFormat="1" applyFont="1" applyFill="1" applyBorder="1"/>
    <xf numFmtId="1" fontId="0" fillId="0" borderId="2" xfId="0" applyNumberFormat="1" applyFill="1" applyBorder="1"/>
    <xf numFmtId="0" fontId="0" fillId="0" borderId="2" xfId="0" applyFill="1" applyBorder="1" applyAlignment="1">
      <alignment horizontal="left"/>
    </xf>
    <xf numFmtId="0" fontId="3" fillId="0" borderId="3" xfId="0" applyFont="1" applyBorder="1"/>
    <xf numFmtId="0" fontId="4" fillId="4" borderId="3" xfId="0" applyFont="1" applyFill="1" applyBorder="1"/>
    <xf numFmtId="0" fontId="2" fillId="3" borderId="6" xfId="0" applyFont="1" applyFill="1" applyBorder="1"/>
    <xf numFmtId="0" fontId="2" fillId="3" borderId="7" xfId="0" applyFont="1" applyFill="1" applyBorder="1"/>
    <xf numFmtId="0" fontId="0" fillId="5" borderId="0" xfId="0" applyFill="1"/>
    <xf numFmtId="0" fontId="0" fillId="5" borderId="0" xfId="0" applyFill="1" applyAlignment="1">
      <alignment wrapText="1"/>
    </xf>
    <xf numFmtId="165" fontId="0" fillId="5" borderId="2" xfId="1" applyNumberFormat="1" applyFont="1" applyFill="1" applyBorder="1"/>
    <xf numFmtId="1" fontId="0" fillId="5" borderId="0" xfId="0" applyNumberFormat="1" applyFill="1" applyBorder="1"/>
    <xf numFmtId="0" fontId="0" fillId="5" borderId="2" xfId="0" applyFill="1" applyBorder="1"/>
    <xf numFmtId="0" fontId="0" fillId="5" borderId="0" xfId="0" applyFill="1" applyBorder="1"/>
    <xf numFmtId="0" fontId="0" fillId="6" borderId="0" xfId="0" applyFill="1"/>
    <xf numFmtId="0" fontId="0" fillId="6" borderId="0" xfId="0" applyFill="1" applyAlignment="1">
      <alignment wrapText="1"/>
    </xf>
    <xf numFmtId="0" fontId="0" fillId="6" borderId="0" xfId="0" applyFill="1" applyAlignment="1">
      <alignment horizontal="left"/>
    </xf>
    <xf numFmtId="9" fontId="0" fillId="6" borderId="0" xfId="0" applyNumberFormat="1" applyFill="1"/>
    <xf numFmtId="165" fontId="0" fillId="6" borderId="2" xfId="0" applyNumberFormat="1" applyFill="1" applyBorder="1"/>
    <xf numFmtId="9" fontId="0" fillId="6" borderId="0" xfId="0" applyNumberFormat="1" applyFill="1" applyBorder="1"/>
    <xf numFmtId="165" fontId="0" fillId="6" borderId="0" xfId="0" applyNumberFormat="1" applyFill="1"/>
    <xf numFmtId="165" fontId="0" fillId="6" borderId="2" xfId="1" applyNumberFormat="1" applyFont="1" applyFill="1" applyBorder="1"/>
    <xf numFmtId="165" fontId="0" fillId="6" borderId="0" xfId="0" applyNumberFormat="1" applyFill="1" applyBorder="1"/>
    <xf numFmtId="9" fontId="0" fillId="6" borderId="2" xfId="0" applyNumberFormat="1" applyFill="1" applyBorder="1"/>
    <xf numFmtId="3" fontId="0" fillId="6" borderId="0" xfId="0" applyNumberFormat="1" applyFill="1"/>
    <xf numFmtId="3" fontId="0" fillId="6" borderId="2" xfId="0" applyNumberFormat="1" applyFill="1" applyBorder="1"/>
    <xf numFmtId="167" fontId="0" fillId="6" borderId="0" xfId="0" applyNumberFormat="1" applyFill="1" applyBorder="1"/>
    <xf numFmtId="0" fontId="0" fillId="6" borderId="0" xfId="0" applyFill="1" applyBorder="1"/>
    <xf numFmtId="0" fontId="0" fillId="6" borderId="2" xfId="0" applyFill="1" applyBorder="1"/>
    <xf numFmtId="1" fontId="0" fillId="6" borderId="2" xfId="1" applyNumberFormat="1" applyFont="1" applyFill="1" applyBorder="1"/>
    <xf numFmtId="1" fontId="0" fillId="6" borderId="0" xfId="0" applyNumberFormat="1" applyFill="1" applyAlignment="1">
      <alignment horizontal="left"/>
    </xf>
    <xf numFmtId="0" fontId="0" fillId="6" borderId="2" xfId="0" applyFill="1" applyBorder="1" applyAlignment="1">
      <alignment horizontal="left"/>
    </xf>
    <xf numFmtId="1" fontId="0" fillId="6" borderId="0" xfId="0" applyNumberFormat="1" applyFill="1" applyBorder="1" applyAlignment="1">
      <alignment horizontal="left"/>
    </xf>
    <xf numFmtId="9" fontId="0" fillId="6" borderId="0" xfId="0" applyNumberFormat="1" applyFill="1" applyAlignment="1">
      <alignment horizontal="left"/>
    </xf>
    <xf numFmtId="165" fontId="0" fillId="6" borderId="0" xfId="0" applyNumberFormat="1" applyFill="1" applyBorder="1" applyAlignment="1">
      <alignment horizontal="left"/>
    </xf>
    <xf numFmtId="166" fontId="0" fillId="6" borderId="0" xfId="0" applyNumberFormat="1" applyFill="1" applyAlignment="1">
      <alignment horizontal="left"/>
    </xf>
    <xf numFmtId="9" fontId="0" fillId="6" borderId="0" xfId="1" applyFont="1" applyFill="1" applyBorder="1" applyAlignment="1">
      <alignment horizontal="left"/>
    </xf>
    <xf numFmtId="9" fontId="0" fillId="6" borderId="0" xfId="0" applyNumberFormat="1" applyFill="1" applyBorder="1" applyAlignment="1">
      <alignment horizontal="left"/>
    </xf>
    <xf numFmtId="1" fontId="0" fillId="6" borderId="2" xfId="0" applyNumberFormat="1" applyFill="1" applyBorder="1" applyAlignment="1">
      <alignment horizontal="left"/>
    </xf>
    <xf numFmtId="166" fontId="0" fillId="6" borderId="0" xfId="0" applyNumberFormat="1" applyFill="1" applyBorder="1" applyAlignment="1">
      <alignment horizontal="left"/>
    </xf>
    <xf numFmtId="9" fontId="0" fillId="6" borderId="2" xfId="0" applyNumberFormat="1" applyFill="1" applyBorder="1" applyAlignment="1">
      <alignment horizontal="left"/>
    </xf>
    <xf numFmtId="168" fontId="0" fillId="6" borderId="0" xfId="2" applyNumberFormat="1" applyFont="1" applyFill="1" applyAlignment="1">
      <alignment horizontal="left"/>
    </xf>
    <xf numFmtId="168" fontId="0" fillId="6" borderId="0" xfId="2" applyNumberFormat="1" applyFont="1" applyFill="1" applyBorder="1" applyAlignment="1">
      <alignment horizontal="left"/>
    </xf>
    <xf numFmtId="10" fontId="0" fillId="6" borderId="0" xfId="2" applyNumberFormat="1" applyFont="1" applyFill="1" applyAlignment="1">
      <alignment horizontal="left"/>
    </xf>
    <xf numFmtId="10" fontId="0" fillId="6" borderId="0" xfId="0" applyNumberFormat="1" applyFill="1" applyBorder="1" applyAlignment="1">
      <alignment horizontal="left"/>
    </xf>
    <xf numFmtId="44" fontId="0" fillId="6" borderId="0" xfId="2" applyFont="1" applyFill="1" applyAlignment="1">
      <alignment horizontal="left"/>
    </xf>
    <xf numFmtId="2" fontId="0" fillId="6" borderId="0" xfId="0" applyNumberFormat="1" applyFill="1" applyAlignment="1">
      <alignment horizontal="left"/>
    </xf>
    <xf numFmtId="2" fontId="0" fillId="6" borderId="0" xfId="0" applyNumberFormat="1" applyFill="1" applyBorder="1" applyAlignment="1">
      <alignment horizontal="left"/>
    </xf>
    <xf numFmtId="0" fontId="0" fillId="6" borderId="0" xfId="0" applyFill="1" applyBorder="1" applyAlignment="1">
      <alignment horizontal="left"/>
    </xf>
    <xf numFmtId="9" fontId="0" fillId="6" borderId="0" xfId="1" applyFont="1" applyFill="1" applyAlignment="1">
      <alignment horizontal="left"/>
    </xf>
    <xf numFmtId="9" fontId="0" fillId="6" borderId="2" xfId="1" applyFont="1" applyFill="1" applyBorder="1" applyAlignment="1">
      <alignment horizontal="left"/>
    </xf>
    <xf numFmtId="165" fontId="0" fillId="0" borderId="0" xfId="0" applyNumberFormat="1" applyBorder="1" applyAlignment="1">
      <alignment wrapText="1"/>
    </xf>
    <xf numFmtId="165" fontId="0" fillId="0" borderId="2" xfId="0" applyNumberFormat="1" applyBorder="1" applyAlignment="1">
      <alignment wrapText="1"/>
    </xf>
    <xf numFmtId="1" fontId="0" fillId="0" borderId="0" xfId="0" applyNumberFormat="1" applyBorder="1" applyAlignment="1">
      <alignment wrapText="1"/>
    </xf>
    <xf numFmtId="166" fontId="0" fillId="0" borderId="0" xfId="0" applyNumberFormat="1" applyBorder="1"/>
    <xf numFmtId="10" fontId="0" fillId="6" borderId="0" xfId="0" applyNumberFormat="1" applyFill="1" applyBorder="1"/>
    <xf numFmtId="0" fontId="0" fillId="6" borderId="2" xfId="0" applyFill="1" applyBorder="1" applyAlignment="1">
      <alignment wrapText="1"/>
    </xf>
    <xf numFmtId="9" fontId="0" fillId="6" borderId="0" xfId="1" applyFont="1" applyFill="1" applyBorder="1"/>
    <xf numFmtId="0" fontId="0" fillId="0" borderId="0" xfId="0" applyNumberFormat="1"/>
    <xf numFmtId="1" fontId="0" fillId="5" borderId="0" xfId="0" applyNumberFormat="1" applyFill="1" applyAlignment="1">
      <alignment horizontal="right"/>
    </xf>
    <xf numFmtId="0" fontId="0" fillId="5" borderId="2" xfId="0" applyFill="1" applyBorder="1" applyAlignment="1">
      <alignment horizontal="left"/>
    </xf>
    <xf numFmtId="1" fontId="0" fillId="5" borderId="0" xfId="0" applyNumberFormat="1" applyFill="1" applyBorder="1" applyAlignment="1">
      <alignment horizontal="right"/>
    </xf>
    <xf numFmtId="1" fontId="0" fillId="0" borderId="2" xfId="0" applyNumberFormat="1" applyBorder="1" applyAlignment="1">
      <alignment wrapText="1"/>
    </xf>
    <xf numFmtId="9" fontId="0" fillId="6" borderId="2" xfId="1" applyFont="1" applyFill="1" applyBorder="1"/>
    <xf numFmtId="9" fontId="0" fillId="0" borderId="0" xfId="0" applyNumberFormat="1"/>
    <xf numFmtId="10" fontId="0" fillId="6" borderId="0" xfId="0" applyNumberFormat="1" applyFill="1"/>
    <xf numFmtId="166" fontId="0" fillId="5" borderId="0" xfId="0" applyNumberFormat="1" applyFill="1" applyAlignment="1">
      <alignment horizontal="left"/>
    </xf>
    <xf numFmtId="166" fontId="0" fillId="5" borderId="0" xfId="0" applyNumberFormat="1" applyFill="1" applyBorder="1" applyAlignment="1">
      <alignment horizontal="left"/>
    </xf>
    <xf numFmtId="168" fontId="0" fillId="5" borderId="0" xfId="2" applyNumberFormat="1" applyFont="1" applyFill="1" applyBorder="1"/>
    <xf numFmtId="164" fontId="0" fillId="5" borderId="0" xfId="0" applyNumberFormat="1" applyFill="1"/>
    <xf numFmtId="165" fontId="0" fillId="6" borderId="0" xfId="1" applyNumberFormat="1" applyFont="1" applyFill="1"/>
    <xf numFmtId="0" fontId="0" fillId="0" borderId="0" xfId="0" applyAlignment="1">
      <alignment horizontal="left" wrapText="1"/>
    </xf>
    <xf numFmtId="0" fontId="2" fillId="2" borderId="6" xfId="0" applyFont="1" applyFill="1" applyBorder="1"/>
    <xf numFmtId="0" fontId="0" fillId="0" borderId="2" xfId="0" applyBorder="1" applyAlignment="1">
      <alignment wrapText="1"/>
    </xf>
    <xf numFmtId="0" fontId="0" fillId="0" borderId="2" xfId="0" applyBorder="1" applyAlignment="1">
      <alignment horizontal="left" wrapText="1"/>
    </xf>
    <xf numFmtId="10" fontId="0" fillId="0" borderId="0" xfId="1" applyNumberFormat="1" applyFont="1"/>
    <xf numFmtId="9" fontId="0" fillId="6" borderId="0" xfId="1" applyFont="1" applyFill="1"/>
    <xf numFmtId="44" fontId="0" fillId="6" borderId="0" xfId="2" applyFont="1" applyFill="1"/>
    <xf numFmtId="6" fontId="0" fillId="0" borderId="0" xfId="0" applyNumberFormat="1"/>
    <xf numFmtId="10" fontId="0" fillId="6" borderId="2" xfId="0" applyNumberFormat="1" applyFill="1" applyBorder="1"/>
    <xf numFmtId="6" fontId="0" fillId="0" borderId="2" xfId="0" applyNumberFormat="1" applyBorder="1"/>
    <xf numFmtId="0" fontId="0" fillId="6" borderId="8" xfId="0" applyFill="1" applyBorder="1"/>
    <xf numFmtId="0" fontId="0" fillId="0" borderId="8" xfId="0" applyBorder="1"/>
    <xf numFmtId="0" fontId="0" fillId="5" borderId="8" xfId="0" applyFill="1" applyBorder="1"/>
    <xf numFmtId="10" fontId="0" fillId="6" borderId="8" xfId="0" applyNumberFormat="1" applyFill="1" applyBorder="1"/>
    <xf numFmtId="9" fontId="0" fillId="0" borderId="8" xfId="0" applyNumberFormat="1" applyBorder="1"/>
    <xf numFmtId="10" fontId="0" fillId="6" borderId="0" xfId="1" applyNumberFormat="1" applyFont="1" applyFill="1"/>
    <xf numFmtId="169" fontId="0" fillId="6" borderId="0" xfId="1" applyNumberFormat="1" applyFont="1" applyFill="1"/>
    <xf numFmtId="44" fontId="0" fillId="0" borderId="0" xfId="2" applyFont="1"/>
    <xf numFmtId="168" fontId="0" fillId="0" borderId="0" xfId="2" applyNumberFormat="1" applyFont="1"/>
    <xf numFmtId="10" fontId="0" fillId="0" borderId="0" xfId="0" applyNumberFormat="1" applyFill="1" applyBorder="1"/>
    <xf numFmtId="0" fontId="0" fillId="0" borderId="0" xfId="0" applyFill="1" applyBorder="1"/>
    <xf numFmtId="2" fontId="0" fillId="0" borderId="0" xfId="0" applyNumberFormat="1" applyFill="1" applyBorder="1"/>
    <xf numFmtId="0" fontId="0" fillId="5" borderId="2" xfId="0" applyFill="1" applyBorder="1" applyAlignment="1">
      <alignment wrapText="1"/>
    </xf>
    <xf numFmtId="6" fontId="0" fillId="5" borderId="0" xfId="0" applyNumberFormat="1" applyFill="1"/>
    <xf numFmtId="6" fontId="0" fillId="5" borderId="2" xfId="0" applyNumberFormat="1" applyFill="1" applyBorder="1"/>
    <xf numFmtId="44" fontId="0" fillId="5" borderId="0" xfId="2" applyFont="1" applyFill="1"/>
    <xf numFmtId="0" fontId="4" fillId="4" borderId="3" xfId="0" applyFont="1" applyFill="1" applyBorder="1" applyAlignment="1"/>
    <xf numFmtId="0" fontId="0" fillId="6" borderId="0" xfId="0" applyFill="1" applyAlignment="1"/>
    <xf numFmtId="0" fontId="0" fillId="0" borderId="0" xfId="0" applyAlignment="1"/>
    <xf numFmtId="0" fontId="0" fillId="5" borderId="0" xfId="0" applyFill="1" applyAlignment="1"/>
    <xf numFmtId="9" fontId="0" fillId="0" borderId="2" xfId="1" applyFont="1" applyBorder="1"/>
    <xf numFmtId="0" fontId="0" fillId="0" borderId="0" xfId="0" applyFill="1"/>
    <xf numFmtId="0" fontId="0" fillId="0" borderId="0" xfId="0" applyFill="1" applyAlignment="1">
      <alignment wrapText="1"/>
    </xf>
    <xf numFmtId="0" fontId="0" fillId="0" borderId="0" xfId="0" applyFill="1" applyAlignment="1"/>
    <xf numFmtId="1" fontId="0" fillId="0" borderId="0" xfId="0" applyNumberFormat="1" applyFill="1" applyAlignment="1">
      <alignment horizontal="right"/>
    </xf>
    <xf numFmtId="1" fontId="0" fillId="0" borderId="0" xfId="0" applyNumberFormat="1" applyFill="1" applyBorder="1" applyAlignment="1">
      <alignment horizontal="right"/>
    </xf>
    <xf numFmtId="0" fontId="0" fillId="0" borderId="8" xfId="0" applyFill="1" applyBorder="1"/>
    <xf numFmtId="9" fontId="0" fillId="0" borderId="2" xfId="0" applyNumberFormat="1" applyFill="1" applyBorder="1"/>
    <xf numFmtId="9" fontId="0" fillId="0" borderId="9" xfId="0" applyNumberFormat="1" applyFill="1" applyBorder="1"/>
    <xf numFmtId="0" fontId="0" fillId="0" borderId="9" xfId="0" applyBorder="1"/>
    <xf numFmtId="9" fontId="0" fillId="0" borderId="0" xfId="1" applyFont="1" applyBorder="1"/>
    <xf numFmtId="0" fontId="2" fillId="3" borderId="10" xfId="0" applyFont="1" applyFill="1" applyBorder="1"/>
    <xf numFmtId="0" fontId="0" fillId="6" borderId="9" xfId="0" applyFill="1" applyBorder="1"/>
    <xf numFmtId="0" fontId="0" fillId="5" borderId="9" xfId="0" applyFill="1" applyBorder="1"/>
    <xf numFmtId="0" fontId="0" fillId="0" borderId="9" xfId="0" applyFill="1" applyBorder="1"/>
    <xf numFmtId="9" fontId="0" fillId="6" borderId="9" xfId="0" applyNumberFormat="1" applyFill="1" applyBorder="1"/>
    <xf numFmtId="10" fontId="0" fillId="6" borderId="9" xfId="0" applyNumberFormat="1" applyFill="1" applyBorder="1"/>
    <xf numFmtId="9" fontId="0" fillId="0" borderId="9" xfId="0" applyNumberFormat="1" applyBorder="1"/>
    <xf numFmtId="164" fontId="0" fillId="0" borderId="0" xfId="0" applyNumberFormat="1"/>
    <xf numFmtId="164" fontId="0" fillId="6" borderId="0" xfId="0" applyNumberFormat="1" applyFill="1"/>
    <xf numFmtId="2" fontId="0" fillId="6" borderId="0" xfId="0" applyNumberFormat="1" applyFill="1"/>
    <xf numFmtId="166" fontId="0" fillId="5" borderId="0" xfId="0" applyNumberFormat="1" applyFill="1" applyBorder="1"/>
    <xf numFmtId="9" fontId="0" fillId="5" borderId="2" xfId="0" applyNumberFormat="1" applyFill="1" applyBorder="1"/>
    <xf numFmtId="2" fontId="0" fillId="0" borderId="0" xfId="0" applyNumberFormat="1" applyBorder="1"/>
    <xf numFmtId="166" fontId="0" fillId="0" borderId="0" xfId="0" applyNumberFormat="1" applyFill="1" applyBorder="1"/>
    <xf numFmtId="0" fontId="0" fillId="0" borderId="2" xfId="0" applyFill="1" applyBorder="1" applyAlignment="1">
      <alignment wrapText="1"/>
    </xf>
    <xf numFmtId="10" fontId="0" fillId="0" borderId="0" xfId="0" applyNumberFormat="1" applyFill="1"/>
    <xf numFmtId="1" fontId="0" fillId="5" borderId="0" xfId="0" applyNumberFormat="1" applyFill="1" applyAlignment="1">
      <alignment horizontal="left"/>
    </xf>
    <xf numFmtId="1" fontId="0" fillId="5" borderId="2" xfId="0" applyNumberFormat="1" applyFill="1" applyBorder="1" applyAlignment="1">
      <alignment horizontal="left"/>
    </xf>
    <xf numFmtId="10" fontId="0" fillId="5" borderId="0" xfId="1" applyNumberFormat="1" applyFont="1" applyFill="1" applyBorder="1" applyAlignment="1">
      <alignment horizontal="left"/>
    </xf>
    <xf numFmtId="1" fontId="0" fillId="5" borderId="0" xfId="0" applyNumberFormat="1" applyFill="1" applyBorder="1" applyAlignment="1">
      <alignment wrapText="1"/>
    </xf>
    <xf numFmtId="1" fontId="0" fillId="5" borderId="2" xfId="0" applyNumberFormat="1" applyFill="1" applyBorder="1" applyAlignment="1">
      <alignment wrapText="1"/>
    </xf>
    <xf numFmtId="9" fontId="0" fillId="5" borderId="0" xfId="0" applyNumberFormat="1" applyFill="1"/>
    <xf numFmtId="10" fontId="0" fillId="5" borderId="0" xfId="0" applyNumberFormat="1" applyFill="1"/>
    <xf numFmtId="10" fontId="0" fillId="5" borderId="2" xfId="0" applyNumberFormat="1" applyFill="1" applyBorder="1"/>
    <xf numFmtId="2" fontId="0" fillId="0" borderId="2" xfId="0" applyNumberFormat="1" applyBorder="1"/>
    <xf numFmtId="10" fontId="0" fillId="0" borderId="2" xfId="0" applyNumberFormat="1" applyBorder="1"/>
    <xf numFmtId="2" fontId="0" fillId="0" borderId="0" xfId="0" applyNumberFormat="1"/>
    <xf numFmtId="0" fontId="2" fillId="2" borderId="4" xfId="0" applyFont="1" applyFill="1" applyBorder="1" applyAlignment="1">
      <alignment horizontal="center"/>
    </xf>
    <xf numFmtId="0" fontId="2" fillId="3" borderId="5" xfId="0" applyFont="1" applyFill="1" applyBorder="1" applyAlignment="1">
      <alignment horizontal="center"/>
    </xf>
    <xf numFmtId="0" fontId="2" fillId="2" borderId="5" xfId="0" applyFont="1" applyFill="1" applyBorder="1" applyAlignment="1">
      <alignment horizontal="center"/>
    </xf>
    <xf numFmtId="0" fontId="0" fillId="6" borderId="0" xfId="0" applyFill="1" applyBorder="1" applyAlignment="1">
      <alignment wrapText="1"/>
    </xf>
    <xf numFmtId="0" fontId="3" fillId="7" borderId="13" xfId="0" applyFont="1" applyFill="1" applyBorder="1"/>
    <xf numFmtId="0" fontId="3" fillId="0" borderId="13" xfId="0" applyFont="1" applyBorder="1"/>
    <xf numFmtId="165" fontId="0" fillId="0" borderId="0" xfId="0" applyNumberFormat="1" applyFill="1" applyBorder="1"/>
    <xf numFmtId="165" fontId="0" fillId="0" borderId="0" xfId="1" applyNumberFormat="1" applyFont="1"/>
    <xf numFmtId="165" fontId="0" fillId="0" borderId="0" xfId="1" applyNumberFormat="1" applyFont="1" applyFill="1" applyBorder="1"/>
    <xf numFmtId="165" fontId="0" fillId="0" borderId="0" xfId="1" applyNumberFormat="1" applyFont="1" applyBorder="1"/>
    <xf numFmtId="0" fontId="0" fillId="8" borderId="2" xfId="0" applyFill="1" applyBorder="1"/>
    <xf numFmtId="0" fontId="0" fillId="8" borderId="0" xfId="0" applyFill="1"/>
    <xf numFmtId="0" fontId="0" fillId="8" borderId="0" xfId="0" applyFill="1" applyBorder="1"/>
    <xf numFmtId="0" fontId="0" fillId="8" borderId="9" xfId="0" applyFill="1" applyBorder="1"/>
    <xf numFmtId="0" fontId="0" fillId="8" borderId="8" xfId="0" applyFill="1" applyBorder="1"/>
    <xf numFmtId="9" fontId="0" fillId="10" borderId="0" xfId="0" applyNumberFormat="1" applyFill="1"/>
    <xf numFmtId="0" fontId="7" fillId="6" borderId="2" xfId="0" applyFont="1" applyFill="1" applyBorder="1"/>
    <xf numFmtId="0" fontId="8" fillId="6" borderId="14" xfId="0" applyFont="1" applyFill="1" applyBorder="1"/>
    <xf numFmtId="3" fontId="8" fillId="6" borderId="14" xfId="0" applyNumberFormat="1" applyFont="1" applyFill="1" applyBorder="1"/>
    <xf numFmtId="165" fontId="0" fillId="10" borderId="0" xfId="0" applyNumberFormat="1" applyFill="1"/>
    <xf numFmtId="2" fontId="0" fillId="10" borderId="0" xfId="1" applyNumberFormat="1" applyFont="1" applyFill="1"/>
    <xf numFmtId="168" fontId="0" fillId="7" borderId="11" xfId="2" applyNumberFormat="1" applyFont="1" applyFill="1" applyBorder="1"/>
    <xf numFmtId="168" fontId="0" fillId="0" borderId="11" xfId="2" applyNumberFormat="1" applyFont="1" applyBorder="1"/>
    <xf numFmtId="169" fontId="0" fillId="7" borderId="11" xfId="1" applyNumberFormat="1" applyFont="1" applyFill="1" applyBorder="1"/>
    <xf numFmtId="168" fontId="0" fillId="7" borderId="12" xfId="2" applyNumberFormat="1" applyFont="1" applyFill="1" applyBorder="1"/>
    <xf numFmtId="168" fontId="0" fillId="0" borderId="0" xfId="0" applyNumberFormat="1"/>
    <xf numFmtId="44" fontId="0" fillId="0" borderId="0" xfId="0" applyNumberFormat="1"/>
    <xf numFmtId="44" fontId="0" fillId="5" borderId="0" xfId="0" applyNumberFormat="1" applyFill="1"/>
    <xf numFmtId="168" fontId="0" fillId="5" borderId="0" xfId="0" applyNumberFormat="1" applyFill="1"/>
    <xf numFmtId="170" fontId="0" fillId="5" borderId="0" xfId="0" applyNumberFormat="1" applyFill="1"/>
    <xf numFmtId="168" fontId="0" fillId="11" borderId="11" xfId="2" applyNumberFormat="1" applyFont="1" applyFill="1" applyBorder="1"/>
    <xf numFmtId="10" fontId="0" fillId="5" borderId="0" xfId="1" applyNumberFormat="1" applyFont="1" applyFill="1"/>
    <xf numFmtId="168" fontId="0" fillId="5" borderId="11" xfId="2" applyNumberFormat="1" applyFont="1" applyFill="1" applyBorder="1"/>
    <xf numFmtId="10" fontId="0" fillId="5" borderId="0" xfId="1" applyNumberFormat="1" applyFont="1" applyFill="1" applyBorder="1"/>
    <xf numFmtId="168" fontId="0" fillId="5" borderId="0" xfId="2" applyNumberFormat="1" applyFont="1" applyFill="1"/>
    <xf numFmtId="0" fontId="0" fillId="9" borderId="2" xfId="0" applyFill="1" applyBorder="1"/>
    <xf numFmtId="10" fontId="0" fillId="9" borderId="0" xfId="1" applyNumberFormat="1" applyFont="1" applyFill="1"/>
    <xf numFmtId="169" fontId="0" fillId="11" borderId="11" xfId="1" applyNumberFormat="1" applyFont="1" applyFill="1" applyBorder="1"/>
    <xf numFmtId="169" fontId="0" fillId="5" borderId="11" xfId="1" applyNumberFormat="1" applyFont="1" applyFill="1" applyBorder="1"/>
    <xf numFmtId="10" fontId="0" fillId="5" borderId="9" xfId="0" applyNumberFormat="1" applyFill="1" applyBorder="1"/>
    <xf numFmtId="168" fontId="0" fillId="5" borderId="9" xfId="2" applyNumberFormat="1" applyFont="1" applyFill="1" applyBorder="1"/>
    <xf numFmtId="10" fontId="0" fillId="5" borderId="9" xfId="1" applyNumberFormat="1" applyFont="1" applyFill="1" applyBorder="1"/>
    <xf numFmtId="168" fontId="0" fillId="12" borderId="11" xfId="2" applyNumberFormat="1" applyFont="1" applyFill="1" applyBorder="1"/>
    <xf numFmtId="169" fontId="0" fillId="12" borderId="11" xfId="1" applyNumberFormat="1" applyFont="1" applyFill="1" applyBorder="1"/>
    <xf numFmtId="168" fontId="0" fillId="6" borderId="11" xfId="2" applyNumberFormat="1" applyFont="1" applyFill="1" applyBorder="1"/>
    <xf numFmtId="169" fontId="0" fillId="6" borderId="11" xfId="1" applyNumberFormat="1" applyFont="1" applyFill="1" applyBorder="1"/>
    <xf numFmtId="169" fontId="0" fillId="5" borderId="0" xfId="1" applyNumberFormat="1" applyFont="1" applyFill="1"/>
    <xf numFmtId="168" fontId="0" fillId="6" borderId="0" xfId="2" applyNumberFormat="1" applyFont="1" applyFill="1"/>
    <xf numFmtId="168" fontId="0" fillId="6" borderId="0" xfId="2" applyNumberFormat="1" applyFont="1" applyFill="1" applyBorder="1"/>
    <xf numFmtId="168" fontId="0" fillId="6" borderId="2" xfId="2" applyNumberFormat="1" applyFont="1" applyFill="1" applyBorder="1"/>
    <xf numFmtId="9" fontId="0" fillId="5" borderId="0" xfId="1" applyFont="1" applyFill="1" applyAlignment="1">
      <alignment horizontal="left"/>
    </xf>
    <xf numFmtId="0" fontId="0" fillId="4" borderId="0" xfId="0" applyFill="1"/>
    <xf numFmtId="0" fontId="0" fillId="4" borderId="0" xfId="0" applyFill="1" applyAlignment="1">
      <alignment wrapText="1"/>
    </xf>
    <xf numFmtId="166" fontId="0" fillId="4" borderId="0" xfId="0" applyNumberFormat="1" applyFill="1" applyAlignment="1">
      <alignment horizontal="left"/>
    </xf>
    <xf numFmtId="0" fontId="0" fillId="4" borderId="2" xfId="0" applyFill="1" applyBorder="1" applyAlignment="1">
      <alignment horizontal="left"/>
    </xf>
    <xf numFmtId="166" fontId="0" fillId="4" borderId="0" xfId="0" applyNumberFormat="1" applyFill="1" applyBorder="1" applyAlignment="1">
      <alignment horizontal="left"/>
    </xf>
    <xf numFmtId="0" fontId="0" fillId="4" borderId="0" xfId="0" applyFill="1" applyBorder="1"/>
    <xf numFmtId="0" fontId="0" fillId="4" borderId="2" xfId="0" applyFill="1" applyBorder="1"/>
    <xf numFmtId="0" fontId="0" fillId="4" borderId="2" xfId="0" applyFill="1" applyBorder="1" applyAlignment="1">
      <alignment wrapText="1"/>
    </xf>
    <xf numFmtId="6" fontId="0" fillId="4" borderId="0" xfId="0" applyNumberFormat="1" applyFill="1"/>
    <xf numFmtId="6" fontId="0" fillId="4" borderId="2" xfId="0" applyNumberFormat="1" applyFill="1" applyBorder="1"/>
    <xf numFmtId="0" fontId="0" fillId="4" borderId="8" xfId="0" applyFill="1" applyBorder="1"/>
    <xf numFmtId="44" fontId="0" fillId="4" borderId="0" xfId="2" applyFont="1" applyFill="1"/>
    <xf numFmtId="9" fontId="0" fillId="4" borderId="0" xfId="0" applyNumberFormat="1" applyFill="1"/>
    <xf numFmtId="9" fontId="0" fillId="4" borderId="2" xfId="0" applyNumberFormat="1" applyFill="1" applyBorder="1"/>
  </cellXfs>
  <cellStyles count="3">
    <cellStyle name="Currency" xfId="2" builtinId="4"/>
    <cellStyle name="Normal" xfId="0" builtinId="0"/>
    <cellStyle name="Percent" xfId="1" builtinId="5"/>
  </cellStyles>
  <dxfs count="65">
    <dxf>
      <numFmt numFmtId="168" formatCode="_-&quot;$&quot;* #,##0_-;\-&quot;$&quot;* #,##0_-;_-&quot;$&quot;* &quot;-&quot;??_-;_-@_-"/>
    </dxf>
    <dxf>
      <font>
        <b val="0"/>
        <i val="0"/>
        <strike val="0"/>
        <condense val="0"/>
        <extend val="0"/>
        <outline val="0"/>
        <shadow val="0"/>
        <u val="none"/>
        <vertAlign val="baseline"/>
        <sz val="11"/>
        <color theme="1"/>
        <name val="Calibri"/>
        <family val="2"/>
        <scheme val="minor"/>
      </font>
      <numFmt numFmtId="168" formatCode="_-&quot;$&quot;* #,##0_-;\-&quot;$&quot;* #,##0_-;_-&quot;$&quot;* &quot;-&quot;??_-;_-@_-"/>
      <fill>
        <patternFill patternType="solid">
          <fgColor theme="4" tint="0.79998168889431442"/>
          <bgColor theme="4" tint="0.79998168889431442"/>
        </patternFill>
      </fill>
      <border diagonalUp="0" diagonalDown="0">
        <left/>
        <right style="thin">
          <color theme="4" tint="0.39997558519241921"/>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168" formatCode="_-&quot;$&quot;* #,##0_-;\-&quot;$&quot;* #,##0_-;_-&quot;$&quot;* &quot;-&quot;??_-;_-@_-"/>
      <fill>
        <patternFill patternType="solid">
          <fgColor theme="4" tint="0.79998168889431442"/>
          <bgColor theme="4" tint="0.79998168889431442"/>
        </patternFill>
      </fill>
      <border diagonalUp="0" diagonalDown="0">
        <left/>
        <right style="thin">
          <color theme="4" tint="0.39997558519241921"/>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168" formatCode="_-&quot;$&quot;* #,##0_-;\-&quot;$&quot;* #,##0_-;_-&quot;$&quot;* &quot;-&quot;??_-;_-@_-"/>
      <fill>
        <patternFill patternType="solid">
          <fgColor theme="4" tint="0.79998168889431442"/>
          <bgColor theme="4" tint="0.79998168889431442"/>
        </patternFill>
      </fill>
      <border diagonalUp="0" diagonalDown="0">
        <left/>
        <right style="thin">
          <color theme="4" tint="0.39997558519241921"/>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dxf>
    <dxf>
      <numFmt numFmtId="14" formatCode="0.00%"/>
    </dxf>
    <dxf>
      <font>
        <b val="0"/>
        <i val="0"/>
        <strike val="0"/>
        <condense val="0"/>
        <extend val="0"/>
        <outline val="0"/>
        <shadow val="0"/>
        <u val="none"/>
        <vertAlign val="baseline"/>
        <sz val="11"/>
        <color theme="1"/>
        <name val="Calibri"/>
        <family val="2"/>
        <scheme val="minor"/>
      </font>
    </dxf>
    <dxf>
      <border outline="0">
        <top style="thin">
          <color theme="4" tint="0.39997558519241921"/>
        </top>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dxf>
    <dxf>
      <border outline="0">
        <bottom style="thin">
          <color theme="4" tint="0.39997558519241921"/>
        </bottom>
      </border>
    </dxf>
    <dxf>
      <font>
        <b/>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dxf>
    <dxf>
      <numFmt numFmtId="14" formatCode="0.00%"/>
    </dxf>
    <dxf>
      <numFmt numFmtId="14" formatCode="0.00%"/>
    </dxf>
    <dxf>
      <fill>
        <patternFill patternType="none">
          <fgColor indexed="64"/>
          <bgColor indexed="65"/>
        </patternFill>
      </fill>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fill>
        <patternFill patternType="none">
          <fgColor indexed="64"/>
          <bgColor indexed="65"/>
        </patternFill>
      </fill>
    </dxf>
    <dxf>
      <numFmt numFmtId="3" formatCode="#,##0"/>
    </dxf>
    <dxf>
      <font>
        <b/>
        <i val="0"/>
        <strike val="0"/>
        <condense val="0"/>
        <extend val="0"/>
        <outline val="0"/>
        <shadow val="0"/>
        <u val="none"/>
        <vertAlign val="baseline"/>
        <sz val="11"/>
        <color theme="1"/>
        <name val="Calibri"/>
        <family val="2"/>
        <scheme val="minor"/>
      </font>
    </dxf>
    <dxf>
      <fill>
        <patternFill patternType="none">
          <fgColor indexed="64"/>
          <bgColor indexed="65"/>
        </patternFill>
      </fill>
    </dxf>
    <dxf>
      <fill>
        <patternFill patternType="none">
          <fgColor indexed="64"/>
          <bgColor indexed="65"/>
        </patternFill>
      </fill>
    </dxf>
    <dxf>
      <border diagonalUp="0" diagonalDown="0">
        <left/>
        <right style="thin">
          <color indexed="64"/>
        </right>
        <top/>
        <bottom/>
        <vertical/>
        <horizontal/>
      </border>
    </dxf>
    <dxf>
      <border diagonalUp="0" diagonalDown="0">
        <left/>
        <right style="thin">
          <color indexed="64"/>
        </right>
        <top/>
        <bottom/>
        <vertical/>
        <horizontal/>
      </border>
    </dxf>
    <dxf>
      <border diagonalUp="0" diagonalDown="0">
        <left/>
        <right style="thin">
          <color indexed="64"/>
        </right>
        <top/>
        <bottom/>
        <vertical/>
        <horizontal/>
      </border>
    </dxf>
    <dxf>
      <border diagonalUp="0" diagonalDown="0">
        <left/>
        <right style="thin">
          <color indexed="64"/>
        </right>
        <top/>
        <bottom/>
        <vertical/>
        <horizontal/>
      </border>
    </dxf>
    <dxf>
      <border diagonalUp="0" diagonalDown="0">
        <left/>
        <right style="thin">
          <color indexed="64"/>
        </right>
        <top/>
        <bottom/>
        <vertical/>
        <horizontal/>
      </border>
    </dxf>
    <dxf>
      <border diagonalUp="0" diagonalDown="0">
        <left/>
        <right style="thin">
          <color indexed="64"/>
        </right>
        <top/>
        <bottom/>
        <vertical/>
        <horizontal/>
      </border>
    </dxf>
    <dxf>
      <border diagonalUp="0" diagonalDown="0">
        <left/>
        <right style="thin">
          <color indexed="64"/>
        </right>
        <top/>
        <bottom/>
        <vertical/>
        <horizontal/>
      </border>
    </dxf>
    <dxf>
      <border diagonalUp="0" diagonalDown="0">
        <left style="thin">
          <color indexed="64"/>
        </left>
        <right/>
        <top/>
        <bottom/>
        <vertical/>
        <horizontal/>
      </border>
    </dxf>
    <dxf>
      <border diagonalUp="0" diagonalDown="0">
        <left/>
        <right style="thin">
          <color indexed="64"/>
        </right>
        <top/>
        <bottom/>
        <vertical/>
        <horizontal/>
      </border>
    </dxf>
    <dxf>
      <border diagonalUp="0" diagonalDown="0">
        <left/>
        <right style="thin">
          <color indexed="64"/>
        </right>
        <top/>
        <bottom/>
        <vertical/>
        <horizontal/>
      </border>
    </dxf>
    <dxf>
      <border diagonalUp="0" diagonalDown="0">
        <left/>
        <right style="thin">
          <color indexed="64"/>
        </right>
        <top/>
        <bottom/>
        <vertical/>
        <horizontal/>
      </border>
    </dxf>
    <dxf>
      <border diagonalUp="0" diagonalDown="0">
        <left/>
        <right style="thin">
          <color indexed="64"/>
        </right>
        <top/>
        <bottom/>
        <vertical/>
        <horizontal/>
      </border>
    </dxf>
    <dxf>
      <border diagonalUp="0" diagonalDown="0">
        <left/>
        <right style="thin">
          <color indexed="64"/>
        </right>
        <top/>
        <bottom/>
        <vertical/>
        <horizontal/>
      </border>
    </dxf>
    <dxf>
      <border diagonalUp="0" diagonalDown="0">
        <left/>
        <right style="thin">
          <color indexed="64"/>
        </right>
        <top/>
        <bottom/>
        <vertical/>
        <horizontal/>
      </border>
    </dxf>
    <dxf>
      <border diagonalUp="0" diagonalDown="0">
        <left/>
        <right style="thin">
          <color rgb="FF000000"/>
        </right>
        <top/>
        <bottom/>
        <vertical/>
        <horizontal/>
      </border>
    </dxf>
    <dxf>
      <border diagonalUp="0" diagonalDown="0">
        <left/>
        <right style="thin">
          <color indexed="64"/>
        </right>
        <top/>
        <bottom/>
        <vertical/>
        <horizontal/>
      </border>
    </dxf>
    <dxf>
      <border diagonalUp="0" diagonalDown="0">
        <left/>
        <right style="thin">
          <color indexed="64"/>
        </right>
        <top/>
        <bottom/>
        <vertical/>
        <horizontal/>
      </border>
    </dxf>
    <dxf>
      <border diagonalUp="0" diagonalDown="0">
        <left/>
        <right style="thin">
          <color indexed="64"/>
        </right>
        <top/>
        <bottom/>
        <vertical/>
        <horizontal/>
      </border>
    </dxf>
    <dxf>
      <border diagonalUp="0" diagonalDown="0">
        <left/>
        <right style="thin">
          <color indexed="64"/>
        </right>
        <top/>
        <bottom/>
        <vertical/>
        <horizontal/>
      </border>
    </dxf>
    <dxf>
      <fill>
        <patternFill patternType="none">
          <fgColor indexed="64"/>
          <bgColor indexed="65"/>
        </patternFill>
      </fill>
      <border diagonalUp="0" diagonalDown="0">
        <left/>
        <right style="thin">
          <color indexed="64"/>
        </right>
        <top/>
        <bottom/>
        <vertical/>
        <horizontal/>
      </border>
    </dxf>
    <dxf>
      <border diagonalUp="0" diagonalDown="0">
        <left/>
        <right style="thin">
          <color indexed="64"/>
        </right>
        <top/>
        <bottom/>
        <vertical/>
        <horizontal/>
      </border>
    </dxf>
    <dxf>
      <alignment horizontal="general" vertical="bottom" textRotation="0" wrapText="0" indent="0" justifyLastLine="0" shrinkToFit="0" readingOrder="0"/>
    </dxf>
    <dxf>
      <alignment horizontal="general" vertical="bottom" textRotation="0" wrapText="1" indent="0" justifyLastLine="0" shrinkToFit="0" readingOrder="0"/>
    </dxf>
    <dxf>
      <border outline="0">
        <right style="thin">
          <color indexed="64"/>
        </right>
      </border>
    </dxf>
    <dxf>
      <font>
        <b/>
        <i val="0"/>
        <strike val="0"/>
        <condense val="0"/>
        <extend val="0"/>
        <outline val="0"/>
        <shadow val="0"/>
        <u val="none"/>
        <vertAlign val="baseline"/>
        <sz val="11"/>
        <color theme="0"/>
        <name val="Calibri"/>
        <family val="2"/>
        <scheme val="minor"/>
      </font>
      <fill>
        <patternFill patternType="solid">
          <fgColor indexed="64"/>
          <bgColor theme="4" tint="0.39997558519241921"/>
        </patternFill>
      </fill>
    </dxf>
  </dxfs>
  <tableStyles count="0" defaultTableStyle="TableStyleMedium2" defaultPivotStyle="PivotStyleLight16"/>
  <colors>
    <mruColors>
      <color rgb="FFFFFDC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customXml" Target="../customXml/item4.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Net Income / (Loss) Ratio</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'Financial sustainability'!$A$2</c:f>
              <c:strCache>
                <c:ptCount val="1"/>
                <c:pt idx="0">
                  <c:v>Net Income / (Loss) Ratio</c:v>
                </c:pt>
              </c:strCache>
            </c:strRef>
          </c:tx>
          <c:spPr>
            <a:solidFill>
              <a:schemeClr val="accent1"/>
            </a:solidFill>
            <a:ln>
              <a:noFill/>
            </a:ln>
            <a:effectLst/>
          </c:spPr>
          <c:invertIfNegative val="0"/>
          <c:cat>
            <c:strRef>
              <c:f>'Financial sustainability'!$B$1:$V$1</c:f>
              <c:strCache>
                <c:ptCount val="21"/>
                <c:pt idx="0">
                  <c:v>Algoma University</c:v>
                </c:pt>
                <c:pt idx="1">
                  <c:v>Brock University</c:v>
                </c:pt>
                <c:pt idx="2">
                  <c:v>Carleton University</c:v>
                </c:pt>
                <c:pt idx="3">
                  <c:v>Lakehead University</c:v>
                </c:pt>
                <c:pt idx="4">
                  <c:v>Laurentian University</c:v>
                </c:pt>
                <c:pt idx="5">
                  <c:v>McMaster University</c:v>
                </c:pt>
                <c:pt idx="6">
                  <c:v>Nipissing University</c:v>
                </c:pt>
                <c:pt idx="7">
                  <c:v>OCADu</c:v>
                </c:pt>
                <c:pt idx="8">
                  <c:v>Queen's University</c:v>
                </c:pt>
                <c:pt idx="9">
                  <c:v>Ryerson University</c:v>
                </c:pt>
                <c:pt idx="10">
                  <c:v>Trent University</c:v>
                </c:pt>
                <c:pt idx="11">
                  <c:v>Université de Hearst</c:v>
                </c:pt>
                <c:pt idx="12">
                  <c:v>University of Guelph</c:v>
                </c:pt>
                <c:pt idx="13">
                  <c:v>University of Ottawa</c:v>
                </c:pt>
                <c:pt idx="14">
                  <c:v>University of Toronto</c:v>
                </c:pt>
                <c:pt idx="15">
                  <c:v>University of Waterloo</c:v>
                </c:pt>
                <c:pt idx="16">
                  <c:v>University of Windsor</c:v>
                </c:pt>
                <c:pt idx="17">
                  <c:v>UOIT (OTU)</c:v>
                </c:pt>
                <c:pt idx="18">
                  <c:v>Western University</c:v>
                </c:pt>
                <c:pt idx="19">
                  <c:v>Wilfrid Laurier University</c:v>
                </c:pt>
                <c:pt idx="20">
                  <c:v>York University</c:v>
                </c:pt>
              </c:strCache>
            </c:strRef>
          </c:cat>
          <c:val>
            <c:numRef>
              <c:f>'Financial sustainability'!$B$2:$V$2</c:f>
              <c:numCache>
                <c:formatCode>0.00%</c:formatCode>
                <c:ptCount val="21"/>
                <c:pt idx="0">
                  <c:v>3.7499999999999999E-2</c:v>
                </c:pt>
                <c:pt idx="1">
                  <c:v>2.0500000000000001E-2</c:v>
                </c:pt>
                <c:pt idx="2">
                  <c:v>0.12720000000000001</c:v>
                </c:pt>
                <c:pt idx="3">
                  <c:v>-4.5499999999999999E-2</c:v>
                </c:pt>
                <c:pt idx="4">
                  <c:v>-1.11E-2</c:v>
                </c:pt>
                <c:pt idx="5">
                  <c:v>3.0499999999999999E-2</c:v>
                </c:pt>
                <c:pt idx="6">
                  <c:v>-2.3099999999999999E-2</c:v>
                </c:pt>
                <c:pt idx="7">
                  <c:v>-7.0499999999999993E-2</c:v>
                </c:pt>
                <c:pt idx="8">
                  <c:v>4.2999999999999997E-2</c:v>
                </c:pt>
                <c:pt idx="9">
                  <c:v>6.3299999999999995E-2</c:v>
                </c:pt>
                <c:pt idx="10">
                  <c:v>6.7599999999999993E-2</c:v>
                </c:pt>
                <c:pt idx="11">
                  <c:v>-5.8999999999999997E-2</c:v>
                </c:pt>
                <c:pt idx="12">
                  <c:v>8.0100000000000005E-2</c:v>
                </c:pt>
                <c:pt idx="13">
                  <c:v>-1.3599999999999999E-2</c:v>
                </c:pt>
                <c:pt idx="14">
                  <c:v>7.2400000000000006E-2</c:v>
                </c:pt>
                <c:pt idx="15">
                  <c:v>3.6400000000000002E-2</c:v>
                </c:pt>
                <c:pt idx="16">
                  <c:v>-7.9000000000000008E-3</c:v>
                </c:pt>
                <c:pt idx="17">
                  <c:v>1.7100000000000001E-2</c:v>
                </c:pt>
                <c:pt idx="18">
                  <c:v>3.9800000000000002E-2</c:v>
                </c:pt>
                <c:pt idx="19">
                  <c:v>5.8999999999999999E-3</c:v>
                </c:pt>
                <c:pt idx="20">
                  <c:v>2.24E-2</c:v>
                </c:pt>
              </c:numCache>
            </c:numRef>
          </c:val>
          <c:extLst>
            <c:ext xmlns:c16="http://schemas.microsoft.com/office/drawing/2014/chart" uri="{C3380CC4-5D6E-409C-BE32-E72D297353CC}">
              <c16:uniqueId val="{00000000-919A-406F-A612-A31F098956CA}"/>
            </c:ext>
          </c:extLst>
        </c:ser>
        <c:dLbls>
          <c:showLegendKey val="0"/>
          <c:showVal val="0"/>
          <c:showCatName val="0"/>
          <c:showSerName val="0"/>
          <c:showPercent val="0"/>
          <c:showBubbleSize val="0"/>
        </c:dLbls>
        <c:gapWidth val="219"/>
        <c:overlap val="-27"/>
        <c:axId val="640866824"/>
        <c:axId val="640868136"/>
        <c:extLst>
          <c:ext xmlns:c15="http://schemas.microsoft.com/office/drawing/2012/chart" uri="{02D57815-91ED-43cb-92C2-25804820EDAC}">
            <c15:filteredBarSeries>
              <c15:ser>
                <c:idx val="1"/>
                <c:order val="1"/>
                <c:tx>
                  <c:strRef>
                    <c:extLst>
                      <c:ext uri="{02D57815-91ED-43cb-92C2-25804820EDAC}">
                        <c15:formulaRef>
                          <c15:sqref>'Financial sustainability'!$A$3:$J$3</c15:sqref>
                        </c15:formulaRef>
                      </c:ext>
                    </c:extLst>
                    <c:strCache>
                      <c:ptCount val="10"/>
                      <c:pt idx="0">
                        <c:v>Net Operating Revenues Ratio</c:v>
                      </c:pt>
                      <c:pt idx="1">
                        <c:v>4.10%</c:v>
                      </c:pt>
                      <c:pt idx="3">
                        <c:v>13.61%</c:v>
                      </c:pt>
                      <c:pt idx="4">
                        <c:v>-1.09%</c:v>
                      </c:pt>
                      <c:pt idx="5">
                        <c:v>5.16%</c:v>
                      </c:pt>
                      <c:pt idx="6">
                        <c:v>7.08%</c:v>
                      </c:pt>
                      <c:pt idx="7">
                        <c:v>4.34%</c:v>
                      </c:pt>
                      <c:pt idx="8">
                        <c:v>-9.25%</c:v>
                      </c:pt>
                      <c:pt idx="9">
                        <c:v>5.36%</c:v>
                      </c:pt>
                    </c:strCache>
                  </c:strRef>
                </c:tx>
                <c:spPr>
                  <a:solidFill>
                    <a:schemeClr val="accent2"/>
                  </a:solidFill>
                  <a:ln>
                    <a:noFill/>
                  </a:ln>
                  <a:effectLst/>
                </c:spPr>
                <c:invertIfNegative val="0"/>
                <c:cat>
                  <c:strRef>
                    <c:extLst>
                      <c:ext uri="{02D57815-91ED-43cb-92C2-25804820EDAC}">
                        <c15:formulaRef>
                          <c15:sqref>'Financial sustainability'!$B$1:$V$1</c15:sqref>
                        </c15:formulaRef>
                      </c:ext>
                    </c:extLst>
                    <c:strCache>
                      <c:ptCount val="21"/>
                      <c:pt idx="0">
                        <c:v>Algoma University</c:v>
                      </c:pt>
                      <c:pt idx="1">
                        <c:v>Brock University</c:v>
                      </c:pt>
                      <c:pt idx="2">
                        <c:v>Carleton University</c:v>
                      </c:pt>
                      <c:pt idx="3">
                        <c:v>Lakehead University</c:v>
                      </c:pt>
                      <c:pt idx="4">
                        <c:v>Laurentian University</c:v>
                      </c:pt>
                      <c:pt idx="5">
                        <c:v>McMaster University</c:v>
                      </c:pt>
                      <c:pt idx="6">
                        <c:v>Nipissing University</c:v>
                      </c:pt>
                      <c:pt idx="7">
                        <c:v>OCADu</c:v>
                      </c:pt>
                      <c:pt idx="8">
                        <c:v>Queen's University</c:v>
                      </c:pt>
                      <c:pt idx="9">
                        <c:v>Ryerson University</c:v>
                      </c:pt>
                      <c:pt idx="10">
                        <c:v>Trent University</c:v>
                      </c:pt>
                      <c:pt idx="11">
                        <c:v>Université de Hearst</c:v>
                      </c:pt>
                      <c:pt idx="12">
                        <c:v>University of Guelph</c:v>
                      </c:pt>
                      <c:pt idx="13">
                        <c:v>University of Ottawa</c:v>
                      </c:pt>
                      <c:pt idx="14">
                        <c:v>University of Toronto</c:v>
                      </c:pt>
                      <c:pt idx="15">
                        <c:v>University of Waterloo</c:v>
                      </c:pt>
                      <c:pt idx="16">
                        <c:v>University of Windsor</c:v>
                      </c:pt>
                      <c:pt idx="17">
                        <c:v>UOIT (OTU)</c:v>
                      </c:pt>
                      <c:pt idx="18">
                        <c:v>Western University</c:v>
                      </c:pt>
                      <c:pt idx="19">
                        <c:v>Wilfrid Laurier University</c:v>
                      </c:pt>
                      <c:pt idx="20">
                        <c:v>York University</c:v>
                      </c:pt>
                    </c:strCache>
                  </c:strRef>
                </c:cat>
                <c:val>
                  <c:numRef>
                    <c:extLst>
                      <c:ext uri="{02D57815-91ED-43cb-92C2-25804820EDAC}">
                        <c15:formulaRef>
                          <c15:sqref>'Financial sustainability'!$K$3:$V$3</c15:sqref>
                        </c15:formulaRef>
                      </c:ext>
                    </c:extLst>
                    <c:numCache>
                      <c:formatCode>0.00%</c:formatCode>
                      <c:ptCount val="12"/>
                      <c:pt idx="0">
                        <c:v>0.10929999999999999</c:v>
                      </c:pt>
                      <c:pt idx="1">
                        <c:v>4.2099999999999999E-2</c:v>
                      </c:pt>
                      <c:pt idx="2">
                        <c:v>-9.4000000000000004E-3</c:v>
                      </c:pt>
                      <c:pt idx="3">
                        <c:v>0.1454</c:v>
                      </c:pt>
                      <c:pt idx="4">
                        <c:v>6.4299999999999996E-2</c:v>
                      </c:pt>
                      <c:pt idx="5">
                        <c:v>0.1164</c:v>
                      </c:pt>
                      <c:pt idx="6">
                        <c:v>5.0599999999999999E-2</c:v>
                      </c:pt>
                      <c:pt idx="7">
                        <c:v>4.9700000000000001E-2</c:v>
                      </c:pt>
                      <c:pt idx="8">
                        <c:v>0.10970000000000001</c:v>
                      </c:pt>
                      <c:pt idx="9">
                        <c:v>9.5600000000000004E-2</c:v>
                      </c:pt>
                      <c:pt idx="10">
                        <c:v>0.1229</c:v>
                      </c:pt>
                      <c:pt idx="11">
                        <c:v>4.07E-2</c:v>
                      </c:pt>
                    </c:numCache>
                  </c:numRef>
                </c:val>
                <c:extLst>
                  <c:ext xmlns:c16="http://schemas.microsoft.com/office/drawing/2014/chart" uri="{C3380CC4-5D6E-409C-BE32-E72D297353CC}">
                    <c16:uniqueId val="{00000001-919A-406F-A612-A31F098956CA}"/>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'Financial sustainability'!$A$4:$J$4</c15:sqref>
                        </c15:formulaRef>
                      </c:ext>
                    </c:extLst>
                    <c:strCache>
                      <c:ptCount val="10"/>
                      <c:pt idx="0">
                        <c:v>Primary Reserve Ratio (days)</c:v>
                      </c:pt>
                      <c:pt idx="1">
                        <c:v>8</c:v>
                      </c:pt>
                      <c:pt idx="2">
                        <c:v>0</c:v>
                      </c:pt>
                      <c:pt idx="3">
                        <c:v>265</c:v>
                      </c:pt>
                      <c:pt idx="4">
                        <c:v>78</c:v>
                      </c:pt>
                      <c:pt idx="5">
                        <c:v>-14</c:v>
                      </c:pt>
                      <c:pt idx="6">
                        <c:v>176</c:v>
                      </c:pt>
                      <c:pt idx="7">
                        <c:v>15</c:v>
                      </c:pt>
                      <c:pt idx="8">
                        <c:v>10</c:v>
                      </c:pt>
                      <c:pt idx="9">
                        <c:v>163</c:v>
                      </c:pt>
                    </c:strCache>
                  </c:strRef>
                </c:tx>
                <c:spPr>
                  <a:solidFill>
                    <a:schemeClr val="accent3"/>
                  </a:solidFill>
                  <a:ln>
                    <a:noFill/>
                  </a:ln>
                  <a:effectLst/>
                </c:spPr>
                <c:invertIfNegative val="0"/>
                <c:cat>
                  <c:strRef>
                    <c:extLst xmlns:c15="http://schemas.microsoft.com/office/drawing/2012/chart">
                      <c:ext xmlns:c15="http://schemas.microsoft.com/office/drawing/2012/chart" uri="{02D57815-91ED-43cb-92C2-25804820EDAC}">
                        <c15:formulaRef>
                          <c15:sqref>'Financial sustainability'!$B$1:$V$1</c15:sqref>
                        </c15:formulaRef>
                      </c:ext>
                    </c:extLst>
                    <c:strCache>
                      <c:ptCount val="21"/>
                      <c:pt idx="0">
                        <c:v>Algoma University</c:v>
                      </c:pt>
                      <c:pt idx="1">
                        <c:v>Brock University</c:v>
                      </c:pt>
                      <c:pt idx="2">
                        <c:v>Carleton University</c:v>
                      </c:pt>
                      <c:pt idx="3">
                        <c:v>Lakehead University</c:v>
                      </c:pt>
                      <c:pt idx="4">
                        <c:v>Laurentian University</c:v>
                      </c:pt>
                      <c:pt idx="5">
                        <c:v>McMaster University</c:v>
                      </c:pt>
                      <c:pt idx="6">
                        <c:v>Nipissing University</c:v>
                      </c:pt>
                      <c:pt idx="7">
                        <c:v>OCADu</c:v>
                      </c:pt>
                      <c:pt idx="8">
                        <c:v>Queen's University</c:v>
                      </c:pt>
                      <c:pt idx="9">
                        <c:v>Ryerson University</c:v>
                      </c:pt>
                      <c:pt idx="10">
                        <c:v>Trent University</c:v>
                      </c:pt>
                      <c:pt idx="11">
                        <c:v>Université de Hearst</c:v>
                      </c:pt>
                      <c:pt idx="12">
                        <c:v>University of Guelph</c:v>
                      </c:pt>
                      <c:pt idx="13">
                        <c:v>University of Ottawa</c:v>
                      </c:pt>
                      <c:pt idx="14">
                        <c:v>University of Toronto</c:v>
                      </c:pt>
                      <c:pt idx="15">
                        <c:v>University of Waterloo</c:v>
                      </c:pt>
                      <c:pt idx="16">
                        <c:v>University of Windsor</c:v>
                      </c:pt>
                      <c:pt idx="17">
                        <c:v>UOIT (OTU)</c:v>
                      </c:pt>
                      <c:pt idx="18">
                        <c:v>Western University</c:v>
                      </c:pt>
                      <c:pt idx="19">
                        <c:v>Wilfrid Laurier University</c:v>
                      </c:pt>
                      <c:pt idx="20">
                        <c:v>York University</c:v>
                      </c:pt>
                    </c:strCache>
                  </c:strRef>
                </c:cat>
                <c:val>
                  <c:numRef>
                    <c:extLst xmlns:c15="http://schemas.microsoft.com/office/drawing/2012/chart">
                      <c:ext xmlns:c15="http://schemas.microsoft.com/office/drawing/2012/chart" uri="{02D57815-91ED-43cb-92C2-25804820EDAC}">
                        <c15:formulaRef>
                          <c15:sqref>'Financial sustainability'!$K$4:$V$4</c15:sqref>
                        </c15:formulaRef>
                      </c:ext>
                    </c:extLst>
                    <c:numCache>
                      <c:formatCode>0</c:formatCode>
                      <c:ptCount val="12"/>
                      <c:pt idx="0">
                        <c:v>60</c:v>
                      </c:pt>
                      <c:pt idx="1">
                        <c:v>42</c:v>
                      </c:pt>
                      <c:pt idx="2">
                        <c:v>72</c:v>
                      </c:pt>
                      <c:pt idx="3">
                        <c:v>173</c:v>
                      </c:pt>
                      <c:pt idx="4">
                        <c:v>115</c:v>
                      </c:pt>
                      <c:pt idx="5">
                        <c:v>166</c:v>
                      </c:pt>
                      <c:pt idx="6">
                        <c:v>141</c:v>
                      </c:pt>
                      <c:pt idx="7">
                        <c:v>41</c:v>
                      </c:pt>
                      <c:pt idx="8">
                        <c:v>27</c:v>
                      </c:pt>
                      <c:pt idx="9">
                        <c:v>205</c:v>
                      </c:pt>
                      <c:pt idx="10">
                        <c:v>57</c:v>
                      </c:pt>
                      <c:pt idx="11">
                        <c:v>105</c:v>
                      </c:pt>
                    </c:numCache>
                  </c:numRef>
                </c:val>
                <c:extLst xmlns:c15="http://schemas.microsoft.com/office/drawing/2012/chart">
                  <c:ext xmlns:c16="http://schemas.microsoft.com/office/drawing/2014/chart" uri="{C3380CC4-5D6E-409C-BE32-E72D297353CC}">
                    <c16:uniqueId val="{00000002-919A-406F-A612-A31F098956CA}"/>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'Financial sustainability'!$A$5:$J$5</c15:sqref>
                        </c15:formulaRef>
                      </c:ext>
                    </c:extLst>
                    <c:strCache>
                      <c:ptCount val="10"/>
                      <c:pt idx="0">
                        <c:v>Interest Burden Ratio</c:v>
                      </c:pt>
                      <c:pt idx="1">
                        <c:v>2%</c:v>
                      </c:pt>
                      <c:pt idx="2">
                        <c:v>7.51%</c:v>
                      </c:pt>
                      <c:pt idx="3">
                        <c:v>0.83%</c:v>
                      </c:pt>
                      <c:pt idx="4">
                        <c:v>3.72%</c:v>
                      </c:pt>
                      <c:pt idx="5">
                        <c:v>1.66%</c:v>
                      </c:pt>
                      <c:pt idx="6">
                        <c:v>1.17%</c:v>
                      </c:pt>
                      <c:pt idx="7">
                        <c:v>2.40%</c:v>
                      </c:pt>
                      <c:pt idx="8">
                        <c:v>2.68%</c:v>
                      </c:pt>
                      <c:pt idx="9">
                        <c:v>1.69%</c:v>
                      </c:pt>
                    </c:strCache>
                  </c:strRef>
                </c:tx>
                <c:spPr>
                  <a:solidFill>
                    <a:schemeClr val="accent4"/>
                  </a:solidFill>
                  <a:ln>
                    <a:noFill/>
                  </a:ln>
                  <a:effectLst/>
                </c:spPr>
                <c:invertIfNegative val="0"/>
                <c:cat>
                  <c:strRef>
                    <c:extLst xmlns:c15="http://schemas.microsoft.com/office/drawing/2012/chart">
                      <c:ext xmlns:c15="http://schemas.microsoft.com/office/drawing/2012/chart" uri="{02D57815-91ED-43cb-92C2-25804820EDAC}">
                        <c15:formulaRef>
                          <c15:sqref>'Financial sustainability'!$B$1:$V$1</c15:sqref>
                        </c15:formulaRef>
                      </c:ext>
                    </c:extLst>
                    <c:strCache>
                      <c:ptCount val="21"/>
                      <c:pt idx="0">
                        <c:v>Algoma University</c:v>
                      </c:pt>
                      <c:pt idx="1">
                        <c:v>Brock University</c:v>
                      </c:pt>
                      <c:pt idx="2">
                        <c:v>Carleton University</c:v>
                      </c:pt>
                      <c:pt idx="3">
                        <c:v>Lakehead University</c:v>
                      </c:pt>
                      <c:pt idx="4">
                        <c:v>Laurentian University</c:v>
                      </c:pt>
                      <c:pt idx="5">
                        <c:v>McMaster University</c:v>
                      </c:pt>
                      <c:pt idx="6">
                        <c:v>Nipissing University</c:v>
                      </c:pt>
                      <c:pt idx="7">
                        <c:v>OCADu</c:v>
                      </c:pt>
                      <c:pt idx="8">
                        <c:v>Queen's University</c:v>
                      </c:pt>
                      <c:pt idx="9">
                        <c:v>Ryerson University</c:v>
                      </c:pt>
                      <c:pt idx="10">
                        <c:v>Trent University</c:v>
                      </c:pt>
                      <c:pt idx="11">
                        <c:v>Université de Hearst</c:v>
                      </c:pt>
                      <c:pt idx="12">
                        <c:v>University of Guelph</c:v>
                      </c:pt>
                      <c:pt idx="13">
                        <c:v>University of Ottawa</c:v>
                      </c:pt>
                      <c:pt idx="14">
                        <c:v>University of Toronto</c:v>
                      </c:pt>
                      <c:pt idx="15">
                        <c:v>University of Waterloo</c:v>
                      </c:pt>
                      <c:pt idx="16">
                        <c:v>University of Windsor</c:v>
                      </c:pt>
                      <c:pt idx="17">
                        <c:v>UOIT (OTU)</c:v>
                      </c:pt>
                      <c:pt idx="18">
                        <c:v>Western University</c:v>
                      </c:pt>
                      <c:pt idx="19">
                        <c:v>Wilfrid Laurier University</c:v>
                      </c:pt>
                      <c:pt idx="20">
                        <c:v>York University</c:v>
                      </c:pt>
                    </c:strCache>
                  </c:strRef>
                </c:cat>
                <c:val>
                  <c:numRef>
                    <c:extLst xmlns:c15="http://schemas.microsoft.com/office/drawing/2012/chart">
                      <c:ext xmlns:c15="http://schemas.microsoft.com/office/drawing/2012/chart" uri="{02D57815-91ED-43cb-92C2-25804820EDAC}">
                        <c15:formulaRef>
                          <c15:sqref>'Financial sustainability'!$K$5:$V$5</c15:sqref>
                        </c15:formulaRef>
                      </c:ext>
                    </c:extLst>
                    <c:numCache>
                      <c:formatCode>0.00%</c:formatCode>
                      <c:ptCount val="12"/>
                      <c:pt idx="0">
                        <c:v>1.7100000000000001E-2</c:v>
                      </c:pt>
                      <c:pt idx="1">
                        <c:v>1.9E-2</c:v>
                      </c:pt>
                      <c:pt idx="2">
                        <c:v>1.9400000000000001E-2</c:v>
                      </c:pt>
                      <c:pt idx="3">
                        <c:v>1.8100000000000002E-2</c:v>
                      </c:pt>
                      <c:pt idx="4">
                        <c:v>1.17E-2</c:v>
                      </c:pt>
                      <c:pt idx="5">
                        <c:v>1.52E-2</c:v>
                      </c:pt>
                      <c:pt idx="6">
                        <c:v>1.4E-3</c:v>
                      </c:pt>
                      <c:pt idx="7">
                        <c:v>2.5899999999999999E-2</c:v>
                      </c:pt>
                      <c:pt idx="8">
                        <c:v>9.35E-2</c:v>
                      </c:pt>
                      <c:pt idx="9">
                        <c:v>1.34E-2</c:v>
                      </c:pt>
                      <c:pt idx="10">
                        <c:v>3.0700000000000002E-2</c:v>
                      </c:pt>
                      <c:pt idx="11">
                        <c:v>2.41E-2</c:v>
                      </c:pt>
                    </c:numCache>
                  </c:numRef>
                </c:val>
                <c:extLst xmlns:c15="http://schemas.microsoft.com/office/drawing/2012/chart">
                  <c:ext xmlns:c16="http://schemas.microsoft.com/office/drawing/2014/chart" uri="{C3380CC4-5D6E-409C-BE32-E72D297353CC}">
                    <c16:uniqueId val="{00000003-919A-406F-A612-A31F098956CA}"/>
                  </c:ext>
                </c:extLst>
              </c15:ser>
            </c15:filteredBarSeries>
            <c15:filteredBarSeries>
              <c15:ser>
                <c:idx val="4"/>
                <c:order val="4"/>
                <c:tx>
                  <c:strRef>
                    <c:extLst xmlns:c15="http://schemas.microsoft.com/office/drawing/2012/chart">
                      <c:ext xmlns:c15="http://schemas.microsoft.com/office/drawing/2012/chart" uri="{02D57815-91ED-43cb-92C2-25804820EDAC}">
                        <c15:formulaRef>
                          <c15:sqref>'Financial sustainability'!$A$6:$J$6</c15:sqref>
                        </c15:formulaRef>
                      </c:ext>
                    </c:extLst>
                    <c:strCache>
                      <c:ptCount val="10"/>
                      <c:pt idx="0">
                        <c:v>Viability Ratio (Reported)</c:v>
                      </c:pt>
                      <c:pt idx="1">
                        <c:v>0.05</c:v>
                      </c:pt>
                      <c:pt idx="2">
                        <c:v>2.58%</c:v>
                      </c:pt>
                      <c:pt idx="3">
                        <c:v>4.91</c:v>
                      </c:pt>
                      <c:pt idx="4">
                        <c:v>32.15%</c:v>
                      </c:pt>
                      <c:pt idx="5">
                        <c:v>-9%</c:v>
                      </c:pt>
                      <c:pt idx="6">
                        <c:v>1.67%</c:v>
                      </c:pt>
                      <c:pt idx="7">
                        <c:v>9.00%</c:v>
                      </c:pt>
                      <c:pt idx="8">
                        <c:v>6.70%</c:v>
                      </c:pt>
                      <c:pt idx="9">
                        <c:v>1.41</c:v>
                      </c:pt>
                    </c:strCache>
                  </c:strRef>
                </c:tx>
                <c:spPr>
                  <a:solidFill>
                    <a:schemeClr val="accent5"/>
                  </a:solidFill>
                  <a:ln>
                    <a:noFill/>
                  </a:ln>
                  <a:effectLst/>
                </c:spPr>
                <c:invertIfNegative val="0"/>
                <c:cat>
                  <c:strRef>
                    <c:extLst xmlns:c15="http://schemas.microsoft.com/office/drawing/2012/chart">
                      <c:ext xmlns:c15="http://schemas.microsoft.com/office/drawing/2012/chart" uri="{02D57815-91ED-43cb-92C2-25804820EDAC}">
                        <c15:formulaRef>
                          <c15:sqref>'Financial sustainability'!$B$1:$V$1</c15:sqref>
                        </c15:formulaRef>
                      </c:ext>
                    </c:extLst>
                    <c:strCache>
                      <c:ptCount val="21"/>
                      <c:pt idx="0">
                        <c:v>Algoma University</c:v>
                      </c:pt>
                      <c:pt idx="1">
                        <c:v>Brock University</c:v>
                      </c:pt>
                      <c:pt idx="2">
                        <c:v>Carleton University</c:v>
                      </c:pt>
                      <c:pt idx="3">
                        <c:v>Lakehead University</c:v>
                      </c:pt>
                      <c:pt idx="4">
                        <c:v>Laurentian University</c:v>
                      </c:pt>
                      <c:pt idx="5">
                        <c:v>McMaster University</c:v>
                      </c:pt>
                      <c:pt idx="6">
                        <c:v>Nipissing University</c:v>
                      </c:pt>
                      <c:pt idx="7">
                        <c:v>OCADu</c:v>
                      </c:pt>
                      <c:pt idx="8">
                        <c:v>Queen's University</c:v>
                      </c:pt>
                      <c:pt idx="9">
                        <c:v>Ryerson University</c:v>
                      </c:pt>
                      <c:pt idx="10">
                        <c:v>Trent University</c:v>
                      </c:pt>
                      <c:pt idx="11">
                        <c:v>Université de Hearst</c:v>
                      </c:pt>
                      <c:pt idx="12">
                        <c:v>University of Guelph</c:v>
                      </c:pt>
                      <c:pt idx="13">
                        <c:v>University of Ottawa</c:v>
                      </c:pt>
                      <c:pt idx="14">
                        <c:v>University of Toronto</c:v>
                      </c:pt>
                      <c:pt idx="15">
                        <c:v>University of Waterloo</c:v>
                      </c:pt>
                      <c:pt idx="16">
                        <c:v>University of Windsor</c:v>
                      </c:pt>
                      <c:pt idx="17">
                        <c:v>UOIT (OTU)</c:v>
                      </c:pt>
                      <c:pt idx="18">
                        <c:v>Western University</c:v>
                      </c:pt>
                      <c:pt idx="19">
                        <c:v>Wilfrid Laurier University</c:v>
                      </c:pt>
                      <c:pt idx="20">
                        <c:v>York University</c:v>
                      </c:pt>
                    </c:strCache>
                  </c:strRef>
                </c:cat>
                <c:val>
                  <c:numRef>
                    <c:extLst xmlns:c15="http://schemas.microsoft.com/office/drawing/2012/chart">
                      <c:ext xmlns:c15="http://schemas.microsoft.com/office/drawing/2012/chart" uri="{02D57815-91ED-43cb-92C2-25804820EDAC}">
                        <c15:formulaRef>
                          <c15:sqref>'Financial sustainability'!$K$6:$V$6</c15:sqref>
                        </c15:formulaRef>
                      </c:ext>
                    </c:extLst>
                    <c:numCache>
                      <c:formatCode>0.00</c:formatCode>
                      <c:ptCount val="12"/>
                      <c:pt idx="0" formatCode="0%">
                        <c:v>0.48</c:v>
                      </c:pt>
                      <c:pt idx="1">
                        <c:v>0.31</c:v>
                      </c:pt>
                      <c:pt idx="2">
                        <c:v>0.45</c:v>
                      </c:pt>
                      <c:pt idx="3">
                        <c:v>1.61</c:v>
                      </c:pt>
                      <c:pt idx="4">
                        <c:v>1.85</c:v>
                      </c:pt>
                      <c:pt idx="5">
                        <c:v>1.71</c:v>
                      </c:pt>
                      <c:pt idx="6">
                        <c:v>12.81</c:v>
                      </c:pt>
                      <c:pt idx="7">
                        <c:v>0.25</c:v>
                      </c:pt>
                      <c:pt idx="8">
                        <c:v>0.06</c:v>
                      </c:pt>
                      <c:pt idx="9">
                        <c:v>2.2000000000000002</c:v>
                      </c:pt>
                      <c:pt idx="10" formatCode="0%">
                        <c:v>0.23</c:v>
                      </c:pt>
                      <c:pt idx="11">
                        <c:v>0.73</c:v>
                      </c:pt>
                    </c:numCache>
                  </c:numRef>
                </c:val>
                <c:extLst xmlns:c15="http://schemas.microsoft.com/office/drawing/2012/chart">
                  <c:ext xmlns:c16="http://schemas.microsoft.com/office/drawing/2014/chart" uri="{C3380CC4-5D6E-409C-BE32-E72D297353CC}">
                    <c16:uniqueId val="{00000004-919A-406F-A612-A31F098956CA}"/>
                  </c:ext>
                </c:extLst>
              </c15:ser>
            </c15:filteredBarSeries>
            <c15:filteredBarSeries>
              <c15:ser>
                <c:idx val="5"/>
                <c:order val="5"/>
                <c:tx>
                  <c:strRef>
                    <c:extLst xmlns:c15="http://schemas.microsoft.com/office/drawing/2012/chart">
                      <c:ext xmlns:c15="http://schemas.microsoft.com/office/drawing/2012/chart" uri="{02D57815-91ED-43cb-92C2-25804820EDAC}">
                        <c15:formulaRef>
                          <c15:sqref>'Financial sustainability'!$A$8:$J$8</c15:sqref>
                        </c15:formulaRef>
                      </c:ext>
                    </c:extLst>
                    <c:strCache>
                      <c:ptCount val="10"/>
                      <c:pt idx="0">
                        <c:v>Endowment per student FTE ($000)</c:v>
                      </c:pt>
                      <c:pt idx="9">
                        <c:v> $36.39 </c:v>
                      </c:pt>
                    </c:strCache>
                  </c:strRef>
                </c:tx>
                <c:spPr>
                  <a:solidFill>
                    <a:schemeClr val="accent6"/>
                  </a:solidFill>
                  <a:ln>
                    <a:noFill/>
                  </a:ln>
                  <a:effectLst/>
                </c:spPr>
                <c:invertIfNegative val="0"/>
                <c:cat>
                  <c:strRef>
                    <c:extLst xmlns:c15="http://schemas.microsoft.com/office/drawing/2012/chart">
                      <c:ext xmlns:c15="http://schemas.microsoft.com/office/drawing/2012/chart" uri="{02D57815-91ED-43cb-92C2-25804820EDAC}">
                        <c15:formulaRef>
                          <c15:sqref>'Financial sustainability'!$B$1:$V$1</c15:sqref>
                        </c15:formulaRef>
                      </c:ext>
                    </c:extLst>
                    <c:strCache>
                      <c:ptCount val="21"/>
                      <c:pt idx="0">
                        <c:v>Algoma University</c:v>
                      </c:pt>
                      <c:pt idx="1">
                        <c:v>Brock University</c:v>
                      </c:pt>
                      <c:pt idx="2">
                        <c:v>Carleton University</c:v>
                      </c:pt>
                      <c:pt idx="3">
                        <c:v>Lakehead University</c:v>
                      </c:pt>
                      <c:pt idx="4">
                        <c:v>Laurentian University</c:v>
                      </c:pt>
                      <c:pt idx="5">
                        <c:v>McMaster University</c:v>
                      </c:pt>
                      <c:pt idx="6">
                        <c:v>Nipissing University</c:v>
                      </c:pt>
                      <c:pt idx="7">
                        <c:v>OCADu</c:v>
                      </c:pt>
                      <c:pt idx="8">
                        <c:v>Queen's University</c:v>
                      </c:pt>
                      <c:pt idx="9">
                        <c:v>Ryerson University</c:v>
                      </c:pt>
                      <c:pt idx="10">
                        <c:v>Trent University</c:v>
                      </c:pt>
                      <c:pt idx="11">
                        <c:v>Université de Hearst</c:v>
                      </c:pt>
                      <c:pt idx="12">
                        <c:v>University of Guelph</c:v>
                      </c:pt>
                      <c:pt idx="13">
                        <c:v>University of Ottawa</c:v>
                      </c:pt>
                      <c:pt idx="14">
                        <c:v>University of Toronto</c:v>
                      </c:pt>
                      <c:pt idx="15">
                        <c:v>University of Waterloo</c:v>
                      </c:pt>
                      <c:pt idx="16">
                        <c:v>University of Windsor</c:v>
                      </c:pt>
                      <c:pt idx="17">
                        <c:v>UOIT (OTU)</c:v>
                      </c:pt>
                      <c:pt idx="18">
                        <c:v>Western University</c:v>
                      </c:pt>
                      <c:pt idx="19">
                        <c:v>Wilfrid Laurier University</c:v>
                      </c:pt>
                      <c:pt idx="20">
                        <c:v>York University</c:v>
                      </c:pt>
                    </c:strCache>
                  </c:strRef>
                </c:cat>
                <c:val>
                  <c:numRef>
                    <c:extLst xmlns:c15="http://schemas.microsoft.com/office/drawing/2012/chart">
                      <c:ext xmlns:c15="http://schemas.microsoft.com/office/drawing/2012/chart" uri="{02D57815-91ED-43cb-92C2-25804820EDAC}">
                        <c15:formulaRef>
                          <c15:sqref>'Financial sustainability'!$K$8:$V$8</c15:sqref>
                        </c15:formulaRef>
                      </c:ext>
                    </c:extLst>
                    <c:numCache>
                      <c:formatCode>General</c:formatCode>
                      <c:ptCount val="12"/>
                    </c:numCache>
                  </c:numRef>
                </c:val>
                <c:extLst xmlns:c15="http://schemas.microsoft.com/office/drawing/2012/chart">
                  <c:ext xmlns:c16="http://schemas.microsoft.com/office/drawing/2014/chart" uri="{C3380CC4-5D6E-409C-BE32-E72D297353CC}">
                    <c16:uniqueId val="{00000005-919A-406F-A612-A31F098956CA}"/>
                  </c:ext>
                </c:extLst>
              </c15:ser>
            </c15:filteredBarSeries>
            <c15:filteredBarSeries>
              <c15:ser>
                <c:idx val="6"/>
                <c:order val="6"/>
                <c:tx>
                  <c:strRef>
                    <c:extLst xmlns:c15="http://schemas.microsoft.com/office/drawing/2012/chart">
                      <c:ext xmlns:c15="http://schemas.microsoft.com/office/drawing/2012/chart" uri="{02D57815-91ED-43cb-92C2-25804820EDAC}">
                        <c15:formulaRef>
                          <c15:sqref>'Financial sustainability'!$A$9:$J$9</c15:sqref>
                        </c15:formulaRef>
                      </c:ext>
                    </c:extLst>
                    <c:strCache>
                      <c:ptCount val="10"/>
                      <c:pt idx="0">
                        <c:v>Debt rating – Dominion Bond Rating Service (DBRS)</c:v>
                      </c:pt>
                      <c:pt idx="9">
                        <c:v>AA/Stable</c:v>
                      </c:pt>
                    </c:strCache>
                  </c:strRef>
                </c:tx>
                <c:spPr>
                  <a:solidFill>
                    <a:schemeClr val="accent1">
                      <a:lumMod val="60000"/>
                    </a:schemeClr>
                  </a:solidFill>
                  <a:ln>
                    <a:noFill/>
                  </a:ln>
                  <a:effectLst/>
                </c:spPr>
                <c:invertIfNegative val="0"/>
                <c:cat>
                  <c:strRef>
                    <c:extLst xmlns:c15="http://schemas.microsoft.com/office/drawing/2012/chart">
                      <c:ext xmlns:c15="http://schemas.microsoft.com/office/drawing/2012/chart" uri="{02D57815-91ED-43cb-92C2-25804820EDAC}">
                        <c15:formulaRef>
                          <c15:sqref>'Financial sustainability'!$B$1:$V$1</c15:sqref>
                        </c15:formulaRef>
                      </c:ext>
                    </c:extLst>
                    <c:strCache>
                      <c:ptCount val="21"/>
                      <c:pt idx="0">
                        <c:v>Algoma University</c:v>
                      </c:pt>
                      <c:pt idx="1">
                        <c:v>Brock University</c:v>
                      </c:pt>
                      <c:pt idx="2">
                        <c:v>Carleton University</c:v>
                      </c:pt>
                      <c:pt idx="3">
                        <c:v>Lakehead University</c:v>
                      </c:pt>
                      <c:pt idx="4">
                        <c:v>Laurentian University</c:v>
                      </c:pt>
                      <c:pt idx="5">
                        <c:v>McMaster University</c:v>
                      </c:pt>
                      <c:pt idx="6">
                        <c:v>Nipissing University</c:v>
                      </c:pt>
                      <c:pt idx="7">
                        <c:v>OCADu</c:v>
                      </c:pt>
                      <c:pt idx="8">
                        <c:v>Queen's University</c:v>
                      </c:pt>
                      <c:pt idx="9">
                        <c:v>Ryerson University</c:v>
                      </c:pt>
                      <c:pt idx="10">
                        <c:v>Trent University</c:v>
                      </c:pt>
                      <c:pt idx="11">
                        <c:v>Université de Hearst</c:v>
                      </c:pt>
                      <c:pt idx="12">
                        <c:v>University of Guelph</c:v>
                      </c:pt>
                      <c:pt idx="13">
                        <c:v>University of Ottawa</c:v>
                      </c:pt>
                      <c:pt idx="14">
                        <c:v>University of Toronto</c:v>
                      </c:pt>
                      <c:pt idx="15">
                        <c:v>University of Waterloo</c:v>
                      </c:pt>
                      <c:pt idx="16">
                        <c:v>University of Windsor</c:v>
                      </c:pt>
                      <c:pt idx="17">
                        <c:v>UOIT (OTU)</c:v>
                      </c:pt>
                      <c:pt idx="18">
                        <c:v>Western University</c:v>
                      </c:pt>
                      <c:pt idx="19">
                        <c:v>Wilfrid Laurier University</c:v>
                      </c:pt>
                      <c:pt idx="20">
                        <c:v>York University</c:v>
                      </c:pt>
                    </c:strCache>
                  </c:strRef>
                </c:cat>
                <c:val>
                  <c:numRef>
                    <c:extLst xmlns:c15="http://schemas.microsoft.com/office/drawing/2012/chart">
                      <c:ext xmlns:c15="http://schemas.microsoft.com/office/drawing/2012/chart" uri="{02D57815-91ED-43cb-92C2-25804820EDAC}">
                        <c15:formulaRef>
                          <c15:sqref>'Financial sustainability'!$K$9:$V$9</c15:sqref>
                        </c15:formulaRef>
                      </c:ext>
                    </c:extLst>
                    <c:numCache>
                      <c:formatCode>General</c:formatCode>
                      <c:ptCount val="12"/>
                    </c:numCache>
                  </c:numRef>
                </c:val>
                <c:extLst xmlns:c15="http://schemas.microsoft.com/office/drawing/2012/chart">
                  <c:ext xmlns:c16="http://schemas.microsoft.com/office/drawing/2014/chart" uri="{C3380CC4-5D6E-409C-BE32-E72D297353CC}">
                    <c16:uniqueId val="{00000006-919A-406F-A612-A31F098956CA}"/>
                  </c:ext>
                </c:extLst>
              </c15:ser>
            </c15:filteredBarSeries>
            <c15:filteredBarSeries>
              <c15:ser>
                <c:idx val="7"/>
                <c:order val="7"/>
                <c:tx>
                  <c:strRef>
                    <c:extLst xmlns:c15="http://schemas.microsoft.com/office/drawing/2012/chart">
                      <c:ext xmlns:c15="http://schemas.microsoft.com/office/drawing/2012/chart" uri="{02D57815-91ED-43cb-92C2-25804820EDAC}">
                        <c15:formulaRef>
                          <c15:sqref>'Financial sustainability'!$A$10:$J$10</c15:sqref>
                        </c15:formulaRef>
                      </c:ext>
                    </c:extLst>
                    <c:strCache>
                      <c:ptCount val="10"/>
                      <c:pt idx="0">
                        <c:v>Debt rating – Standard &amp; Poor’s (S&amp;P)</c:v>
                      </c:pt>
                      <c:pt idx="9">
                        <c:v>AA+/Stable</c:v>
                      </c:pt>
                    </c:strCache>
                  </c:strRef>
                </c:tx>
                <c:spPr>
                  <a:solidFill>
                    <a:schemeClr val="accent2">
                      <a:lumMod val="60000"/>
                    </a:schemeClr>
                  </a:solidFill>
                  <a:ln>
                    <a:noFill/>
                  </a:ln>
                  <a:effectLst/>
                </c:spPr>
                <c:invertIfNegative val="0"/>
                <c:cat>
                  <c:strRef>
                    <c:extLst xmlns:c15="http://schemas.microsoft.com/office/drawing/2012/chart">
                      <c:ext xmlns:c15="http://schemas.microsoft.com/office/drawing/2012/chart" uri="{02D57815-91ED-43cb-92C2-25804820EDAC}">
                        <c15:formulaRef>
                          <c15:sqref>'Financial sustainability'!$B$1:$V$1</c15:sqref>
                        </c15:formulaRef>
                      </c:ext>
                    </c:extLst>
                    <c:strCache>
                      <c:ptCount val="21"/>
                      <c:pt idx="0">
                        <c:v>Algoma University</c:v>
                      </c:pt>
                      <c:pt idx="1">
                        <c:v>Brock University</c:v>
                      </c:pt>
                      <c:pt idx="2">
                        <c:v>Carleton University</c:v>
                      </c:pt>
                      <c:pt idx="3">
                        <c:v>Lakehead University</c:v>
                      </c:pt>
                      <c:pt idx="4">
                        <c:v>Laurentian University</c:v>
                      </c:pt>
                      <c:pt idx="5">
                        <c:v>McMaster University</c:v>
                      </c:pt>
                      <c:pt idx="6">
                        <c:v>Nipissing University</c:v>
                      </c:pt>
                      <c:pt idx="7">
                        <c:v>OCADu</c:v>
                      </c:pt>
                      <c:pt idx="8">
                        <c:v>Queen's University</c:v>
                      </c:pt>
                      <c:pt idx="9">
                        <c:v>Ryerson University</c:v>
                      </c:pt>
                      <c:pt idx="10">
                        <c:v>Trent University</c:v>
                      </c:pt>
                      <c:pt idx="11">
                        <c:v>Université de Hearst</c:v>
                      </c:pt>
                      <c:pt idx="12">
                        <c:v>University of Guelph</c:v>
                      </c:pt>
                      <c:pt idx="13">
                        <c:v>University of Ottawa</c:v>
                      </c:pt>
                      <c:pt idx="14">
                        <c:v>University of Toronto</c:v>
                      </c:pt>
                      <c:pt idx="15">
                        <c:v>University of Waterloo</c:v>
                      </c:pt>
                      <c:pt idx="16">
                        <c:v>University of Windsor</c:v>
                      </c:pt>
                      <c:pt idx="17">
                        <c:v>UOIT (OTU)</c:v>
                      </c:pt>
                      <c:pt idx="18">
                        <c:v>Western University</c:v>
                      </c:pt>
                      <c:pt idx="19">
                        <c:v>Wilfrid Laurier University</c:v>
                      </c:pt>
                      <c:pt idx="20">
                        <c:v>York University</c:v>
                      </c:pt>
                    </c:strCache>
                  </c:strRef>
                </c:cat>
                <c:val>
                  <c:numRef>
                    <c:extLst xmlns:c15="http://schemas.microsoft.com/office/drawing/2012/chart">
                      <c:ext xmlns:c15="http://schemas.microsoft.com/office/drawing/2012/chart" uri="{02D57815-91ED-43cb-92C2-25804820EDAC}">
                        <c15:formulaRef>
                          <c15:sqref>'Financial sustainability'!$K$10:$V$10</c15:sqref>
                        </c15:formulaRef>
                      </c:ext>
                    </c:extLst>
                    <c:numCache>
                      <c:formatCode>General</c:formatCode>
                      <c:ptCount val="12"/>
                    </c:numCache>
                  </c:numRef>
                </c:val>
                <c:extLst xmlns:c15="http://schemas.microsoft.com/office/drawing/2012/chart">
                  <c:ext xmlns:c16="http://schemas.microsoft.com/office/drawing/2014/chart" uri="{C3380CC4-5D6E-409C-BE32-E72D297353CC}">
                    <c16:uniqueId val="{00000007-919A-406F-A612-A31F098956CA}"/>
                  </c:ext>
                </c:extLst>
              </c15:ser>
            </c15:filteredBarSeries>
          </c:ext>
        </c:extLst>
      </c:barChart>
      <c:catAx>
        <c:axId val="640866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0868136"/>
        <c:crosses val="autoZero"/>
        <c:auto val="1"/>
        <c:lblAlgn val="ctr"/>
        <c:lblOffset val="100"/>
        <c:noMultiLvlLbl val="0"/>
      </c:catAx>
      <c:valAx>
        <c:axId val="64086813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086682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'Financial sustainability'!$B$1</c:f>
              <c:strCache>
                <c:ptCount val="1"/>
                <c:pt idx="0">
                  <c:v>Algoma University</c:v>
                </c:pt>
              </c:strCache>
            </c:strRef>
          </c:tx>
          <c:spPr>
            <a:solidFill>
              <a:schemeClr val="accent1"/>
            </a:solidFill>
            <a:ln>
              <a:noFill/>
            </a:ln>
            <a:effectLst/>
          </c:spPr>
          <c:invertIfNegative val="0"/>
          <c:cat>
            <c:strRef>
              <c:f>'Financial sustainability'!$A$2</c:f>
              <c:strCache>
                <c:ptCount val="1"/>
                <c:pt idx="0">
                  <c:v>Net Income / (Loss) Ratio</c:v>
                </c:pt>
              </c:strCache>
            </c:strRef>
          </c:cat>
          <c:val>
            <c:numRef>
              <c:f>'Financial sustainability'!$B$2</c:f>
              <c:numCache>
                <c:formatCode>0.00%</c:formatCode>
                <c:ptCount val="1"/>
                <c:pt idx="0">
                  <c:v>3.7499999999999999E-2</c:v>
                </c:pt>
              </c:numCache>
            </c:numRef>
          </c:val>
          <c:extLst>
            <c:ext xmlns:c16="http://schemas.microsoft.com/office/drawing/2014/chart" uri="{C3380CC4-5D6E-409C-BE32-E72D297353CC}">
              <c16:uniqueId val="{00000000-71D0-4DD0-97E9-4C9C73D6E30E}"/>
            </c:ext>
          </c:extLst>
        </c:ser>
        <c:ser>
          <c:idx val="1"/>
          <c:order val="1"/>
          <c:tx>
            <c:strRef>
              <c:f>'Financial sustainability'!$C$1</c:f>
              <c:strCache>
                <c:ptCount val="1"/>
                <c:pt idx="0">
                  <c:v>Brock University</c:v>
                </c:pt>
              </c:strCache>
            </c:strRef>
          </c:tx>
          <c:spPr>
            <a:solidFill>
              <a:schemeClr val="accent2"/>
            </a:solidFill>
            <a:ln>
              <a:noFill/>
            </a:ln>
            <a:effectLst/>
          </c:spPr>
          <c:invertIfNegative val="0"/>
          <c:cat>
            <c:strRef>
              <c:f>'Financial sustainability'!$A$2</c:f>
              <c:strCache>
                <c:ptCount val="1"/>
                <c:pt idx="0">
                  <c:v>Net Income / (Loss) Ratio</c:v>
                </c:pt>
              </c:strCache>
            </c:strRef>
          </c:cat>
          <c:val>
            <c:numRef>
              <c:f>'Financial sustainability'!$C$2</c:f>
              <c:numCache>
                <c:formatCode>0.00%</c:formatCode>
                <c:ptCount val="1"/>
                <c:pt idx="0">
                  <c:v>2.0500000000000001E-2</c:v>
                </c:pt>
              </c:numCache>
            </c:numRef>
          </c:val>
          <c:extLst>
            <c:ext xmlns:c16="http://schemas.microsoft.com/office/drawing/2014/chart" uri="{C3380CC4-5D6E-409C-BE32-E72D297353CC}">
              <c16:uniqueId val="{00000001-71D0-4DD0-97E9-4C9C73D6E30E}"/>
            </c:ext>
          </c:extLst>
        </c:ser>
        <c:ser>
          <c:idx val="2"/>
          <c:order val="2"/>
          <c:tx>
            <c:strRef>
              <c:f>'Financial sustainability'!$D$1</c:f>
              <c:strCache>
                <c:ptCount val="1"/>
                <c:pt idx="0">
                  <c:v>Carleton University</c:v>
                </c:pt>
              </c:strCache>
            </c:strRef>
          </c:tx>
          <c:spPr>
            <a:solidFill>
              <a:schemeClr val="accent3"/>
            </a:solidFill>
            <a:ln>
              <a:noFill/>
            </a:ln>
            <a:effectLst/>
          </c:spPr>
          <c:invertIfNegative val="0"/>
          <c:cat>
            <c:strRef>
              <c:f>'Financial sustainability'!$A$2</c:f>
              <c:strCache>
                <c:ptCount val="1"/>
                <c:pt idx="0">
                  <c:v>Net Income / (Loss) Ratio</c:v>
                </c:pt>
              </c:strCache>
            </c:strRef>
          </c:cat>
          <c:val>
            <c:numRef>
              <c:f>'Financial sustainability'!$D$2</c:f>
              <c:numCache>
                <c:formatCode>0.00%</c:formatCode>
                <c:ptCount val="1"/>
                <c:pt idx="0">
                  <c:v>0.12720000000000001</c:v>
                </c:pt>
              </c:numCache>
            </c:numRef>
          </c:val>
          <c:extLst>
            <c:ext xmlns:c16="http://schemas.microsoft.com/office/drawing/2014/chart" uri="{C3380CC4-5D6E-409C-BE32-E72D297353CC}">
              <c16:uniqueId val="{00000002-71D0-4DD0-97E9-4C9C73D6E30E}"/>
            </c:ext>
          </c:extLst>
        </c:ser>
        <c:ser>
          <c:idx val="3"/>
          <c:order val="3"/>
          <c:tx>
            <c:strRef>
              <c:f>'Financial sustainability'!$E$1</c:f>
              <c:strCache>
                <c:ptCount val="1"/>
                <c:pt idx="0">
                  <c:v>Lakehead University</c:v>
                </c:pt>
              </c:strCache>
            </c:strRef>
          </c:tx>
          <c:spPr>
            <a:solidFill>
              <a:schemeClr val="accent4"/>
            </a:solidFill>
            <a:ln>
              <a:noFill/>
            </a:ln>
            <a:effectLst/>
          </c:spPr>
          <c:invertIfNegative val="0"/>
          <c:cat>
            <c:strRef>
              <c:f>'Financial sustainability'!$A$2</c:f>
              <c:strCache>
                <c:ptCount val="1"/>
                <c:pt idx="0">
                  <c:v>Net Income / (Loss) Ratio</c:v>
                </c:pt>
              </c:strCache>
            </c:strRef>
          </c:cat>
          <c:val>
            <c:numRef>
              <c:f>'Financial sustainability'!$E$2</c:f>
              <c:numCache>
                <c:formatCode>0.00%</c:formatCode>
                <c:ptCount val="1"/>
                <c:pt idx="0">
                  <c:v>-4.5499999999999999E-2</c:v>
                </c:pt>
              </c:numCache>
            </c:numRef>
          </c:val>
          <c:extLst>
            <c:ext xmlns:c16="http://schemas.microsoft.com/office/drawing/2014/chart" uri="{C3380CC4-5D6E-409C-BE32-E72D297353CC}">
              <c16:uniqueId val="{00000003-71D0-4DD0-97E9-4C9C73D6E30E}"/>
            </c:ext>
          </c:extLst>
        </c:ser>
        <c:ser>
          <c:idx val="4"/>
          <c:order val="4"/>
          <c:tx>
            <c:strRef>
              <c:f>'Financial sustainability'!$F$1</c:f>
              <c:strCache>
                <c:ptCount val="1"/>
                <c:pt idx="0">
                  <c:v>Laurentian University</c:v>
                </c:pt>
              </c:strCache>
            </c:strRef>
          </c:tx>
          <c:spPr>
            <a:solidFill>
              <a:schemeClr val="accent5"/>
            </a:solidFill>
            <a:ln>
              <a:noFill/>
            </a:ln>
            <a:effectLst/>
          </c:spPr>
          <c:invertIfNegative val="0"/>
          <c:cat>
            <c:strRef>
              <c:f>'Financial sustainability'!$A$2</c:f>
              <c:strCache>
                <c:ptCount val="1"/>
                <c:pt idx="0">
                  <c:v>Net Income / (Loss) Ratio</c:v>
                </c:pt>
              </c:strCache>
            </c:strRef>
          </c:cat>
          <c:val>
            <c:numRef>
              <c:f>'Financial sustainability'!$F$2</c:f>
              <c:numCache>
                <c:formatCode>0.00%</c:formatCode>
                <c:ptCount val="1"/>
                <c:pt idx="0">
                  <c:v>-1.11E-2</c:v>
                </c:pt>
              </c:numCache>
            </c:numRef>
          </c:val>
          <c:extLst>
            <c:ext xmlns:c16="http://schemas.microsoft.com/office/drawing/2014/chart" uri="{C3380CC4-5D6E-409C-BE32-E72D297353CC}">
              <c16:uniqueId val="{00000004-71D0-4DD0-97E9-4C9C73D6E30E}"/>
            </c:ext>
          </c:extLst>
        </c:ser>
        <c:ser>
          <c:idx val="5"/>
          <c:order val="5"/>
          <c:tx>
            <c:strRef>
              <c:f>'Financial sustainability'!$G$1</c:f>
              <c:strCache>
                <c:ptCount val="1"/>
                <c:pt idx="0">
                  <c:v>McMaster University</c:v>
                </c:pt>
              </c:strCache>
            </c:strRef>
          </c:tx>
          <c:spPr>
            <a:solidFill>
              <a:schemeClr val="accent6"/>
            </a:solidFill>
            <a:ln>
              <a:noFill/>
            </a:ln>
            <a:effectLst/>
          </c:spPr>
          <c:invertIfNegative val="0"/>
          <c:cat>
            <c:strRef>
              <c:f>'Financial sustainability'!$A$2</c:f>
              <c:strCache>
                <c:ptCount val="1"/>
                <c:pt idx="0">
                  <c:v>Net Income / (Loss) Ratio</c:v>
                </c:pt>
              </c:strCache>
            </c:strRef>
          </c:cat>
          <c:val>
            <c:numRef>
              <c:f>'Financial sustainability'!$G$2</c:f>
              <c:numCache>
                <c:formatCode>0.00%</c:formatCode>
                <c:ptCount val="1"/>
                <c:pt idx="0">
                  <c:v>3.0499999999999999E-2</c:v>
                </c:pt>
              </c:numCache>
            </c:numRef>
          </c:val>
          <c:extLst>
            <c:ext xmlns:c16="http://schemas.microsoft.com/office/drawing/2014/chart" uri="{C3380CC4-5D6E-409C-BE32-E72D297353CC}">
              <c16:uniqueId val="{00000005-71D0-4DD0-97E9-4C9C73D6E30E}"/>
            </c:ext>
          </c:extLst>
        </c:ser>
        <c:ser>
          <c:idx val="6"/>
          <c:order val="6"/>
          <c:tx>
            <c:strRef>
              <c:f>'Financial sustainability'!$H$1</c:f>
              <c:strCache>
                <c:ptCount val="1"/>
                <c:pt idx="0">
                  <c:v>Nipissing University</c:v>
                </c:pt>
              </c:strCache>
            </c:strRef>
          </c:tx>
          <c:spPr>
            <a:solidFill>
              <a:schemeClr val="accent1">
                <a:lumMod val="60000"/>
              </a:schemeClr>
            </a:solidFill>
            <a:ln>
              <a:noFill/>
            </a:ln>
            <a:effectLst/>
          </c:spPr>
          <c:invertIfNegative val="0"/>
          <c:cat>
            <c:strRef>
              <c:f>'Financial sustainability'!$A$2</c:f>
              <c:strCache>
                <c:ptCount val="1"/>
                <c:pt idx="0">
                  <c:v>Net Income / (Loss) Ratio</c:v>
                </c:pt>
              </c:strCache>
            </c:strRef>
          </c:cat>
          <c:val>
            <c:numRef>
              <c:f>'Financial sustainability'!$H$2</c:f>
              <c:numCache>
                <c:formatCode>0.00%</c:formatCode>
                <c:ptCount val="1"/>
                <c:pt idx="0">
                  <c:v>-2.3099999999999999E-2</c:v>
                </c:pt>
              </c:numCache>
            </c:numRef>
          </c:val>
          <c:extLst>
            <c:ext xmlns:c16="http://schemas.microsoft.com/office/drawing/2014/chart" uri="{C3380CC4-5D6E-409C-BE32-E72D297353CC}">
              <c16:uniqueId val="{00000006-71D0-4DD0-97E9-4C9C73D6E30E}"/>
            </c:ext>
          </c:extLst>
        </c:ser>
        <c:ser>
          <c:idx val="7"/>
          <c:order val="7"/>
          <c:tx>
            <c:strRef>
              <c:f>'Financial sustainability'!$I$1</c:f>
              <c:strCache>
                <c:ptCount val="1"/>
                <c:pt idx="0">
                  <c:v>OCADu</c:v>
                </c:pt>
              </c:strCache>
            </c:strRef>
          </c:tx>
          <c:spPr>
            <a:solidFill>
              <a:schemeClr val="accent2">
                <a:lumMod val="60000"/>
              </a:schemeClr>
            </a:solidFill>
            <a:ln>
              <a:noFill/>
            </a:ln>
            <a:effectLst/>
          </c:spPr>
          <c:invertIfNegative val="0"/>
          <c:cat>
            <c:strRef>
              <c:f>'Financial sustainability'!$A$2</c:f>
              <c:strCache>
                <c:ptCount val="1"/>
                <c:pt idx="0">
                  <c:v>Net Income / (Loss) Ratio</c:v>
                </c:pt>
              </c:strCache>
            </c:strRef>
          </c:cat>
          <c:val>
            <c:numRef>
              <c:f>'Financial sustainability'!$I$2</c:f>
              <c:numCache>
                <c:formatCode>0.00%</c:formatCode>
                <c:ptCount val="1"/>
                <c:pt idx="0">
                  <c:v>-7.0499999999999993E-2</c:v>
                </c:pt>
              </c:numCache>
            </c:numRef>
          </c:val>
          <c:extLst>
            <c:ext xmlns:c16="http://schemas.microsoft.com/office/drawing/2014/chart" uri="{C3380CC4-5D6E-409C-BE32-E72D297353CC}">
              <c16:uniqueId val="{00000007-71D0-4DD0-97E9-4C9C73D6E30E}"/>
            </c:ext>
          </c:extLst>
        </c:ser>
        <c:ser>
          <c:idx val="8"/>
          <c:order val="8"/>
          <c:tx>
            <c:strRef>
              <c:f>'Financial sustainability'!$J$1</c:f>
              <c:strCache>
                <c:ptCount val="1"/>
                <c:pt idx="0">
                  <c:v>Queen's University</c:v>
                </c:pt>
              </c:strCache>
            </c:strRef>
          </c:tx>
          <c:spPr>
            <a:solidFill>
              <a:schemeClr val="accent3">
                <a:lumMod val="60000"/>
              </a:schemeClr>
            </a:solidFill>
            <a:ln>
              <a:noFill/>
            </a:ln>
            <a:effectLst/>
          </c:spPr>
          <c:invertIfNegative val="0"/>
          <c:cat>
            <c:strRef>
              <c:f>'Financial sustainability'!$A$2</c:f>
              <c:strCache>
                <c:ptCount val="1"/>
                <c:pt idx="0">
                  <c:v>Net Income / (Loss) Ratio</c:v>
                </c:pt>
              </c:strCache>
            </c:strRef>
          </c:cat>
          <c:val>
            <c:numRef>
              <c:f>'Financial sustainability'!$J$2</c:f>
              <c:numCache>
                <c:formatCode>0.00%</c:formatCode>
                <c:ptCount val="1"/>
                <c:pt idx="0">
                  <c:v>4.2999999999999997E-2</c:v>
                </c:pt>
              </c:numCache>
            </c:numRef>
          </c:val>
          <c:extLst>
            <c:ext xmlns:c16="http://schemas.microsoft.com/office/drawing/2014/chart" uri="{C3380CC4-5D6E-409C-BE32-E72D297353CC}">
              <c16:uniqueId val="{00000008-71D0-4DD0-97E9-4C9C73D6E30E}"/>
            </c:ext>
          </c:extLst>
        </c:ser>
        <c:ser>
          <c:idx val="9"/>
          <c:order val="9"/>
          <c:tx>
            <c:strRef>
              <c:f>'Financial sustainability'!$K$1</c:f>
              <c:strCache>
                <c:ptCount val="1"/>
                <c:pt idx="0">
                  <c:v>Ryerson University</c:v>
                </c:pt>
              </c:strCache>
            </c:strRef>
          </c:tx>
          <c:spPr>
            <a:solidFill>
              <a:schemeClr val="accent4">
                <a:lumMod val="60000"/>
              </a:schemeClr>
            </a:solidFill>
            <a:ln>
              <a:noFill/>
            </a:ln>
            <a:effectLst/>
          </c:spPr>
          <c:invertIfNegative val="0"/>
          <c:cat>
            <c:strRef>
              <c:f>'Financial sustainability'!$A$2</c:f>
              <c:strCache>
                <c:ptCount val="1"/>
                <c:pt idx="0">
                  <c:v>Net Income / (Loss) Ratio</c:v>
                </c:pt>
              </c:strCache>
            </c:strRef>
          </c:cat>
          <c:val>
            <c:numRef>
              <c:f>'Financial sustainability'!$K$2</c:f>
              <c:numCache>
                <c:formatCode>0.00%</c:formatCode>
                <c:ptCount val="1"/>
                <c:pt idx="0">
                  <c:v>6.3299999999999995E-2</c:v>
                </c:pt>
              </c:numCache>
            </c:numRef>
          </c:val>
          <c:extLst>
            <c:ext xmlns:c16="http://schemas.microsoft.com/office/drawing/2014/chart" uri="{C3380CC4-5D6E-409C-BE32-E72D297353CC}">
              <c16:uniqueId val="{00000009-71D0-4DD0-97E9-4C9C73D6E30E}"/>
            </c:ext>
          </c:extLst>
        </c:ser>
        <c:ser>
          <c:idx val="10"/>
          <c:order val="10"/>
          <c:tx>
            <c:strRef>
              <c:f>'Financial sustainability'!$L$1</c:f>
              <c:strCache>
                <c:ptCount val="1"/>
                <c:pt idx="0">
                  <c:v>Trent University</c:v>
                </c:pt>
              </c:strCache>
            </c:strRef>
          </c:tx>
          <c:spPr>
            <a:solidFill>
              <a:schemeClr val="accent5">
                <a:lumMod val="60000"/>
              </a:schemeClr>
            </a:solidFill>
            <a:ln>
              <a:noFill/>
            </a:ln>
            <a:effectLst/>
          </c:spPr>
          <c:invertIfNegative val="0"/>
          <c:cat>
            <c:strRef>
              <c:f>'Financial sustainability'!$A$2</c:f>
              <c:strCache>
                <c:ptCount val="1"/>
                <c:pt idx="0">
                  <c:v>Net Income / (Loss) Ratio</c:v>
                </c:pt>
              </c:strCache>
            </c:strRef>
          </c:cat>
          <c:val>
            <c:numRef>
              <c:f>'Financial sustainability'!$L$2</c:f>
              <c:numCache>
                <c:formatCode>0.00%</c:formatCode>
                <c:ptCount val="1"/>
                <c:pt idx="0">
                  <c:v>6.7599999999999993E-2</c:v>
                </c:pt>
              </c:numCache>
            </c:numRef>
          </c:val>
          <c:extLst>
            <c:ext xmlns:c16="http://schemas.microsoft.com/office/drawing/2014/chart" uri="{C3380CC4-5D6E-409C-BE32-E72D297353CC}">
              <c16:uniqueId val="{0000000A-71D0-4DD0-97E9-4C9C73D6E30E}"/>
            </c:ext>
          </c:extLst>
        </c:ser>
        <c:ser>
          <c:idx val="11"/>
          <c:order val="11"/>
          <c:tx>
            <c:strRef>
              <c:f>'Financial sustainability'!$M$1</c:f>
              <c:strCache>
                <c:ptCount val="1"/>
                <c:pt idx="0">
                  <c:v>Université de Hearst</c:v>
                </c:pt>
              </c:strCache>
            </c:strRef>
          </c:tx>
          <c:spPr>
            <a:solidFill>
              <a:schemeClr val="accent6">
                <a:lumMod val="60000"/>
              </a:schemeClr>
            </a:solidFill>
            <a:ln>
              <a:noFill/>
            </a:ln>
            <a:effectLst/>
          </c:spPr>
          <c:invertIfNegative val="0"/>
          <c:cat>
            <c:strRef>
              <c:f>'Financial sustainability'!$A$2</c:f>
              <c:strCache>
                <c:ptCount val="1"/>
                <c:pt idx="0">
                  <c:v>Net Income / (Loss) Ratio</c:v>
                </c:pt>
              </c:strCache>
            </c:strRef>
          </c:cat>
          <c:val>
            <c:numRef>
              <c:f>'Financial sustainability'!$M$2</c:f>
              <c:numCache>
                <c:formatCode>0.00%</c:formatCode>
                <c:ptCount val="1"/>
                <c:pt idx="0">
                  <c:v>-5.8999999999999997E-2</c:v>
                </c:pt>
              </c:numCache>
            </c:numRef>
          </c:val>
          <c:extLst>
            <c:ext xmlns:c16="http://schemas.microsoft.com/office/drawing/2014/chart" uri="{C3380CC4-5D6E-409C-BE32-E72D297353CC}">
              <c16:uniqueId val="{0000000B-71D0-4DD0-97E9-4C9C73D6E30E}"/>
            </c:ext>
          </c:extLst>
        </c:ser>
        <c:ser>
          <c:idx val="12"/>
          <c:order val="12"/>
          <c:tx>
            <c:strRef>
              <c:f>'Financial sustainability'!$N$1</c:f>
              <c:strCache>
                <c:ptCount val="1"/>
                <c:pt idx="0">
                  <c:v>University of Guelph</c:v>
                </c:pt>
              </c:strCache>
            </c:strRef>
          </c:tx>
          <c:spPr>
            <a:solidFill>
              <a:schemeClr val="accent1">
                <a:lumMod val="80000"/>
                <a:lumOff val="20000"/>
              </a:schemeClr>
            </a:solidFill>
            <a:ln>
              <a:noFill/>
            </a:ln>
            <a:effectLst/>
          </c:spPr>
          <c:invertIfNegative val="0"/>
          <c:cat>
            <c:strRef>
              <c:f>'Financial sustainability'!$A$2</c:f>
              <c:strCache>
                <c:ptCount val="1"/>
                <c:pt idx="0">
                  <c:v>Net Income / (Loss) Ratio</c:v>
                </c:pt>
              </c:strCache>
            </c:strRef>
          </c:cat>
          <c:val>
            <c:numRef>
              <c:f>'Financial sustainability'!$N$2</c:f>
              <c:numCache>
                <c:formatCode>0.00%</c:formatCode>
                <c:ptCount val="1"/>
                <c:pt idx="0">
                  <c:v>8.0100000000000005E-2</c:v>
                </c:pt>
              </c:numCache>
            </c:numRef>
          </c:val>
          <c:extLst>
            <c:ext xmlns:c16="http://schemas.microsoft.com/office/drawing/2014/chart" uri="{C3380CC4-5D6E-409C-BE32-E72D297353CC}">
              <c16:uniqueId val="{0000000C-71D0-4DD0-97E9-4C9C73D6E30E}"/>
            </c:ext>
          </c:extLst>
        </c:ser>
        <c:ser>
          <c:idx val="13"/>
          <c:order val="13"/>
          <c:tx>
            <c:strRef>
              <c:f>'Financial sustainability'!$O$1</c:f>
              <c:strCache>
                <c:ptCount val="1"/>
                <c:pt idx="0">
                  <c:v>University of Ottawa</c:v>
                </c:pt>
              </c:strCache>
            </c:strRef>
          </c:tx>
          <c:spPr>
            <a:solidFill>
              <a:schemeClr val="accent2">
                <a:lumMod val="80000"/>
                <a:lumOff val="20000"/>
              </a:schemeClr>
            </a:solidFill>
            <a:ln>
              <a:noFill/>
            </a:ln>
            <a:effectLst/>
          </c:spPr>
          <c:invertIfNegative val="0"/>
          <c:cat>
            <c:strRef>
              <c:f>'Financial sustainability'!$A$2</c:f>
              <c:strCache>
                <c:ptCount val="1"/>
                <c:pt idx="0">
                  <c:v>Net Income / (Loss) Ratio</c:v>
                </c:pt>
              </c:strCache>
            </c:strRef>
          </c:cat>
          <c:val>
            <c:numRef>
              <c:f>'Financial sustainability'!$O$2</c:f>
              <c:numCache>
                <c:formatCode>0.00%</c:formatCode>
                <c:ptCount val="1"/>
                <c:pt idx="0">
                  <c:v>-1.3599999999999999E-2</c:v>
                </c:pt>
              </c:numCache>
            </c:numRef>
          </c:val>
          <c:extLst>
            <c:ext xmlns:c16="http://schemas.microsoft.com/office/drawing/2014/chart" uri="{C3380CC4-5D6E-409C-BE32-E72D297353CC}">
              <c16:uniqueId val="{0000000D-71D0-4DD0-97E9-4C9C73D6E30E}"/>
            </c:ext>
          </c:extLst>
        </c:ser>
        <c:ser>
          <c:idx val="14"/>
          <c:order val="14"/>
          <c:tx>
            <c:strRef>
              <c:f>'Financial sustainability'!$P$1</c:f>
              <c:strCache>
                <c:ptCount val="1"/>
                <c:pt idx="0">
                  <c:v>University of Toronto</c:v>
                </c:pt>
              </c:strCache>
            </c:strRef>
          </c:tx>
          <c:spPr>
            <a:solidFill>
              <a:schemeClr val="accent3">
                <a:lumMod val="80000"/>
                <a:lumOff val="20000"/>
              </a:schemeClr>
            </a:solidFill>
            <a:ln>
              <a:noFill/>
            </a:ln>
            <a:effectLst/>
          </c:spPr>
          <c:invertIfNegative val="0"/>
          <c:cat>
            <c:strRef>
              <c:f>'Financial sustainability'!$A$2</c:f>
              <c:strCache>
                <c:ptCount val="1"/>
                <c:pt idx="0">
                  <c:v>Net Income / (Loss) Ratio</c:v>
                </c:pt>
              </c:strCache>
            </c:strRef>
          </c:cat>
          <c:val>
            <c:numRef>
              <c:f>'Financial sustainability'!$P$2</c:f>
              <c:numCache>
                <c:formatCode>0.00%</c:formatCode>
                <c:ptCount val="1"/>
                <c:pt idx="0">
                  <c:v>7.2400000000000006E-2</c:v>
                </c:pt>
              </c:numCache>
            </c:numRef>
          </c:val>
          <c:extLst>
            <c:ext xmlns:c16="http://schemas.microsoft.com/office/drawing/2014/chart" uri="{C3380CC4-5D6E-409C-BE32-E72D297353CC}">
              <c16:uniqueId val="{0000000E-71D0-4DD0-97E9-4C9C73D6E30E}"/>
            </c:ext>
          </c:extLst>
        </c:ser>
        <c:ser>
          <c:idx val="15"/>
          <c:order val="15"/>
          <c:tx>
            <c:strRef>
              <c:f>'Financial sustainability'!$Q$1</c:f>
              <c:strCache>
                <c:ptCount val="1"/>
                <c:pt idx="0">
                  <c:v>University of Waterloo</c:v>
                </c:pt>
              </c:strCache>
            </c:strRef>
          </c:tx>
          <c:spPr>
            <a:solidFill>
              <a:schemeClr val="accent4">
                <a:lumMod val="80000"/>
                <a:lumOff val="20000"/>
              </a:schemeClr>
            </a:solidFill>
            <a:ln>
              <a:noFill/>
            </a:ln>
            <a:effectLst/>
          </c:spPr>
          <c:invertIfNegative val="0"/>
          <c:cat>
            <c:strRef>
              <c:f>'Financial sustainability'!$A$2</c:f>
              <c:strCache>
                <c:ptCount val="1"/>
                <c:pt idx="0">
                  <c:v>Net Income / (Loss) Ratio</c:v>
                </c:pt>
              </c:strCache>
            </c:strRef>
          </c:cat>
          <c:val>
            <c:numRef>
              <c:f>'Financial sustainability'!$Q$2</c:f>
              <c:numCache>
                <c:formatCode>0.00%</c:formatCode>
                <c:ptCount val="1"/>
                <c:pt idx="0">
                  <c:v>3.6400000000000002E-2</c:v>
                </c:pt>
              </c:numCache>
            </c:numRef>
          </c:val>
          <c:extLst>
            <c:ext xmlns:c16="http://schemas.microsoft.com/office/drawing/2014/chart" uri="{C3380CC4-5D6E-409C-BE32-E72D297353CC}">
              <c16:uniqueId val="{0000000F-71D0-4DD0-97E9-4C9C73D6E30E}"/>
            </c:ext>
          </c:extLst>
        </c:ser>
        <c:ser>
          <c:idx val="16"/>
          <c:order val="16"/>
          <c:tx>
            <c:strRef>
              <c:f>'Financial sustainability'!$R$1</c:f>
              <c:strCache>
                <c:ptCount val="1"/>
                <c:pt idx="0">
                  <c:v>University of Windsor</c:v>
                </c:pt>
              </c:strCache>
            </c:strRef>
          </c:tx>
          <c:spPr>
            <a:solidFill>
              <a:schemeClr val="accent5">
                <a:lumMod val="80000"/>
                <a:lumOff val="20000"/>
              </a:schemeClr>
            </a:solidFill>
            <a:ln>
              <a:noFill/>
            </a:ln>
            <a:effectLst/>
          </c:spPr>
          <c:invertIfNegative val="0"/>
          <c:cat>
            <c:strRef>
              <c:f>'Financial sustainability'!$A$2</c:f>
              <c:strCache>
                <c:ptCount val="1"/>
                <c:pt idx="0">
                  <c:v>Net Income / (Loss) Ratio</c:v>
                </c:pt>
              </c:strCache>
            </c:strRef>
          </c:cat>
          <c:val>
            <c:numRef>
              <c:f>'Financial sustainability'!$R$2</c:f>
              <c:numCache>
                <c:formatCode>0.00%</c:formatCode>
                <c:ptCount val="1"/>
                <c:pt idx="0">
                  <c:v>-7.9000000000000008E-3</c:v>
                </c:pt>
              </c:numCache>
            </c:numRef>
          </c:val>
          <c:extLst>
            <c:ext xmlns:c16="http://schemas.microsoft.com/office/drawing/2014/chart" uri="{C3380CC4-5D6E-409C-BE32-E72D297353CC}">
              <c16:uniqueId val="{00000010-71D0-4DD0-97E9-4C9C73D6E30E}"/>
            </c:ext>
          </c:extLst>
        </c:ser>
        <c:ser>
          <c:idx val="17"/>
          <c:order val="17"/>
          <c:tx>
            <c:strRef>
              <c:f>'Financial sustainability'!$S$1</c:f>
              <c:strCache>
                <c:ptCount val="1"/>
                <c:pt idx="0">
                  <c:v>UOIT (OTU)</c:v>
                </c:pt>
              </c:strCache>
            </c:strRef>
          </c:tx>
          <c:spPr>
            <a:solidFill>
              <a:schemeClr val="accent6">
                <a:lumMod val="80000"/>
                <a:lumOff val="20000"/>
              </a:schemeClr>
            </a:solidFill>
            <a:ln>
              <a:noFill/>
            </a:ln>
            <a:effectLst/>
          </c:spPr>
          <c:invertIfNegative val="0"/>
          <c:cat>
            <c:strRef>
              <c:f>'Financial sustainability'!$A$2</c:f>
              <c:strCache>
                <c:ptCount val="1"/>
                <c:pt idx="0">
                  <c:v>Net Income / (Loss) Ratio</c:v>
                </c:pt>
              </c:strCache>
            </c:strRef>
          </c:cat>
          <c:val>
            <c:numRef>
              <c:f>'Financial sustainability'!$S$2</c:f>
              <c:numCache>
                <c:formatCode>0.00%</c:formatCode>
                <c:ptCount val="1"/>
                <c:pt idx="0">
                  <c:v>1.7100000000000001E-2</c:v>
                </c:pt>
              </c:numCache>
            </c:numRef>
          </c:val>
          <c:extLst>
            <c:ext xmlns:c16="http://schemas.microsoft.com/office/drawing/2014/chart" uri="{C3380CC4-5D6E-409C-BE32-E72D297353CC}">
              <c16:uniqueId val="{00000011-71D0-4DD0-97E9-4C9C73D6E30E}"/>
            </c:ext>
          </c:extLst>
        </c:ser>
        <c:ser>
          <c:idx val="18"/>
          <c:order val="18"/>
          <c:tx>
            <c:strRef>
              <c:f>'Financial sustainability'!$T$1</c:f>
              <c:strCache>
                <c:ptCount val="1"/>
                <c:pt idx="0">
                  <c:v>Western University</c:v>
                </c:pt>
              </c:strCache>
            </c:strRef>
          </c:tx>
          <c:spPr>
            <a:solidFill>
              <a:schemeClr val="accent1">
                <a:lumMod val="80000"/>
              </a:schemeClr>
            </a:solidFill>
            <a:ln>
              <a:noFill/>
            </a:ln>
            <a:effectLst/>
          </c:spPr>
          <c:invertIfNegative val="0"/>
          <c:cat>
            <c:strRef>
              <c:f>'Financial sustainability'!$A$2</c:f>
              <c:strCache>
                <c:ptCount val="1"/>
                <c:pt idx="0">
                  <c:v>Net Income / (Loss) Ratio</c:v>
                </c:pt>
              </c:strCache>
            </c:strRef>
          </c:cat>
          <c:val>
            <c:numRef>
              <c:f>'Financial sustainability'!$T$2</c:f>
              <c:numCache>
                <c:formatCode>0.00%</c:formatCode>
                <c:ptCount val="1"/>
                <c:pt idx="0">
                  <c:v>3.9800000000000002E-2</c:v>
                </c:pt>
              </c:numCache>
            </c:numRef>
          </c:val>
          <c:extLst>
            <c:ext xmlns:c16="http://schemas.microsoft.com/office/drawing/2014/chart" uri="{C3380CC4-5D6E-409C-BE32-E72D297353CC}">
              <c16:uniqueId val="{00000012-71D0-4DD0-97E9-4C9C73D6E30E}"/>
            </c:ext>
          </c:extLst>
        </c:ser>
        <c:ser>
          <c:idx val="19"/>
          <c:order val="19"/>
          <c:tx>
            <c:strRef>
              <c:f>'Financial sustainability'!$U$1</c:f>
              <c:strCache>
                <c:ptCount val="1"/>
                <c:pt idx="0">
                  <c:v>Wilfrid Laurier University</c:v>
                </c:pt>
              </c:strCache>
            </c:strRef>
          </c:tx>
          <c:spPr>
            <a:solidFill>
              <a:schemeClr val="accent2">
                <a:lumMod val="80000"/>
              </a:schemeClr>
            </a:solidFill>
            <a:ln>
              <a:noFill/>
            </a:ln>
            <a:effectLst/>
          </c:spPr>
          <c:invertIfNegative val="0"/>
          <c:cat>
            <c:strRef>
              <c:f>'Financial sustainability'!$A$2</c:f>
              <c:strCache>
                <c:ptCount val="1"/>
                <c:pt idx="0">
                  <c:v>Net Income / (Loss) Ratio</c:v>
                </c:pt>
              </c:strCache>
            </c:strRef>
          </c:cat>
          <c:val>
            <c:numRef>
              <c:f>'Financial sustainability'!$U$2</c:f>
              <c:numCache>
                <c:formatCode>0.00%</c:formatCode>
                <c:ptCount val="1"/>
                <c:pt idx="0">
                  <c:v>5.8999999999999999E-3</c:v>
                </c:pt>
              </c:numCache>
            </c:numRef>
          </c:val>
          <c:extLst>
            <c:ext xmlns:c16="http://schemas.microsoft.com/office/drawing/2014/chart" uri="{C3380CC4-5D6E-409C-BE32-E72D297353CC}">
              <c16:uniqueId val="{00000013-71D0-4DD0-97E9-4C9C73D6E30E}"/>
            </c:ext>
          </c:extLst>
        </c:ser>
        <c:ser>
          <c:idx val="20"/>
          <c:order val="20"/>
          <c:tx>
            <c:strRef>
              <c:f>'Financial sustainability'!$V$1</c:f>
              <c:strCache>
                <c:ptCount val="1"/>
                <c:pt idx="0">
                  <c:v>York University</c:v>
                </c:pt>
              </c:strCache>
            </c:strRef>
          </c:tx>
          <c:spPr>
            <a:solidFill>
              <a:schemeClr val="accent3">
                <a:lumMod val="80000"/>
              </a:schemeClr>
            </a:solidFill>
            <a:ln>
              <a:noFill/>
            </a:ln>
            <a:effectLst/>
          </c:spPr>
          <c:invertIfNegative val="0"/>
          <c:cat>
            <c:strRef>
              <c:f>'Financial sustainability'!$A$2</c:f>
              <c:strCache>
                <c:ptCount val="1"/>
                <c:pt idx="0">
                  <c:v>Net Income / (Loss) Ratio</c:v>
                </c:pt>
              </c:strCache>
            </c:strRef>
          </c:cat>
          <c:val>
            <c:numRef>
              <c:f>'Financial sustainability'!$V$2</c:f>
              <c:numCache>
                <c:formatCode>0.00%</c:formatCode>
                <c:ptCount val="1"/>
                <c:pt idx="0">
                  <c:v>2.24E-2</c:v>
                </c:pt>
              </c:numCache>
            </c:numRef>
          </c:val>
          <c:extLst>
            <c:ext xmlns:c16="http://schemas.microsoft.com/office/drawing/2014/chart" uri="{C3380CC4-5D6E-409C-BE32-E72D297353CC}">
              <c16:uniqueId val="{00000014-71D0-4DD0-97E9-4C9C73D6E30E}"/>
            </c:ext>
          </c:extLst>
        </c:ser>
        <c:dLbls>
          <c:showLegendKey val="0"/>
          <c:showVal val="0"/>
          <c:showCatName val="0"/>
          <c:showSerName val="0"/>
          <c:showPercent val="0"/>
          <c:showBubbleSize val="0"/>
        </c:dLbls>
        <c:gapWidth val="219"/>
        <c:overlap val="-27"/>
        <c:axId val="1179255952"/>
        <c:axId val="1179257592"/>
      </c:barChart>
      <c:catAx>
        <c:axId val="1179255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9257592"/>
        <c:crosses val="autoZero"/>
        <c:auto val="1"/>
        <c:lblAlgn val="ctr"/>
        <c:lblOffset val="100"/>
        <c:noMultiLvlLbl val="0"/>
      </c:catAx>
      <c:valAx>
        <c:axId val="117925759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92559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27</xdr:col>
      <xdr:colOff>330199</xdr:colOff>
      <xdr:row>9</xdr:row>
      <xdr:rowOff>114299</xdr:rowOff>
    </xdr:from>
    <xdr:to>
      <xdr:col>34</xdr:col>
      <xdr:colOff>427566</xdr:colOff>
      <xdr:row>24</xdr:row>
      <xdr:rowOff>126999</xdr:rowOff>
    </xdr:to>
    <xdr:graphicFrame macro="">
      <xdr:nvGraphicFramePr>
        <xdr:cNvPr id="4" name="Chart 3">
          <a:extLst>
            <a:ext uri="{FF2B5EF4-FFF2-40B4-BE49-F238E27FC236}">
              <a16:creationId xmlns:a16="http://schemas.microsoft.com/office/drawing/2014/main" id="{3F52E647-59CA-45E2-AD1C-EF76B890B9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451905</xdr:colOff>
      <xdr:row>10</xdr:row>
      <xdr:rowOff>95249</xdr:rowOff>
    </xdr:from>
    <xdr:to>
      <xdr:col>19</xdr:col>
      <xdr:colOff>936623</xdr:colOff>
      <xdr:row>25</xdr:row>
      <xdr:rowOff>107949</xdr:rowOff>
    </xdr:to>
    <xdr:graphicFrame macro="">
      <xdr:nvGraphicFramePr>
        <xdr:cNvPr id="5" name="Chart 4">
          <a:extLst>
            <a:ext uri="{FF2B5EF4-FFF2-40B4-BE49-F238E27FC236}">
              <a16:creationId xmlns:a16="http://schemas.microsoft.com/office/drawing/2014/main" id="{C912D5F9-F613-4A14-B7FF-EF1350751A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237FDD3-42FE-45AB-8D67-56137D67DB11}" name="Metrics" displayName="Metrics" ref="A1:AS261" totalsRowShown="0" headerRowDxfId="64" tableBorderDxfId="63">
  <autoFilter ref="A1:AS261" xr:uid="{2B8B21D6-76A2-4D2F-9246-A270A4C6CE30}">
    <filterColumn colId="1">
      <filters>
        <filter val="System-wide"/>
      </filters>
    </filterColumn>
  </autoFilter>
  <tableColumns count="45">
    <tableColumn id="1" xr3:uid="{AE4D08C3-E4D2-4AE5-92F9-691451B7BFD5}" name="Priority Area"/>
    <tableColumn id="2" xr3:uid="{AE4A53C9-90A5-4EC2-943C-DAB42F520C04}" name="Scope" dataDxfId="62"/>
    <tableColumn id="4" xr3:uid="{C38C70A1-6040-40FD-8FDF-F555887EDC95}" name="Metrics and targets" dataDxfId="61"/>
    <tableColumn id="5" xr3:uid="{52E778F1-32A8-44BB-B5C1-B6D3BDB34EEB}" name="Algoma University Target"/>
    <tableColumn id="6" xr3:uid="{C7726886-CC28-42BC-9C1F-1D1973C40B8E}" name="Algoma University Literal" dataDxfId="60"/>
    <tableColumn id="7" xr3:uid="{49979E2F-B5B1-4525-B891-83B55642C4B5}" name="Brock University Target"/>
    <tableColumn id="8" xr3:uid="{2652AB2D-8AEC-4FFA-9B80-9982F4CC8795}" name="Brock University Literal" dataDxfId="59"/>
    <tableColumn id="9" xr3:uid="{617E6EEC-CA9A-44C7-8BB0-3F7753B82E53}" name="Carleton University Target"/>
    <tableColumn id="10" xr3:uid="{EBDFA839-ABC3-497C-B17F-C21BF6491093}" name="Carleton University Literal" dataDxfId="58"/>
    <tableColumn id="11" xr3:uid="{4B3C2A9F-4E86-4F61-9AA3-00570E45E6E5}" name="Lakehead University Target"/>
    <tableColumn id="12" xr3:uid="{12D13146-939D-4804-8AFE-60E534186DBC}" name="Lakehead University Target2" dataDxfId="57"/>
    <tableColumn id="13" xr3:uid="{2397EC2F-A3B2-4DB7-9B37-DB48E5A77035}" name="Laurentian University Target"/>
    <tableColumn id="14" xr3:uid="{3690F374-1570-4F4D-9F5A-ED6350027C0C}" name="Laurentian University Literal" dataDxfId="56"/>
    <tableColumn id="15" xr3:uid="{9C26F641-D5BD-4249-999F-75ADFD2CE81A}" name="McMaster University Target"/>
    <tableColumn id="16" xr3:uid="{46935192-9541-4A43-A874-8654EF68F128}" name="McMaster University Literal" dataDxfId="55"/>
    <tableColumn id="17" xr3:uid="{3D85A7FD-3C4B-40A9-9B55-BACE6A023257}" name="Nipissing University Target"/>
    <tableColumn id="18" xr3:uid="{75B2DFB2-19F2-4FFB-8F41-60FBF058B33F}" name="Nipissing University Literal" dataDxfId="54"/>
    <tableColumn id="19" xr3:uid="{3BD535FF-3E39-42F1-8A49-B26F47B7AB5C}" name="OCADu Target"/>
    <tableColumn id="20" xr3:uid="{95638E68-0FDF-49F5-9A2F-1B58F7ED1447}" name="OCADu Literal" dataDxfId="53"/>
    <tableColumn id="21" xr3:uid="{970E5DA0-F1BF-4CF7-9C7E-F6CD6524ED26}" name="Queen's University Target"/>
    <tableColumn id="22" xr3:uid="{0809C7EB-9AF9-4CAF-B5B4-81D2A3DB7D82}" name="Queen's University Literal" dataDxfId="52"/>
    <tableColumn id="23" xr3:uid="{B96F1F17-CF20-4B05-8454-728206E2EC84}" name="Ryerson University Target"/>
    <tableColumn id="24" xr3:uid="{F4A0AC33-EC85-45E0-B363-60ACD705D52B}" name="Ryerson University Literal" dataDxfId="51"/>
    <tableColumn id="25" xr3:uid="{5BCA7439-853B-4438-8530-1F1B24192CF9}" name="Trent University Target"/>
    <tableColumn id="26" xr3:uid="{D5A4CD2F-C210-4AD2-8695-2D754DCCB5E9}" name="Trent University Literal" dataDxfId="50"/>
    <tableColumn id="27" xr3:uid="{73581C9B-857C-4CD2-87E2-44A3089978D8}" name="Université de Hearst Target"/>
    <tableColumn id="28" xr3:uid="{0D46A59A-A55C-4D97-917B-0C11933EA8D5}" name="Université de Hearst Literal" dataDxfId="49"/>
    <tableColumn id="29" xr3:uid="{35CC240B-8FF9-4DDC-912D-0A23860FC382}" name="University of Guelph Target"/>
    <tableColumn id="30" xr3:uid="{2114A2F1-E9F6-4BE1-843B-9A0F4D8F708B}" name="University of Guelph Literal" dataDxfId="48"/>
    <tableColumn id="31" xr3:uid="{0365B798-47DE-44C9-9733-146DF6FC1EEF}" name="University of Ottawa Target" dataDxfId="47"/>
    <tableColumn id="32" xr3:uid="{DBE66E46-7050-42FE-B8A7-E6E573EF7335}" name="University of Ottawa Literal" dataDxfId="46"/>
    <tableColumn id="33" xr3:uid="{9D3611D6-98FB-4B73-83B2-189133E96027}" name="University of Toronto Target"/>
    <tableColumn id="34" xr3:uid="{10488505-7230-44AE-A81E-3FABB37BE7AA}" name="University of Toronto Literal" dataDxfId="45"/>
    <tableColumn id="35" xr3:uid="{0AF756F9-58A1-44A9-9D8F-18C5DC73772E}" name="University of Waterloo Target"/>
    <tableColumn id="36" xr3:uid="{83B69F7C-1303-4629-98BF-8AA179036F1D}" name="University of Waterloo Literal" dataDxfId="44"/>
    <tableColumn id="37" xr3:uid="{2988D83D-C4FF-4B11-9F8D-42F14EB2E4AC}" name="University of Windsor Target"/>
    <tableColumn id="38" xr3:uid="{49DCCD3D-1323-4283-B366-C719B1CAE184}" name="University of Windsor Literal" dataDxfId="43"/>
    <tableColumn id="39" xr3:uid="{92110BEA-E1DD-4723-A905-75343964C431}" name="UOIT (OTU) Target"/>
    <tableColumn id="40" xr3:uid="{D82111A4-9C10-46C3-A3C6-26EC84A8F9EB}" name="UOIT (OTU) Literal" dataDxfId="42"/>
    <tableColumn id="41" xr3:uid="{716AB6F4-C260-4A54-884B-F8004437D48C}" name="Western University Target"/>
    <tableColumn id="42" xr3:uid="{5F4B5663-9FC1-4B9B-862F-1E2E9F3EE658}" name="Western University Literal" dataDxfId="41"/>
    <tableColumn id="43" xr3:uid="{C98B73E3-FA9C-4ED0-80CD-A3CA5D1332C0}" name="Wilfrid Laurier University Target"/>
    <tableColumn id="44" xr3:uid="{5804C226-995E-44C0-850E-0CDF6DEF56C4}" name="Wilfrid Laurier University Literal" dataDxfId="40"/>
    <tableColumn id="45" xr3:uid="{EF5902FE-27A1-41C6-8A06-07CC61886AFF}" name="York University Target"/>
    <tableColumn id="46" xr3:uid="{C23BD1DE-3A77-4A92-AA30-5FFA7841F1A0}" name="York University Literal"/>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B09BA814-7314-43F7-9635-6E338D5077D2}" name="Strengths" displayName="Strengths" ref="A1:V11" totalsRowShown="0" headerRowDxfId="39">
  <autoFilter ref="A1:V11" xr:uid="{0599B903-B4CF-4341-8F24-34F056CD99D0}"/>
  <tableColumns count="22">
    <tableColumn id="1" xr3:uid="{45F1B967-8329-43FB-9590-89C63C4E02A1}" name="Rank"/>
    <tableColumn id="2" xr3:uid="{97EB4A64-209C-41B7-B225-210C74B39F57}" name="Algoma University"/>
    <tableColumn id="3" xr3:uid="{EDF9AE9C-C5E0-44B2-BE11-94969DED5023}" name="Brock University"/>
    <tableColumn id="4" xr3:uid="{2B187585-1BA3-4B9B-81C3-723F88DEB9F9}" name="Carleton University"/>
    <tableColumn id="5" xr3:uid="{A7356762-9A43-4F05-B9F2-C285D496092E}" name="Lakehead University"/>
    <tableColumn id="6" xr3:uid="{B8EB9AB6-39FF-44F1-B45C-BBF755754C18}" name="Laurentian University"/>
    <tableColumn id="7" xr3:uid="{4B68924C-8F37-45D9-B98A-099BE14E4635}" name="McMaster University"/>
    <tableColumn id="8" xr3:uid="{06E80899-1B4A-467A-ACD1-D48BAD898D2B}" name="Nipissing University"/>
    <tableColumn id="9" xr3:uid="{2F8F388E-E6CC-4BCD-8398-EA3497A25012}" name="OCADu"/>
    <tableColumn id="10" xr3:uid="{94E87F44-085B-4E23-B9A3-FA9399D073D4}" name="Queen's University"/>
    <tableColumn id="11" xr3:uid="{BFB882C0-80F3-4BE8-B214-F75A7FEC9235}" name="Ryerson University"/>
    <tableColumn id="12" xr3:uid="{27FADC76-268D-43E0-9300-5EDCADE05BBB}" name="Trent University"/>
    <tableColumn id="13" xr3:uid="{104FF83F-DF54-4301-BFA4-EEB781E86696}" name="Université de Hearst"/>
    <tableColumn id="14" xr3:uid="{DF3201B3-AECC-4978-9722-E0343244801D}" name="University of Guelph"/>
    <tableColumn id="15" xr3:uid="{AACD9154-4FD0-4DC4-8274-1FAA4FF5A247}" name="University of Ottawa"/>
    <tableColumn id="16" xr3:uid="{50A55AA3-B2EF-4F3A-825B-DF15F9E87061}" name="University of Toronto"/>
    <tableColumn id="17" xr3:uid="{762E9672-90F9-48E1-B569-622329E430CD}" name="University of Waterloo"/>
    <tableColumn id="18" xr3:uid="{1B4E6D49-7EA8-4B55-BE51-8F259BC811CF}" name="University of Windsor"/>
    <tableColumn id="19" xr3:uid="{6C799445-F382-401A-94A5-9E4253382396}" name="UOIT (OTU)"/>
    <tableColumn id="20" xr3:uid="{6AF3E922-B275-4100-A1C9-ADBED3773F9C}" name="Western University"/>
    <tableColumn id="21" xr3:uid="{DEA68538-E240-4811-9245-613A20421AA3}" name="Wilfrid Laurier University"/>
    <tableColumn id="22" xr3:uid="{496B96EC-7B94-4418-83D6-4A42463497AE}" name="York University"/>
  </tableColumns>
  <tableStyleInfo name="TableStyleMedium2" showFirstColumn="1"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4E1A504-BD35-4B20-8660-1B7A11508AC5}" name="ExpansionArea" displayName="ExpansionArea" ref="A1:V11" totalsRowShown="0" headerRowDxfId="38">
  <autoFilter ref="A1:V11" xr:uid="{5E2A9503-72A4-4D11-AD39-B19ACA782BA4}"/>
  <tableColumns count="22">
    <tableColumn id="1" xr3:uid="{8533A40A-0E8A-43BA-895C-59F79A2F57D4}" name="Rank"/>
    <tableColumn id="2" xr3:uid="{B3CFFBCD-3725-4BBB-B95B-A54E3259F6B7}" name="Algoma University"/>
    <tableColumn id="3" xr3:uid="{08FD686F-992C-4499-B6EA-21CE034109B0}" name="Brock University"/>
    <tableColumn id="4" xr3:uid="{885D14E8-1456-497D-8C8B-56E48ED6E962}" name="Carleton University"/>
    <tableColumn id="5" xr3:uid="{9BA10427-F100-46D0-8413-AA6E38BFF01E}" name="Lakehead University"/>
    <tableColumn id="6" xr3:uid="{004769D1-27F4-4560-B381-7EF082440706}" name="Laurentian University"/>
    <tableColumn id="7" xr3:uid="{4F5E2EA4-640F-465F-87EF-665443852800}" name="McMaster University"/>
    <tableColumn id="8" xr3:uid="{1EA54CFB-8581-4166-AA66-D97712BB8846}" name="Nipissing University"/>
    <tableColumn id="9" xr3:uid="{252C645E-CC77-43FC-849D-018931B2AD51}" name="OCADu"/>
    <tableColumn id="10" xr3:uid="{BDAC6919-B10E-45FE-B441-53D0AF243C3E}" name="Queen's University"/>
    <tableColumn id="11" xr3:uid="{300F069A-DE27-40BF-8AC2-165E69DEE10B}" name="Ryerson University"/>
    <tableColumn id="12" xr3:uid="{788A58E7-403D-4FD9-89ED-2F58017D5592}" name="Trent University"/>
    <tableColumn id="13" xr3:uid="{7D05186F-4787-4B38-9A17-A76EE8407E05}" name="Université de Hearst"/>
    <tableColumn id="14" xr3:uid="{7EEED940-734E-4262-BB20-59C981445EB2}" name="University of Guelph"/>
    <tableColumn id="15" xr3:uid="{22E56CDA-7C7D-4939-AE9C-8228A977C65D}" name="University of Ottawa"/>
    <tableColumn id="16" xr3:uid="{6BFF70EC-30C6-42FD-BD75-6DE6B6E357CE}" name="University of Toronto"/>
    <tableColumn id="17" xr3:uid="{4DABB4A7-8A28-4C38-A5B8-6C0F5008F4EA}" name="University of Waterloo"/>
    <tableColumn id="18" xr3:uid="{E94E3C17-BD8B-498C-B02C-AA930D4E0B4D}" name="University of Windsor"/>
    <tableColumn id="19" xr3:uid="{6BCFA78C-75B1-4944-961D-C6E0BAB27758}" name="UOIT (OTU)"/>
    <tableColumn id="20" xr3:uid="{905504BE-CDCA-49C5-A6F5-0D52A02356C1}" name="Western University"/>
    <tableColumn id="21" xr3:uid="{D4BC1CA4-9F71-47CF-82BF-32B406BCE872}" name="Wilfrid Laurier University"/>
    <tableColumn id="22" xr3:uid="{C14A6228-E905-4197-9903-FEC58F85D970}" name="York University"/>
  </tableColumns>
  <tableStyleInfo name="TableStyleMedium2" showFirstColumn="1"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8FD3FC4-D26B-47D1-BF80-4B6E499091A8}" name="WGUs" displayName="WGUs" ref="A1:B22" totalsRowShown="0" headerRowDxfId="37">
  <autoFilter ref="A1:B22" xr:uid="{00000000-0009-0000-0100-000001000000}"/>
  <sortState xmlns:xlrd2="http://schemas.microsoft.com/office/spreadsheetml/2017/richdata2" ref="A2:B22">
    <sortCondition ref="A1:A22"/>
  </sortState>
  <tableColumns count="2">
    <tableColumn id="1" xr3:uid="{85D4201F-D071-4E7E-A06B-88DA8B6B204D}" name="University"/>
    <tableColumn id="2" xr3:uid="{1CC5023A-4064-4812-BFDD-16F585167A26}" name="Weighted Grant Units" dataDxfId="36"/>
  </tableColumns>
  <tableStyleInfo name="TableStyleMedium2" showFirstColumn="1"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841C2F8-C89A-4ADD-AA95-004C613037F6}" name="Enrolments" displayName="Enrolments" ref="C1:X26" totalsRowShown="0" headerRowDxfId="35">
  <autoFilter ref="C1:X26" xr:uid="{2574FF85-14A6-4A7E-8D3E-267E79C24974}"/>
  <tableColumns count="22">
    <tableColumn id="1" xr3:uid="{9D8F3F1B-277D-4CD1-9B64-8BE32D82C511}" name="Target">
      <calculatedColumnFormula>_xlfn.CONCAT(A2,": ",B2)</calculatedColumnFormula>
    </tableColumn>
    <tableColumn id="2" xr3:uid="{97DF63DA-6579-4160-9C9D-C28B27BCDAD4}" name="Algoma University" dataDxfId="34"/>
    <tableColumn id="3" xr3:uid="{0B509A42-39DD-4839-8CD8-5D4DBD722977}" name="Brock University" dataDxfId="33"/>
    <tableColumn id="4" xr3:uid="{C6A76A3E-0B67-4574-BA8D-7ACD75F1CB55}" name="Carleton University" dataDxfId="32"/>
    <tableColumn id="5" xr3:uid="{CD215FB8-E208-4155-82BF-95C25A8E2A7D}" name="Lakehead University" dataDxfId="31"/>
    <tableColumn id="6" xr3:uid="{FA5DCCB1-9519-4595-9D9C-9CAA097DC9A3}" name="Laurentian University" dataDxfId="30"/>
    <tableColumn id="7" xr3:uid="{9F242E06-2BD2-4971-B781-4589415AFE4A}" name="McMaster University" dataDxfId="29"/>
    <tableColumn id="8" xr3:uid="{34C116E7-6A30-4292-964D-17A8D0324D3A}" name="Nipissing University" dataDxfId="28"/>
    <tableColumn id="9" xr3:uid="{CFFD02C0-2B1F-4A2C-A75C-7722306C8D45}" name="OCADu" dataDxfId="27"/>
    <tableColumn id="10" xr3:uid="{041F8A0F-34DC-49B8-A77A-DF9F54E17B08}" name="Queen's University" dataDxfId="26"/>
    <tableColumn id="11" xr3:uid="{91E84348-0A55-4EDF-9FC9-6BEE3AD26A08}" name="Ryerson University" dataDxfId="25"/>
    <tableColumn id="12" xr3:uid="{9A7AA5F7-304E-4B7B-AFFB-47DEDA5AD487}" name="Trent University" dataDxfId="24"/>
    <tableColumn id="13" xr3:uid="{45612C01-F360-4ED9-B32A-4E3DA29AE416}" name="Université de Hearst" dataDxfId="23"/>
    <tableColumn id="14" xr3:uid="{7F302412-A185-4C8D-9CAB-7A431F185BD0}" name="University of Guelph" dataDxfId="22"/>
    <tableColumn id="15" xr3:uid="{69BBEBC6-17A5-43F9-8582-406899A28F86}" name="University of Ottawa" dataDxfId="21"/>
    <tableColumn id="16" xr3:uid="{E262EA69-68F7-4BF9-BE21-0B6D8666871E}" name="University of Toronto" dataDxfId="20"/>
    <tableColumn id="17" xr3:uid="{39887B62-43FB-4CC5-91FC-221C82033866}" name="University of Waterloo" dataDxfId="19"/>
    <tableColumn id="18" xr3:uid="{7496CDDF-00A5-4209-B7D4-04A50C19813A}" name="University of Windsor" dataDxfId="18"/>
    <tableColumn id="19" xr3:uid="{3D12E204-CB13-4BF5-B3CA-EF5FDAE7C9FE}" name="UOIT (OTU)" dataDxfId="17"/>
    <tableColumn id="20" xr3:uid="{7F36B5B1-7F32-4509-842E-4E7A2F55309A}" name="Western University" dataDxfId="16"/>
    <tableColumn id="21" xr3:uid="{DF77CA23-7A7A-4633-B685-13197EA2180B}" name="Wilfrid Laurier University" dataDxfId="15"/>
    <tableColumn id="22" xr3:uid="{2C21080C-29C5-4571-9A7D-F851F77BB313}" name="York University" dataDxfId="14"/>
  </tableColumns>
  <tableStyleInfo name="TableStyleMedium2" showFirstColumn="1"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981DAF6-A1E8-4A12-9AC9-DFD7E000CFD1}" name="Finanaces" displayName="Finanaces" ref="A1:V10" totalsRowShown="0" headerRowDxfId="13">
  <autoFilter ref="A1:V10" xr:uid="{7ADD2E26-374E-4F3E-ABC4-4171CF5A5E45}"/>
  <tableColumns count="22">
    <tableColumn id="1" xr3:uid="{E63356FE-F261-45A4-B5CD-83B7B6E08613}" name="System-wide Metrics"/>
    <tableColumn id="2" xr3:uid="{41F2FE29-C8AE-48CE-BA7F-FCC8F2FCEE19}" name="Algoma University"/>
    <tableColumn id="3" xr3:uid="{740913B2-BDA3-441A-ABC3-C5F0BD2AA51C}" name="Brock University" dataDxfId="12"/>
    <tableColumn id="4" xr3:uid="{A066B2D3-4259-40B2-94D5-7040A7912034}" name="Carleton University"/>
    <tableColumn id="5" xr3:uid="{A71D6CDC-72FE-432B-9037-E7290A7A9159}" name="Lakehead University" dataDxfId="11"/>
    <tableColumn id="6" xr3:uid="{B3B34C4F-5D9F-47B2-9289-A5AAB3674A6F}" name="Laurentian University"/>
    <tableColumn id="7" xr3:uid="{BDAB69C2-3A8C-4420-B917-BA90FA0830E9}" name="McMaster University"/>
    <tableColumn id="8" xr3:uid="{C5B792B2-02BB-4996-ACBA-2FE61BAC439C}" name="Nipissing University"/>
    <tableColumn id="9" xr3:uid="{95D7550D-ECA4-4D63-BD6E-674D401A33C9}" name="OCADu"/>
    <tableColumn id="10" xr3:uid="{58DCC9D7-4239-4AF4-8C94-22CEB9527DD2}" name="Queen's University"/>
    <tableColumn id="11" xr3:uid="{759FD12E-46B3-4533-8C09-892E08303339}" name="Ryerson University"/>
    <tableColumn id="12" xr3:uid="{E589AE0E-743B-492B-AD8B-1FD10B0B0C48}" name="Trent University"/>
    <tableColumn id="13" xr3:uid="{B2952FC3-61CD-49B1-A7E5-9668B527FDCB}" name="Université de Hearst"/>
    <tableColumn id="14" xr3:uid="{01A50056-E525-4640-95C5-D9E0CBE37FB0}" name="University of Guelph"/>
    <tableColumn id="15" xr3:uid="{C4556E7A-D9E7-489D-BEFB-CDA3E3DD19C9}" name="University of Ottawa"/>
    <tableColumn id="16" xr3:uid="{7BE576CF-1FC8-4325-AA84-ACCAFC57F13E}" name="University of Toronto"/>
    <tableColumn id="17" xr3:uid="{56B3C3D3-B17C-4B5E-B587-51CE0BB5D89C}" name="University of Waterloo"/>
    <tableColumn id="18" xr3:uid="{2786DDB6-363A-4ECA-AE77-4C0B3E7AA4ED}" name="University of Windsor"/>
    <tableColumn id="19" xr3:uid="{4AE8D840-D163-419F-8C7D-CA0286663038}" name="UOIT (OTU)"/>
    <tableColumn id="20" xr3:uid="{E62D3BEB-D402-4098-9668-CAA09C07E48F}" name="Western University"/>
    <tableColumn id="21" xr3:uid="{C4C04BCC-A105-425F-873C-B08ACF14EF92}" name="Wilfrid Laurier University"/>
    <tableColumn id="22" xr3:uid="{CCCA3DE2-6419-4072-9937-77499DDABE2C}" name="York University"/>
  </tableColumns>
  <tableStyleInfo name="TableStyleMedium2" showFirstColumn="1"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C7F8E132-0C2B-4801-ADD7-80B9191005E0}" name="TriCouncilCanada" displayName="TriCouncilCanada" ref="B2:H3" totalsRowShown="0" headerRowDxfId="10" dataDxfId="8" headerRowBorderDxfId="9" tableBorderDxfId="7" dataCellStyle="Currency">
  <autoFilter ref="B2:H3" xr:uid="{7A1D988D-503D-DA4C-9AC4-9A29643BE408}"/>
  <tableColumns count="7">
    <tableColumn id="1" xr3:uid="{974A3762-1256-47B3-B565-873D632F19ED}" name="NSERC [% Canada]" dataDxfId="6" dataCellStyle="Percent"/>
    <tableColumn id="2" xr3:uid="{EBCB8002-0DA8-4770-BEE9-21A01D83B61B}" name="CIHR [% Canada]" dataDxfId="5"/>
    <tableColumn id="3" xr3:uid="{BA93BDCB-3465-4019-B49A-6CD513F31CCD}" name="SSHRC [% Canada]" dataDxfId="4" dataCellStyle="Percent"/>
    <tableColumn id="4" xr3:uid="{853DF91D-6FF3-4C70-BD86-F50E50035880}" name="NSERC [$]" dataDxfId="3" dataCellStyle="Currency"/>
    <tableColumn id="5" xr3:uid="{63E9F24F-279D-45C8-BD02-C0DE65C0335B}" name="CIHR [$]" dataDxfId="2" dataCellStyle="Currency"/>
    <tableColumn id="6" xr3:uid="{8A2BDB0F-EED4-4695-A0A2-89B1BE03E252}" name="SSHRC [$]" dataDxfId="1" dataCellStyle="Currency"/>
    <tableColumn id="7" xr3:uid="{08B859EA-C4D8-4F22-817B-88D1F2A4FB34}" name="Tri-Council [$]" dataDxfId="0">
      <calculatedColumnFormula>SUM(E3:G3)</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5.bin"/><Relationship Id="rId5" Type="http://schemas.openxmlformats.org/officeDocument/2006/relationships/comments" Target="../comments2.xml"/><Relationship Id="rId4" Type="http://schemas.openxmlformats.org/officeDocument/2006/relationships/table" Target="../tables/table6.xml"/></Relationships>
</file>

<file path=xl/worksheets/_rels/sheet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97CF10-18D1-403A-B955-F18A22006C83}">
  <dimension ref="A1:AS261"/>
  <sheetViews>
    <sheetView tabSelected="1" zoomScale="90" zoomScaleNormal="90" workbookViewId="0">
      <pane xSplit="9260" topLeftCell="C1"/>
      <selection activeCell="A213" sqref="A1:XFD213"/>
      <selection pane="topRight" activeCell="AG161" sqref="AG161"/>
    </sheetView>
  </sheetViews>
  <sheetFormatPr defaultColWidth="8.85546875" defaultRowHeight="15" x14ac:dyDescent="0.25"/>
  <cols>
    <col min="1" max="1" width="18.28515625" bestFit="1" customWidth="1"/>
    <col min="2" max="2" width="18.28515625" customWidth="1"/>
    <col min="3" max="3" width="45.7109375" style="129" customWidth="1"/>
    <col min="4" max="4" width="17.28515625" customWidth="1"/>
    <col min="5" max="5" width="16" style="14" customWidth="1"/>
    <col min="6" max="6" width="16" style="21" customWidth="1"/>
    <col min="7" max="7" width="16" style="30" customWidth="1"/>
    <col min="8" max="8" width="18.140625" style="21" customWidth="1"/>
    <col min="9" max="9" width="16" style="14" customWidth="1"/>
    <col min="10" max="10" width="19" customWidth="1"/>
    <col min="11" max="11" width="16" style="14" customWidth="1"/>
    <col min="12" max="12" width="20" customWidth="1"/>
    <col min="13" max="13" width="16" style="14" customWidth="1"/>
    <col min="14" max="14" width="19.7109375" customWidth="1"/>
    <col min="15" max="15" width="16" style="14" customWidth="1"/>
    <col min="16" max="16" width="18.7109375" customWidth="1"/>
    <col min="17" max="17" width="16" style="112" customWidth="1"/>
    <col min="18" max="18" width="16" customWidth="1"/>
    <col min="19" max="19" width="16" style="14" customWidth="1"/>
    <col min="20" max="20" width="18" customWidth="1"/>
    <col min="21" max="21" width="16" style="14" customWidth="1"/>
    <col min="22" max="22" width="17.85546875" customWidth="1"/>
    <col min="23" max="23" width="17.140625" style="14" customWidth="1"/>
    <col min="24" max="24" width="17.85546875" customWidth="1"/>
    <col min="25" max="25" width="17.85546875" style="14" customWidth="1"/>
    <col min="26" max="26" width="19" customWidth="1"/>
    <col min="27" max="27" width="17.28515625" style="14" customWidth="1"/>
    <col min="28" max="28" width="19.140625" customWidth="1"/>
    <col min="29" max="29" width="17.28515625" style="14" customWidth="1"/>
    <col min="30" max="30" width="19.28515625" style="140" customWidth="1"/>
    <col min="31" max="31" width="17.85546875" style="14" customWidth="1"/>
    <col min="32" max="32" width="19.85546875" customWidth="1"/>
    <col min="33" max="33" width="17.85546875" style="14" customWidth="1"/>
    <col min="34" max="34" width="21" customWidth="1"/>
    <col min="35" max="35" width="17.28515625" style="14" customWidth="1"/>
    <col min="36" max="36" width="20.140625" customWidth="1"/>
    <col min="37" max="37" width="17.85546875" style="14" customWidth="1"/>
    <col min="38" max="38" width="17.28515625" customWidth="1"/>
    <col min="39" max="39" width="17.28515625" style="14" customWidth="1"/>
    <col min="40" max="40" width="18.140625" customWidth="1"/>
    <col min="41" max="41" width="17.7109375" style="14" customWidth="1"/>
    <col min="42" max="42" width="22.85546875" customWidth="1"/>
    <col min="43" max="43" width="17.7109375" style="14" customWidth="1"/>
    <col min="44" max="44" width="17.28515625" customWidth="1"/>
    <col min="45" max="45" width="17.28515625" style="14" customWidth="1"/>
  </cols>
  <sheetData>
    <row r="1" spans="1:45" s="34" customFormat="1" x14ac:dyDescent="0.25">
      <c r="A1" s="34" t="s">
        <v>1025</v>
      </c>
      <c r="B1" s="35" t="s">
        <v>1</v>
      </c>
      <c r="C1" s="127" t="s">
        <v>0</v>
      </c>
      <c r="D1" s="169" t="s">
        <v>983</v>
      </c>
      <c r="E1" s="169" t="s">
        <v>984</v>
      </c>
      <c r="F1" s="170" t="s">
        <v>985</v>
      </c>
      <c r="G1" s="170" t="s">
        <v>986</v>
      </c>
      <c r="H1" s="171" t="s">
        <v>987</v>
      </c>
      <c r="I1" s="171" t="s">
        <v>988</v>
      </c>
      <c r="J1" s="36" t="s">
        <v>989</v>
      </c>
      <c r="K1" s="36" t="s">
        <v>990</v>
      </c>
      <c r="L1" s="102" t="s">
        <v>991</v>
      </c>
      <c r="M1" s="102" t="s">
        <v>992</v>
      </c>
      <c r="N1" s="36" t="s">
        <v>993</v>
      </c>
      <c r="O1" s="36" t="s">
        <v>994</v>
      </c>
      <c r="P1" s="102" t="s">
        <v>995</v>
      </c>
      <c r="Q1" s="102" t="s">
        <v>996</v>
      </c>
      <c r="R1" s="37" t="s">
        <v>997</v>
      </c>
      <c r="S1" s="37" t="s">
        <v>998</v>
      </c>
      <c r="T1" s="102" t="s">
        <v>999</v>
      </c>
      <c r="U1" s="102" t="s">
        <v>1000</v>
      </c>
      <c r="V1" s="36" t="s">
        <v>1001</v>
      </c>
      <c r="W1" s="36" t="s">
        <v>1002</v>
      </c>
      <c r="X1" s="102" t="s">
        <v>1003</v>
      </c>
      <c r="Y1" s="102" t="s">
        <v>1004</v>
      </c>
      <c r="Z1" s="36" t="s">
        <v>1005</v>
      </c>
      <c r="AA1" s="36" t="s">
        <v>1006</v>
      </c>
      <c r="AB1" s="102" t="s">
        <v>1007</v>
      </c>
      <c r="AC1" s="102" t="s">
        <v>1008</v>
      </c>
      <c r="AD1" s="142" t="s">
        <v>1009</v>
      </c>
      <c r="AE1" s="142" t="s">
        <v>1010</v>
      </c>
      <c r="AF1" s="102" t="s">
        <v>1011</v>
      </c>
      <c r="AG1" s="102" t="s">
        <v>1012</v>
      </c>
      <c r="AH1" s="36" t="s">
        <v>1013</v>
      </c>
      <c r="AI1" s="36" t="s">
        <v>1014</v>
      </c>
      <c r="AJ1" s="102" t="s">
        <v>1015</v>
      </c>
      <c r="AK1" s="102" t="s">
        <v>1016</v>
      </c>
      <c r="AL1" s="36" t="s">
        <v>1017</v>
      </c>
      <c r="AM1" s="36" t="s">
        <v>1018</v>
      </c>
      <c r="AN1" s="102" t="s">
        <v>1019</v>
      </c>
      <c r="AO1" s="102" t="s">
        <v>1020</v>
      </c>
      <c r="AP1" s="36" t="s">
        <v>1021</v>
      </c>
      <c r="AQ1" s="36" t="s">
        <v>1022</v>
      </c>
      <c r="AR1" s="102" t="s">
        <v>1023</v>
      </c>
      <c r="AS1" s="102" t="s">
        <v>1024</v>
      </c>
    </row>
    <row r="2" spans="1:45" s="44" customFormat="1" x14ac:dyDescent="0.25">
      <c r="A2" s="44" t="s">
        <v>77</v>
      </c>
      <c r="B2" s="45" t="s">
        <v>23</v>
      </c>
      <c r="C2" s="128" t="s">
        <v>33</v>
      </c>
      <c r="D2" s="47">
        <v>0.54</v>
      </c>
      <c r="E2" s="48" t="s">
        <v>73</v>
      </c>
      <c r="F2" s="49">
        <v>0.53</v>
      </c>
      <c r="G2" s="48" t="s">
        <v>74</v>
      </c>
      <c r="H2" s="49">
        <v>0.6</v>
      </c>
      <c r="I2" s="48">
        <v>0.6</v>
      </c>
      <c r="J2" s="47">
        <f>AVERAGE(55%,65%)</f>
        <v>0.60000000000000009</v>
      </c>
      <c r="K2" s="58" t="s">
        <v>194</v>
      </c>
      <c r="L2" s="47">
        <v>0.63</v>
      </c>
      <c r="M2" s="58" t="s">
        <v>259</v>
      </c>
      <c r="N2" s="47">
        <v>0.57999999999999996</v>
      </c>
      <c r="O2" s="53">
        <v>0.57999999999999996</v>
      </c>
      <c r="P2" s="106">
        <f>AVERAGE(52%,58%)</f>
        <v>0.55000000000000004</v>
      </c>
      <c r="Q2" s="111" t="s">
        <v>329</v>
      </c>
      <c r="R2" s="47">
        <v>0.51</v>
      </c>
      <c r="S2" s="53">
        <v>0.51</v>
      </c>
      <c r="T2" s="106">
        <f>AVERAGE(62%,66%)</f>
        <v>0.64</v>
      </c>
      <c r="U2" s="58" t="s">
        <v>394</v>
      </c>
      <c r="V2" s="100">
        <f>AVERAGE(48%,58%)</f>
        <v>0.53</v>
      </c>
      <c r="W2" s="58" t="s">
        <v>456</v>
      </c>
      <c r="X2" s="47">
        <v>0.54</v>
      </c>
      <c r="Y2" s="58" t="s">
        <v>511</v>
      </c>
      <c r="Z2" s="47">
        <v>0.5</v>
      </c>
      <c r="AA2" s="53">
        <v>0.5</v>
      </c>
      <c r="AB2" s="47">
        <v>0.5</v>
      </c>
      <c r="AC2" s="58" t="s">
        <v>591</v>
      </c>
      <c r="AD2" s="146">
        <v>0.53</v>
      </c>
      <c r="AE2" s="58" t="s">
        <v>644</v>
      </c>
      <c r="AF2" s="184">
        <f>AVERAGE(D2,F2,H2,J2,L2,N2,P2,R2,T2,V2,X2,Z2,AB2,AD2,AJ2,AL2,AN2,AP2,AR2)</f>
        <v>0.54526315789473689</v>
      </c>
      <c r="AG2" s="58" t="s">
        <v>677</v>
      </c>
      <c r="AH2" s="47">
        <v>0.5</v>
      </c>
      <c r="AI2" s="58" t="s">
        <v>713</v>
      </c>
      <c r="AJ2" s="47">
        <v>0.55000000000000004</v>
      </c>
      <c r="AK2" s="58" t="s">
        <v>766</v>
      </c>
      <c r="AL2" s="95">
        <f>AVERAGE(52%,56%)</f>
        <v>0.54</v>
      </c>
      <c r="AM2" s="58" t="s">
        <v>809</v>
      </c>
      <c r="AN2" s="47">
        <v>0.5</v>
      </c>
      <c r="AO2" s="53">
        <v>0.5</v>
      </c>
      <c r="AP2" s="47">
        <v>0.52</v>
      </c>
      <c r="AQ2" s="58" t="s">
        <v>860</v>
      </c>
      <c r="AR2" s="106">
        <f>AVERAGE(46%,48%)</f>
        <v>0.47</v>
      </c>
      <c r="AS2" s="57" t="s">
        <v>906</v>
      </c>
    </row>
    <row r="3" spans="1:45" s="44" customFormat="1" x14ac:dyDescent="0.25">
      <c r="A3" s="44" t="s">
        <v>77</v>
      </c>
      <c r="B3" s="45" t="s">
        <v>23</v>
      </c>
      <c r="C3" s="128" t="s">
        <v>34</v>
      </c>
      <c r="D3" s="50">
        <v>0.69</v>
      </c>
      <c r="E3" s="51" t="s">
        <v>32</v>
      </c>
      <c r="F3" s="52">
        <v>0.89500000000000002</v>
      </c>
      <c r="G3" s="51" t="s">
        <v>75</v>
      </c>
      <c r="H3" s="52">
        <v>0.88200000000000001</v>
      </c>
      <c r="I3" s="48">
        <v>0.88200000000000001</v>
      </c>
      <c r="J3" s="47">
        <f>AVERAGE(80%,85%)</f>
        <v>0.82499999999999996</v>
      </c>
      <c r="K3" s="58" t="s">
        <v>195</v>
      </c>
      <c r="L3" s="95">
        <v>0.85499999999999998</v>
      </c>
      <c r="M3" s="58" t="s">
        <v>260</v>
      </c>
      <c r="N3" s="47">
        <v>0.9</v>
      </c>
      <c r="O3" s="53">
        <v>0.9</v>
      </c>
      <c r="P3" s="106">
        <f>AVERAGE(80%,86%)</f>
        <v>0.83000000000000007</v>
      </c>
      <c r="Q3" s="111" t="s">
        <v>330</v>
      </c>
      <c r="R3" s="47">
        <v>0.89</v>
      </c>
      <c r="S3" s="53">
        <v>0.89</v>
      </c>
      <c r="T3" s="106">
        <f>AVERAGE(93%,95%)</f>
        <v>0.94</v>
      </c>
      <c r="U3" s="58" t="s">
        <v>395</v>
      </c>
      <c r="V3" s="100">
        <f>AVERAGE(87%,92%)</f>
        <v>0.89500000000000002</v>
      </c>
      <c r="W3" s="58" t="s">
        <v>457</v>
      </c>
      <c r="X3" s="47">
        <v>0.8</v>
      </c>
      <c r="Y3" s="53">
        <v>0.8</v>
      </c>
      <c r="Z3" s="106">
        <f>AVERAGE(75%,85%)</f>
        <v>0.8</v>
      </c>
      <c r="AA3" s="58" t="s">
        <v>554</v>
      </c>
      <c r="AB3" s="47">
        <v>0.9</v>
      </c>
      <c r="AC3" s="58" t="s">
        <v>592</v>
      </c>
      <c r="AD3" s="146">
        <v>0.9</v>
      </c>
      <c r="AE3" s="53">
        <v>0.9</v>
      </c>
      <c r="AF3" s="47">
        <v>0.88236363636363635</v>
      </c>
      <c r="AG3" s="58" t="s">
        <v>677</v>
      </c>
      <c r="AH3" s="47">
        <v>0.9</v>
      </c>
      <c r="AI3" s="58" t="s">
        <v>714</v>
      </c>
      <c r="AJ3" s="47">
        <v>0.85</v>
      </c>
      <c r="AK3" s="58" t="s">
        <v>767</v>
      </c>
      <c r="AL3" s="95">
        <f>AVERAGE(79%,81%)</f>
        <v>0.8</v>
      </c>
      <c r="AM3" s="58" t="s">
        <v>810</v>
      </c>
      <c r="AN3" s="47">
        <v>0.93</v>
      </c>
      <c r="AO3" s="53">
        <v>0.93</v>
      </c>
      <c r="AP3" s="106">
        <f>AVERAGE(87%,88.5%)</f>
        <v>0.87749999999999995</v>
      </c>
      <c r="AQ3" s="58" t="s">
        <v>861</v>
      </c>
      <c r="AR3" s="47">
        <v>0.88</v>
      </c>
      <c r="AS3" s="57" t="s">
        <v>907</v>
      </c>
    </row>
    <row r="4" spans="1:45" s="44" customFormat="1" x14ac:dyDescent="0.25">
      <c r="A4" s="44" t="s">
        <v>77</v>
      </c>
      <c r="B4" s="45" t="s">
        <v>23</v>
      </c>
      <c r="C4" s="128" t="s">
        <v>35</v>
      </c>
      <c r="D4" s="50">
        <v>0.08</v>
      </c>
      <c r="E4" s="48" t="s">
        <v>36</v>
      </c>
      <c r="F4" s="52">
        <v>0.08</v>
      </c>
      <c r="G4" s="48" t="s">
        <v>76</v>
      </c>
      <c r="H4" s="49">
        <v>0.06</v>
      </c>
      <c r="I4" s="53">
        <v>0.06</v>
      </c>
      <c r="J4" s="47">
        <f>AVERAGE(10%,13%)</f>
        <v>0.115</v>
      </c>
      <c r="K4" s="58" t="s">
        <v>196</v>
      </c>
      <c r="L4" s="95">
        <v>6.08E-2</v>
      </c>
      <c r="M4" s="58" t="s">
        <v>261</v>
      </c>
      <c r="N4" s="44">
        <v>0.05</v>
      </c>
      <c r="O4" s="44">
        <v>0.05</v>
      </c>
      <c r="P4" s="95">
        <v>8.2000000000000003E-2</v>
      </c>
      <c r="Q4" s="114">
        <v>8.2000000000000003E-2</v>
      </c>
      <c r="R4" s="47">
        <v>0.06</v>
      </c>
      <c r="S4" s="53">
        <v>0.06</v>
      </c>
      <c r="T4" s="106">
        <f>AVERAGE(3%,3.4%)</f>
        <v>3.2000000000000001E-2</v>
      </c>
      <c r="U4" s="58" t="s">
        <v>396</v>
      </c>
      <c r="V4" s="100">
        <f>AVERAGE(8%,12%)</f>
        <v>0.1</v>
      </c>
      <c r="W4" s="58" t="s">
        <v>458</v>
      </c>
      <c r="X4" s="106">
        <f>AVERAGE(5%,7%)</f>
        <v>6.0000000000000005E-2</v>
      </c>
      <c r="Y4" s="58" t="s">
        <v>512</v>
      </c>
      <c r="Z4" s="47">
        <v>0.1</v>
      </c>
      <c r="AA4" s="53">
        <v>0.1</v>
      </c>
      <c r="AB4" s="47">
        <v>0.06</v>
      </c>
      <c r="AC4" s="58" t="s">
        <v>593</v>
      </c>
      <c r="AD4" s="147">
        <v>3.2000000000000001E-2</v>
      </c>
      <c r="AE4" s="109">
        <v>3.2000000000000001E-2</v>
      </c>
      <c r="AF4" s="188">
        <v>0.1242</v>
      </c>
      <c r="AG4" s="58" t="s">
        <v>678</v>
      </c>
      <c r="AH4" s="47">
        <v>0.03</v>
      </c>
      <c r="AI4" s="58" t="s">
        <v>715</v>
      </c>
      <c r="AJ4" s="95">
        <f>+AVERAGE(4.75%,5%)</f>
        <v>4.8750000000000002E-2</v>
      </c>
      <c r="AK4" s="58" t="s">
        <v>768</v>
      </c>
      <c r="AL4" s="95">
        <f>AVERAGE(5%,7%)</f>
        <v>6.0000000000000005E-2</v>
      </c>
      <c r="AM4" s="58" t="s">
        <v>811</v>
      </c>
      <c r="AN4" s="47">
        <v>0.04</v>
      </c>
      <c r="AO4" s="53">
        <v>0.04</v>
      </c>
      <c r="AP4" s="106">
        <f>AVERAGE(6.5%,7%)</f>
        <v>6.7500000000000004E-2</v>
      </c>
      <c r="AQ4" s="58" t="s">
        <v>862</v>
      </c>
      <c r="AR4" s="47">
        <f>112347000/837776000</f>
        <v>0.13410147819942322</v>
      </c>
      <c r="AS4" s="57" t="s">
        <v>908</v>
      </c>
    </row>
    <row r="5" spans="1:45" hidden="1" x14ac:dyDescent="0.25">
      <c r="A5" t="s">
        <v>77</v>
      </c>
      <c r="B5" s="1" t="s">
        <v>24</v>
      </c>
      <c r="C5" s="129" t="s">
        <v>37</v>
      </c>
      <c r="D5" s="7">
        <v>2700</v>
      </c>
      <c r="E5" s="17">
        <v>2700</v>
      </c>
      <c r="F5" s="24"/>
      <c r="G5" s="32"/>
      <c r="AS5" s="21"/>
    </row>
    <row r="6" spans="1:45" s="38" customFormat="1" hidden="1" x14ac:dyDescent="0.25">
      <c r="A6" s="38" t="s">
        <v>77</v>
      </c>
      <c r="B6" s="39" t="s">
        <v>24</v>
      </c>
      <c r="C6" s="130" t="s">
        <v>80</v>
      </c>
      <c r="D6" s="38">
        <f>FLOOR(MAX(Enrolments[Algoma University])*0.209,1)</f>
        <v>178</v>
      </c>
      <c r="E6" s="40" t="s">
        <v>160</v>
      </c>
      <c r="F6" s="41">
        <v>8500</v>
      </c>
      <c r="G6" s="42" t="s">
        <v>81</v>
      </c>
      <c r="H6" s="43">
        <v>7150</v>
      </c>
      <c r="I6" s="42">
        <v>7150</v>
      </c>
      <c r="K6" s="42"/>
      <c r="M6" s="42"/>
      <c r="O6" s="42"/>
      <c r="Q6" s="113"/>
      <c r="S6" s="42"/>
      <c r="U6" s="42"/>
      <c r="W6" s="42"/>
      <c r="Y6" s="42"/>
      <c r="AA6" s="42"/>
      <c r="AC6" s="42"/>
      <c r="AD6" s="144"/>
      <c r="AE6" s="42"/>
      <c r="AG6" s="42"/>
      <c r="AI6" s="42"/>
      <c r="AK6" s="42"/>
      <c r="AM6" s="42"/>
      <c r="AO6" s="42"/>
      <c r="AQ6" s="42"/>
      <c r="AS6" s="43"/>
    </row>
    <row r="7" spans="1:45" hidden="1" x14ac:dyDescent="0.25">
      <c r="A7" t="s">
        <v>77</v>
      </c>
      <c r="B7" s="1" t="s">
        <v>24</v>
      </c>
      <c r="C7" s="129" t="s">
        <v>38</v>
      </c>
      <c r="D7">
        <v>10.87</v>
      </c>
      <c r="E7" s="14">
        <v>10.87</v>
      </c>
      <c r="AS7" s="21"/>
    </row>
    <row r="8" spans="1:45" hidden="1" x14ac:dyDescent="0.25">
      <c r="A8" t="s">
        <v>77</v>
      </c>
      <c r="B8" s="1" t="s">
        <v>24</v>
      </c>
      <c r="C8" s="129" t="s">
        <v>78</v>
      </c>
      <c r="F8" s="24">
        <v>607</v>
      </c>
      <c r="G8" s="30" t="s">
        <v>79</v>
      </c>
      <c r="AS8" s="21"/>
    </row>
    <row r="9" spans="1:45" ht="30" hidden="1" x14ac:dyDescent="0.25">
      <c r="A9" t="s">
        <v>77</v>
      </c>
      <c r="B9" s="1" t="s">
        <v>24</v>
      </c>
      <c r="C9" s="129" t="s">
        <v>161</v>
      </c>
      <c r="F9" s="24"/>
      <c r="H9" s="81" t="s">
        <v>162</v>
      </c>
      <c r="I9" s="82" t="s">
        <v>162</v>
      </c>
      <c r="AS9" s="21"/>
    </row>
    <row r="10" spans="1:45" hidden="1" x14ac:dyDescent="0.25">
      <c r="A10" t="s">
        <v>77</v>
      </c>
      <c r="B10" s="1" t="s">
        <v>24</v>
      </c>
      <c r="C10" s="129" t="s">
        <v>197</v>
      </c>
      <c r="F10" s="24"/>
      <c r="H10" s="83">
        <v>100</v>
      </c>
      <c r="I10" s="92">
        <v>100</v>
      </c>
      <c r="AS10" s="21"/>
    </row>
    <row r="11" spans="1:45" s="38" customFormat="1" ht="59.1" hidden="1" customHeight="1" x14ac:dyDescent="0.25">
      <c r="A11" s="38" t="s">
        <v>77</v>
      </c>
      <c r="B11" s="39" t="s">
        <v>24</v>
      </c>
      <c r="C11" s="130" t="s">
        <v>198</v>
      </c>
      <c r="E11" s="42"/>
      <c r="F11" s="41"/>
      <c r="G11" s="42"/>
      <c r="H11" s="161"/>
      <c r="I11" s="162"/>
      <c r="J11" s="39" t="s">
        <v>199</v>
      </c>
      <c r="K11" s="123" t="s">
        <v>199</v>
      </c>
      <c r="M11" s="42"/>
      <c r="O11" s="42"/>
      <c r="Q11" s="113"/>
      <c r="S11" s="42"/>
      <c r="U11" s="42"/>
      <c r="W11" s="42"/>
      <c r="Y11" s="42"/>
      <c r="AA11" s="42"/>
      <c r="AC11" s="42"/>
      <c r="AD11" s="144"/>
      <c r="AE11" s="42"/>
      <c r="AG11" s="42"/>
      <c r="AI11" s="42"/>
      <c r="AK11" s="42"/>
      <c r="AM11" s="42"/>
      <c r="AN11" s="163">
        <v>0.95</v>
      </c>
      <c r="AO11" s="153">
        <v>0.95</v>
      </c>
      <c r="AQ11" s="42"/>
      <c r="AS11" s="43"/>
    </row>
    <row r="12" spans="1:45" ht="63" hidden="1" customHeight="1" x14ac:dyDescent="0.25">
      <c r="A12" t="s">
        <v>77</v>
      </c>
      <c r="B12" s="1" t="s">
        <v>24</v>
      </c>
      <c r="C12" s="129" t="s">
        <v>200</v>
      </c>
      <c r="F12" s="24"/>
      <c r="H12" s="83"/>
      <c r="I12" s="92"/>
      <c r="J12" s="1" t="s">
        <v>199</v>
      </c>
      <c r="K12" s="103" t="s">
        <v>199</v>
      </c>
      <c r="AS12" s="21"/>
    </row>
    <row r="13" spans="1:45" hidden="1" x14ac:dyDescent="0.25">
      <c r="A13" t="s">
        <v>77</v>
      </c>
      <c r="B13" s="1" t="s">
        <v>24</v>
      </c>
      <c r="C13" s="129" t="s">
        <v>201</v>
      </c>
      <c r="F13" s="24"/>
      <c r="H13" s="83"/>
      <c r="I13" s="92"/>
      <c r="J13" s="1">
        <f>AVERAGE(1.7,2)</f>
        <v>1.85</v>
      </c>
      <c r="K13" s="103" t="s">
        <v>202</v>
      </c>
      <c r="AS13" s="21"/>
    </row>
    <row r="14" spans="1:45" hidden="1" x14ac:dyDescent="0.25">
      <c r="A14" t="s">
        <v>77</v>
      </c>
      <c r="B14" s="1" t="s">
        <v>24</v>
      </c>
      <c r="C14" s="129" t="s">
        <v>262</v>
      </c>
      <c r="F14" s="24"/>
      <c r="H14" s="83"/>
      <c r="I14" s="92"/>
      <c r="J14" s="1"/>
      <c r="K14" s="103"/>
      <c r="L14" s="14" t="s">
        <v>261</v>
      </c>
      <c r="M14" s="14" t="s">
        <v>261</v>
      </c>
      <c r="AS14" s="21"/>
    </row>
    <row r="15" spans="1:45" s="38" customFormat="1" hidden="1" x14ac:dyDescent="0.25">
      <c r="A15" s="38" t="s">
        <v>77</v>
      </c>
      <c r="B15" s="39" t="s">
        <v>24</v>
      </c>
      <c r="C15" s="130" t="s">
        <v>301</v>
      </c>
      <c r="E15" s="42"/>
      <c r="F15" s="41"/>
      <c r="G15" s="42"/>
      <c r="H15" s="161"/>
      <c r="I15" s="162"/>
      <c r="J15" s="39"/>
      <c r="K15" s="123"/>
      <c r="M15" s="42"/>
      <c r="N15" s="163">
        <v>0.7</v>
      </c>
      <c r="O15" s="153">
        <v>0.7</v>
      </c>
      <c r="Q15" s="113"/>
      <c r="S15" s="42"/>
      <c r="U15" s="42"/>
      <c r="W15" s="42"/>
      <c r="Y15" s="42"/>
      <c r="AA15" s="42"/>
      <c r="AC15" s="42"/>
      <c r="AD15" s="144"/>
      <c r="AE15" s="42"/>
      <c r="AG15" s="42"/>
      <c r="AI15" s="42"/>
      <c r="AK15" s="42"/>
      <c r="AM15" s="42"/>
      <c r="AN15" s="164">
        <v>0.875</v>
      </c>
      <c r="AO15" s="165">
        <v>0.875</v>
      </c>
      <c r="AQ15" s="42"/>
      <c r="AS15" s="43"/>
    </row>
    <row r="16" spans="1:45" hidden="1" x14ac:dyDescent="0.25">
      <c r="A16" t="s">
        <v>77</v>
      </c>
      <c r="B16" s="1" t="s">
        <v>24</v>
      </c>
      <c r="C16" s="129" t="s">
        <v>331</v>
      </c>
      <c r="F16" s="24"/>
      <c r="H16" s="83"/>
      <c r="I16" s="92"/>
      <c r="J16" s="1"/>
      <c r="K16" s="103"/>
      <c r="N16" s="94"/>
      <c r="O16" s="15"/>
      <c r="P16" s="94">
        <v>0.86</v>
      </c>
      <c r="Q16" s="115">
        <v>0.86</v>
      </c>
      <c r="AS16" s="21"/>
    </row>
    <row r="17" spans="1:45" hidden="1" x14ac:dyDescent="0.25">
      <c r="A17" t="s">
        <v>77</v>
      </c>
      <c r="B17" s="1" t="s">
        <v>24</v>
      </c>
      <c r="C17" s="129" t="s">
        <v>332</v>
      </c>
      <c r="F17" s="24"/>
      <c r="H17" s="83"/>
      <c r="I17" s="92"/>
      <c r="J17" s="1"/>
      <c r="K17" s="103"/>
      <c r="N17" s="94"/>
      <c r="O17" s="15"/>
      <c r="P17" s="94">
        <v>0.82</v>
      </c>
      <c r="Q17" s="115">
        <v>0.82</v>
      </c>
      <c r="AS17" s="21"/>
    </row>
    <row r="18" spans="1:45" hidden="1" x14ac:dyDescent="0.25">
      <c r="A18" t="s">
        <v>77</v>
      </c>
      <c r="B18" s="1" t="s">
        <v>24</v>
      </c>
      <c r="C18" s="129" t="s">
        <v>371</v>
      </c>
      <c r="F18" s="24"/>
      <c r="H18" s="83"/>
      <c r="I18" s="92"/>
      <c r="J18" s="1"/>
      <c r="K18" s="103"/>
      <c r="N18" s="94"/>
      <c r="O18" s="15"/>
      <c r="R18" s="94">
        <v>0.86</v>
      </c>
      <c r="S18" s="15">
        <v>0.86</v>
      </c>
      <c r="AS18" s="21"/>
    </row>
    <row r="19" spans="1:45" hidden="1" x14ac:dyDescent="0.25">
      <c r="A19" t="s">
        <v>77</v>
      </c>
      <c r="B19" s="1" t="s">
        <v>24</v>
      </c>
      <c r="C19" s="129" t="s">
        <v>333</v>
      </c>
      <c r="F19" s="24"/>
      <c r="H19" s="83"/>
      <c r="I19" s="92"/>
      <c r="J19" s="1"/>
      <c r="K19" s="103"/>
      <c r="N19" s="94"/>
      <c r="O19" s="15"/>
      <c r="P19" s="94">
        <v>0.92</v>
      </c>
      <c r="Q19" s="115">
        <v>0.92</v>
      </c>
      <c r="AS19" s="21"/>
    </row>
    <row r="20" spans="1:45" ht="45" hidden="1" x14ac:dyDescent="0.25">
      <c r="A20" t="s">
        <v>77</v>
      </c>
      <c r="B20" s="1" t="s">
        <v>24</v>
      </c>
      <c r="C20" s="1" t="s">
        <v>397</v>
      </c>
      <c r="F20" s="24"/>
      <c r="H20" s="83"/>
      <c r="I20" s="92"/>
      <c r="J20" s="1"/>
      <c r="K20" s="103"/>
      <c r="N20" s="94"/>
      <c r="O20" s="15"/>
      <c r="P20" s="94"/>
      <c r="Q20" s="115"/>
      <c r="T20" s="5">
        <f>AVERAGE(85%,91%)</f>
        <v>0.88</v>
      </c>
      <c r="U20" s="14" t="s">
        <v>399</v>
      </c>
      <c r="AS20" s="21"/>
    </row>
    <row r="21" spans="1:45" hidden="1" x14ac:dyDescent="0.25">
      <c r="A21" t="s">
        <v>77</v>
      </c>
      <c r="B21" s="1" t="s">
        <v>24</v>
      </c>
      <c r="C21" s="129" t="s">
        <v>398</v>
      </c>
      <c r="F21" s="24"/>
      <c r="H21" s="83"/>
      <c r="I21" s="92"/>
      <c r="J21" s="1"/>
      <c r="K21" s="103"/>
      <c r="N21" s="94"/>
      <c r="O21" s="15"/>
      <c r="P21" s="94"/>
      <c r="Q21" s="115"/>
      <c r="T21" s="5">
        <f>AVERAGE(82%,88%)</f>
        <v>0.85</v>
      </c>
      <c r="U21" s="14" t="s">
        <v>400</v>
      </c>
      <c r="AS21" s="21"/>
    </row>
    <row r="22" spans="1:45" hidden="1" x14ac:dyDescent="0.25">
      <c r="A22" t="s">
        <v>77</v>
      </c>
      <c r="B22" s="1" t="s">
        <v>24</v>
      </c>
      <c r="C22" s="129" t="s">
        <v>401</v>
      </c>
      <c r="F22" s="24"/>
      <c r="H22" s="83"/>
      <c r="I22" s="92"/>
      <c r="J22" s="1"/>
      <c r="K22" s="103"/>
      <c r="N22" s="94"/>
      <c r="O22" s="15"/>
      <c r="P22" s="94"/>
      <c r="Q22" s="115"/>
      <c r="T22" s="5">
        <f>AVERAGE(80%,90%)</f>
        <v>0.85000000000000009</v>
      </c>
      <c r="U22" s="14" t="s">
        <v>404</v>
      </c>
      <c r="AS22" s="21"/>
    </row>
    <row r="23" spans="1:45" hidden="1" x14ac:dyDescent="0.25">
      <c r="A23" t="s">
        <v>77</v>
      </c>
      <c r="B23" s="1" t="s">
        <v>24</v>
      </c>
      <c r="C23" s="129" t="s">
        <v>402</v>
      </c>
      <c r="F23" s="24"/>
      <c r="H23" s="83"/>
      <c r="I23" s="92"/>
      <c r="J23" s="1"/>
      <c r="K23" s="103"/>
      <c r="N23" s="94"/>
      <c r="O23" s="15"/>
      <c r="P23" s="94"/>
      <c r="Q23" s="115"/>
      <c r="T23" s="5">
        <f>AVERAGE(85%,95%)</f>
        <v>0.89999999999999991</v>
      </c>
      <c r="U23" s="30" t="s">
        <v>405</v>
      </c>
      <c r="AS23" s="21"/>
    </row>
    <row r="24" spans="1:45" hidden="1" x14ac:dyDescent="0.25">
      <c r="A24" t="s">
        <v>77</v>
      </c>
      <c r="B24" s="1" t="s">
        <v>24</v>
      </c>
      <c r="C24" s="129" t="s">
        <v>403</v>
      </c>
      <c r="F24" s="24"/>
      <c r="H24" s="83"/>
      <c r="I24" s="92"/>
      <c r="J24" s="1"/>
      <c r="K24" s="103"/>
      <c r="N24" s="94"/>
      <c r="O24" s="15"/>
      <c r="P24" s="94"/>
      <c r="Q24" s="115"/>
      <c r="T24" s="5">
        <f>AVERAGE(80%,90%)</f>
        <v>0.85000000000000009</v>
      </c>
      <c r="U24" s="30" t="s">
        <v>404</v>
      </c>
      <c r="AS24" s="21"/>
    </row>
    <row r="25" spans="1:45" hidden="1" x14ac:dyDescent="0.25">
      <c r="A25" t="s">
        <v>77</v>
      </c>
      <c r="B25" s="1" t="s">
        <v>24</v>
      </c>
      <c r="C25" s="129" t="s">
        <v>459</v>
      </c>
      <c r="F25" s="24"/>
      <c r="H25" s="83"/>
      <c r="I25" s="92"/>
      <c r="J25" s="1"/>
      <c r="K25" s="103"/>
      <c r="N25" s="94"/>
      <c r="O25" s="15"/>
      <c r="P25" s="94"/>
      <c r="Q25" s="115"/>
      <c r="T25" s="5"/>
      <c r="U25" s="30"/>
      <c r="V25">
        <f>AVERAGE(400,500)</f>
        <v>450</v>
      </c>
      <c r="W25" s="14" t="s">
        <v>461</v>
      </c>
      <c r="AS25" s="21"/>
    </row>
    <row r="26" spans="1:45" hidden="1" x14ac:dyDescent="0.25">
      <c r="A26" t="s">
        <v>77</v>
      </c>
      <c r="B26" s="1" t="s">
        <v>24</v>
      </c>
      <c r="C26" s="129" t="s">
        <v>460</v>
      </c>
      <c r="F26" s="24"/>
      <c r="H26" s="83"/>
      <c r="I26" s="92"/>
      <c r="J26" s="1"/>
      <c r="K26" s="103"/>
      <c r="N26" s="94"/>
      <c r="O26" s="15"/>
      <c r="P26" s="94"/>
      <c r="Q26" s="115"/>
      <c r="T26" s="5"/>
      <c r="U26" s="30"/>
      <c r="V26">
        <f>AVERAGE(95000,110000)</f>
        <v>102500</v>
      </c>
      <c r="W26" s="14" t="s">
        <v>462</v>
      </c>
      <c r="AS26" s="21"/>
    </row>
    <row r="27" spans="1:45" hidden="1" x14ac:dyDescent="0.25">
      <c r="A27" t="s">
        <v>77</v>
      </c>
      <c r="B27" s="1" t="s">
        <v>24</v>
      </c>
      <c r="C27" s="129" t="s">
        <v>513</v>
      </c>
      <c r="F27" s="24"/>
      <c r="H27" s="83"/>
      <c r="I27" s="92"/>
      <c r="J27" s="1"/>
      <c r="K27" s="103"/>
      <c r="N27" s="94"/>
      <c r="O27" s="15"/>
      <c r="P27" s="94"/>
      <c r="Q27" s="115"/>
      <c r="T27" s="5"/>
      <c r="U27" s="30"/>
      <c r="X27">
        <v>2</v>
      </c>
      <c r="Y27" s="14" t="s">
        <v>514</v>
      </c>
      <c r="AS27" s="21"/>
    </row>
    <row r="28" spans="1:45" hidden="1" x14ac:dyDescent="0.25">
      <c r="A28" t="s">
        <v>77</v>
      </c>
      <c r="B28" s="1" t="s">
        <v>24</v>
      </c>
      <c r="C28" s="129" t="s">
        <v>515</v>
      </c>
      <c r="X28">
        <v>3</v>
      </c>
      <c r="Y28" s="14">
        <v>3</v>
      </c>
      <c r="AS28" s="21"/>
    </row>
    <row r="29" spans="1:45" hidden="1" x14ac:dyDescent="0.25">
      <c r="A29" t="s">
        <v>77</v>
      </c>
      <c r="B29" s="1" t="s">
        <v>24</v>
      </c>
      <c r="C29" s="129" t="s">
        <v>516</v>
      </c>
      <c r="F29" s="24"/>
      <c r="H29" s="83"/>
      <c r="I29" s="92"/>
      <c r="J29" s="1"/>
      <c r="K29" s="103"/>
      <c r="N29" s="94"/>
      <c r="O29" s="15"/>
      <c r="P29" s="94"/>
      <c r="Q29" s="115"/>
      <c r="T29" s="5"/>
      <c r="U29" s="30"/>
      <c r="X29">
        <v>36.4</v>
      </c>
      <c r="Y29" s="14">
        <v>36.4</v>
      </c>
      <c r="AS29" s="21"/>
    </row>
    <row r="30" spans="1:45" hidden="1" x14ac:dyDescent="0.25">
      <c r="A30" t="s">
        <v>77</v>
      </c>
      <c r="B30" s="1" t="s">
        <v>24</v>
      </c>
      <c r="C30" s="129" t="s">
        <v>555</v>
      </c>
      <c r="F30" s="24"/>
      <c r="H30" s="83"/>
      <c r="I30" s="92"/>
      <c r="J30" s="1"/>
      <c r="K30" s="103"/>
      <c r="N30" s="94"/>
      <c r="O30" s="15"/>
      <c r="P30" s="94"/>
      <c r="Q30" s="115"/>
      <c r="T30" s="5"/>
      <c r="U30" s="30"/>
      <c r="Z30" s="94">
        <v>0.75</v>
      </c>
      <c r="AA30" s="14" t="s">
        <v>562</v>
      </c>
      <c r="AS30" s="21"/>
    </row>
    <row r="31" spans="1:45" hidden="1" x14ac:dyDescent="0.25">
      <c r="A31" t="s">
        <v>77</v>
      </c>
      <c r="B31" s="1" t="s">
        <v>24</v>
      </c>
      <c r="C31" s="129" t="s">
        <v>556</v>
      </c>
      <c r="F31" s="24"/>
      <c r="H31" s="83"/>
      <c r="I31" s="92"/>
      <c r="J31" s="1"/>
      <c r="K31" s="103"/>
      <c r="N31" s="94"/>
      <c r="O31" s="15"/>
      <c r="P31" s="94"/>
      <c r="Q31" s="115"/>
      <c r="T31" s="5"/>
      <c r="U31" s="30"/>
      <c r="Z31" s="94">
        <v>0.6</v>
      </c>
      <c r="AA31" s="15">
        <v>0.6</v>
      </c>
      <c r="AS31" s="21"/>
    </row>
    <row r="32" spans="1:45" hidden="1" x14ac:dyDescent="0.25">
      <c r="A32" t="s">
        <v>77</v>
      </c>
      <c r="B32" s="1" t="s">
        <v>24</v>
      </c>
      <c r="C32" s="129" t="s">
        <v>557</v>
      </c>
      <c r="F32" s="24"/>
      <c r="H32" s="83"/>
      <c r="I32" s="92"/>
      <c r="J32" s="1"/>
      <c r="K32" s="103"/>
      <c r="N32" s="94"/>
      <c r="O32" s="15"/>
      <c r="P32" s="94"/>
      <c r="Q32" s="115"/>
      <c r="T32" s="5"/>
      <c r="U32" s="30"/>
      <c r="Z32">
        <f>AVERAGE(5,10)</f>
        <v>7.5</v>
      </c>
      <c r="AA32" s="14" t="s">
        <v>561</v>
      </c>
      <c r="AS32" s="21"/>
    </row>
    <row r="33" spans="1:45" hidden="1" x14ac:dyDescent="0.25">
      <c r="A33" t="s">
        <v>77</v>
      </c>
      <c r="B33" s="1" t="s">
        <v>24</v>
      </c>
      <c r="C33" s="129" t="s">
        <v>558</v>
      </c>
      <c r="F33" s="24"/>
      <c r="H33" s="83"/>
      <c r="I33" s="92"/>
      <c r="J33" s="1"/>
      <c r="K33" s="103"/>
      <c r="N33" s="94"/>
      <c r="O33" s="15"/>
      <c r="P33" s="94"/>
      <c r="Q33" s="115"/>
      <c r="T33" s="5"/>
      <c r="U33" s="30"/>
      <c r="Z33">
        <f>AVERAGE(5,10)</f>
        <v>7.5</v>
      </c>
      <c r="AA33" s="14" t="s">
        <v>560</v>
      </c>
      <c r="AS33" s="21"/>
    </row>
    <row r="34" spans="1:45" ht="15.75" hidden="1" customHeight="1" x14ac:dyDescent="0.25">
      <c r="A34" t="s">
        <v>77</v>
      </c>
      <c r="B34" s="1" t="s">
        <v>24</v>
      </c>
      <c r="C34" s="129" t="s">
        <v>559</v>
      </c>
      <c r="F34" s="24"/>
      <c r="H34" s="83"/>
      <c r="I34" s="92"/>
      <c r="J34" s="1"/>
      <c r="K34" s="103"/>
      <c r="N34" s="94"/>
      <c r="O34" s="15"/>
      <c r="P34" s="94"/>
      <c r="Q34" s="115"/>
      <c r="T34" s="5"/>
      <c r="U34" s="30"/>
      <c r="Z34" s="131">
        <v>1</v>
      </c>
      <c r="AA34" s="131">
        <v>1</v>
      </c>
      <c r="AS34" s="21"/>
    </row>
    <row r="35" spans="1:45" ht="15.75" hidden="1" customHeight="1" x14ac:dyDescent="0.25">
      <c r="A35" t="s">
        <v>77</v>
      </c>
      <c r="B35" s="1" t="s">
        <v>24</v>
      </c>
      <c r="C35" s="129" t="s">
        <v>594</v>
      </c>
      <c r="F35" s="24"/>
      <c r="H35" s="83"/>
      <c r="I35" s="92"/>
      <c r="J35" s="1"/>
      <c r="K35" s="103"/>
      <c r="N35" s="94"/>
      <c r="O35" s="15"/>
      <c r="P35" s="94"/>
      <c r="Q35" s="115"/>
      <c r="T35" s="5"/>
      <c r="U35" s="30"/>
      <c r="Z35" s="141"/>
      <c r="AA35" s="131"/>
      <c r="AB35" s="14" t="s">
        <v>596</v>
      </c>
      <c r="AC35" s="14" t="s">
        <v>596</v>
      </c>
      <c r="AS35" s="21"/>
    </row>
    <row r="36" spans="1:45" ht="15.75" hidden="1" customHeight="1" x14ac:dyDescent="0.25">
      <c r="A36" t="s">
        <v>77</v>
      </c>
      <c r="B36" s="1" t="s">
        <v>24</v>
      </c>
      <c r="C36" s="129" t="s">
        <v>679</v>
      </c>
      <c r="F36" s="24"/>
      <c r="H36" s="83"/>
      <c r="I36" s="92"/>
      <c r="J36" s="1"/>
      <c r="K36" s="103"/>
      <c r="N36" s="94"/>
      <c r="O36" s="15"/>
      <c r="P36" s="94"/>
      <c r="Q36" s="115"/>
      <c r="T36" s="5"/>
      <c r="U36" s="30"/>
      <c r="Z36" s="141"/>
      <c r="AA36" s="131"/>
      <c r="AF36" s="14" t="s">
        <v>678</v>
      </c>
      <c r="AG36" s="14" t="s">
        <v>678</v>
      </c>
      <c r="AS36" s="21"/>
    </row>
    <row r="37" spans="1:45" ht="15.75" hidden="1" customHeight="1" x14ac:dyDescent="0.25">
      <c r="A37" t="s">
        <v>77</v>
      </c>
      <c r="B37" s="1" t="s">
        <v>24</v>
      </c>
      <c r="C37" s="129" t="s">
        <v>680</v>
      </c>
      <c r="F37" s="24"/>
      <c r="H37" s="83"/>
      <c r="I37" s="92"/>
      <c r="J37" s="1"/>
      <c r="K37" s="103"/>
      <c r="N37" s="94"/>
      <c r="O37" s="15"/>
      <c r="P37" s="94"/>
      <c r="Q37" s="115"/>
      <c r="T37" s="5"/>
      <c r="U37" s="30"/>
      <c r="Z37" s="141"/>
      <c r="AA37" s="131"/>
      <c r="AG37" s="14" t="s">
        <v>678</v>
      </c>
      <c r="AS37" s="21"/>
    </row>
    <row r="38" spans="1:45" ht="15.75" hidden="1" customHeight="1" x14ac:dyDescent="0.25">
      <c r="A38" t="s">
        <v>77</v>
      </c>
      <c r="B38" s="1" t="s">
        <v>24</v>
      </c>
      <c r="C38" s="129" t="s">
        <v>681</v>
      </c>
      <c r="F38" s="24"/>
      <c r="H38" s="83"/>
      <c r="I38" s="92"/>
      <c r="J38" s="1"/>
      <c r="K38" s="103"/>
      <c r="N38" s="94"/>
      <c r="O38" s="15"/>
      <c r="P38" s="94"/>
      <c r="Q38" s="115"/>
      <c r="T38" s="5"/>
      <c r="U38" s="30"/>
      <c r="Z38" s="141"/>
      <c r="AA38" s="131"/>
      <c r="AG38" s="14" t="s">
        <v>678</v>
      </c>
      <c r="AS38" s="21"/>
    </row>
    <row r="39" spans="1:45" ht="15.75" hidden="1" customHeight="1" x14ac:dyDescent="0.25">
      <c r="A39" t="s">
        <v>77</v>
      </c>
      <c r="B39" s="1" t="s">
        <v>24</v>
      </c>
      <c r="C39" s="129" t="s">
        <v>716</v>
      </c>
      <c r="F39" s="24"/>
      <c r="H39" s="83"/>
      <c r="I39" s="92"/>
      <c r="J39" s="1"/>
      <c r="K39" s="103"/>
      <c r="N39" s="94"/>
      <c r="O39" s="15"/>
      <c r="P39" s="94"/>
      <c r="Q39" s="115"/>
      <c r="T39" s="5"/>
      <c r="U39" s="30"/>
      <c r="Z39" s="141"/>
      <c r="AA39" s="131"/>
      <c r="AH39" s="94">
        <v>0.12</v>
      </c>
      <c r="AI39" s="14" t="s">
        <v>719</v>
      </c>
      <c r="AS39" s="21"/>
    </row>
    <row r="40" spans="1:45" ht="15.75" hidden="1" customHeight="1" x14ac:dyDescent="0.25">
      <c r="A40" t="s">
        <v>77</v>
      </c>
      <c r="B40" s="1" t="s">
        <v>24</v>
      </c>
      <c r="C40" s="1" t="s">
        <v>839</v>
      </c>
      <c r="F40" s="24"/>
      <c r="H40" s="83"/>
      <c r="I40" s="92"/>
      <c r="J40" s="1"/>
      <c r="K40" s="103"/>
      <c r="N40" s="94"/>
      <c r="O40" s="15"/>
      <c r="P40" s="94"/>
      <c r="Q40" s="115"/>
      <c r="T40" s="5"/>
      <c r="U40" s="30"/>
      <c r="Z40" s="141"/>
      <c r="AA40" s="131"/>
      <c r="AH40" s="94"/>
      <c r="AN40" s="94">
        <v>0.3</v>
      </c>
      <c r="AO40" s="15">
        <v>0.3</v>
      </c>
      <c r="AS40" s="21"/>
    </row>
    <row r="41" spans="1:45" ht="15.75" hidden="1" customHeight="1" x14ac:dyDescent="0.25">
      <c r="A41" t="s">
        <v>77</v>
      </c>
      <c r="B41" s="1" t="s">
        <v>24</v>
      </c>
      <c r="C41" s="129" t="s">
        <v>717</v>
      </c>
      <c r="F41" s="24"/>
      <c r="H41" s="83"/>
      <c r="I41" s="92"/>
      <c r="J41" s="1"/>
      <c r="K41" s="103"/>
      <c r="N41" s="94"/>
      <c r="O41" s="15"/>
      <c r="P41" s="94"/>
      <c r="Q41" s="115"/>
      <c r="T41" s="5"/>
      <c r="U41" s="30"/>
      <c r="Z41" s="141"/>
      <c r="AA41" s="131"/>
      <c r="AH41">
        <v>1000</v>
      </c>
      <c r="AI41" s="14" t="s">
        <v>720</v>
      </c>
      <c r="AS41" s="21"/>
    </row>
    <row r="42" spans="1:45" ht="15.75" hidden="1" customHeight="1" x14ac:dyDescent="0.25">
      <c r="A42" t="s">
        <v>77</v>
      </c>
      <c r="B42" s="1" t="s">
        <v>24</v>
      </c>
      <c r="C42" s="129" t="s">
        <v>718</v>
      </c>
      <c r="F42" s="24"/>
      <c r="H42" s="83"/>
      <c r="I42" s="92"/>
      <c r="J42" s="1"/>
      <c r="K42" s="103"/>
      <c r="N42" s="94"/>
      <c r="O42" s="15"/>
      <c r="P42" s="94"/>
      <c r="Q42" s="115"/>
      <c r="T42" s="5"/>
      <c r="U42" s="30"/>
      <c r="Z42" s="141"/>
      <c r="AA42" s="131"/>
      <c r="AH42" s="94">
        <v>0.7</v>
      </c>
      <c r="AI42" s="14" t="s">
        <v>721</v>
      </c>
      <c r="AS42" s="21"/>
    </row>
    <row r="43" spans="1:45" hidden="1" x14ac:dyDescent="0.25">
      <c r="A43" t="s">
        <v>77</v>
      </c>
      <c r="B43" s="1" t="s">
        <v>24</v>
      </c>
      <c r="C43" s="129" t="s">
        <v>595</v>
      </c>
      <c r="F43" s="24"/>
      <c r="H43" s="83"/>
      <c r="I43" s="92"/>
      <c r="J43" s="1"/>
      <c r="K43" s="103"/>
      <c r="N43" s="94"/>
      <c r="O43" s="15"/>
      <c r="P43" s="94"/>
      <c r="Q43" s="115"/>
      <c r="T43" s="5"/>
      <c r="U43" s="30"/>
      <c r="AB43" s="14" t="s">
        <v>597</v>
      </c>
      <c r="AC43" s="14" t="s">
        <v>597</v>
      </c>
      <c r="AS43" s="21"/>
    </row>
    <row r="44" spans="1:45" hidden="1" x14ac:dyDescent="0.25">
      <c r="A44" t="s">
        <v>77</v>
      </c>
      <c r="B44" s="1" t="s">
        <v>24</v>
      </c>
      <c r="C44" s="129" t="s">
        <v>645</v>
      </c>
      <c r="F44" s="24"/>
      <c r="H44" s="83"/>
      <c r="I44" s="92"/>
      <c r="J44" s="1"/>
      <c r="K44" s="103"/>
      <c r="N44" s="94"/>
      <c r="O44" s="15"/>
      <c r="P44" s="94"/>
      <c r="Q44" s="115"/>
      <c r="T44" s="5"/>
      <c r="U44" s="30"/>
      <c r="AD44" s="148">
        <v>0.1</v>
      </c>
      <c r="AE44" s="14" t="s">
        <v>647</v>
      </c>
      <c r="AS44" s="21"/>
    </row>
    <row r="45" spans="1:45" hidden="1" x14ac:dyDescent="0.25">
      <c r="A45" t="s">
        <v>77</v>
      </c>
      <c r="B45" s="1" t="s">
        <v>24</v>
      </c>
      <c r="C45" s="129" t="s">
        <v>769</v>
      </c>
      <c r="F45" s="24"/>
      <c r="H45" s="83"/>
      <c r="I45" s="92"/>
      <c r="J45" s="1"/>
      <c r="K45" s="103"/>
      <c r="N45" s="94"/>
      <c r="O45" s="15"/>
      <c r="P45" s="94"/>
      <c r="Q45" s="115"/>
      <c r="T45" s="5"/>
      <c r="U45" s="30"/>
      <c r="AD45" s="22"/>
      <c r="AJ45">
        <v>1000</v>
      </c>
      <c r="AK45" s="14" t="s">
        <v>771</v>
      </c>
      <c r="AS45" s="21"/>
    </row>
    <row r="46" spans="1:45" hidden="1" x14ac:dyDescent="0.25">
      <c r="A46" t="s">
        <v>77</v>
      </c>
      <c r="B46" s="1" t="s">
        <v>24</v>
      </c>
      <c r="C46" s="129" t="s">
        <v>863</v>
      </c>
      <c r="F46" s="24"/>
      <c r="H46" s="83"/>
      <c r="I46" s="92"/>
      <c r="J46" s="1"/>
      <c r="K46" s="103"/>
      <c r="N46" s="94"/>
      <c r="O46" s="15"/>
      <c r="P46" s="94"/>
      <c r="Q46" s="115"/>
      <c r="T46" s="5"/>
      <c r="U46" s="30"/>
      <c r="AD46" s="22"/>
      <c r="AP46">
        <f>AVERAGE(4.5,5.5)</f>
        <v>5</v>
      </c>
      <c r="AQ46" s="14" t="s">
        <v>866</v>
      </c>
      <c r="AS46" s="21"/>
    </row>
    <row r="47" spans="1:45" hidden="1" x14ac:dyDescent="0.25">
      <c r="A47" t="s">
        <v>77</v>
      </c>
      <c r="B47" s="1" t="s">
        <v>24</v>
      </c>
      <c r="C47" s="129" t="s">
        <v>864</v>
      </c>
      <c r="F47" s="24"/>
      <c r="H47" s="83"/>
      <c r="I47" s="92"/>
      <c r="J47" s="1"/>
      <c r="K47" s="103"/>
      <c r="N47" s="94"/>
      <c r="O47" s="15"/>
      <c r="P47" s="94"/>
      <c r="Q47" s="115"/>
      <c r="T47" s="5"/>
      <c r="U47" s="30"/>
      <c r="AD47" s="22"/>
      <c r="AP47" s="5">
        <f>AVERAGE(80%,85%)</f>
        <v>0.82499999999999996</v>
      </c>
      <c r="AQ47" s="14" t="s">
        <v>867</v>
      </c>
      <c r="AS47" s="21"/>
    </row>
    <row r="48" spans="1:45" hidden="1" x14ac:dyDescent="0.25">
      <c r="A48" t="s">
        <v>77</v>
      </c>
      <c r="B48" s="1" t="s">
        <v>24</v>
      </c>
      <c r="C48" s="129" t="s">
        <v>865</v>
      </c>
      <c r="F48" s="24"/>
      <c r="H48" s="83"/>
      <c r="I48" s="92"/>
      <c r="J48" s="1"/>
      <c r="K48" s="103"/>
      <c r="N48" s="94"/>
      <c r="O48" s="15"/>
      <c r="P48" s="94"/>
      <c r="Q48" s="115"/>
      <c r="T48" s="5"/>
      <c r="U48" s="30"/>
      <c r="AD48" s="22"/>
      <c r="AP48" s="2">
        <v>0.80100000000000005</v>
      </c>
      <c r="AQ48" s="14" t="s">
        <v>868</v>
      </c>
      <c r="AS48" s="21"/>
    </row>
    <row r="49" spans="1:45" hidden="1" x14ac:dyDescent="0.25">
      <c r="A49" t="s">
        <v>77</v>
      </c>
      <c r="B49" s="1" t="s">
        <v>24</v>
      </c>
      <c r="C49" s="129" t="s">
        <v>770</v>
      </c>
      <c r="F49" s="24"/>
      <c r="H49" s="83"/>
      <c r="I49" s="92"/>
      <c r="J49" s="1"/>
      <c r="K49" s="103"/>
      <c r="N49" s="94"/>
      <c r="O49" s="15"/>
      <c r="P49" s="94"/>
      <c r="Q49" s="115"/>
      <c r="T49" s="5"/>
      <c r="U49" s="30"/>
      <c r="AD49" s="22"/>
      <c r="AJ49" s="14" t="s">
        <v>772</v>
      </c>
      <c r="AK49" s="14" t="s">
        <v>772</v>
      </c>
      <c r="AS49" s="21"/>
    </row>
    <row r="50" spans="1:45" hidden="1" x14ac:dyDescent="0.25">
      <c r="A50" t="s">
        <v>77</v>
      </c>
      <c r="B50" s="1" t="s">
        <v>24</v>
      </c>
      <c r="C50" s="129" t="s">
        <v>646</v>
      </c>
      <c r="F50" s="24"/>
      <c r="H50" s="83"/>
      <c r="I50" s="92"/>
      <c r="J50" s="1"/>
      <c r="K50" s="103"/>
      <c r="N50" s="94"/>
      <c r="O50" s="15"/>
      <c r="P50" s="94"/>
      <c r="Q50" s="115"/>
      <c r="T50" s="5"/>
      <c r="U50" s="30"/>
      <c r="AD50" s="14" t="s">
        <v>648</v>
      </c>
      <c r="AE50" s="14" t="s">
        <v>648</v>
      </c>
      <c r="AS50" s="21"/>
    </row>
    <row r="51" spans="1:45" hidden="1" x14ac:dyDescent="0.25">
      <c r="A51" t="s">
        <v>77</v>
      </c>
      <c r="B51" s="1" t="s">
        <v>24</v>
      </c>
      <c r="C51" s="129" t="s">
        <v>812</v>
      </c>
      <c r="F51" s="24"/>
      <c r="H51" s="83"/>
      <c r="I51" s="92"/>
      <c r="J51" s="1"/>
      <c r="K51" s="103"/>
      <c r="N51" s="94"/>
      <c r="O51" s="15"/>
      <c r="P51" s="94"/>
      <c r="Q51" s="115"/>
      <c r="T51" s="5"/>
      <c r="U51" s="30"/>
      <c r="AD51" s="21"/>
      <c r="AL51">
        <f>AVERAGE(30%,35%)</f>
        <v>0.32499999999999996</v>
      </c>
      <c r="AM51" s="14" t="s">
        <v>813</v>
      </c>
      <c r="AS51" s="21"/>
    </row>
    <row r="52" spans="1:45" hidden="1" x14ac:dyDescent="0.25">
      <c r="A52" t="s">
        <v>77</v>
      </c>
      <c r="B52" s="1" t="s">
        <v>24</v>
      </c>
      <c r="C52" s="129" t="s">
        <v>909</v>
      </c>
      <c r="F52" s="24"/>
      <c r="H52" s="83"/>
      <c r="I52" s="92"/>
      <c r="J52" s="1"/>
      <c r="K52" s="103"/>
      <c r="N52" s="94"/>
      <c r="O52" s="15"/>
      <c r="P52" s="94"/>
      <c r="Q52" s="115"/>
      <c r="T52" s="5"/>
      <c r="U52" s="30"/>
      <c r="AD52" s="21"/>
      <c r="AR52" s="21" t="s">
        <v>912</v>
      </c>
      <c r="AS52" s="21" t="s">
        <v>912</v>
      </c>
    </row>
    <row r="53" spans="1:45" hidden="1" x14ac:dyDescent="0.25">
      <c r="A53" t="s">
        <v>77</v>
      </c>
      <c r="B53" s="1" t="s">
        <v>24</v>
      </c>
      <c r="C53" s="129" t="s">
        <v>910</v>
      </c>
      <c r="F53" s="24"/>
      <c r="H53" s="83"/>
      <c r="I53" s="92"/>
      <c r="J53" s="1"/>
      <c r="K53" s="103"/>
      <c r="N53" s="94"/>
      <c r="O53" s="15"/>
      <c r="P53" s="94"/>
      <c r="Q53" s="115"/>
      <c r="T53" s="5"/>
      <c r="U53" s="30"/>
      <c r="AD53" s="21"/>
      <c r="AR53" s="21" t="s">
        <v>912</v>
      </c>
      <c r="AS53" s="21" t="s">
        <v>912</v>
      </c>
    </row>
    <row r="54" spans="1:45" hidden="1" x14ac:dyDescent="0.25">
      <c r="A54" t="s">
        <v>77</v>
      </c>
      <c r="B54" s="1" t="s">
        <v>24</v>
      </c>
      <c r="C54" s="129" t="s">
        <v>911</v>
      </c>
      <c r="F54" s="24"/>
      <c r="H54" s="83"/>
      <c r="I54" s="92"/>
      <c r="J54" s="1"/>
      <c r="K54" s="103"/>
      <c r="N54" s="94"/>
      <c r="O54" s="15"/>
      <c r="P54" s="94"/>
      <c r="Q54" s="115"/>
      <c r="T54" s="5"/>
      <c r="U54" s="30"/>
      <c r="AD54" s="21"/>
      <c r="AR54" s="21" t="s">
        <v>913</v>
      </c>
      <c r="AS54" s="21" t="s">
        <v>913</v>
      </c>
    </row>
    <row r="55" spans="1:45" s="44" customFormat="1" ht="51.75" customHeight="1" x14ac:dyDescent="0.25">
      <c r="A55" s="44" t="s">
        <v>82</v>
      </c>
      <c r="B55" s="45" t="s">
        <v>23</v>
      </c>
      <c r="C55" s="128" t="s">
        <v>27</v>
      </c>
      <c r="D55" s="54" t="s">
        <v>28</v>
      </c>
      <c r="E55" s="55" t="s">
        <v>28</v>
      </c>
      <c r="F55" s="56">
        <v>27.9</v>
      </c>
      <c r="G55" s="55" t="s">
        <v>83</v>
      </c>
      <c r="H55" s="57">
        <v>28</v>
      </c>
      <c r="I55" s="58">
        <v>28</v>
      </c>
      <c r="J55" s="44">
        <f>AVERAGE(26,28)</f>
        <v>27</v>
      </c>
      <c r="K55" s="58" t="s">
        <v>203</v>
      </c>
      <c r="L55" s="44">
        <v>26.9</v>
      </c>
      <c r="M55" s="58" t="s">
        <v>263</v>
      </c>
      <c r="N55" s="44">
        <v>27.5</v>
      </c>
      <c r="O55" s="58">
        <v>27.5</v>
      </c>
      <c r="P55" s="44">
        <f>AVERAGE(27,29)</f>
        <v>28</v>
      </c>
      <c r="Q55" s="111" t="s">
        <v>334</v>
      </c>
      <c r="R55" s="44">
        <v>25</v>
      </c>
      <c r="S55" s="58">
        <v>25</v>
      </c>
      <c r="T55" s="44">
        <f>AVERAGE(29,30)</f>
        <v>29.5</v>
      </c>
      <c r="U55" s="58" t="s">
        <v>406</v>
      </c>
      <c r="V55" s="44">
        <f>AVERAGE(2.5,3)</f>
        <v>2.75</v>
      </c>
      <c r="W55" s="58" t="s">
        <v>463</v>
      </c>
      <c r="X55" s="44">
        <v>27.4</v>
      </c>
      <c r="Y55" s="58">
        <v>27.4</v>
      </c>
      <c r="Z55" s="44">
        <f>AVERAGE(30,35)</f>
        <v>32.5</v>
      </c>
      <c r="AA55" s="58" t="s">
        <v>563</v>
      </c>
      <c r="AB55" s="50">
        <v>0.251</v>
      </c>
      <c r="AC55" s="58" t="s">
        <v>598</v>
      </c>
      <c r="AD55" s="143">
        <f>AVERAGE(26,27)</f>
        <v>26.5</v>
      </c>
      <c r="AE55" s="58" t="s">
        <v>649</v>
      </c>
      <c r="AF55" s="189">
        <f>AVERAGE(D55,F55,H55,J55,L55,N55,P55,R55,T55,V55,X55,Z55,AB55,AD55,AJ55,AL55,AN55,AP55,AR55)</f>
        <v>23.146235294117648</v>
      </c>
      <c r="AG55" s="58" t="s">
        <v>682</v>
      </c>
      <c r="AH55" s="44">
        <v>30</v>
      </c>
      <c r="AI55" s="58" t="s">
        <v>722</v>
      </c>
      <c r="AJ55" s="151">
        <v>27</v>
      </c>
      <c r="AK55" s="58" t="s">
        <v>773</v>
      </c>
      <c r="AL55" s="100">
        <f>AVERAGE(27%,30%)</f>
        <v>0.28500000000000003</v>
      </c>
      <c r="AM55" s="58" t="s">
        <v>814</v>
      </c>
      <c r="AN55" s="44">
        <v>28</v>
      </c>
      <c r="AO55" s="58">
        <v>28</v>
      </c>
      <c r="AP55" s="44">
        <f>AVERAGE(28,30)</f>
        <v>29</v>
      </c>
      <c r="AQ55" s="58" t="s">
        <v>869</v>
      </c>
      <c r="AR55" s="180"/>
      <c r="AS55" s="172" t="s">
        <v>914</v>
      </c>
    </row>
    <row r="56" spans="1:45" s="44" customFormat="1" ht="67.5" customHeight="1" x14ac:dyDescent="0.25">
      <c r="A56" s="44" t="s">
        <v>82</v>
      </c>
      <c r="B56" s="45" t="s">
        <v>23</v>
      </c>
      <c r="C56" s="128" t="s">
        <v>29</v>
      </c>
      <c r="D56" s="47">
        <v>0.6</v>
      </c>
      <c r="E56" s="53">
        <v>0.6</v>
      </c>
      <c r="F56" s="49">
        <v>0.98</v>
      </c>
      <c r="G56" s="53" t="s">
        <v>84</v>
      </c>
      <c r="H56" s="49">
        <v>0.95</v>
      </c>
      <c r="I56" s="53">
        <v>0.95</v>
      </c>
      <c r="J56" s="47">
        <f>AVERAGE(98%,100%)</f>
        <v>0.99</v>
      </c>
      <c r="K56" s="58" t="s">
        <v>204</v>
      </c>
      <c r="L56" s="47">
        <v>0.2</v>
      </c>
      <c r="M56" s="58" t="s">
        <v>264</v>
      </c>
      <c r="N56" s="47">
        <v>0.86</v>
      </c>
      <c r="O56" s="58" t="s">
        <v>302</v>
      </c>
      <c r="P56" s="106">
        <f>AVEDEV(85%,90%)</f>
        <v>2.5000000000000022E-2</v>
      </c>
      <c r="Q56" s="111" t="s">
        <v>335</v>
      </c>
      <c r="R56" s="47">
        <v>0.5</v>
      </c>
      <c r="S56" s="53">
        <v>0.5</v>
      </c>
      <c r="T56" s="47">
        <v>1</v>
      </c>
      <c r="U56" s="86" t="s">
        <v>407</v>
      </c>
      <c r="V56" s="100">
        <f>AVERAGE(65%,80%)</f>
        <v>0.72500000000000009</v>
      </c>
      <c r="W56" s="58" t="s">
        <v>464</v>
      </c>
      <c r="X56" s="47">
        <v>0.32</v>
      </c>
      <c r="Y56" s="53">
        <v>0.32</v>
      </c>
      <c r="Z56" s="47">
        <v>1</v>
      </c>
      <c r="AA56" s="53" t="s">
        <v>564</v>
      </c>
      <c r="AB56" s="106">
        <f>AVERAGE(65%,75%)</f>
        <v>0.7</v>
      </c>
      <c r="AC56" s="58" t="s">
        <v>599</v>
      </c>
      <c r="AD56" s="182"/>
      <c r="AE56" s="58" t="s">
        <v>650</v>
      </c>
      <c r="AF56" s="47">
        <v>0.25</v>
      </c>
      <c r="AG56" s="58" t="s">
        <v>683</v>
      </c>
      <c r="AH56" s="47">
        <v>0.5</v>
      </c>
      <c r="AI56" s="58" t="s">
        <v>713</v>
      </c>
      <c r="AJ56" s="47">
        <v>0.5</v>
      </c>
      <c r="AK56" s="58" t="s">
        <v>774</v>
      </c>
      <c r="AL56" s="106">
        <v>1</v>
      </c>
      <c r="AM56" s="53">
        <v>1</v>
      </c>
      <c r="AN56" s="47">
        <v>0.9</v>
      </c>
      <c r="AO56" s="53">
        <v>0.9</v>
      </c>
      <c r="AP56" s="47">
        <v>0.98</v>
      </c>
      <c r="AQ56" s="58" t="s">
        <v>870</v>
      </c>
      <c r="AR56" s="47">
        <v>1</v>
      </c>
      <c r="AS56" s="172" t="s">
        <v>915</v>
      </c>
    </row>
    <row r="57" spans="1:45" s="44" customFormat="1" x14ac:dyDescent="0.25">
      <c r="A57" s="44" t="s">
        <v>82</v>
      </c>
      <c r="B57" s="45" t="s">
        <v>23</v>
      </c>
      <c r="C57" s="128" t="s">
        <v>30</v>
      </c>
      <c r="D57" s="47">
        <v>0.51</v>
      </c>
      <c r="E57" s="59" t="s">
        <v>31</v>
      </c>
      <c r="F57" s="49">
        <v>0.72</v>
      </c>
      <c r="G57" s="59" t="s">
        <v>85</v>
      </c>
      <c r="H57" s="49">
        <v>0.72</v>
      </c>
      <c r="I57" s="53">
        <v>0.72</v>
      </c>
      <c r="J57" s="47">
        <f>AVERAGE(60%,65%)</f>
        <v>0.625</v>
      </c>
      <c r="K57" s="58" t="s">
        <v>205</v>
      </c>
      <c r="L57" s="47">
        <v>0.65</v>
      </c>
      <c r="M57" s="58" t="s">
        <v>265</v>
      </c>
      <c r="N57" s="47">
        <v>0.79</v>
      </c>
      <c r="O57" s="53">
        <v>0.79</v>
      </c>
      <c r="P57" s="106">
        <f>AVERAGE(63.5%,72%)</f>
        <v>0.67749999999999999</v>
      </c>
      <c r="Q57" s="111" t="s">
        <v>336</v>
      </c>
      <c r="R57" s="47">
        <v>0.61</v>
      </c>
      <c r="S57" s="53">
        <v>0.61</v>
      </c>
      <c r="T57" s="106">
        <f>AVERAGE(84%,86%)</f>
        <v>0.85</v>
      </c>
      <c r="U57" s="58" t="s">
        <v>408</v>
      </c>
      <c r="V57" s="100">
        <f>AVERAGE(68%,72%)</f>
        <v>0.7</v>
      </c>
      <c r="W57" s="58" t="s">
        <v>465</v>
      </c>
      <c r="X57" s="47">
        <v>0.6</v>
      </c>
      <c r="Y57" s="53">
        <v>0.6</v>
      </c>
      <c r="Z57" s="106">
        <f>AVERAGE(50%,75%)</f>
        <v>0.625</v>
      </c>
      <c r="AA57" s="58" t="s">
        <v>565</v>
      </c>
      <c r="AB57" s="50">
        <v>0.78100000000000003</v>
      </c>
      <c r="AC57" s="58" t="s">
        <v>600</v>
      </c>
      <c r="AD57" s="146">
        <v>0.69</v>
      </c>
      <c r="AE57" s="58" t="s">
        <v>651</v>
      </c>
      <c r="AG57" s="58" t="s">
        <v>682</v>
      </c>
      <c r="AH57" s="47">
        <v>0.75</v>
      </c>
      <c r="AI57" s="58" t="s">
        <v>723</v>
      </c>
      <c r="AJ57" s="47">
        <v>0.67</v>
      </c>
      <c r="AK57" s="58" t="s">
        <v>775</v>
      </c>
      <c r="AL57" s="106">
        <f>AVERAGE(65%,69%)</f>
        <v>0.66999999999999993</v>
      </c>
      <c r="AM57" s="58" t="s">
        <v>815</v>
      </c>
      <c r="AN57" s="47">
        <v>0.84</v>
      </c>
      <c r="AO57" s="53">
        <v>0.84</v>
      </c>
      <c r="AP57" s="47">
        <v>0.7</v>
      </c>
      <c r="AQ57" s="53">
        <v>0.7</v>
      </c>
      <c r="AR57" s="100">
        <v>0.65500000000000003</v>
      </c>
      <c r="AS57" s="57" t="s">
        <v>916</v>
      </c>
    </row>
    <row r="58" spans="1:45" hidden="1" x14ac:dyDescent="0.25">
      <c r="A58" t="s">
        <v>82</v>
      </c>
      <c r="B58" s="1" t="s">
        <v>24</v>
      </c>
      <c r="C58" s="129" t="s">
        <v>39</v>
      </c>
      <c r="D58" s="6">
        <v>0.65</v>
      </c>
      <c r="E58" s="20" t="s">
        <v>40</v>
      </c>
      <c r="F58" s="23"/>
      <c r="G58" s="31"/>
      <c r="AS58" s="21"/>
    </row>
    <row r="59" spans="1:45" s="38" customFormat="1" hidden="1" x14ac:dyDescent="0.25">
      <c r="A59" s="38" t="s">
        <v>82</v>
      </c>
      <c r="B59" s="39" t="s">
        <v>24</v>
      </c>
      <c r="C59" s="130" t="s">
        <v>41</v>
      </c>
      <c r="D59" s="89">
        <v>42</v>
      </c>
      <c r="E59" s="90" t="s">
        <v>42</v>
      </c>
      <c r="F59" s="91"/>
      <c r="G59" s="90"/>
      <c r="H59" s="43"/>
      <c r="I59" s="42"/>
      <c r="K59" s="42"/>
      <c r="M59" s="42"/>
      <c r="O59" s="42"/>
      <c r="Q59" s="113"/>
      <c r="S59" s="42"/>
      <c r="U59" s="42"/>
      <c r="W59" s="42"/>
      <c r="Y59" s="42"/>
      <c r="AA59" s="42"/>
      <c r="AB59" s="38">
        <f>AVERAGE(2500,3200)</f>
        <v>2850</v>
      </c>
      <c r="AC59" s="42" t="s">
        <v>601</v>
      </c>
      <c r="AD59" s="144"/>
      <c r="AE59" s="42"/>
      <c r="AG59" s="42"/>
      <c r="AI59" s="42"/>
      <c r="AK59" s="42"/>
      <c r="AM59" s="42"/>
      <c r="AO59" s="42"/>
      <c r="AQ59" s="42"/>
      <c r="AS59" s="43"/>
    </row>
    <row r="60" spans="1:45" s="38" customFormat="1" hidden="1" x14ac:dyDescent="0.25">
      <c r="A60" s="38" t="s">
        <v>82</v>
      </c>
      <c r="B60" s="39" t="s">
        <v>24</v>
      </c>
      <c r="C60" s="130" t="s">
        <v>86</v>
      </c>
      <c r="D60" s="89"/>
      <c r="E60" s="90"/>
      <c r="F60" s="91" t="s">
        <v>88</v>
      </c>
      <c r="G60" s="90" t="s">
        <v>87</v>
      </c>
      <c r="H60" s="43"/>
      <c r="I60" s="42"/>
      <c r="K60" s="42"/>
      <c r="M60" s="42"/>
      <c r="O60" s="42"/>
      <c r="Q60" s="113"/>
      <c r="S60" s="42"/>
      <c r="U60" s="42"/>
      <c r="W60" s="42"/>
      <c r="Y60" s="42"/>
      <c r="AA60" s="42"/>
      <c r="AC60" s="42"/>
      <c r="AD60" s="144"/>
      <c r="AE60" s="42"/>
      <c r="AG60" s="42"/>
      <c r="AI60" s="42"/>
      <c r="AK60" s="42"/>
      <c r="AM60" s="42"/>
      <c r="AO60" s="42"/>
      <c r="AQ60" s="42"/>
      <c r="AS60" s="43"/>
    </row>
    <row r="61" spans="1:45" s="38" customFormat="1" hidden="1" x14ac:dyDescent="0.25">
      <c r="A61" s="38" t="s">
        <v>82</v>
      </c>
      <c r="B61" s="39" t="s">
        <v>24</v>
      </c>
      <c r="C61" s="130" t="s">
        <v>206</v>
      </c>
      <c r="D61" s="89"/>
      <c r="E61" s="90"/>
      <c r="F61" s="91"/>
      <c r="G61" s="90"/>
      <c r="H61" s="43"/>
      <c r="I61" s="42"/>
      <c r="J61" s="38" t="s">
        <v>207</v>
      </c>
      <c r="K61" s="42" t="s">
        <v>207</v>
      </c>
      <c r="M61" s="42"/>
      <c r="O61" s="42"/>
      <c r="Q61" s="113"/>
      <c r="S61" s="42"/>
      <c r="U61" s="42"/>
      <c r="W61" s="42"/>
      <c r="Y61" s="42"/>
      <c r="AA61" s="42"/>
      <c r="AC61" s="42"/>
      <c r="AD61" s="144"/>
      <c r="AE61" s="42"/>
      <c r="AG61" s="42"/>
      <c r="AI61" s="42"/>
      <c r="AK61" s="42"/>
      <c r="AM61" s="42"/>
      <c r="AO61" s="42"/>
      <c r="AQ61" s="42"/>
      <c r="AS61" s="43"/>
    </row>
    <row r="62" spans="1:45" s="132" customFormat="1" hidden="1" x14ac:dyDescent="0.25">
      <c r="A62" s="132" t="s">
        <v>82</v>
      </c>
      <c r="B62" s="133" t="s">
        <v>24</v>
      </c>
      <c r="C62" s="134" t="s">
        <v>566</v>
      </c>
      <c r="D62" s="135"/>
      <c r="E62" s="33"/>
      <c r="F62" s="136"/>
      <c r="G62" s="33"/>
      <c r="H62" s="121"/>
      <c r="I62" s="30"/>
      <c r="K62" s="30"/>
      <c r="M62" s="30"/>
      <c r="O62" s="30"/>
      <c r="Q62" s="137"/>
      <c r="S62" s="30"/>
      <c r="U62" s="30"/>
      <c r="W62" s="30"/>
      <c r="Y62" s="121"/>
      <c r="Z62" s="139">
        <v>0.5</v>
      </c>
      <c r="AA62" s="138">
        <v>0.5</v>
      </c>
      <c r="AC62" s="30"/>
      <c r="AD62" s="145"/>
      <c r="AE62" s="30"/>
      <c r="AG62" s="30"/>
      <c r="AI62" s="30"/>
      <c r="AK62" s="30"/>
      <c r="AM62" s="30"/>
      <c r="AO62" s="30"/>
      <c r="AQ62" s="30"/>
      <c r="AS62" s="121"/>
    </row>
    <row r="63" spans="1:45" s="132" customFormat="1" hidden="1" x14ac:dyDescent="0.25">
      <c r="A63" s="132" t="s">
        <v>82</v>
      </c>
      <c r="B63" s="133" t="s">
        <v>24</v>
      </c>
      <c r="C63" s="134" t="s">
        <v>567</v>
      </c>
      <c r="D63" s="135"/>
      <c r="E63" s="33"/>
      <c r="F63" s="136"/>
      <c r="G63" s="33"/>
      <c r="H63" s="121"/>
      <c r="I63" s="30"/>
      <c r="K63" s="30"/>
      <c r="M63" s="30"/>
      <c r="O63" s="30"/>
      <c r="Q63" s="137"/>
      <c r="S63" s="30"/>
      <c r="U63" s="30"/>
      <c r="W63" s="30"/>
      <c r="Y63" s="121"/>
      <c r="Z63" s="139">
        <v>1</v>
      </c>
      <c r="AA63" s="138">
        <v>1</v>
      </c>
      <c r="AC63" s="30"/>
      <c r="AD63" s="145"/>
      <c r="AE63" s="30"/>
      <c r="AG63" s="30"/>
      <c r="AI63" s="30"/>
      <c r="AK63" s="30"/>
      <c r="AM63" s="30"/>
      <c r="AO63" s="30"/>
      <c r="AQ63" s="30"/>
      <c r="AS63" s="121"/>
    </row>
    <row r="64" spans="1:45" hidden="1" x14ac:dyDescent="0.25">
      <c r="A64" t="s">
        <v>82</v>
      </c>
      <c r="B64" s="1" t="s">
        <v>24</v>
      </c>
      <c r="C64" s="129" t="s">
        <v>89</v>
      </c>
      <c r="D64" s="11"/>
      <c r="E64" s="19"/>
      <c r="F64" s="25" t="s">
        <v>91</v>
      </c>
      <c r="G64" s="33" t="s">
        <v>90</v>
      </c>
      <c r="AS64" s="21"/>
    </row>
    <row r="65" spans="1:45" hidden="1" x14ac:dyDescent="0.25">
      <c r="A65" t="s">
        <v>82</v>
      </c>
      <c r="B65" s="1" t="s">
        <v>24</v>
      </c>
      <c r="C65" s="129" t="s">
        <v>163</v>
      </c>
      <c r="D65" s="11"/>
      <c r="E65" s="19"/>
      <c r="F65" s="25"/>
      <c r="G65" s="33"/>
      <c r="H65" s="22">
        <v>0.8</v>
      </c>
      <c r="I65" s="15">
        <v>0.8</v>
      </c>
      <c r="AS65" s="21"/>
    </row>
    <row r="66" spans="1:45" hidden="1" x14ac:dyDescent="0.25">
      <c r="A66" t="s">
        <v>82</v>
      </c>
      <c r="B66" s="1" t="s">
        <v>24</v>
      </c>
      <c r="C66" s="129" t="s">
        <v>164</v>
      </c>
      <c r="D66" s="11"/>
      <c r="E66" s="19"/>
      <c r="F66" s="25"/>
      <c r="G66" s="33"/>
      <c r="H66" s="22">
        <v>0.42</v>
      </c>
      <c r="I66" s="15">
        <v>0.42</v>
      </c>
      <c r="AS66" s="21"/>
    </row>
    <row r="67" spans="1:45" hidden="1" x14ac:dyDescent="0.25">
      <c r="A67" t="s">
        <v>82</v>
      </c>
      <c r="B67" s="1" t="s">
        <v>24</v>
      </c>
      <c r="C67" s="129" t="s">
        <v>165</v>
      </c>
      <c r="D67" s="11"/>
      <c r="E67" s="19"/>
      <c r="F67" s="25"/>
      <c r="G67" s="33"/>
      <c r="H67" s="84">
        <v>4.4000000000000004</v>
      </c>
      <c r="I67" s="15" t="s">
        <v>166</v>
      </c>
      <c r="AS67" s="21"/>
    </row>
    <row r="68" spans="1:45" hidden="1" x14ac:dyDescent="0.25">
      <c r="A68" t="s">
        <v>82</v>
      </c>
      <c r="B68" s="1" t="s">
        <v>24</v>
      </c>
      <c r="C68" s="129" t="s">
        <v>266</v>
      </c>
      <c r="D68" s="11"/>
      <c r="E68" s="19"/>
      <c r="F68" s="25"/>
      <c r="G68" s="33"/>
      <c r="H68" s="84"/>
      <c r="I68" s="15"/>
      <c r="L68">
        <v>40</v>
      </c>
      <c r="M68" s="14" t="s">
        <v>267</v>
      </c>
      <c r="AS68" s="21"/>
    </row>
    <row r="69" spans="1:45" hidden="1" x14ac:dyDescent="0.25">
      <c r="A69" t="s">
        <v>82</v>
      </c>
      <c r="B69" s="1" t="s">
        <v>24</v>
      </c>
      <c r="C69" s="129" t="s">
        <v>337</v>
      </c>
      <c r="D69" s="11"/>
      <c r="E69" s="19"/>
      <c r="F69" s="25"/>
      <c r="G69" s="33"/>
      <c r="H69" s="84"/>
      <c r="I69" s="15"/>
      <c r="P69" s="112" t="s">
        <v>339</v>
      </c>
      <c r="Q69" s="112" t="s">
        <v>339</v>
      </c>
      <c r="AS69" s="21"/>
    </row>
    <row r="70" spans="1:45" hidden="1" x14ac:dyDescent="0.25">
      <c r="A70" t="s">
        <v>82</v>
      </c>
      <c r="B70" s="1" t="s">
        <v>24</v>
      </c>
      <c r="C70" s="129" t="s">
        <v>338</v>
      </c>
      <c r="D70" s="11"/>
      <c r="E70" s="19"/>
      <c r="F70" s="25"/>
      <c r="G70" s="33"/>
      <c r="H70" s="84"/>
      <c r="I70" s="15"/>
      <c r="P70">
        <v>38.4</v>
      </c>
      <c r="Q70" s="112" t="s">
        <v>340</v>
      </c>
      <c r="AS70" s="21"/>
    </row>
    <row r="71" spans="1:45" hidden="1" x14ac:dyDescent="0.25">
      <c r="A71" t="s">
        <v>82</v>
      </c>
      <c r="B71" s="1" t="s">
        <v>24</v>
      </c>
      <c r="C71" s="129" t="s">
        <v>372</v>
      </c>
      <c r="D71" s="11"/>
      <c r="E71" s="19"/>
      <c r="F71" s="25"/>
      <c r="G71" s="33"/>
      <c r="H71" s="84"/>
      <c r="I71" s="15"/>
      <c r="R71" s="14" t="s">
        <v>375</v>
      </c>
      <c r="S71" s="14" t="s">
        <v>375</v>
      </c>
      <c r="AS71" s="21"/>
    </row>
    <row r="72" spans="1:45" hidden="1" x14ac:dyDescent="0.25">
      <c r="A72" t="s">
        <v>82</v>
      </c>
      <c r="B72" s="1" t="s">
        <v>24</v>
      </c>
      <c r="C72" s="129" t="s">
        <v>373</v>
      </c>
      <c r="D72" s="11"/>
      <c r="E72" s="19"/>
      <c r="F72" s="25"/>
      <c r="G72" s="33"/>
      <c r="H72" s="84"/>
      <c r="I72" s="15"/>
      <c r="R72" s="15">
        <v>0.5</v>
      </c>
      <c r="S72" s="15">
        <v>0.5</v>
      </c>
      <c r="AS72" s="21"/>
    </row>
    <row r="73" spans="1:45" hidden="1" x14ac:dyDescent="0.25">
      <c r="A73" t="s">
        <v>82</v>
      </c>
      <c r="B73" s="1" t="s">
        <v>24</v>
      </c>
      <c r="C73" s="129" t="s">
        <v>374</v>
      </c>
      <c r="D73" s="11"/>
      <c r="E73" s="19"/>
      <c r="F73" s="25"/>
      <c r="G73" s="33"/>
      <c r="H73" s="84"/>
      <c r="I73" s="15"/>
      <c r="R73" s="14">
        <v>1243</v>
      </c>
      <c r="S73" s="14">
        <v>1243</v>
      </c>
      <c r="AS73" s="21"/>
    </row>
    <row r="74" spans="1:45" hidden="1" x14ac:dyDescent="0.25">
      <c r="A74" t="s">
        <v>82</v>
      </c>
      <c r="B74" s="1" t="s">
        <v>24</v>
      </c>
      <c r="C74" s="129" t="s">
        <v>303</v>
      </c>
      <c r="D74" s="11"/>
      <c r="E74" s="19"/>
      <c r="F74" s="25"/>
      <c r="G74" s="33"/>
      <c r="H74" s="84"/>
      <c r="I74" s="15"/>
      <c r="N74">
        <v>76</v>
      </c>
      <c r="O74" s="14" t="s">
        <v>304</v>
      </c>
      <c r="AS74" s="21"/>
    </row>
    <row r="75" spans="1:45" ht="12.75" hidden="1" customHeight="1" x14ac:dyDescent="0.25">
      <c r="A75" t="s">
        <v>82</v>
      </c>
      <c r="B75" s="1" t="s">
        <v>24</v>
      </c>
      <c r="C75" s="1" t="s">
        <v>409</v>
      </c>
      <c r="D75" s="11"/>
      <c r="E75" s="19"/>
      <c r="F75" s="25"/>
      <c r="G75" s="33"/>
      <c r="H75" s="84"/>
      <c r="I75" s="15"/>
      <c r="T75" s="103" t="s">
        <v>410</v>
      </c>
      <c r="U75" s="103" t="s">
        <v>410</v>
      </c>
      <c r="AS75" s="21"/>
    </row>
    <row r="76" spans="1:45" s="38" customFormat="1" ht="12.75" hidden="1" customHeight="1" x14ac:dyDescent="0.25">
      <c r="A76" s="38" t="s">
        <v>82</v>
      </c>
      <c r="B76" s="39" t="s">
        <v>24</v>
      </c>
      <c r="C76" s="39" t="s">
        <v>466</v>
      </c>
      <c r="D76" s="89"/>
      <c r="E76" s="90"/>
      <c r="F76" s="91"/>
      <c r="G76" s="90"/>
      <c r="H76" s="152"/>
      <c r="I76" s="153"/>
      <c r="K76" s="42"/>
      <c r="M76" s="42"/>
      <c r="O76" s="42"/>
      <c r="Q76" s="113"/>
      <c r="S76" s="42"/>
      <c r="U76" s="123"/>
      <c r="V76" s="38">
        <f>AVERAGE(17000,20000)</f>
        <v>18500</v>
      </c>
      <c r="W76" s="42" t="s">
        <v>468</v>
      </c>
      <c r="Y76" s="42"/>
      <c r="AA76" s="42"/>
      <c r="AC76" s="42"/>
      <c r="AD76" s="144"/>
      <c r="AE76" s="42"/>
      <c r="AG76" s="42"/>
      <c r="AI76" s="42"/>
      <c r="AJ76" s="38">
        <v>11000</v>
      </c>
      <c r="AK76" s="42" t="s">
        <v>776</v>
      </c>
      <c r="AM76" s="42"/>
      <c r="AO76" s="42"/>
      <c r="AQ76" s="42"/>
      <c r="AS76" s="43"/>
    </row>
    <row r="77" spans="1:45" s="132" customFormat="1" ht="12.75" hidden="1" customHeight="1" x14ac:dyDescent="0.25">
      <c r="A77" s="132" t="s">
        <v>82</v>
      </c>
      <c r="B77" s="133" t="s">
        <v>24</v>
      </c>
      <c r="C77" s="133" t="s">
        <v>817</v>
      </c>
      <c r="D77" s="135"/>
      <c r="E77" s="33"/>
      <c r="F77" s="136"/>
      <c r="G77" s="33"/>
      <c r="H77" s="155"/>
      <c r="I77" s="138"/>
      <c r="K77" s="30"/>
      <c r="M77" s="30"/>
      <c r="O77" s="30"/>
      <c r="Q77" s="137"/>
      <c r="S77" s="30"/>
      <c r="U77" s="156"/>
      <c r="W77" s="30"/>
      <c r="Y77" s="30"/>
      <c r="AA77" s="30"/>
      <c r="AC77" s="30"/>
      <c r="AD77" s="145"/>
      <c r="AE77" s="30"/>
      <c r="AG77" s="30"/>
      <c r="AI77" s="30"/>
      <c r="AK77" s="30"/>
      <c r="AL77" s="157">
        <f>AVERAGE(20%,22%)</f>
        <v>0.21000000000000002</v>
      </c>
      <c r="AM77" s="30" t="s">
        <v>816</v>
      </c>
      <c r="AO77" s="30"/>
      <c r="AQ77" s="30"/>
      <c r="AS77" s="121"/>
    </row>
    <row r="78" spans="1:45" ht="12.75" hidden="1" customHeight="1" x14ac:dyDescent="0.25">
      <c r="A78" t="s">
        <v>82</v>
      </c>
      <c r="B78" s="1" t="s">
        <v>24</v>
      </c>
      <c r="C78" s="1" t="s">
        <v>467</v>
      </c>
      <c r="D78" s="11"/>
      <c r="E78" s="19"/>
      <c r="F78" s="25"/>
      <c r="G78" s="33"/>
      <c r="H78" s="84"/>
      <c r="I78" s="15"/>
      <c r="U78" s="103"/>
      <c r="V78">
        <f>AVERAGE(1200,1600)</f>
        <v>1400</v>
      </c>
      <c r="W78" s="14" t="s">
        <v>469</v>
      </c>
      <c r="AS78" s="21"/>
    </row>
    <row r="79" spans="1:45" ht="12.75" hidden="1" customHeight="1" x14ac:dyDescent="0.25">
      <c r="A79" t="s">
        <v>82</v>
      </c>
      <c r="B79" s="1" t="s">
        <v>24</v>
      </c>
      <c r="C79" s="1" t="s">
        <v>517</v>
      </c>
      <c r="D79" s="11"/>
      <c r="E79" s="19"/>
      <c r="F79" s="25"/>
      <c r="G79" s="33"/>
      <c r="H79" s="84"/>
      <c r="I79" s="15"/>
      <c r="U79" s="103"/>
      <c r="W79" s="21"/>
      <c r="X79" s="140">
        <v>13</v>
      </c>
      <c r="Y79" s="14">
        <v>13</v>
      </c>
      <c r="AS79" s="21"/>
    </row>
    <row r="80" spans="1:45" ht="12.75" hidden="1" customHeight="1" x14ac:dyDescent="0.25">
      <c r="A80" t="s">
        <v>82</v>
      </c>
      <c r="B80" s="1" t="s">
        <v>24</v>
      </c>
      <c r="C80" s="1" t="s">
        <v>518</v>
      </c>
      <c r="D80" s="11"/>
      <c r="E80" s="19"/>
      <c r="F80" s="25"/>
      <c r="G80" s="33"/>
      <c r="H80" s="84"/>
      <c r="I80" s="15"/>
      <c r="U80" s="103"/>
      <c r="W80" s="21"/>
      <c r="X80" s="140">
        <v>346</v>
      </c>
      <c r="Y80" s="14">
        <v>346</v>
      </c>
      <c r="AS80" s="21"/>
    </row>
    <row r="81" spans="1:45" s="38" customFormat="1" ht="12.75" hidden="1" customHeight="1" x14ac:dyDescent="0.25">
      <c r="A81" s="38" t="s">
        <v>82</v>
      </c>
      <c r="B81" s="39" t="s">
        <v>24</v>
      </c>
      <c r="C81" s="39" t="s">
        <v>519</v>
      </c>
      <c r="D81" s="89"/>
      <c r="E81" s="90"/>
      <c r="F81" s="91"/>
      <c r="G81" s="90"/>
      <c r="H81" s="152"/>
      <c r="I81" s="153"/>
      <c r="K81" s="42"/>
      <c r="M81" s="42"/>
      <c r="O81" s="42"/>
      <c r="Q81" s="113"/>
      <c r="S81" s="42"/>
      <c r="U81" s="123"/>
      <c r="W81" s="42"/>
      <c r="Y81" s="42" t="s">
        <v>418</v>
      </c>
      <c r="AA81" s="42"/>
      <c r="AC81" s="42"/>
      <c r="AD81" s="144"/>
      <c r="AE81" s="42"/>
      <c r="AG81" s="42"/>
      <c r="AI81" s="42"/>
      <c r="AK81" s="42"/>
      <c r="AM81" s="42"/>
      <c r="AO81" s="42"/>
      <c r="AQ81" s="42"/>
      <c r="AR81" s="38">
        <f>_xlfn.CEILING.MATH(4090+4090*0.02)</f>
        <v>4172</v>
      </c>
      <c r="AS81" s="43" t="s">
        <v>917</v>
      </c>
    </row>
    <row r="82" spans="1:45" ht="12.75" hidden="1" customHeight="1" x14ac:dyDescent="0.25">
      <c r="A82" t="s">
        <v>82</v>
      </c>
      <c r="B82" s="1" t="s">
        <v>24</v>
      </c>
      <c r="C82" s="1" t="s">
        <v>602</v>
      </c>
      <c r="D82" s="11"/>
      <c r="E82" s="19"/>
      <c r="F82" s="25"/>
      <c r="G82" s="33"/>
      <c r="H82" s="84"/>
      <c r="I82" s="15"/>
      <c r="U82" s="103"/>
      <c r="AB82">
        <v>2.5</v>
      </c>
      <c r="AC82" s="14" t="s">
        <v>604</v>
      </c>
      <c r="AS82" s="21"/>
    </row>
    <row r="83" spans="1:45" ht="12.75" hidden="1" customHeight="1" x14ac:dyDescent="0.25">
      <c r="A83" t="s">
        <v>82</v>
      </c>
      <c r="B83" s="1" t="s">
        <v>24</v>
      </c>
      <c r="C83" s="1" t="s">
        <v>603</v>
      </c>
      <c r="D83" s="11"/>
      <c r="E83" s="19"/>
      <c r="F83" s="25"/>
      <c r="G83" s="33"/>
      <c r="H83" s="84"/>
      <c r="I83" s="15"/>
      <c r="U83" s="103"/>
      <c r="AB83" s="94">
        <v>1</v>
      </c>
      <c r="AC83" s="14" t="s">
        <v>605</v>
      </c>
      <c r="AS83" s="21"/>
    </row>
    <row r="84" spans="1:45" ht="12.75" hidden="1" customHeight="1" x14ac:dyDescent="0.25">
      <c r="A84" t="s">
        <v>82</v>
      </c>
      <c r="B84" s="1" t="s">
        <v>24</v>
      </c>
      <c r="C84" s="1" t="s">
        <v>568</v>
      </c>
      <c r="D84" s="11"/>
      <c r="E84" s="19"/>
      <c r="F84" s="25"/>
      <c r="G84" s="33"/>
      <c r="H84" s="84"/>
      <c r="I84" s="15"/>
      <c r="U84" s="103"/>
      <c r="Z84" s="94">
        <v>0.3</v>
      </c>
      <c r="AA84" s="15">
        <v>0.3</v>
      </c>
      <c r="AS84" s="21"/>
    </row>
    <row r="85" spans="1:45" ht="12.75" hidden="1" customHeight="1" x14ac:dyDescent="0.25">
      <c r="A85" t="s">
        <v>82</v>
      </c>
      <c r="B85" s="1" t="s">
        <v>24</v>
      </c>
      <c r="C85" s="1" t="s">
        <v>569</v>
      </c>
      <c r="D85" s="11"/>
      <c r="E85" s="19"/>
      <c r="F85" s="25"/>
      <c r="G85" s="33"/>
      <c r="H85" s="84"/>
      <c r="I85" s="15"/>
      <c r="U85" s="103"/>
      <c r="Z85" s="94">
        <v>0.5</v>
      </c>
      <c r="AA85" s="15">
        <v>0.5</v>
      </c>
      <c r="AS85" s="21"/>
    </row>
    <row r="86" spans="1:45" ht="12.75" hidden="1" customHeight="1" x14ac:dyDescent="0.25">
      <c r="A86" t="s">
        <v>82</v>
      </c>
      <c r="B86" s="1" t="s">
        <v>24</v>
      </c>
      <c r="C86" s="1" t="s">
        <v>724</v>
      </c>
      <c r="D86" s="11"/>
      <c r="E86" s="19"/>
      <c r="F86" s="25"/>
      <c r="G86" s="33"/>
      <c r="H86" s="84"/>
      <c r="I86" s="15"/>
      <c r="U86" s="103"/>
      <c r="Z86" s="94"/>
      <c r="AA86" s="15"/>
      <c r="AH86" s="94">
        <v>0.62</v>
      </c>
      <c r="AI86" s="14" t="s">
        <v>727</v>
      </c>
      <c r="AS86" s="21"/>
    </row>
    <row r="87" spans="1:45" ht="12.75" hidden="1" customHeight="1" x14ac:dyDescent="0.25">
      <c r="A87" t="s">
        <v>82</v>
      </c>
      <c r="B87" s="1" t="s">
        <v>24</v>
      </c>
      <c r="C87" s="1" t="s">
        <v>725</v>
      </c>
      <c r="D87" s="11"/>
      <c r="E87" s="19"/>
      <c r="F87" s="25"/>
      <c r="G87" s="33"/>
      <c r="H87" s="84"/>
      <c r="I87" s="15"/>
      <c r="U87" s="103"/>
      <c r="Z87" s="94"/>
      <c r="AA87" s="15"/>
      <c r="AH87" s="149">
        <v>2000000</v>
      </c>
      <c r="AI87" s="14" t="s">
        <v>728</v>
      </c>
      <c r="AS87" s="21"/>
    </row>
    <row r="88" spans="1:45" ht="12.75" hidden="1" customHeight="1" x14ac:dyDescent="0.25">
      <c r="A88" t="s">
        <v>82</v>
      </c>
      <c r="B88" s="1" t="s">
        <v>24</v>
      </c>
      <c r="C88" s="1" t="s">
        <v>726</v>
      </c>
      <c r="D88" s="11"/>
      <c r="E88" s="19"/>
      <c r="F88" s="25"/>
      <c r="G88" s="33"/>
      <c r="H88" s="84"/>
      <c r="I88" s="15"/>
      <c r="U88" s="103"/>
      <c r="Z88" s="94"/>
      <c r="AA88" s="15"/>
      <c r="AH88" s="94">
        <v>0.9</v>
      </c>
      <c r="AI88" s="14" t="s">
        <v>714</v>
      </c>
      <c r="AS88" s="21"/>
    </row>
    <row r="89" spans="1:45" ht="12.75" hidden="1" customHeight="1" x14ac:dyDescent="0.25">
      <c r="A89" t="s">
        <v>82</v>
      </c>
      <c r="B89" s="1" t="s">
        <v>24</v>
      </c>
      <c r="C89" s="1" t="s">
        <v>684</v>
      </c>
      <c r="D89" s="11"/>
      <c r="E89" s="19"/>
      <c r="F89" s="25"/>
      <c r="G89" s="33"/>
      <c r="H89" s="84"/>
      <c r="I89" s="15"/>
      <c r="U89" s="103"/>
      <c r="Z89" s="94"/>
      <c r="AA89" s="15"/>
      <c r="AF89" s="14" t="s">
        <v>678</v>
      </c>
      <c r="AG89" s="14" t="s">
        <v>678</v>
      </c>
      <c r="AS89" s="21"/>
    </row>
    <row r="90" spans="1:45" ht="12.75" hidden="1" customHeight="1" x14ac:dyDescent="0.25">
      <c r="A90" t="s">
        <v>82</v>
      </c>
      <c r="B90" s="1" t="s">
        <v>24</v>
      </c>
      <c r="C90" s="1" t="s">
        <v>685</v>
      </c>
      <c r="D90" s="11"/>
      <c r="E90" s="19"/>
      <c r="F90" s="25"/>
      <c r="G90" s="33"/>
      <c r="H90" s="84"/>
      <c r="I90" s="15"/>
      <c r="U90" s="103"/>
      <c r="Z90" s="94"/>
      <c r="AA90" s="15"/>
      <c r="AF90" s="14" t="s">
        <v>678</v>
      </c>
      <c r="AG90" s="14" t="s">
        <v>678</v>
      </c>
      <c r="AS90" s="21"/>
    </row>
    <row r="91" spans="1:45" ht="12.75" hidden="1" customHeight="1" x14ac:dyDescent="0.25">
      <c r="A91" t="s">
        <v>82</v>
      </c>
      <c r="B91" s="1" t="s">
        <v>24</v>
      </c>
      <c r="C91" s="1" t="s">
        <v>777</v>
      </c>
      <c r="D91" s="11"/>
      <c r="E91" s="19"/>
      <c r="F91" s="25"/>
      <c r="G91" s="33"/>
      <c r="H91" s="84"/>
      <c r="I91" s="15"/>
      <c r="U91" s="103"/>
      <c r="Z91" s="94"/>
      <c r="AA91" s="15"/>
      <c r="AJ91" s="14" t="s">
        <v>778</v>
      </c>
      <c r="AK91" s="14" t="s">
        <v>778</v>
      </c>
      <c r="AS91" s="21"/>
    </row>
    <row r="92" spans="1:45" ht="12.75" hidden="1" customHeight="1" x14ac:dyDescent="0.25">
      <c r="A92" t="s">
        <v>82</v>
      </c>
      <c r="B92" s="1" t="s">
        <v>24</v>
      </c>
      <c r="C92" s="1" t="s">
        <v>840</v>
      </c>
      <c r="D92" s="11"/>
      <c r="E92" s="19"/>
      <c r="F92" s="25"/>
      <c r="G92" s="33"/>
      <c r="H92" s="84"/>
      <c r="I92" s="15"/>
      <c r="U92" s="103"/>
      <c r="Z92" s="94"/>
      <c r="AA92" s="15"/>
      <c r="AN92" s="15">
        <v>0.9</v>
      </c>
      <c r="AO92" s="15">
        <v>0.9</v>
      </c>
      <c r="AS92" s="21"/>
    </row>
    <row r="93" spans="1:45" ht="12.75" hidden="1" customHeight="1" x14ac:dyDescent="0.25">
      <c r="A93" t="s">
        <v>82</v>
      </c>
      <c r="B93" s="1" t="s">
        <v>24</v>
      </c>
      <c r="C93" s="1" t="s">
        <v>841</v>
      </c>
      <c r="D93" s="11"/>
      <c r="E93" s="19"/>
      <c r="F93" s="25"/>
      <c r="G93" s="33"/>
      <c r="H93" s="84"/>
      <c r="I93" s="15"/>
      <c r="U93" s="103"/>
      <c r="Z93" s="94"/>
      <c r="AA93" s="15"/>
      <c r="AN93" s="15">
        <v>0.88</v>
      </c>
      <c r="AO93" s="15">
        <v>0.88</v>
      </c>
      <c r="AS93" s="21"/>
    </row>
    <row r="94" spans="1:45" ht="12.75" hidden="1" customHeight="1" x14ac:dyDescent="0.25">
      <c r="A94" t="s">
        <v>82</v>
      </c>
      <c r="B94" s="1" t="s">
        <v>24</v>
      </c>
      <c r="C94" s="1" t="s">
        <v>842</v>
      </c>
      <c r="D94" s="11"/>
      <c r="E94" s="19"/>
      <c r="F94" s="25"/>
      <c r="G94" s="33"/>
      <c r="H94" s="84"/>
      <c r="I94" s="15"/>
      <c r="U94" s="103"/>
      <c r="Z94" s="94"/>
      <c r="AA94" s="15"/>
      <c r="AN94" s="166">
        <v>4000</v>
      </c>
      <c r="AO94" s="166">
        <v>4000</v>
      </c>
      <c r="AS94" s="21"/>
    </row>
    <row r="95" spans="1:45" ht="12.75" hidden="1" customHeight="1" x14ac:dyDescent="0.25">
      <c r="A95" t="s">
        <v>82</v>
      </c>
      <c r="B95" s="1" t="s">
        <v>24</v>
      </c>
      <c r="C95" s="1" t="s">
        <v>652</v>
      </c>
      <c r="D95" s="11"/>
      <c r="E95" s="19"/>
      <c r="F95" s="25"/>
      <c r="G95" s="33"/>
      <c r="H95" s="84"/>
      <c r="I95" s="15"/>
      <c r="U95" s="103"/>
      <c r="Z95" s="94"/>
      <c r="AA95" s="15"/>
      <c r="AD95" s="14" t="s">
        <v>650</v>
      </c>
      <c r="AE95" s="14" t="s">
        <v>650</v>
      </c>
      <c r="AS95" s="21"/>
    </row>
    <row r="96" spans="1:45" ht="12.75" hidden="1" customHeight="1" x14ac:dyDescent="0.25">
      <c r="A96" t="s">
        <v>82</v>
      </c>
      <c r="B96" s="1" t="s">
        <v>24</v>
      </c>
      <c r="C96" s="1" t="s">
        <v>871</v>
      </c>
      <c r="D96" s="11"/>
      <c r="E96" s="19"/>
      <c r="F96" s="25"/>
      <c r="G96" s="33"/>
      <c r="H96" s="84"/>
      <c r="I96" s="15"/>
      <c r="U96" s="103"/>
      <c r="Z96" s="94"/>
      <c r="AA96" s="15"/>
      <c r="AP96">
        <f>AVERAGE(5.4,6.2)</f>
        <v>5.8000000000000007</v>
      </c>
      <c r="AQ96" s="14" t="s">
        <v>873</v>
      </c>
      <c r="AS96" s="21"/>
    </row>
    <row r="97" spans="1:45" ht="12.75" hidden="1" customHeight="1" x14ac:dyDescent="0.25">
      <c r="A97" t="s">
        <v>82</v>
      </c>
      <c r="B97" s="1" t="s">
        <v>24</v>
      </c>
      <c r="C97" s="1" t="s">
        <v>872</v>
      </c>
      <c r="D97" s="11"/>
      <c r="E97" s="19"/>
      <c r="F97" s="25"/>
      <c r="G97" s="33"/>
      <c r="H97" s="84"/>
      <c r="I97" s="15"/>
      <c r="U97" s="103"/>
      <c r="Z97" s="94"/>
      <c r="AA97" s="15"/>
      <c r="AP97" s="5">
        <f>AVERAGE(70%,75%)</f>
        <v>0.72499999999999998</v>
      </c>
      <c r="AQ97" s="14" t="s">
        <v>874</v>
      </c>
      <c r="AS97" s="21"/>
    </row>
    <row r="98" spans="1:45" ht="12.75" hidden="1" customHeight="1" x14ac:dyDescent="0.25">
      <c r="A98" t="s">
        <v>82</v>
      </c>
      <c r="B98" s="1" t="s">
        <v>24</v>
      </c>
      <c r="C98" s="1" t="s">
        <v>918</v>
      </c>
      <c r="D98" s="11"/>
      <c r="E98" s="19"/>
      <c r="F98" s="25"/>
      <c r="G98" s="33"/>
      <c r="H98" s="84"/>
      <c r="I98" s="15"/>
      <c r="U98" s="103"/>
      <c r="Z98" s="94"/>
      <c r="AA98" s="15"/>
      <c r="AP98" s="5"/>
      <c r="AR98" s="14" t="s">
        <v>920</v>
      </c>
      <c r="AS98" s="21" t="s">
        <v>920</v>
      </c>
    </row>
    <row r="99" spans="1:45" ht="12.75" hidden="1" customHeight="1" x14ac:dyDescent="0.25">
      <c r="A99" t="s">
        <v>82</v>
      </c>
      <c r="B99" s="1" t="s">
        <v>24</v>
      </c>
      <c r="C99" s="1" t="s">
        <v>919</v>
      </c>
      <c r="D99" s="11"/>
      <c r="E99" s="19"/>
      <c r="F99" s="25"/>
      <c r="G99" s="33"/>
      <c r="H99" s="84"/>
      <c r="I99" s="15"/>
      <c r="U99" s="103"/>
      <c r="Z99" s="94"/>
      <c r="AA99" s="15"/>
      <c r="AP99" s="5"/>
      <c r="AR99" s="14" t="s">
        <v>921</v>
      </c>
      <c r="AS99" s="21" t="s">
        <v>921</v>
      </c>
    </row>
    <row r="100" spans="1:45" s="44" customFormat="1" ht="18.75" customHeight="1" x14ac:dyDescent="0.25">
      <c r="A100" s="44" t="s">
        <v>92</v>
      </c>
      <c r="B100" s="45" t="s">
        <v>23</v>
      </c>
      <c r="C100" s="128" t="s">
        <v>93</v>
      </c>
      <c r="D100" s="60">
        <v>180</v>
      </c>
      <c r="E100" s="61" t="s">
        <v>43</v>
      </c>
      <c r="F100" s="62">
        <v>240</v>
      </c>
      <c r="G100" s="61" t="s">
        <v>107</v>
      </c>
      <c r="H100" s="57">
        <v>650</v>
      </c>
      <c r="I100" s="58">
        <v>650</v>
      </c>
      <c r="J100" s="44">
        <f>AVERAGE(680,825)</f>
        <v>752.5</v>
      </c>
      <c r="K100" s="58" t="s">
        <v>208</v>
      </c>
      <c r="L100" s="44">
        <v>819</v>
      </c>
      <c r="M100" s="86" t="s">
        <v>268</v>
      </c>
      <c r="N100" s="44">
        <f>AVERAGE(380,480)</f>
        <v>430</v>
      </c>
      <c r="O100" s="58" t="s">
        <v>305</v>
      </c>
      <c r="P100" s="44">
        <v>240</v>
      </c>
      <c r="Q100" s="111" t="s">
        <v>341</v>
      </c>
      <c r="R100" s="44">
        <f>_xlfn.CEILING.MATH(MAX(Enrolments[OCADu])*R101,1)</f>
        <v>81</v>
      </c>
      <c r="S100" s="185"/>
      <c r="T100" s="44">
        <f>_xlfn.CEILING.MATH(MAX(Enrolments[Queen''s University])*T101,1)</f>
        <v>518</v>
      </c>
      <c r="U100" s="185"/>
      <c r="V100" s="44">
        <f>AVERAGE(300,500)</f>
        <v>400</v>
      </c>
      <c r="W100" s="58" t="s">
        <v>470</v>
      </c>
      <c r="X100" s="44">
        <v>300</v>
      </c>
      <c r="Y100" s="58" t="s">
        <v>520</v>
      </c>
      <c r="Z100" s="44">
        <v>5</v>
      </c>
      <c r="AA100" s="86" t="s">
        <v>570</v>
      </c>
      <c r="AB100" s="44">
        <f>AVERAGE(300,325)</f>
        <v>312.5</v>
      </c>
      <c r="AC100" s="58" t="s">
        <v>606</v>
      </c>
      <c r="AD100" s="143">
        <v>1000</v>
      </c>
      <c r="AE100" s="58" t="s">
        <v>653</v>
      </c>
      <c r="AF100" s="44">
        <v>1000</v>
      </c>
      <c r="AG100" s="58">
        <v>1000</v>
      </c>
      <c r="AH100" s="44">
        <v>109</v>
      </c>
      <c r="AI100" s="58" t="s">
        <v>729</v>
      </c>
      <c r="AJ100" s="44">
        <v>140</v>
      </c>
      <c r="AK100" s="58" t="s">
        <v>779</v>
      </c>
      <c r="AL100" s="44">
        <v>83</v>
      </c>
      <c r="AM100" s="58" t="s">
        <v>818</v>
      </c>
      <c r="AN100" s="44">
        <v>460</v>
      </c>
      <c r="AO100" s="58">
        <v>460</v>
      </c>
      <c r="AP100" s="44">
        <f>_xlfn.CEILING.MATH(MAX(Enrolments[Wilfrid Laurier University])*AP101)</f>
        <v>408</v>
      </c>
      <c r="AQ100" s="58"/>
      <c r="AR100" s="180" t="s">
        <v>923</v>
      </c>
      <c r="AS100" s="181" t="s">
        <v>922</v>
      </c>
    </row>
    <row r="101" spans="1:45" s="44" customFormat="1" ht="18.75" customHeight="1" x14ac:dyDescent="0.25">
      <c r="A101" s="44" t="s">
        <v>92</v>
      </c>
      <c r="B101" s="45" t="s">
        <v>23</v>
      </c>
      <c r="C101" s="128" t="s">
        <v>94</v>
      </c>
      <c r="D101" s="63">
        <v>0.2</v>
      </c>
      <c r="E101" s="61" t="s">
        <v>43</v>
      </c>
      <c r="F101" s="64">
        <v>1.4999999999999999E-2</v>
      </c>
      <c r="G101" s="61" t="s">
        <v>107</v>
      </c>
      <c r="H101" s="52">
        <v>2.7E-2</v>
      </c>
      <c r="I101" s="48">
        <v>2.7E-2</v>
      </c>
      <c r="J101" s="47">
        <f>AVERAGE(10%,13%)</f>
        <v>0.115</v>
      </c>
      <c r="K101" s="58" t="s">
        <v>196</v>
      </c>
      <c r="L101" s="95">
        <v>0.11600000000000001</v>
      </c>
      <c r="M101" s="86" t="s">
        <v>268</v>
      </c>
      <c r="N101" s="100">
        <f>AVERAGE(1.4%,1.8%)</f>
        <v>1.6E-2</v>
      </c>
      <c r="O101" s="58" t="s">
        <v>305</v>
      </c>
      <c r="P101" s="47">
        <v>0.1</v>
      </c>
      <c r="Q101" s="111" t="s">
        <v>341</v>
      </c>
      <c r="R101" s="53">
        <v>0.02</v>
      </c>
      <c r="S101" s="53">
        <v>0.02</v>
      </c>
      <c r="T101" s="53">
        <f>AVERAGE(2%,2.4%)</f>
        <v>2.1999999999999999E-2</v>
      </c>
      <c r="U101" s="58" t="s">
        <v>411</v>
      </c>
      <c r="V101" s="116">
        <f>AVERAGE(1%,1.7%)</f>
        <v>1.3500000000000002E-2</v>
      </c>
      <c r="W101" s="58" t="s">
        <v>471</v>
      </c>
      <c r="X101" s="95">
        <v>3.1E-2</v>
      </c>
      <c r="Y101" s="58" t="s">
        <v>520</v>
      </c>
      <c r="Z101" s="44">
        <v>3.3</v>
      </c>
      <c r="AA101" s="86" t="s">
        <v>570</v>
      </c>
      <c r="AB101" s="106">
        <f>AB100/MAX(Enrolments[University of Guelph])</f>
        <v>1.1729599879888896E-2</v>
      </c>
      <c r="AC101" s="58"/>
      <c r="AD101" s="147">
        <v>2.8000000000000001E-2</v>
      </c>
      <c r="AE101" s="58" t="s">
        <v>653</v>
      </c>
      <c r="AF101" s="180"/>
      <c r="AG101" s="179"/>
      <c r="AH101" s="95">
        <v>4.0000000000000001E-3</v>
      </c>
      <c r="AI101" s="58" t="s">
        <v>729</v>
      </c>
      <c r="AJ101" s="47">
        <v>0.01</v>
      </c>
      <c r="AK101" s="58" t="s">
        <v>779</v>
      </c>
      <c r="AL101" s="95">
        <v>8.9999999999999993E-3</v>
      </c>
      <c r="AM101" s="58" t="s">
        <v>818</v>
      </c>
      <c r="AN101" s="106">
        <f>AN100/MAX(Enrolments[Western University])</f>
        <v>1.2628689087165409E-2</v>
      </c>
      <c r="AO101" s="58"/>
      <c r="AP101" s="95">
        <v>2.5000000000000001E-2</v>
      </c>
      <c r="AQ101" s="109">
        <v>2.5000000000000001E-2</v>
      </c>
      <c r="AR101" s="180" t="s">
        <v>923</v>
      </c>
      <c r="AS101" s="181" t="s">
        <v>922</v>
      </c>
    </row>
    <row r="102" spans="1:45" s="44" customFormat="1" ht="18.75" customHeight="1" x14ac:dyDescent="0.25">
      <c r="A102" s="44" t="s">
        <v>92</v>
      </c>
      <c r="B102" s="45" t="s">
        <v>23</v>
      </c>
      <c r="C102" s="128" t="s">
        <v>95</v>
      </c>
      <c r="D102" s="46">
        <v>320</v>
      </c>
      <c r="E102" s="61" t="s">
        <v>104</v>
      </c>
      <c r="F102" s="62">
        <v>4300</v>
      </c>
      <c r="G102" s="61" t="s">
        <v>108</v>
      </c>
      <c r="H102" s="57">
        <v>3000</v>
      </c>
      <c r="I102" s="58">
        <v>3000</v>
      </c>
      <c r="J102" s="44">
        <f>AVERAGE(1200,1400)</f>
        <v>1300</v>
      </c>
      <c r="K102" s="58" t="s">
        <v>209</v>
      </c>
      <c r="L102" s="44">
        <v>3549</v>
      </c>
      <c r="M102" s="58" t="s">
        <v>269</v>
      </c>
      <c r="N102" s="44">
        <f>AVERAGE(3750,4850)</f>
        <v>4300</v>
      </c>
      <c r="O102" s="58" t="s">
        <v>306</v>
      </c>
      <c r="P102" s="44">
        <v>350</v>
      </c>
      <c r="Q102" s="111" t="s">
        <v>342</v>
      </c>
      <c r="R102" s="44">
        <f>_xlfn.CEILING.MATH(MAX(Enrolments[OCADu])*R103,1)</f>
        <v>643</v>
      </c>
      <c r="S102" s="185"/>
      <c r="T102" s="44">
        <f>_xlfn.CEILING.MATH(MAX(Enrolments[Queen''s University])*T103,1)</f>
        <v>1941</v>
      </c>
      <c r="U102" s="185"/>
      <c r="V102" s="44">
        <f>AVERAGE(5500,8000)</f>
        <v>6750</v>
      </c>
      <c r="W102" s="58" t="s">
        <v>472</v>
      </c>
      <c r="X102" s="44">
        <v>1100</v>
      </c>
      <c r="Y102" s="58" t="s">
        <v>521</v>
      </c>
      <c r="Z102" s="44">
        <v>20</v>
      </c>
      <c r="AA102" s="86" t="s">
        <v>571</v>
      </c>
      <c r="AB102" s="44">
        <f>AVERAGE(1800,2200)</f>
        <v>2000</v>
      </c>
      <c r="AC102" s="58" t="s">
        <v>607</v>
      </c>
      <c r="AD102" s="143">
        <v>4250</v>
      </c>
      <c r="AE102" s="58" t="s">
        <v>654</v>
      </c>
      <c r="AF102" s="54">
        <v>10565</v>
      </c>
      <c r="AG102" s="58" t="s">
        <v>686</v>
      </c>
      <c r="AH102" s="44">
        <v>3500</v>
      </c>
      <c r="AI102" s="58" t="s">
        <v>730</v>
      </c>
      <c r="AJ102" s="44">
        <v>2650</v>
      </c>
      <c r="AK102" s="58" t="s">
        <v>780</v>
      </c>
      <c r="AL102" s="44">
        <v>5219</v>
      </c>
      <c r="AM102" s="58" t="s">
        <v>819</v>
      </c>
      <c r="AN102" s="44">
        <v>2000</v>
      </c>
      <c r="AO102" s="58">
        <v>2000</v>
      </c>
      <c r="AP102" s="44">
        <f>_xlfn.CEILING.MATH(MAX(Enrolments[Wilfrid Laurier University])*AP103)</f>
        <v>2529</v>
      </c>
      <c r="AR102" s="180" t="s">
        <v>923</v>
      </c>
      <c r="AS102" s="181" t="s">
        <v>922</v>
      </c>
    </row>
    <row r="103" spans="1:45" s="44" customFormat="1" ht="18.75" customHeight="1" x14ac:dyDescent="0.25">
      <c r="A103" s="44" t="s">
        <v>92</v>
      </c>
      <c r="B103" s="45" t="s">
        <v>23</v>
      </c>
      <c r="C103" s="128" t="s">
        <v>96</v>
      </c>
      <c r="D103" s="219">
        <f>D102/MAX(Enrolments[Algoma University])</f>
        <v>0.37558685446009388</v>
      </c>
      <c r="E103" s="61" t="s">
        <v>104</v>
      </c>
      <c r="F103" s="66">
        <v>0.27</v>
      </c>
      <c r="G103" s="61" t="s">
        <v>108</v>
      </c>
      <c r="H103" s="52">
        <v>0.123</v>
      </c>
      <c r="I103" s="48">
        <v>0.123</v>
      </c>
      <c r="J103" s="47">
        <f>AVERAGE(17%,20%)</f>
        <v>0.185</v>
      </c>
      <c r="K103" s="58" t="s">
        <v>210</v>
      </c>
      <c r="L103" s="47">
        <v>0.5</v>
      </c>
      <c r="M103" s="58" t="s">
        <v>269</v>
      </c>
      <c r="N103" s="106">
        <f>AVERAGE(14%,18%)</f>
        <v>0.16</v>
      </c>
      <c r="O103" s="58" t="s">
        <v>306</v>
      </c>
      <c r="P103" s="47">
        <v>0.1</v>
      </c>
      <c r="Q103" s="111" t="s">
        <v>342</v>
      </c>
      <c r="R103" s="53">
        <v>0.16</v>
      </c>
      <c r="S103" s="53">
        <v>0.16</v>
      </c>
      <c r="T103" s="53">
        <f>AVERAGE(8%,8.5%)</f>
        <v>8.2500000000000004E-2</v>
      </c>
      <c r="U103" s="58" t="s">
        <v>412</v>
      </c>
      <c r="V103" s="106">
        <f>AVERAGE(18.5%,27.7%)</f>
        <v>0.23099999999999998</v>
      </c>
      <c r="W103" s="58" t="s">
        <v>473</v>
      </c>
      <c r="X103" s="95">
        <v>0.11899999999999999</v>
      </c>
      <c r="Y103" s="58" t="s">
        <v>521</v>
      </c>
      <c r="Z103" s="95">
        <v>0.13300000000000001</v>
      </c>
      <c r="AA103" s="86" t="s">
        <v>571</v>
      </c>
      <c r="AB103" s="106">
        <f>AB102/MAX(Enrolments[University of Guelph])</f>
        <v>7.5069439231288948E-2</v>
      </c>
      <c r="AC103" s="58"/>
      <c r="AD103" s="147">
        <v>0.11799999999999999</v>
      </c>
      <c r="AE103" s="58" t="s">
        <v>654</v>
      </c>
      <c r="AF103" s="47">
        <v>0.17</v>
      </c>
      <c r="AG103" s="58" t="s">
        <v>686</v>
      </c>
      <c r="AH103" s="47">
        <v>0.13</v>
      </c>
      <c r="AI103" s="58" t="s">
        <v>730</v>
      </c>
      <c r="AJ103" s="47">
        <v>0.2</v>
      </c>
      <c r="AK103" s="58" t="s">
        <v>780</v>
      </c>
      <c r="AL103" s="95">
        <v>0.56799999999999995</v>
      </c>
      <c r="AM103" s="58" t="s">
        <v>819</v>
      </c>
      <c r="AN103" s="106">
        <f>AN102/MAX(Enrolments[Western University])</f>
        <v>5.4907343857240908E-2</v>
      </c>
      <c r="AO103" s="58"/>
      <c r="AP103" s="106">
        <f>AVERAGE(15%,16%)</f>
        <v>0.155</v>
      </c>
      <c r="AQ103" s="58" t="s">
        <v>875</v>
      </c>
      <c r="AR103" s="180" t="s">
        <v>923</v>
      </c>
      <c r="AS103" s="181" t="s">
        <v>922</v>
      </c>
    </row>
    <row r="104" spans="1:45" s="44" customFormat="1" ht="18.75" customHeight="1" x14ac:dyDescent="0.25">
      <c r="A104" s="44" t="s">
        <v>92</v>
      </c>
      <c r="B104" s="45" t="s">
        <v>23</v>
      </c>
      <c r="C104" s="128" t="s">
        <v>97</v>
      </c>
      <c r="D104" s="46">
        <v>145</v>
      </c>
      <c r="E104" s="61" t="s">
        <v>103</v>
      </c>
      <c r="F104" s="62">
        <v>1000</v>
      </c>
      <c r="G104" s="61" t="s">
        <v>109</v>
      </c>
      <c r="H104" s="57">
        <v>2311</v>
      </c>
      <c r="I104" s="58">
        <v>2311</v>
      </c>
      <c r="J104" s="44">
        <v>525</v>
      </c>
      <c r="K104" s="58">
        <v>525</v>
      </c>
      <c r="L104" s="44">
        <v>860</v>
      </c>
      <c r="M104" s="58" t="s">
        <v>270</v>
      </c>
      <c r="N104" s="44">
        <f>AVERAGE(850,1000)</f>
        <v>925</v>
      </c>
      <c r="O104" s="58" t="s">
        <v>307</v>
      </c>
      <c r="P104" s="44">
        <v>410</v>
      </c>
      <c r="Q104" s="111" t="s">
        <v>343</v>
      </c>
      <c r="R104" s="44">
        <f>_xlfn.CEILING.MATH(MAX(Enrolments[OCADu])*R105,1)</f>
        <v>402</v>
      </c>
      <c r="S104" s="185"/>
      <c r="T104" s="44">
        <f>_xlfn.CEILING.MATH(MAX(Enrolments[Queen''s University])*T105,1)</f>
        <v>1294</v>
      </c>
      <c r="U104" s="185"/>
      <c r="V104" s="44">
        <f>AVERAGE(800,1600)</f>
        <v>1200</v>
      </c>
      <c r="W104" s="58" t="s">
        <v>474</v>
      </c>
      <c r="X104" s="44">
        <v>1500</v>
      </c>
      <c r="Y104" s="58" t="s">
        <v>522</v>
      </c>
      <c r="Z104" s="44">
        <v>10</v>
      </c>
      <c r="AA104" s="86" t="s">
        <v>572</v>
      </c>
      <c r="AB104" s="44">
        <f>AVERAGE(1400,1700)</f>
        <v>1550</v>
      </c>
      <c r="AC104" s="58" t="s">
        <v>608</v>
      </c>
      <c r="AD104" s="143">
        <v>2100</v>
      </c>
      <c r="AE104" s="58" t="s">
        <v>655</v>
      </c>
      <c r="AF104" s="180"/>
      <c r="AG104" s="179" t="s">
        <v>686</v>
      </c>
      <c r="AH104" s="44">
        <v>2100</v>
      </c>
      <c r="AI104" s="58" t="s">
        <v>731</v>
      </c>
      <c r="AJ104" s="151">
        <v>650</v>
      </c>
      <c r="AK104" s="58" t="s">
        <v>781</v>
      </c>
      <c r="AL104" s="44">
        <v>581</v>
      </c>
      <c r="AM104" s="58" t="s">
        <v>820</v>
      </c>
      <c r="AN104" s="44">
        <v>2400</v>
      </c>
      <c r="AO104" s="58">
        <v>2400</v>
      </c>
      <c r="AP104" s="44">
        <f>_xlfn.CEILING.MATH(MAX(Enrolments[Wilfrid Laurier University])*AP105)</f>
        <v>1469</v>
      </c>
      <c r="AQ104" s="58"/>
      <c r="AR104" s="180" t="s">
        <v>923</v>
      </c>
      <c r="AS104" s="181" t="s">
        <v>922</v>
      </c>
    </row>
    <row r="105" spans="1:45" s="44" customFormat="1" ht="18.75" customHeight="1" x14ac:dyDescent="0.25">
      <c r="A105" s="44" t="s">
        <v>92</v>
      </c>
      <c r="B105" s="45" t="s">
        <v>23</v>
      </c>
      <c r="C105" s="128" t="s">
        <v>98</v>
      </c>
      <c r="D105" s="219">
        <f>D104/MAX(Enrolments[Algoma University])</f>
        <v>0.17018779342723006</v>
      </c>
      <c r="E105" s="61" t="s">
        <v>103</v>
      </c>
      <c r="F105" s="67">
        <v>0.06</v>
      </c>
      <c r="G105" s="61" t="s">
        <v>109</v>
      </c>
      <c r="H105" s="52">
        <v>9.6000000000000002E-2</v>
      </c>
      <c r="I105" s="48">
        <v>9.6000000000000002E-2</v>
      </c>
      <c r="J105" s="47">
        <v>7.0000000000000007E-2</v>
      </c>
      <c r="K105" s="53">
        <v>7.0000000000000007E-2</v>
      </c>
      <c r="L105" s="47">
        <v>0.09</v>
      </c>
      <c r="M105" s="58" t="s">
        <v>270</v>
      </c>
      <c r="N105" s="100">
        <f>AVERAGE(3.1%,3.7%)</f>
        <v>3.4000000000000002E-2</v>
      </c>
      <c r="O105" s="58" t="s">
        <v>307</v>
      </c>
      <c r="P105" s="47">
        <v>0.1</v>
      </c>
      <c r="Q105" s="111" t="s">
        <v>343</v>
      </c>
      <c r="R105" s="53">
        <v>0.1</v>
      </c>
      <c r="S105" s="53">
        <v>0.1</v>
      </c>
      <c r="T105" s="53">
        <f>AVERAGE(5.25%,5.75%)</f>
        <v>5.5E-2</v>
      </c>
      <c r="U105" s="58" t="s">
        <v>413</v>
      </c>
      <c r="V105" s="100">
        <f>AVERAGE(2.7%,5.4%)</f>
        <v>4.0500000000000008E-2</v>
      </c>
      <c r="W105" s="58" t="s">
        <v>475</v>
      </c>
      <c r="X105" s="47">
        <v>0.16</v>
      </c>
      <c r="Y105" s="58" t="s">
        <v>522</v>
      </c>
      <c r="Z105" s="95">
        <v>6.6000000000000003E-2</v>
      </c>
      <c r="AA105" s="86" t="s">
        <v>572</v>
      </c>
      <c r="AB105" s="106">
        <f>AB104/MAX(Enrolments[University of Guelph])</f>
        <v>5.8178815404248928E-2</v>
      </c>
      <c r="AC105" s="58"/>
      <c r="AD105" s="147">
        <v>5.8999999999999997E-2</v>
      </c>
      <c r="AE105" s="58" t="s">
        <v>655</v>
      </c>
      <c r="AF105" s="180"/>
      <c r="AG105" s="179" t="s">
        <v>686</v>
      </c>
      <c r="AH105" s="47">
        <v>0.08</v>
      </c>
      <c r="AI105" s="58" t="s">
        <v>731</v>
      </c>
      <c r="AJ105" s="47">
        <v>0.05</v>
      </c>
      <c r="AK105" s="58" t="s">
        <v>781</v>
      </c>
      <c r="AL105" s="95">
        <v>6.4000000000000001E-2</v>
      </c>
      <c r="AM105" s="58" t="s">
        <v>820</v>
      </c>
      <c r="AN105" s="106">
        <f>AN104/MAX(Enrolments[Western University])</f>
        <v>6.5888812628689092E-2</v>
      </c>
      <c r="AO105" s="58"/>
      <c r="AP105" s="106">
        <f>AVERAGE(8%,10%)</f>
        <v>0.09</v>
      </c>
      <c r="AQ105" s="58" t="s">
        <v>876</v>
      </c>
      <c r="AR105" s="180" t="s">
        <v>923</v>
      </c>
      <c r="AS105" s="181" t="s">
        <v>922</v>
      </c>
    </row>
    <row r="106" spans="1:45" s="44" customFormat="1" ht="18.75" customHeight="1" x14ac:dyDescent="0.25">
      <c r="A106" s="44" t="s">
        <v>92</v>
      </c>
      <c r="B106" s="45" t="s">
        <v>23</v>
      </c>
      <c r="C106" s="128" t="s">
        <v>99</v>
      </c>
      <c r="D106" s="65">
        <v>12</v>
      </c>
      <c r="E106" s="68" t="s">
        <v>102</v>
      </c>
      <c r="F106" s="69" t="s">
        <v>110</v>
      </c>
      <c r="G106" s="68" t="s">
        <v>110</v>
      </c>
      <c r="H106" s="57">
        <v>773</v>
      </c>
      <c r="I106" s="58">
        <v>773</v>
      </c>
      <c r="J106" s="44">
        <v>150</v>
      </c>
      <c r="K106" s="58">
        <v>150</v>
      </c>
      <c r="L106" s="44">
        <v>1517</v>
      </c>
      <c r="M106" s="58" t="s">
        <v>271</v>
      </c>
      <c r="N106" s="44">
        <f>AVERAGE(140,190)</f>
        <v>165</v>
      </c>
      <c r="O106" s="58" t="s">
        <v>308</v>
      </c>
      <c r="P106" s="44">
        <v>80</v>
      </c>
      <c r="Q106" s="111" t="s">
        <v>344</v>
      </c>
      <c r="R106" s="44">
        <f>_xlfn.CEILING.MATH(MAX(Enrolments[OCADu])*R107,1)</f>
        <v>41</v>
      </c>
      <c r="S106" s="185"/>
      <c r="T106" s="44">
        <f>_xlfn.CEILING.MATH(MAX(Enrolments[Queen''s University])*T107,1)</f>
        <v>0</v>
      </c>
      <c r="U106" s="185"/>
      <c r="V106" s="44">
        <f>AVERAGE(150,200)</f>
        <v>175</v>
      </c>
      <c r="W106" s="58" t="s">
        <v>476</v>
      </c>
      <c r="Y106" s="58" t="s">
        <v>110</v>
      </c>
      <c r="Z106" s="44">
        <v>150</v>
      </c>
      <c r="AA106" s="86" t="s">
        <v>573</v>
      </c>
      <c r="AB106" s="44">
        <f>AVERAGE(200,240)</f>
        <v>220</v>
      </c>
      <c r="AC106" s="58" t="s">
        <v>609</v>
      </c>
      <c r="AD106" s="143">
        <v>16000</v>
      </c>
      <c r="AE106" s="58" t="s">
        <v>656</v>
      </c>
      <c r="AF106" s="180"/>
      <c r="AG106" s="179" t="s">
        <v>686</v>
      </c>
      <c r="AH106" s="44">
        <v>230</v>
      </c>
      <c r="AI106" s="58" t="s">
        <v>732</v>
      </c>
      <c r="AJ106" s="44">
        <v>520</v>
      </c>
      <c r="AK106" s="58" t="s">
        <v>782</v>
      </c>
      <c r="AM106" s="58" t="s">
        <v>110</v>
      </c>
      <c r="AN106" s="44">
        <v>330</v>
      </c>
      <c r="AO106" s="58">
        <v>330</v>
      </c>
      <c r="AP106" s="44">
        <v>0</v>
      </c>
      <c r="AQ106" s="58">
        <v>0</v>
      </c>
      <c r="AR106" s="180" t="s">
        <v>923</v>
      </c>
      <c r="AS106" s="181" t="s">
        <v>922</v>
      </c>
    </row>
    <row r="107" spans="1:45" s="44" customFormat="1" ht="18.75" customHeight="1" x14ac:dyDescent="0.25">
      <c r="A107" s="44" t="s">
        <v>92</v>
      </c>
      <c r="B107" s="45" t="s">
        <v>23</v>
      </c>
      <c r="C107" s="128" t="s">
        <v>100</v>
      </c>
      <c r="D107" s="219">
        <f>D106/MAX(Enrolments[Algoma University])</f>
        <v>1.4084507042253521E-2</v>
      </c>
      <c r="E107" s="68" t="s">
        <v>102</v>
      </c>
      <c r="F107" s="69" t="s">
        <v>110</v>
      </c>
      <c r="G107" s="68" t="s">
        <v>110</v>
      </c>
      <c r="H107" s="49">
        <v>0.03</v>
      </c>
      <c r="I107" s="53">
        <v>0.03</v>
      </c>
      <c r="J107" s="47">
        <v>0.02</v>
      </c>
      <c r="K107" s="53">
        <v>0.02</v>
      </c>
      <c r="L107" s="106">
        <f>L106/(Enrolment!H4+Enrolment!H13+Enrolment!H25)</f>
        <v>0.21031470955219742</v>
      </c>
      <c r="M107" s="58" t="s">
        <v>271</v>
      </c>
      <c r="N107" s="100">
        <f>AVERAGE(0.5%,0.7%)</f>
        <v>6.0000000000000001E-3</v>
      </c>
      <c r="O107" s="58" t="s">
        <v>308</v>
      </c>
      <c r="P107" s="47">
        <v>0.02</v>
      </c>
      <c r="Q107" s="111" t="s">
        <v>344</v>
      </c>
      <c r="R107" s="53">
        <v>0.01</v>
      </c>
      <c r="S107" s="53">
        <v>0.01</v>
      </c>
      <c r="U107" s="58" t="s">
        <v>110</v>
      </c>
      <c r="V107" s="106">
        <f>AVERAGE(0.5%,0.7%)</f>
        <v>6.0000000000000001E-3</v>
      </c>
      <c r="W107" s="58" t="s">
        <v>477</v>
      </c>
      <c r="Y107" s="58" t="s">
        <v>110</v>
      </c>
      <c r="Z107" s="47">
        <v>1</v>
      </c>
      <c r="AA107" s="86" t="s">
        <v>573</v>
      </c>
      <c r="AB107" s="106">
        <f>AB106/MAX(Enrolments[University of Guelph])</f>
        <v>8.2576383154417832E-3</v>
      </c>
      <c r="AC107" s="58"/>
      <c r="AD107" s="146">
        <v>0.45</v>
      </c>
      <c r="AE107" s="58" t="s">
        <v>656</v>
      </c>
      <c r="AF107" s="180"/>
      <c r="AG107" s="179" t="s">
        <v>686</v>
      </c>
      <c r="AH107" s="95">
        <v>4.0000000000000001E-3</v>
      </c>
      <c r="AI107" s="58" t="s">
        <v>732</v>
      </c>
      <c r="AJ107" s="47">
        <v>0.04</v>
      </c>
      <c r="AK107" s="58" t="s">
        <v>782</v>
      </c>
      <c r="AM107" s="58" t="s">
        <v>110</v>
      </c>
      <c r="AN107" s="106">
        <f>AN106/MAX(Enrolments[Western University])</f>
        <v>9.0597117364447487E-3</v>
      </c>
      <c r="AO107" s="58"/>
      <c r="AP107" s="44">
        <v>0</v>
      </c>
      <c r="AQ107" s="58">
        <v>0</v>
      </c>
      <c r="AR107" s="180" t="s">
        <v>923</v>
      </c>
      <c r="AS107" s="181" t="s">
        <v>922</v>
      </c>
    </row>
    <row r="108" spans="1:45" s="44" customFormat="1" x14ac:dyDescent="0.25">
      <c r="A108" s="44" t="s">
        <v>92</v>
      </c>
      <c r="B108" s="45" t="s">
        <v>23</v>
      </c>
      <c r="C108" s="128" t="s">
        <v>44</v>
      </c>
      <c r="D108" s="63">
        <v>0.5</v>
      </c>
      <c r="E108" s="70" t="s">
        <v>101</v>
      </c>
      <c r="F108" s="67">
        <v>0.45</v>
      </c>
      <c r="G108" s="70" t="s">
        <v>111</v>
      </c>
      <c r="H108" s="52">
        <v>0.49299999999999999</v>
      </c>
      <c r="I108" s="48">
        <v>0.49299999999999999</v>
      </c>
      <c r="J108" s="47">
        <v>0.6</v>
      </c>
      <c r="K108" s="58" t="s">
        <v>211</v>
      </c>
      <c r="L108" s="95">
        <v>0.59699999999999998</v>
      </c>
      <c r="M108" s="58" t="s">
        <v>272</v>
      </c>
      <c r="N108" s="106">
        <f>AVERAGE(50%,60%)</f>
        <v>0.55000000000000004</v>
      </c>
      <c r="O108" s="58" t="s">
        <v>309</v>
      </c>
      <c r="P108" s="44">
        <f>AVERAGE(66%,70%)</f>
        <v>0.67999999999999994</v>
      </c>
      <c r="Q108" s="111" t="s">
        <v>345</v>
      </c>
      <c r="R108" s="47">
        <v>0.65</v>
      </c>
      <c r="S108" s="53">
        <v>0.65</v>
      </c>
      <c r="U108" s="58" t="s">
        <v>110</v>
      </c>
      <c r="V108" s="106">
        <f>AVERAGE(60%,70%)</f>
        <v>0.64999999999999991</v>
      </c>
      <c r="W108" s="58" t="s">
        <v>478</v>
      </c>
      <c r="X108" s="95">
        <v>0.65400000000000003</v>
      </c>
      <c r="Y108" s="109">
        <v>0.65400000000000003</v>
      </c>
      <c r="Z108" s="47">
        <v>0.5</v>
      </c>
      <c r="AA108" s="58" t="s">
        <v>574</v>
      </c>
      <c r="AB108" s="106">
        <f>AVERAGE(56%,62%)</f>
        <v>0.59000000000000008</v>
      </c>
      <c r="AC108" s="58" t="s">
        <v>610</v>
      </c>
      <c r="AD108" s="146">
        <v>0.44</v>
      </c>
      <c r="AE108" s="53">
        <v>0.44</v>
      </c>
      <c r="AG108" s="58" t="s">
        <v>687</v>
      </c>
      <c r="AH108" s="47">
        <v>0.69</v>
      </c>
      <c r="AI108" s="53">
        <v>0.69</v>
      </c>
      <c r="AJ108" s="47">
        <v>0.65</v>
      </c>
      <c r="AK108" s="53">
        <v>0.65</v>
      </c>
      <c r="AL108" s="95">
        <v>0.72299999999999998</v>
      </c>
      <c r="AM108" s="109">
        <v>0.72299999999999998</v>
      </c>
      <c r="AN108" s="47">
        <v>0.5</v>
      </c>
      <c r="AO108" s="53">
        <v>0.5</v>
      </c>
      <c r="AP108" s="47">
        <v>0.6</v>
      </c>
      <c r="AQ108" s="53">
        <v>0.6</v>
      </c>
      <c r="AR108" s="106">
        <f>AVERAGE(65%,70%)</f>
        <v>0.67500000000000004</v>
      </c>
      <c r="AS108" s="57" t="s">
        <v>924</v>
      </c>
    </row>
    <row r="109" spans="1:45" s="44" customFormat="1" ht="15" customHeight="1" x14ac:dyDescent="0.25">
      <c r="A109" s="44" t="s">
        <v>92</v>
      </c>
      <c r="B109" s="45" t="s">
        <v>23</v>
      </c>
      <c r="C109" s="128" t="s">
        <v>524</v>
      </c>
      <c r="D109" s="60">
        <v>350</v>
      </c>
      <c r="E109" s="68">
        <v>350</v>
      </c>
      <c r="F109" s="62"/>
      <c r="G109" s="61" t="s">
        <v>112</v>
      </c>
      <c r="H109" s="57">
        <v>981</v>
      </c>
      <c r="I109" s="86" t="s">
        <v>167</v>
      </c>
      <c r="J109" s="44">
        <v>400</v>
      </c>
      <c r="K109" s="86" t="s">
        <v>212</v>
      </c>
      <c r="M109" s="58" t="s">
        <v>273</v>
      </c>
      <c r="N109" s="44">
        <f>AVERAGE(500,600)</f>
        <v>550</v>
      </c>
      <c r="O109" s="58" t="s">
        <v>310</v>
      </c>
      <c r="Q109" s="111" t="s">
        <v>346</v>
      </c>
      <c r="R109" s="44">
        <v>126</v>
      </c>
      <c r="S109" s="58" t="s">
        <v>376</v>
      </c>
      <c r="T109" s="44">
        <v>140</v>
      </c>
      <c r="U109" s="58" t="s">
        <v>414</v>
      </c>
      <c r="V109" s="44">
        <f>AVERAGE(2000,5000)</f>
        <v>3500</v>
      </c>
      <c r="W109" s="86" t="s">
        <v>960</v>
      </c>
      <c r="X109" s="44">
        <v>529</v>
      </c>
      <c r="Y109" s="58" t="s">
        <v>523</v>
      </c>
      <c r="Z109" s="44">
        <v>12</v>
      </c>
      <c r="AA109" s="86" t="s">
        <v>575</v>
      </c>
      <c r="AB109" s="44">
        <f>AVERAGE(900,1100)</f>
        <v>1000</v>
      </c>
      <c r="AC109" s="86" t="s">
        <v>611</v>
      </c>
      <c r="AD109" s="143">
        <v>1600</v>
      </c>
      <c r="AE109" s="58" t="s">
        <v>657</v>
      </c>
      <c r="AG109" s="58" t="s">
        <v>686</v>
      </c>
      <c r="AH109" s="44">
        <v>430</v>
      </c>
      <c r="AI109" s="58" t="s">
        <v>733</v>
      </c>
      <c r="AJ109" s="44">
        <v>575</v>
      </c>
      <c r="AK109" s="58" t="s">
        <v>783</v>
      </c>
      <c r="AL109" s="44">
        <v>1400</v>
      </c>
      <c r="AM109" s="58" t="s">
        <v>821</v>
      </c>
      <c r="AN109" s="44">
        <v>800</v>
      </c>
      <c r="AO109" s="58" t="s">
        <v>843</v>
      </c>
      <c r="AP109" s="44">
        <v>630</v>
      </c>
      <c r="AQ109" s="58" t="s">
        <v>877</v>
      </c>
      <c r="AR109" s="180" t="s">
        <v>923</v>
      </c>
      <c r="AS109" s="181" t="s">
        <v>925</v>
      </c>
    </row>
    <row r="110" spans="1:45" s="44" customFormat="1" ht="15" customHeight="1" x14ac:dyDescent="0.25">
      <c r="A110" s="44" t="s">
        <v>92</v>
      </c>
      <c r="B110" s="45" t="s">
        <v>23</v>
      </c>
      <c r="C110" s="128" t="s">
        <v>525</v>
      </c>
      <c r="D110" s="60">
        <v>350</v>
      </c>
      <c r="E110" s="68">
        <v>350</v>
      </c>
      <c r="F110" s="62">
        <v>98</v>
      </c>
      <c r="G110" s="61" t="s">
        <v>112</v>
      </c>
      <c r="H110" s="57">
        <v>90</v>
      </c>
      <c r="I110" s="86" t="s">
        <v>167</v>
      </c>
      <c r="J110" s="44">
        <v>100</v>
      </c>
      <c r="K110" s="86" t="s">
        <v>212</v>
      </c>
      <c r="M110" s="58" t="s">
        <v>273</v>
      </c>
      <c r="N110" s="44">
        <f>AVERAGE(60,70)</f>
        <v>65</v>
      </c>
      <c r="O110" s="58" t="s">
        <v>310</v>
      </c>
      <c r="P110" s="44">
        <f>AVERAGE(220,240)</f>
        <v>230</v>
      </c>
      <c r="Q110" s="111"/>
      <c r="R110" s="44">
        <v>78</v>
      </c>
      <c r="S110" s="58" t="s">
        <v>376</v>
      </c>
      <c r="T110" s="44">
        <v>12</v>
      </c>
      <c r="U110" s="58"/>
      <c r="V110" s="44">
        <f>AVERAGE(500,1000)</f>
        <v>750</v>
      </c>
      <c r="W110" s="86" t="s">
        <v>961</v>
      </c>
      <c r="X110" s="44">
        <v>108</v>
      </c>
      <c r="Y110" s="58" t="s">
        <v>523</v>
      </c>
      <c r="Z110" s="44">
        <v>10</v>
      </c>
      <c r="AA110" s="86" t="s">
        <v>575</v>
      </c>
      <c r="AB110" s="44">
        <f>AVERAGE(100,110)</f>
        <v>105</v>
      </c>
      <c r="AC110" s="86" t="s">
        <v>611</v>
      </c>
      <c r="AD110" s="143">
        <v>160</v>
      </c>
      <c r="AE110" s="58" t="s">
        <v>657</v>
      </c>
      <c r="AG110" s="58" t="s">
        <v>686</v>
      </c>
      <c r="AH110" s="44">
        <v>40</v>
      </c>
      <c r="AI110" s="58" t="s">
        <v>733</v>
      </c>
      <c r="AJ110" s="44">
        <v>75</v>
      </c>
      <c r="AK110" s="58" t="s">
        <v>783</v>
      </c>
      <c r="AL110" s="44">
        <v>400</v>
      </c>
      <c r="AM110" s="58" t="s">
        <v>821</v>
      </c>
      <c r="AN110" s="44">
        <v>80</v>
      </c>
      <c r="AO110" s="58" t="s">
        <v>843</v>
      </c>
      <c r="AP110" s="44">
        <v>40</v>
      </c>
      <c r="AQ110" s="58" t="s">
        <v>877</v>
      </c>
      <c r="AR110" s="180" t="s">
        <v>923</v>
      </c>
      <c r="AS110" s="181" t="s">
        <v>925</v>
      </c>
    </row>
    <row r="111" spans="1:45" hidden="1" x14ac:dyDescent="0.25">
      <c r="A111" t="s">
        <v>92</v>
      </c>
      <c r="B111" s="1" t="s">
        <v>24</v>
      </c>
      <c r="C111" s="129" t="s">
        <v>45</v>
      </c>
      <c r="D111" s="10">
        <v>146</v>
      </c>
      <c r="E111" s="18">
        <v>146</v>
      </c>
      <c r="F111" s="26"/>
      <c r="G111" s="33"/>
      <c r="AS111" s="21"/>
    </row>
    <row r="112" spans="1:45" hidden="1" x14ac:dyDescent="0.25">
      <c r="A112" t="s">
        <v>92</v>
      </c>
      <c r="B112" s="1" t="s">
        <v>24</v>
      </c>
      <c r="C112" s="129" t="s">
        <v>46</v>
      </c>
      <c r="D112" s="10">
        <v>160</v>
      </c>
      <c r="E112" s="18">
        <v>160</v>
      </c>
      <c r="F112" s="26"/>
      <c r="G112" s="33"/>
      <c r="AS112" s="21"/>
    </row>
    <row r="113" spans="1:45" hidden="1" x14ac:dyDescent="0.25">
      <c r="A113" t="s">
        <v>92</v>
      </c>
      <c r="B113" s="1" t="s">
        <v>24</v>
      </c>
      <c r="C113" s="129" t="s">
        <v>113</v>
      </c>
      <c r="D113" s="10"/>
      <c r="E113" s="18"/>
      <c r="F113" s="28" t="s">
        <v>114</v>
      </c>
      <c r="G113" s="33" t="s">
        <v>114</v>
      </c>
      <c r="W113"/>
      <c r="Y113"/>
      <c r="AS113" s="21"/>
    </row>
    <row r="114" spans="1:45" hidden="1" x14ac:dyDescent="0.25">
      <c r="A114" t="s">
        <v>92</v>
      </c>
      <c r="B114" s="1" t="s">
        <v>24</v>
      </c>
      <c r="C114" s="129" t="s">
        <v>213</v>
      </c>
      <c r="D114" s="10"/>
      <c r="E114" s="18"/>
      <c r="F114" s="29">
        <v>6.4899999999999999E-2</v>
      </c>
      <c r="G114" s="33" t="s">
        <v>115</v>
      </c>
      <c r="W114"/>
      <c r="Y114"/>
      <c r="AS114" s="21"/>
    </row>
    <row r="115" spans="1:45" hidden="1" x14ac:dyDescent="0.25">
      <c r="A115" t="s">
        <v>92</v>
      </c>
      <c r="B115" s="1" t="s">
        <v>24</v>
      </c>
      <c r="C115" s="129" t="s">
        <v>168</v>
      </c>
      <c r="D115" s="10"/>
      <c r="E115" s="18"/>
      <c r="F115" s="29"/>
      <c r="G115" s="33"/>
      <c r="H115" s="21" t="s">
        <v>170</v>
      </c>
      <c r="I115" s="14" t="s">
        <v>170</v>
      </c>
      <c r="W115"/>
      <c r="Y115"/>
      <c r="AS115" s="21"/>
    </row>
    <row r="116" spans="1:45" hidden="1" x14ac:dyDescent="0.25">
      <c r="A116" t="s">
        <v>92</v>
      </c>
      <c r="B116" s="1" t="s">
        <v>24</v>
      </c>
      <c r="C116" s="129" t="s">
        <v>169</v>
      </c>
      <c r="D116" s="10"/>
      <c r="E116" s="18"/>
      <c r="F116" s="29"/>
      <c r="G116" s="33"/>
      <c r="H116" s="21">
        <v>315</v>
      </c>
      <c r="I116" s="14">
        <v>315</v>
      </c>
      <c r="W116"/>
      <c r="Y116"/>
      <c r="AS116" s="21"/>
    </row>
    <row r="117" spans="1:45" hidden="1" x14ac:dyDescent="0.25">
      <c r="A117" t="s">
        <v>92</v>
      </c>
      <c r="B117" s="1" t="s">
        <v>24</v>
      </c>
      <c r="C117" s="129" t="s">
        <v>214</v>
      </c>
      <c r="D117" s="10"/>
      <c r="E117" s="18"/>
      <c r="F117" s="29"/>
      <c r="G117" s="33"/>
      <c r="J117" s="94">
        <f>AVERAGE(10%,13%)</f>
        <v>0.115</v>
      </c>
      <c r="K117" s="14" t="s">
        <v>220</v>
      </c>
      <c r="W117"/>
      <c r="Y117"/>
      <c r="AS117" s="21"/>
    </row>
    <row r="118" spans="1:45" hidden="1" x14ac:dyDescent="0.25">
      <c r="A118" t="s">
        <v>92</v>
      </c>
      <c r="B118" s="1" t="s">
        <v>24</v>
      </c>
      <c r="C118" s="129" t="s">
        <v>215</v>
      </c>
      <c r="D118" s="10"/>
      <c r="E118" s="18"/>
      <c r="F118" s="29"/>
      <c r="G118" s="33"/>
      <c r="J118" s="94">
        <f>AVERAGE(52%,57%)</f>
        <v>0.54499999999999993</v>
      </c>
      <c r="K118" s="14" t="s">
        <v>221</v>
      </c>
      <c r="W118"/>
      <c r="Y118"/>
      <c r="AS118" s="21"/>
    </row>
    <row r="119" spans="1:45" s="38" customFormat="1" hidden="1" x14ac:dyDescent="0.25">
      <c r="A119" s="38" t="s">
        <v>92</v>
      </c>
      <c r="B119" s="39" t="s">
        <v>24</v>
      </c>
      <c r="C119" s="130" t="s">
        <v>216</v>
      </c>
      <c r="D119" s="158"/>
      <c r="E119" s="159"/>
      <c r="F119" s="160"/>
      <c r="G119" s="90"/>
      <c r="H119" s="43"/>
      <c r="I119" s="42"/>
      <c r="J119" s="38">
        <v>500</v>
      </c>
      <c r="K119" s="42">
        <v>500</v>
      </c>
      <c r="M119" s="42"/>
      <c r="O119" s="42"/>
      <c r="Q119" s="113"/>
      <c r="S119" s="42"/>
      <c r="U119" s="42"/>
      <c r="AA119" s="42"/>
      <c r="AC119" s="42"/>
      <c r="AD119" s="144"/>
      <c r="AE119" s="42"/>
      <c r="AG119" s="42"/>
      <c r="AI119" s="42"/>
      <c r="AK119" s="42"/>
      <c r="AL119" s="38">
        <v>650</v>
      </c>
      <c r="AM119" s="42">
        <v>650</v>
      </c>
      <c r="AO119" s="42"/>
      <c r="AQ119" s="42"/>
      <c r="AS119" s="43"/>
    </row>
    <row r="120" spans="1:45" hidden="1" x14ac:dyDescent="0.25">
      <c r="A120" t="s">
        <v>92</v>
      </c>
      <c r="B120" s="1" t="s">
        <v>24</v>
      </c>
      <c r="C120" s="129" t="s">
        <v>217</v>
      </c>
      <c r="D120" s="10"/>
      <c r="E120" s="18"/>
      <c r="F120" s="29"/>
      <c r="G120" s="33"/>
      <c r="J120">
        <v>125</v>
      </c>
      <c r="K120" s="14">
        <v>125</v>
      </c>
      <c r="W120"/>
      <c r="Y120"/>
      <c r="AS120" s="21"/>
    </row>
    <row r="121" spans="1:45" hidden="1" x14ac:dyDescent="0.25">
      <c r="A121" t="s">
        <v>92</v>
      </c>
      <c r="B121" s="1" t="s">
        <v>24</v>
      </c>
      <c r="C121" s="129" t="s">
        <v>218</v>
      </c>
      <c r="D121" s="10"/>
      <c r="E121" s="18"/>
      <c r="F121" s="29"/>
      <c r="G121" s="33"/>
      <c r="J121">
        <f>AVERAGE(35,50)</f>
        <v>42.5</v>
      </c>
      <c r="K121" s="14" t="s">
        <v>222</v>
      </c>
      <c r="W121"/>
      <c r="Y121"/>
      <c r="AS121" s="21"/>
    </row>
    <row r="122" spans="1:45" ht="18.75" hidden="1" customHeight="1" x14ac:dyDescent="0.25">
      <c r="A122" t="s">
        <v>92</v>
      </c>
      <c r="B122" s="1" t="s">
        <v>24</v>
      </c>
      <c r="C122" s="129" t="s">
        <v>219</v>
      </c>
      <c r="D122" s="10"/>
      <c r="E122" s="18"/>
      <c r="F122" s="29"/>
      <c r="G122" s="33"/>
      <c r="J122" s="1" t="s">
        <v>223</v>
      </c>
      <c r="K122" s="103" t="s">
        <v>223</v>
      </c>
      <c r="W122"/>
      <c r="Y122"/>
      <c r="AS122" s="21"/>
    </row>
    <row r="123" spans="1:45" ht="18.75" hidden="1" customHeight="1" x14ac:dyDescent="0.25">
      <c r="A123" t="s">
        <v>92</v>
      </c>
      <c r="B123" s="1" t="s">
        <v>24</v>
      </c>
      <c r="C123" s="129" t="s">
        <v>275</v>
      </c>
      <c r="D123" s="10"/>
      <c r="E123" s="18"/>
      <c r="F123" s="29"/>
      <c r="G123" s="33"/>
      <c r="J123" s="1"/>
      <c r="K123" s="103"/>
      <c r="L123">
        <v>34</v>
      </c>
      <c r="M123" s="14" t="s">
        <v>274</v>
      </c>
      <c r="W123"/>
      <c r="Y123"/>
      <c r="AS123" s="21"/>
    </row>
    <row r="124" spans="1:45" ht="18.75" hidden="1" customHeight="1" x14ac:dyDescent="0.25">
      <c r="A124" t="s">
        <v>92</v>
      </c>
      <c r="B124" s="1" t="s">
        <v>24</v>
      </c>
      <c r="C124" s="129" t="s">
        <v>311</v>
      </c>
      <c r="D124" s="10"/>
      <c r="E124" s="18"/>
      <c r="F124" s="29"/>
      <c r="G124" s="33"/>
      <c r="J124" s="1"/>
      <c r="K124" s="103"/>
      <c r="N124" s="94">
        <v>0.85</v>
      </c>
      <c r="O124" s="15">
        <v>0.85</v>
      </c>
      <c r="W124"/>
      <c r="Y124"/>
      <c r="AS124" s="21"/>
    </row>
    <row r="125" spans="1:45" ht="18.75" hidden="1" customHeight="1" x14ac:dyDescent="0.25">
      <c r="A125" t="s">
        <v>92</v>
      </c>
      <c r="B125" s="1" t="s">
        <v>24</v>
      </c>
      <c r="C125" s="129" t="s">
        <v>347</v>
      </c>
      <c r="D125" s="10"/>
      <c r="E125" s="18"/>
      <c r="F125" s="29"/>
      <c r="G125" s="33"/>
      <c r="J125" s="1"/>
      <c r="K125" s="103"/>
      <c r="N125" s="94"/>
      <c r="O125" s="15"/>
      <c r="P125" s="94">
        <v>0.08</v>
      </c>
      <c r="Q125" s="112" t="s">
        <v>348</v>
      </c>
      <c r="W125"/>
      <c r="Y125"/>
      <c r="AS125" s="21"/>
    </row>
    <row r="126" spans="1:45" hidden="1" x14ac:dyDescent="0.25">
      <c r="A126" t="s">
        <v>92</v>
      </c>
      <c r="B126" s="1" t="s">
        <v>24</v>
      </c>
      <c r="C126" s="129" t="s">
        <v>658</v>
      </c>
      <c r="F126" s="24"/>
      <c r="H126" s="83"/>
      <c r="I126" s="92"/>
      <c r="J126" s="1"/>
      <c r="K126" s="103"/>
      <c r="N126" s="94"/>
      <c r="O126" s="15"/>
      <c r="P126" s="94"/>
      <c r="Q126" s="115"/>
      <c r="T126" s="5"/>
      <c r="U126" s="30"/>
      <c r="AD126" s="21">
        <v>850</v>
      </c>
      <c r="AE126" s="14">
        <v>850</v>
      </c>
      <c r="AS126" s="21"/>
    </row>
    <row r="127" spans="1:45" hidden="1" x14ac:dyDescent="0.25">
      <c r="A127" t="s">
        <v>92</v>
      </c>
      <c r="B127" s="1" t="s">
        <v>24</v>
      </c>
      <c r="C127" s="129" t="s">
        <v>659</v>
      </c>
      <c r="F127" s="24"/>
      <c r="H127" s="83"/>
      <c r="I127" s="92"/>
      <c r="J127" s="1"/>
      <c r="K127" s="103"/>
      <c r="N127" s="94"/>
      <c r="O127" s="15"/>
      <c r="P127" s="94"/>
      <c r="Q127" s="115"/>
      <c r="T127" s="5"/>
      <c r="U127" s="30"/>
      <c r="AD127" s="22">
        <v>0.7</v>
      </c>
      <c r="AE127" s="15">
        <v>0.7</v>
      </c>
      <c r="AS127" s="21"/>
    </row>
    <row r="128" spans="1:45" ht="18.75" hidden="1" customHeight="1" x14ac:dyDescent="0.25">
      <c r="A128" t="s">
        <v>92</v>
      </c>
      <c r="B128" s="1" t="s">
        <v>24</v>
      </c>
      <c r="C128" s="129" t="s">
        <v>377</v>
      </c>
      <c r="D128" s="10"/>
      <c r="E128" s="18"/>
      <c r="F128" s="29"/>
      <c r="G128" s="33"/>
      <c r="J128" s="1"/>
      <c r="K128" s="103"/>
      <c r="N128" s="94"/>
      <c r="O128" s="15"/>
      <c r="P128" s="94"/>
      <c r="R128" s="14">
        <v>33</v>
      </c>
      <c r="S128" s="14">
        <v>33</v>
      </c>
      <c r="W128"/>
      <c r="Y128"/>
      <c r="AS128" s="21"/>
    </row>
    <row r="129" spans="1:45" ht="18.75" hidden="1" customHeight="1" x14ac:dyDescent="0.25">
      <c r="A129" t="s">
        <v>92</v>
      </c>
      <c r="B129" s="1" t="s">
        <v>24</v>
      </c>
      <c r="C129" s="1" t="s">
        <v>415</v>
      </c>
      <c r="D129" s="10"/>
      <c r="E129" s="18"/>
      <c r="F129" s="29"/>
      <c r="G129" s="33"/>
      <c r="J129" s="1"/>
      <c r="K129" s="103"/>
      <c r="N129" s="94"/>
      <c r="O129" s="15"/>
      <c r="P129" s="94"/>
      <c r="T129" s="5">
        <f>AVERAGE(91%,95%)</f>
        <v>0.92999999999999994</v>
      </c>
      <c r="U129" s="14" t="s">
        <v>416</v>
      </c>
      <c r="W129"/>
      <c r="Y129"/>
      <c r="AS129" s="21"/>
    </row>
    <row r="130" spans="1:45" ht="18.75" hidden="1" customHeight="1" x14ac:dyDescent="0.25">
      <c r="A130" t="s">
        <v>92</v>
      </c>
      <c r="B130" s="1" t="s">
        <v>24</v>
      </c>
      <c r="C130" s="1" t="s">
        <v>417</v>
      </c>
      <c r="D130" s="10"/>
      <c r="E130" s="18"/>
      <c r="F130" s="29"/>
      <c r="G130" s="33"/>
      <c r="J130" s="1"/>
      <c r="K130" s="103"/>
      <c r="N130" s="94"/>
      <c r="O130" s="15"/>
      <c r="P130" s="94"/>
      <c r="T130" s="14" t="s">
        <v>418</v>
      </c>
      <c r="U130" s="14" t="s">
        <v>418</v>
      </c>
      <c r="W130"/>
      <c r="Y130"/>
      <c r="AS130" s="21"/>
    </row>
    <row r="131" spans="1:45" ht="18.75" hidden="1" customHeight="1" x14ac:dyDescent="0.25">
      <c r="A131" t="s">
        <v>92</v>
      </c>
      <c r="B131" s="1" t="s">
        <v>24</v>
      </c>
      <c r="C131" s="1" t="s">
        <v>479</v>
      </c>
      <c r="D131" s="10"/>
      <c r="E131" s="18"/>
      <c r="F131" s="29"/>
      <c r="G131" s="33"/>
      <c r="J131" s="1"/>
      <c r="K131" s="103"/>
      <c r="N131" s="94"/>
      <c r="O131" s="15"/>
      <c r="P131" s="94"/>
      <c r="V131">
        <f>AVERAGE(900,1200)</f>
        <v>1050</v>
      </c>
      <c r="W131" s="14" t="s">
        <v>481</v>
      </c>
      <c r="AS131" s="21"/>
    </row>
    <row r="132" spans="1:45" ht="18.75" hidden="1" customHeight="1" x14ac:dyDescent="0.25">
      <c r="A132" t="s">
        <v>92</v>
      </c>
      <c r="B132" s="1" t="s">
        <v>24</v>
      </c>
      <c r="C132" s="1" t="s">
        <v>480</v>
      </c>
      <c r="D132" s="10"/>
      <c r="E132" s="18"/>
      <c r="F132" s="29"/>
      <c r="G132" s="33"/>
      <c r="J132" s="1"/>
      <c r="K132" s="103"/>
      <c r="N132" s="94"/>
      <c r="O132" s="15"/>
      <c r="P132" s="94"/>
      <c r="V132">
        <f>AVERAGE(400,600)</f>
        <v>500</v>
      </c>
      <c r="W132" s="14" t="s">
        <v>482</v>
      </c>
      <c r="AS132" s="21"/>
    </row>
    <row r="133" spans="1:45" ht="18.75" hidden="1" customHeight="1" x14ac:dyDescent="0.25">
      <c r="A133" t="s">
        <v>92</v>
      </c>
      <c r="B133" s="1" t="s">
        <v>24</v>
      </c>
      <c r="C133" s="1" t="s">
        <v>526</v>
      </c>
      <c r="D133" s="10"/>
      <c r="E133" s="18"/>
      <c r="F133" s="29"/>
      <c r="G133" s="33"/>
      <c r="J133" s="1"/>
      <c r="K133" s="103"/>
      <c r="N133" s="94"/>
      <c r="O133" s="15"/>
      <c r="P133" s="94"/>
      <c r="X133" s="14" t="s">
        <v>418</v>
      </c>
      <c r="Y133" s="14" t="s">
        <v>418</v>
      </c>
      <c r="AS133" s="21"/>
    </row>
    <row r="134" spans="1:45" ht="18.75" hidden="1" customHeight="1" x14ac:dyDescent="0.25">
      <c r="A134" t="s">
        <v>92</v>
      </c>
      <c r="B134" s="1" t="s">
        <v>24</v>
      </c>
      <c r="C134" s="1" t="s">
        <v>527</v>
      </c>
      <c r="D134" s="10"/>
      <c r="E134" s="18"/>
      <c r="F134" s="29"/>
      <c r="G134" s="33"/>
      <c r="J134" s="1"/>
      <c r="K134" s="103"/>
      <c r="N134" s="94"/>
      <c r="O134" s="15"/>
      <c r="P134" s="94"/>
      <c r="X134" s="21">
        <v>62</v>
      </c>
      <c r="Y134" s="14">
        <v>62</v>
      </c>
      <c r="AS134" s="21"/>
    </row>
    <row r="135" spans="1:45" ht="18.75" hidden="1" customHeight="1" x14ac:dyDescent="0.25">
      <c r="A135" t="s">
        <v>92</v>
      </c>
      <c r="B135" s="1" t="s">
        <v>24</v>
      </c>
      <c r="C135" s="1" t="s">
        <v>528</v>
      </c>
      <c r="D135" s="10"/>
      <c r="E135" s="18"/>
      <c r="F135" s="29"/>
      <c r="G135" s="33"/>
      <c r="J135" s="1"/>
      <c r="K135" s="103"/>
      <c r="N135" s="94"/>
      <c r="O135" s="15"/>
      <c r="P135" s="94"/>
      <c r="X135" s="21">
        <v>181</v>
      </c>
      <c r="Y135" s="14">
        <v>181</v>
      </c>
      <c r="AS135" s="21"/>
    </row>
    <row r="136" spans="1:45" ht="18.75" hidden="1" customHeight="1" x14ac:dyDescent="0.25">
      <c r="A136" t="s">
        <v>92</v>
      </c>
      <c r="B136" s="1" t="s">
        <v>24</v>
      </c>
      <c r="C136" s="1" t="s">
        <v>576</v>
      </c>
      <c r="D136" s="10"/>
      <c r="E136" s="18"/>
      <c r="F136" s="29"/>
      <c r="G136" s="33"/>
      <c r="J136" s="1"/>
      <c r="K136" s="103"/>
      <c r="N136" s="94"/>
      <c r="O136" s="15"/>
      <c r="P136" s="94"/>
      <c r="X136" s="21"/>
      <c r="Z136" s="1" t="s">
        <v>578</v>
      </c>
      <c r="AA136" s="103" t="s">
        <v>578</v>
      </c>
      <c r="AS136" s="21"/>
    </row>
    <row r="137" spans="1:45" ht="18.75" hidden="1" customHeight="1" x14ac:dyDescent="0.25">
      <c r="A137" t="s">
        <v>92</v>
      </c>
      <c r="B137" s="1" t="s">
        <v>24</v>
      </c>
      <c r="C137" s="1" t="s">
        <v>612</v>
      </c>
      <c r="D137" s="10"/>
      <c r="E137" s="18"/>
      <c r="F137" s="29"/>
      <c r="G137" s="33"/>
      <c r="J137" s="1"/>
      <c r="K137" s="103"/>
      <c r="N137" s="94"/>
      <c r="O137" s="15"/>
      <c r="P137" s="94"/>
      <c r="X137" s="21"/>
      <c r="Z137" s="1"/>
      <c r="AA137" s="103"/>
      <c r="AB137">
        <f>AVERAGE(3,7)</f>
        <v>5</v>
      </c>
      <c r="AC137" s="14" t="s">
        <v>615</v>
      </c>
      <c r="AS137" s="21"/>
    </row>
    <row r="138" spans="1:45" ht="18.75" hidden="1" customHeight="1" x14ac:dyDescent="0.25">
      <c r="A138" t="s">
        <v>92</v>
      </c>
      <c r="B138" s="1" t="s">
        <v>24</v>
      </c>
      <c r="C138" s="1" t="s">
        <v>613</v>
      </c>
      <c r="D138" s="10"/>
      <c r="E138" s="18"/>
      <c r="F138" s="29"/>
      <c r="G138" s="33"/>
      <c r="J138" s="1"/>
      <c r="K138" s="103"/>
      <c r="N138" s="94"/>
      <c r="O138" s="15"/>
      <c r="P138" s="94"/>
      <c r="X138" s="21"/>
      <c r="Z138" s="1"/>
      <c r="AA138" s="103"/>
      <c r="AB138">
        <f>AVERAGE(300,315)</f>
        <v>307.5</v>
      </c>
      <c r="AC138" s="14" t="s">
        <v>616</v>
      </c>
      <c r="AS138" s="21"/>
    </row>
    <row r="139" spans="1:45" ht="18.75" hidden="1" customHeight="1" x14ac:dyDescent="0.25">
      <c r="A139" t="s">
        <v>92</v>
      </c>
      <c r="B139" s="1" t="s">
        <v>24</v>
      </c>
      <c r="C139" s="1" t="s">
        <v>688</v>
      </c>
      <c r="D139" s="10"/>
      <c r="E139" s="18"/>
      <c r="F139" s="29"/>
      <c r="G139" s="33"/>
      <c r="J139" s="1"/>
      <c r="K139" s="103"/>
      <c r="N139" s="94"/>
      <c r="O139" s="15"/>
      <c r="P139" s="94"/>
      <c r="X139" s="21"/>
      <c r="Z139" s="1"/>
      <c r="AA139" s="103"/>
      <c r="AF139" s="14" t="s">
        <v>690</v>
      </c>
      <c r="AG139" s="14" t="s">
        <v>690</v>
      </c>
      <c r="AS139" s="21"/>
    </row>
    <row r="140" spans="1:45" ht="18.75" hidden="1" customHeight="1" x14ac:dyDescent="0.25">
      <c r="A140" t="s">
        <v>92</v>
      </c>
      <c r="B140" s="1" t="s">
        <v>24</v>
      </c>
      <c r="C140" s="1" t="s">
        <v>734</v>
      </c>
      <c r="D140" s="10"/>
      <c r="E140" s="18"/>
      <c r="F140" s="29"/>
      <c r="G140" s="33"/>
      <c r="J140" s="1"/>
      <c r="K140" s="103"/>
      <c r="N140" s="94"/>
      <c r="O140" s="15"/>
      <c r="P140" s="94"/>
      <c r="X140" s="21"/>
      <c r="Z140" s="1"/>
      <c r="AA140" s="103"/>
      <c r="AH140" s="94">
        <v>0.27</v>
      </c>
      <c r="AI140" s="14" t="s">
        <v>737</v>
      </c>
      <c r="AS140" s="21"/>
    </row>
    <row r="141" spans="1:45" ht="18.75" hidden="1" customHeight="1" x14ac:dyDescent="0.25">
      <c r="A141" t="s">
        <v>92</v>
      </c>
      <c r="B141" s="1" t="s">
        <v>24</v>
      </c>
      <c r="C141" s="1" t="s">
        <v>735</v>
      </c>
      <c r="D141" s="10"/>
      <c r="E141" s="18"/>
      <c r="F141" s="29"/>
      <c r="G141" s="33"/>
      <c r="J141" s="1"/>
      <c r="K141" s="103"/>
      <c r="N141" s="94"/>
      <c r="O141" s="15"/>
      <c r="P141" s="94"/>
      <c r="X141" s="21"/>
      <c r="Z141" s="1"/>
      <c r="AA141" s="103"/>
      <c r="AH141" s="149">
        <v>30000</v>
      </c>
      <c r="AI141" s="14" t="s">
        <v>738</v>
      </c>
      <c r="AS141" s="21"/>
    </row>
    <row r="142" spans="1:45" ht="18.75" hidden="1" customHeight="1" x14ac:dyDescent="0.25">
      <c r="A142" t="s">
        <v>92</v>
      </c>
      <c r="B142" s="1" t="s">
        <v>24</v>
      </c>
      <c r="C142" s="1" t="s">
        <v>736</v>
      </c>
      <c r="D142" s="10"/>
      <c r="E142" s="18"/>
      <c r="F142" s="29"/>
      <c r="G142" s="33"/>
      <c r="J142" s="1"/>
      <c r="K142" s="103"/>
      <c r="N142" s="94"/>
      <c r="O142" s="15"/>
      <c r="P142" s="94"/>
      <c r="X142" s="21"/>
      <c r="Z142" s="1"/>
      <c r="AA142" s="103"/>
      <c r="AH142" s="94">
        <v>0.2</v>
      </c>
      <c r="AI142" s="14" t="s">
        <v>739</v>
      </c>
      <c r="AS142" s="21"/>
    </row>
    <row r="143" spans="1:45" ht="18.75" hidden="1" customHeight="1" x14ac:dyDescent="0.25">
      <c r="A143" t="s">
        <v>92</v>
      </c>
      <c r="B143" s="1" t="s">
        <v>24</v>
      </c>
      <c r="C143" s="1" t="s">
        <v>689</v>
      </c>
      <c r="D143" s="10"/>
      <c r="E143" s="18"/>
      <c r="F143" s="29"/>
      <c r="G143" s="33"/>
      <c r="J143" s="1"/>
      <c r="K143" s="103"/>
      <c r="N143" s="94"/>
      <c r="O143" s="15"/>
      <c r="P143" s="94"/>
      <c r="X143" s="21"/>
      <c r="Z143" s="1"/>
      <c r="AA143" s="103"/>
      <c r="AF143" s="14" t="s">
        <v>691</v>
      </c>
      <c r="AG143" s="14" t="s">
        <v>691</v>
      </c>
      <c r="AS143" s="21"/>
    </row>
    <row r="144" spans="1:45" ht="18.75" hidden="1" customHeight="1" x14ac:dyDescent="0.25">
      <c r="A144" t="s">
        <v>92</v>
      </c>
      <c r="B144" s="1" t="s">
        <v>24</v>
      </c>
      <c r="C144" s="1" t="s">
        <v>614</v>
      </c>
      <c r="D144" s="10"/>
      <c r="E144" s="18"/>
      <c r="F144" s="29"/>
      <c r="G144" s="33"/>
      <c r="J144" s="1"/>
      <c r="K144" s="103"/>
      <c r="N144" s="94"/>
      <c r="O144" s="15"/>
      <c r="P144" s="94"/>
      <c r="X144" s="21"/>
      <c r="Z144" s="1"/>
      <c r="AA144" s="103"/>
      <c r="AB144">
        <f>AVERAGE(2,6)</f>
        <v>4</v>
      </c>
      <c r="AC144" s="14" t="s">
        <v>617</v>
      </c>
      <c r="AS144" s="21"/>
    </row>
    <row r="145" spans="1:45" ht="18.75" hidden="1" customHeight="1" x14ac:dyDescent="0.25">
      <c r="A145" t="s">
        <v>92</v>
      </c>
      <c r="B145" s="1" t="s">
        <v>24</v>
      </c>
      <c r="C145" s="1" t="s">
        <v>577</v>
      </c>
      <c r="D145" s="10"/>
      <c r="E145" s="18"/>
      <c r="F145" s="29"/>
      <c r="G145" s="33"/>
      <c r="J145" s="1"/>
      <c r="K145" s="103"/>
      <c r="N145" s="94"/>
      <c r="O145" s="15"/>
      <c r="P145" s="94"/>
      <c r="X145" s="21"/>
      <c r="Z145" t="s">
        <v>579</v>
      </c>
      <c r="AA145" s="14" t="s">
        <v>579</v>
      </c>
      <c r="AS145" s="21"/>
    </row>
    <row r="146" spans="1:45" ht="18.75" hidden="1" customHeight="1" x14ac:dyDescent="0.25">
      <c r="A146" t="s">
        <v>92</v>
      </c>
      <c r="B146" s="1" t="s">
        <v>24</v>
      </c>
      <c r="C146" s="1" t="s">
        <v>784</v>
      </c>
      <c r="D146" s="10"/>
      <c r="E146" s="18"/>
      <c r="F146" s="29"/>
      <c r="G146" s="33"/>
      <c r="J146" s="1"/>
      <c r="K146" s="103"/>
      <c r="N146" s="94"/>
      <c r="O146" s="15"/>
      <c r="P146" s="94"/>
      <c r="X146" s="21"/>
      <c r="AJ146" s="14" t="s">
        <v>785</v>
      </c>
      <c r="AK146" s="14" t="s">
        <v>785</v>
      </c>
      <c r="AS146" s="21"/>
    </row>
    <row r="147" spans="1:45" ht="18.75" hidden="1" customHeight="1" x14ac:dyDescent="0.25">
      <c r="A147" t="s">
        <v>92</v>
      </c>
      <c r="B147" s="1" t="s">
        <v>24</v>
      </c>
      <c r="C147" s="1" t="s">
        <v>878</v>
      </c>
      <c r="D147" s="10"/>
      <c r="E147" s="18"/>
      <c r="F147" s="29"/>
      <c r="G147" s="33"/>
      <c r="J147" s="1"/>
      <c r="K147" s="103"/>
      <c r="N147" s="94"/>
      <c r="O147" s="15"/>
      <c r="P147" s="94"/>
      <c r="X147" s="21"/>
      <c r="AN147" s="2">
        <v>6.5000000000000002E-2</v>
      </c>
      <c r="AO147" s="167">
        <v>6.5000000000000002E-2</v>
      </c>
      <c r="AS147" s="21"/>
    </row>
    <row r="148" spans="1:45" ht="18.75" hidden="1" customHeight="1" x14ac:dyDescent="0.25">
      <c r="A148" t="s">
        <v>92</v>
      </c>
      <c r="B148" s="1" t="s">
        <v>24</v>
      </c>
      <c r="C148" s="1" t="s">
        <v>879</v>
      </c>
      <c r="D148" s="10"/>
      <c r="E148" s="18"/>
      <c r="F148" s="29"/>
      <c r="G148" s="33"/>
      <c r="J148" s="1"/>
      <c r="K148" s="103"/>
      <c r="N148" s="94"/>
      <c r="O148" s="15"/>
      <c r="P148" s="94"/>
      <c r="X148" s="21"/>
      <c r="AN148" s="94">
        <v>0.4</v>
      </c>
      <c r="AO148" s="15">
        <v>0.4</v>
      </c>
      <c r="AS148" s="21"/>
    </row>
    <row r="149" spans="1:45" ht="18.75" hidden="1" customHeight="1" x14ac:dyDescent="0.25">
      <c r="A149" t="s">
        <v>92</v>
      </c>
      <c r="B149" s="1" t="s">
        <v>24</v>
      </c>
      <c r="C149" s="1" t="s">
        <v>880</v>
      </c>
      <c r="D149" s="10"/>
      <c r="E149" s="18"/>
      <c r="F149" s="29"/>
      <c r="G149" s="33"/>
      <c r="J149" s="1"/>
      <c r="K149" s="103"/>
      <c r="N149" s="94"/>
      <c r="O149" s="15"/>
      <c r="P149" s="94"/>
      <c r="X149" s="21"/>
      <c r="AN149" s="94"/>
      <c r="AP149" s="2">
        <v>3.5099999999999999E-2</v>
      </c>
      <c r="AQ149" s="14" t="s">
        <v>882</v>
      </c>
      <c r="AS149" s="21"/>
    </row>
    <row r="150" spans="1:45" ht="18.75" hidden="1" customHeight="1" x14ac:dyDescent="0.25">
      <c r="A150" t="s">
        <v>92</v>
      </c>
      <c r="B150" s="1" t="s">
        <v>24</v>
      </c>
      <c r="C150" s="1" t="s">
        <v>926</v>
      </c>
      <c r="D150" s="10"/>
      <c r="E150" s="18"/>
      <c r="F150" s="29"/>
      <c r="G150" s="33"/>
      <c r="J150" s="1"/>
      <c r="K150" s="103"/>
      <c r="N150" s="94"/>
      <c r="O150" s="15"/>
      <c r="P150" s="94"/>
      <c r="X150" s="21"/>
      <c r="AN150" s="94"/>
      <c r="AP150" s="2"/>
      <c r="AR150" s="21" t="s">
        <v>929</v>
      </c>
      <c r="AS150" s="21" t="s">
        <v>929</v>
      </c>
    </row>
    <row r="151" spans="1:45" ht="18.75" hidden="1" customHeight="1" x14ac:dyDescent="0.25">
      <c r="A151" t="s">
        <v>92</v>
      </c>
      <c r="B151" s="1" t="s">
        <v>24</v>
      </c>
      <c r="C151" s="1" t="s">
        <v>927</v>
      </c>
      <c r="D151" s="10"/>
      <c r="E151" s="18"/>
      <c r="F151" s="29"/>
      <c r="G151" s="33"/>
      <c r="J151" s="1"/>
      <c r="K151" s="103"/>
      <c r="N151" s="94"/>
      <c r="O151" s="15"/>
      <c r="P151" s="94"/>
      <c r="X151" s="21"/>
      <c r="AN151" s="94"/>
      <c r="AP151" s="2"/>
      <c r="AR151" s="21" t="s">
        <v>930</v>
      </c>
      <c r="AS151" s="21" t="s">
        <v>930</v>
      </c>
    </row>
    <row r="152" spans="1:45" ht="18.75" hidden="1" customHeight="1" x14ac:dyDescent="0.25">
      <c r="A152" t="s">
        <v>92</v>
      </c>
      <c r="B152" s="1" t="s">
        <v>24</v>
      </c>
      <c r="C152" s="1" t="s">
        <v>928</v>
      </c>
      <c r="D152" s="10"/>
      <c r="E152" s="18"/>
      <c r="F152" s="29"/>
      <c r="G152" s="33"/>
      <c r="J152" s="1"/>
      <c r="K152" s="103"/>
      <c r="N152" s="94"/>
      <c r="O152" s="15"/>
      <c r="P152" s="94"/>
      <c r="X152" s="21"/>
      <c r="AN152" s="94"/>
      <c r="AP152" s="2"/>
      <c r="AR152" s="21" t="s">
        <v>931</v>
      </c>
      <c r="AS152" s="21" t="s">
        <v>931</v>
      </c>
    </row>
    <row r="153" spans="1:45" ht="18.75" hidden="1" customHeight="1" x14ac:dyDescent="0.25">
      <c r="A153" t="s">
        <v>92</v>
      </c>
      <c r="B153" s="1" t="s">
        <v>24</v>
      </c>
      <c r="C153" s="1" t="s">
        <v>881</v>
      </c>
      <c r="D153" s="10"/>
      <c r="E153" s="18"/>
      <c r="F153" s="29"/>
      <c r="G153" s="33"/>
      <c r="J153" s="1"/>
      <c r="K153" s="103"/>
      <c r="N153" s="94"/>
      <c r="O153" s="15"/>
      <c r="P153" s="94"/>
      <c r="X153" s="21"/>
      <c r="AN153" s="94"/>
      <c r="AP153" s="2">
        <v>0.40100000000000002</v>
      </c>
      <c r="AQ153" s="14" t="s">
        <v>883</v>
      </c>
      <c r="AS153" s="21"/>
    </row>
    <row r="154" spans="1:45" s="44" customFormat="1" ht="77.25" customHeight="1" x14ac:dyDescent="0.25">
      <c r="A154" s="44" t="s">
        <v>116</v>
      </c>
      <c r="B154" s="45" t="s">
        <v>23</v>
      </c>
      <c r="C154" s="128" t="s">
        <v>970</v>
      </c>
      <c r="D154" s="71">
        <v>130567</v>
      </c>
      <c r="E154" s="61" t="s">
        <v>972</v>
      </c>
      <c r="F154" s="72">
        <v>2500000</v>
      </c>
      <c r="G154" s="58" t="s">
        <v>117</v>
      </c>
      <c r="H154" s="199">
        <v>16288000</v>
      </c>
      <c r="I154" s="179"/>
      <c r="J154" s="198">
        <f>J155*TriCouncilCanada[NSERC '[$']]</f>
        <v>2923055.5000000005</v>
      </c>
      <c r="K154" s="179"/>
      <c r="L154" s="203">
        <f>1+2842000</f>
        <v>2842001</v>
      </c>
      <c r="M154" s="179" t="s">
        <v>276</v>
      </c>
      <c r="N154" s="216">
        <v>24900000</v>
      </c>
      <c r="O154" s="218">
        <v>24900000</v>
      </c>
      <c r="P154" s="190">
        <v>393000</v>
      </c>
      <c r="Q154" s="183"/>
      <c r="R154" s="198">
        <f>R155*TriCouncilCanada[NSERC '[$']]</f>
        <v>126402.40000000001</v>
      </c>
      <c r="S154" s="179"/>
      <c r="T154" s="72">
        <v>23425000</v>
      </c>
      <c r="U154" s="58"/>
      <c r="V154" s="203">
        <v>10149000</v>
      </c>
      <c r="W154" s="58"/>
      <c r="X154" s="107">
        <v>3010000</v>
      </c>
      <c r="Y154" s="58" t="s">
        <v>529</v>
      </c>
      <c r="Z154" s="180"/>
      <c r="AA154" s="179"/>
      <c r="AB154" s="199">
        <v>21599000</v>
      </c>
      <c r="AC154" s="179" t="s">
        <v>618</v>
      </c>
      <c r="AD154" s="199">
        <v>22617001</v>
      </c>
      <c r="AE154" s="58" t="s">
        <v>660</v>
      </c>
      <c r="AF154" s="211">
        <v>75224000</v>
      </c>
      <c r="AG154" s="58" t="s">
        <v>690</v>
      </c>
      <c r="AH154" s="150">
        <v>5000000</v>
      </c>
      <c r="AI154" s="58" t="s">
        <v>740</v>
      </c>
      <c r="AJ154" s="197">
        <f>AJ155*TriCouncilCanada[NSERC '[$']]</f>
        <v>8437360.2000000011</v>
      </c>
      <c r="AK154" s="58"/>
      <c r="AL154" s="197">
        <f>AL155*TriCouncilCanada[NSERC '[$']]</f>
        <v>3476066</v>
      </c>
      <c r="AM154" s="58" t="s">
        <v>822</v>
      </c>
      <c r="AN154" s="197">
        <f>AN155*TriCouncilCanada[NSERC '[$']]</f>
        <v>27808528</v>
      </c>
      <c r="AO154" s="86" t="s">
        <v>844</v>
      </c>
      <c r="AP154" s="203">
        <f>FV(2%,3,,2646000)*-1</f>
        <v>2807956.3679999998</v>
      </c>
      <c r="AQ154" s="57"/>
      <c r="AR154" s="197">
        <f>AR155*TriCouncilCanada[NSERC '[$']]</f>
        <v>12640240</v>
      </c>
      <c r="AS154" s="57" t="s">
        <v>932</v>
      </c>
    </row>
    <row r="155" spans="1:45" s="44" customFormat="1" x14ac:dyDescent="0.25">
      <c r="A155" s="44" t="s">
        <v>116</v>
      </c>
      <c r="B155" s="45" t="s">
        <v>23</v>
      </c>
      <c r="C155" s="128" t="s">
        <v>971</v>
      </c>
      <c r="D155" s="73">
        <v>5.0000000000000001E-4</v>
      </c>
      <c r="E155" s="61" t="s">
        <v>972</v>
      </c>
      <c r="F155" s="74">
        <v>9.2999999999999992E-3</v>
      </c>
      <c r="G155" s="58" t="s">
        <v>117</v>
      </c>
      <c r="H155" s="200">
        <v>5.1499999999999997E-2</v>
      </c>
      <c r="I155" s="179"/>
      <c r="J155" s="50">
        <f>AVERAGE(0.85%,1%)</f>
        <v>9.2500000000000013E-3</v>
      </c>
      <c r="K155" s="58" t="s">
        <v>227</v>
      </c>
      <c r="L155" s="200">
        <f>0.00001+0.009</f>
        <v>9.0099999999999989E-3</v>
      </c>
      <c r="M155" s="179" t="s">
        <v>276</v>
      </c>
      <c r="N155" s="95">
        <v>9.0999999999999998E-2</v>
      </c>
      <c r="O155" s="109">
        <v>9.0999999999999998E-2</v>
      </c>
      <c r="P155" s="192">
        <v>1.1999999999999999E-3</v>
      </c>
      <c r="Q155" s="183"/>
      <c r="R155" s="95">
        <v>4.0000000000000002E-4</v>
      </c>
      <c r="S155" s="58" t="s">
        <v>378</v>
      </c>
      <c r="T155" s="116">
        <v>7.4099999999999999E-2</v>
      </c>
      <c r="U155" s="58"/>
      <c r="V155" s="200">
        <v>3.2099999999999997E-2</v>
      </c>
      <c r="W155" s="58"/>
      <c r="X155" s="200">
        <f>X154/TriCouncilCanada[NSERC '[$']]</f>
        <v>9.5251355986911649E-3</v>
      </c>
      <c r="Y155" s="179"/>
      <c r="Z155" s="180"/>
      <c r="AA155" s="179"/>
      <c r="AB155" s="206">
        <v>6.83E-2</v>
      </c>
      <c r="AC155" s="179"/>
      <c r="AD155" s="206">
        <v>7.1609999999999993E-2</v>
      </c>
      <c r="AE155" s="58"/>
      <c r="AF155" s="212">
        <v>0.23799999999999999</v>
      </c>
      <c r="AG155" s="58" t="s">
        <v>690</v>
      </c>
      <c r="AH155" s="215">
        <f>AH154/TriCouncilCanada[SSHRC '[$']]</f>
        <v>4.3173418989396611E-2</v>
      </c>
      <c r="AI155" s="58"/>
      <c r="AJ155" s="95">
        <v>2.6700000000000002E-2</v>
      </c>
      <c r="AK155" s="58" t="s">
        <v>786</v>
      </c>
      <c r="AL155" s="95">
        <v>1.0999999999999999E-2</v>
      </c>
      <c r="AM155" s="58"/>
      <c r="AN155" s="95">
        <v>8.7999999999999995E-2</v>
      </c>
      <c r="AO155" s="58"/>
      <c r="AP155" s="200">
        <f>FV(2%,3,,0.84%)*-1</f>
        <v>8.9141471999999982E-3</v>
      </c>
      <c r="AQ155" s="58" t="s">
        <v>884</v>
      </c>
      <c r="AR155" s="47">
        <v>0.04</v>
      </c>
      <c r="AS155" s="181"/>
    </row>
    <row r="156" spans="1:45" s="44" customFormat="1" x14ac:dyDescent="0.25">
      <c r="A156" s="44" t="s">
        <v>116</v>
      </c>
      <c r="B156" s="45" t="s">
        <v>23</v>
      </c>
      <c r="C156" s="128" t="s">
        <v>973</v>
      </c>
      <c r="D156" s="71">
        <v>89857</v>
      </c>
      <c r="E156" s="61" t="s">
        <v>974</v>
      </c>
      <c r="F156" s="72">
        <v>425000</v>
      </c>
      <c r="G156" s="58" t="s">
        <v>119</v>
      </c>
      <c r="H156" s="201">
        <v>836000</v>
      </c>
      <c r="I156" s="179"/>
      <c r="J156" s="196">
        <f>J157*TriCouncilCanada[CIHR '[$']]</f>
        <v>1065288</v>
      </c>
      <c r="K156" s="179"/>
      <c r="L156" s="203">
        <f>1+3177000</f>
        <v>3177001</v>
      </c>
      <c r="M156" s="179" t="s">
        <v>276</v>
      </c>
      <c r="N156" s="216">
        <v>38000000</v>
      </c>
      <c r="O156" s="218">
        <v>38000000</v>
      </c>
      <c r="P156" s="191">
        <v>301000</v>
      </c>
      <c r="Q156" s="183"/>
      <c r="R156" s="196">
        <f>R157*TriCouncilCanada[CIHR '[$']]</f>
        <v>0</v>
      </c>
      <c r="S156" s="179"/>
      <c r="T156" s="72">
        <v>13896000</v>
      </c>
      <c r="U156" s="179"/>
      <c r="V156" s="203">
        <v>1863000</v>
      </c>
      <c r="W156" s="179"/>
      <c r="X156" s="107">
        <v>130000</v>
      </c>
      <c r="Y156" s="58" t="s">
        <v>529</v>
      </c>
      <c r="Z156" s="180"/>
      <c r="AA156" s="179"/>
      <c r="AB156" s="201">
        <v>2894000</v>
      </c>
      <c r="AC156" s="179" t="s">
        <v>618</v>
      </c>
      <c r="AD156" s="199">
        <v>40786001</v>
      </c>
      <c r="AE156" s="58" t="s">
        <v>660</v>
      </c>
      <c r="AF156" s="213">
        <v>191106000</v>
      </c>
      <c r="AG156" s="58" t="s">
        <v>690</v>
      </c>
      <c r="AH156" s="150">
        <v>5000000</v>
      </c>
      <c r="AI156" s="58" t="s">
        <v>740</v>
      </c>
      <c r="AJ156" s="197">
        <f>AJ157*TriCouncilCanada[CIHR '[$']]</f>
        <v>852230.39999999991</v>
      </c>
      <c r="AK156" s="58"/>
      <c r="AL156" s="197">
        <f>AL157*TriCouncilCanada[CIHR '[$']]</f>
        <v>355096</v>
      </c>
      <c r="AM156" s="58" t="s">
        <v>822</v>
      </c>
      <c r="AN156" s="197">
        <f>AN157*TriCouncilCanada[CIHR '[$']]</f>
        <v>30893351.999999996</v>
      </c>
      <c r="AO156" s="58"/>
      <c r="AP156" s="203">
        <f>FV(2%,3,,192000)*-1</f>
        <v>203751.93599999999</v>
      </c>
      <c r="AQ156" s="57"/>
      <c r="AR156" s="197">
        <f>AR157*TriCouncilCanada[CIHR '[$']]</f>
        <v>4616248</v>
      </c>
      <c r="AS156" s="57" t="s">
        <v>932</v>
      </c>
    </row>
    <row r="157" spans="1:45" s="44" customFormat="1" x14ac:dyDescent="0.25">
      <c r="A157" s="44" t="s">
        <v>116</v>
      </c>
      <c r="B157" s="45" t="s">
        <v>23</v>
      </c>
      <c r="C157" s="128" t="s">
        <v>975</v>
      </c>
      <c r="D157" s="73">
        <v>2.9999999999999997E-4</v>
      </c>
      <c r="E157" s="61" t="s">
        <v>974</v>
      </c>
      <c r="F157" s="74">
        <v>1.1999999999999999E-3</v>
      </c>
      <c r="G157" s="58" t="s">
        <v>119</v>
      </c>
      <c r="H157" s="202">
        <v>2.3999999999999998E-3</v>
      </c>
      <c r="I157" s="179"/>
      <c r="J157" s="95">
        <f>AVERAGE(0.25%,0.35%)</f>
        <v>3.0000000000000001E-3</v>
      </c>
      <c r="K157" s="58" t="s">
        <v>225</v>
      </c>
      <c r="L157" s="200">
        <f>0.00001+0.0089</f>
        <v>8.9099999999999995E-3</v>
      </c>
      <c r="M157" s="179" t="s">
        <v>276</v>
      </c>
      <c r="N157" s="95">
        <v>0.1275</v>
      </c>
      <c r="O157" s="109">
        <v>0.1275</v>
      </c>
      <c r="P157" s="192">
        <v>8.0000000000000004E-4</v>
      </c>
      <c r="Q157" s="183"/>
      <c r="R157" s="47">
        <v>0</v>
      </c>
      <c r="S157" s="58" t="s">
        <v>378</v>
      </c>
      <c r="T157" s="116">
        <v>3.9100000000000003E-2</v>
      </c>
      <c r="U157" s="58"/>
      <c r="V157" s="200">
        <v>5.1999999999999998E-3</v>
      </c>
      <c r="W157" s="179"/>
      <c r="X157" s="200">
        <f>X156/TriCouncilCanada[CIHR '[$']]</f>
        <v>3.660981819001059E-4</v>
      </c>
      <c r="Y157" s="179"/>
      <c r="Z157" s="180"/>
      <c r="AA157" s="179"/>
      <c r="AB157" s="207">
        <v>3.3799999999999997E-2</v>
      </c>
      <c r="AC157" s="179"/>
      <c r="AD157" s="208">
        <v>0.115</v>
      </c>
      <c r="AE157" s="58"/>
      <c r="AF157" s="214">
        <v>0.53820000000000001</v>
      </c>
      <c r="AG157" s="58" t="s">
        <v>690</v>
      </c>
      <c r="AH157" s="215">
        <f>AH156/TriCouncilCanada[CIHR '[$']]</f>
        <v>1.4080699303850227E-2</v>
      </c>
      <c r="AI157" s="58"/>
      <c r="AJ157" s="95">
        <v>2.3999999999999998E-3</v>
      </c>
      <c r="AK157" s="58" t="s">
        <v>788</v>
      </c>
      <c r="AL157" s="95">
        <v>1E-3</v>
      </c>
      <c r="AM157" s="58"/>
      <c r="AN157" s="95">
        <v>8.6999999999999994E-2</v>
      </c>
      <c r="AO157" s="58"/>
      <c r="AP157" s="200">
        <f>FV(2%,3,,0.05)*-1</f>
        <v>5.3060400000000001E-2</v>
      </c>
      <c r="AQ157" s="58" t="s">
        <v>884</v>
      </c>
      <c r="AR157" s="95">
        <v>1.2999999999999999E-2</v>
      </c>
      <c r="AS157" s="57"/>
    </row>
    <row r="158" spans="1:45" s="44" customFormat="1" x14ac:dyDescent="0.25">
      <c r="A158" s="44" t="s">
        <v>116</v>
      </c>
      <c r="B158" s="45" t="s">
        <v>23</v>
      </c>
      <c r="C158" s="128" t="s">
        <v>976</v>
      </c>
      <c r="D158" s="71">
        <v>68843</v>
      </c>
      <c r="E158" s="61" t="s">
        <v>977</v>
      </c>
      <c r="F158" s="72">
        <v>1600000</v>
      </c>
      <c r="G158" s="58" t="s">
        <v>118</v>
      </c>
      <c r="H158" s="199">
        <v>7589000</v>
      </c>
      <c r="I158" s="179"/>
      <c r="J158" s="197">
        <f>J159*TriCouncilCanada[SSHRC '[$']]</f>
        <v>2200428.0000000005</v>
      </c>
      <c r="K158" s="179"/>
      <c r="L158" s="203">
        <f>1+698000</f>
        <v>698001</v>
      </c>
      <c r="M158" s="179" t="s">
        <v>276</v>
      </c>
      <c r="N158" s="216">
        <v>3500000</v>
      </c>
      <c r="O158" s="218">
        <v>3500000</v>
      </c>
      <c r="P158" s="190">
        <v>399000</v>
      </c>
      <c r="Q158" s="183"/>
      <c r="R158" s="197">
        <f>R159*TriCouncilCanada[SSHRC '[$']]</f>
        <v>729615.6</v>
      </c>
      <c r="S158" s="179"/>
      <c r="T158" s="190">
        <v>8312000</v>
      </c>
      <c r="U158" s="179"/>
      <c r="V158" s="203">
        <v>4727000</v>
      </c>
      <c r="W158" s="179"/>
      <c r="X158" s="107">
        <v>950000</v>
      </c>
      <c r="Y158" s="58" t="s">
        <v>529</v>
      </c>
      <c r="Z158" s="180"/>
      <c r="AA158" s="179"/>
      <c r="AB158" s="199">
        <v>3918000</v>
      </c>
      <c r="AC158" s="179" t="s">
        <v>618</v>
      </c>
      <c r="AD158" s="209">
        <v>11812001</v>
      </c>
      <c r="AE158" s="58" t="s">
        <v>660</v>
      </c>
      <c r="AF158" s="211">
        <v>29217000</v>
      </c>
      <c r="AG158" s="58" t="s">
        <v>690</v>
      </c>
      <c r="AH158" s="150">
        <v>5000000</v>
      </c>
      <c r="AI158" s="58" t="s">
        <v>740</v>
      </c>
      <c r="AJ158" s="197">
        <f>AJ159*TriCouncilCanada[SSHRC '[$']]</f>
        <v>2443633.2000000002</v>
      </c>
      <c r="AK158" s="58"/>
      <c r="AL158" s="197">
        <f>AL159*TriCouncilCanada[SSHRC '[$']]</f>
        <v>1042307.9999999999</v>
      </c>
      <c r="AM158" s="58" t="s">
        <v>822</v>
      </c>
      <c r="AN158" s="197">
        <f>AN159*TriCouncilCanada[SSHRC '[$']]</f>
        <v>8222651.9999999991</v>
      </c>
      <c r="AO158" s="58"/>
      <c r="AP158" s="203">
        <f>FV(2%,3,,6950000)*-1</f>
        <v>7375395.5999999996</v>
      </c>
      <c r="AQ158" s="57"/>
      <c r="AR158" s="197">
        <f>AR159*TriCouncilCanada[SSHRC '[$']]</f>
        <v>14476500</v>
      </c>
      <c r="AS158" s="57" t="s">
        <v>932</v>
      </c>
    </row>
    <row r="159" spans="1:45" s="44" customFormat="1" x14ac:dyDescent="0.25">
      <c r="A159" s="44" t="s">
        <v>116</v>
      </c>
      <c r="B159" s="45" t="s">
        <v>23</v>
      </c>
      <c r="C159" s="128" t="s">
        <v>978</v>
      </c>
      <c r="D159" s="75"/>
      <c r="E159" s="61" t="s">
        <v>977</v>
      </c>
      <c r="F159" s="74">
        <v>2.23E-2</v>
      </c>
      <c r="G159" s="58" t="s">
        <v>118</v>
      </c>
      <c r="H159" s="202">
        <v>6.5600000000000006E-2</v>
      </c>
      <c r="I159" s="179"/>
      <c r="J159" s="47">
        <f>AVERAGE(1.8%,2%)</f>
        <v>1.9000000000000003E-2</v>
      </c>
      <c r="K159" s="58" t="s">
        <v>226</v>
      </c>
      <c r="L159" s="200">
        <f>0.00001+0.006</f>
        <v>6.0099999999999997E-3</v>
      </c>
      <c r="M159" s="179" t="s">
        <v>276</v>
      </c>
      <c r="N159" s="95">
        <v>5.7000000000000002E-2</v>
      </c>
      <c r="O159" s="109">
        <v>5.7000000000000002E-2</v>
      </c>
      <c r="P159" s="192">
        <v>3.3999999999999998E-3</v>
      </c>
      <c r="Q159" s="183"/>
      <c r="R159" s="95">
        <v>6.3E-3</v>
      </c>
      <c r="S159" s="58" t="s">
        <v>378</v>
      </c>
      <c r="T159" s="116">
        <v>7.1800000000000003E-2</v>
      </c>
      <c r="U159" s="58"/>
      <c r="V159" s="200">
        <v>4.0800000000000003E-2</v>
      </c>
      <c r="W159" s="179"/>
      <c r="X159" s="200">
        <f>X158/TriCouncilCanada[SSHRC '[$']]</f>
        <v>8.2029496079853558E-3</v>
      </c>
      <c r="Y159" s="179"/>
      <c r="Z159" s="180"/>
      <c r="AA159" s="179"/>
      <c r="AB159" s="206">
        <v>8.0999999999999996E-3</v>
      </c>
      <c r="AC159" s="179"/>
      <c r="AD159" s="210">
        <v>0.10201</v>
      </c>
      <c r="AE159" s="58"/>
      <c r="AF159" s="212">
        <v>0.25230000000000002</v>
      </c>
      <c r="AG159" s="58" t="s">
        <v>690</v>
      </c>
      <c r="AH159" s="215">
        <f>AH158/TriCouncilCanada[SSHRC '[$']]</f>
        <v>4.3173418989396611E-2</v>
      </c>
      <c r="AI159" s="58"/>
      <c r="AJ159" s="95">
        <v>2.1100000000000001E-2</v>
      </c>
      <c r="AK159" s="58" t="s">
        <v>787</v>
      </c>
      <c r="AL159" s="95">
        <v>8.9999999999999993E-3</v>
      </c>
      <c r="AM159" s="58"/>
      <c r="AN159" s="95">
        <v>7.0999999999999994E-2</v>
      </c>
      <c r="AO159" s="58"/>
      <c r="AP159" s="200">
        <f>FV(2%,3,,6%)*-1</f>
        <v>6.367247999999999E-2</v>
      </c>
      <c r="AQ159" s="58" t="s">
        <v>884</v>
      </c>
      <c r="AR159" s="100">
        <f>AVERAGE(12%,13%)</f>
        <v>0.125</v>
      </c>
      <c r="AS159" s="57"/>
    </row>
    <row r="160" spans="1:45" s="44" customFormat="1" x14ac:dyDescent="0.25">
      <c r="A160" s="44" t="s">
        <v>116</v>
      </c>
      <c r="B160" s="45" t="s">
        <v>23</v>
      </c>
      <c r="C160" s="128" t="s">
        <v>979</v>
      </c>
      <c r="D160" s="71">
        <v>289297</v>
      </c>
      <c r="E160" s="61" t="s">
        <v>980</v>
      </c>
      <c r="F160" s="72">
        <v>4570000</v>
      </c>
      <c r="G160" s="58" t="s">
        <v>120</v>
      </c>
      <c r="H160" s="217">
        <v>17200000</v>
      </c>
      <c r="I160" s="58" t="s">
        <v>171</v>
      </c>
      <c r="J160" s="196">
        <f>J161*TriCouncilCanada[Tri-Council '[$']]</f>
        <v>5901855</v>
      </c>
      <c r="K160" s="179"/>
      <c r="L160" s="203">
        <f>1+6717000</f>
        <v>6717001</v>
      </c>
      <c r="M160" s="179" t="s">
        <v>276</v>
      </c>
      <c r="N160" s="216">
        <v>66400000</v>
      </c>
      <c r="O160" s="218">
        <v>66400000</v>
      </c>
      <c r="P160" s="191">
        <v>1093000</v>
      </c>
      <c r="Q160" s="183"/>
      <c r="R160" s="196">
        <f>R161*TriCouncilCanada[Tri-Council '[$']]</f>
        <v>629531.20000000007</v>
      </c>
      <c r="S160" s="179"/>
      <c r="T160" s="72">
        <v>45633000</v>
      </c>
      <c r="U160" s="204" t="s">
        <v>419</v>
      </c>
      <c r="V160" s="203">
        <v>16739000</v>
      </c>
      <c r="W160" s="179"/>
      <c r="X160" s="107">
        <v>4090000</v>
      </c>
      <c r="Y160" s="58" t="s">
        <v>529</v>
      </c>
      <c r="Z160" s="180"/>
      <c r="AA160" s="179"/>
      <c r="AB160" s="201">
        <v>28411000</v>
      </c>
      <c r="AC160" s="179" t="s">
        <v>618</v>
      </c>
      <c r="AD160" s="209">
        <v>89231000</v>
      </c>
      <c r="AE160" s="58" t="s">
        <v>660</v>
      </c>
      <c r="AF160" s="213">
        <v>295547000</v>
      </c>
      <c r="AG160" s="58" t="s">
        <v>690</v>
      </c>
      <c r="AH160" s="196">
        <f>AH161*TriCouncilCanada[Tri-Council '[$']]</f>
        <v>59018550</v>
      </c>
      <c r="AI160" s="58"/>
      <c r="AJ160" s="197">
        <f>AJ161*TriCouncilCanada[Tri-Council '[$']]</f>
        <v>11567635.799999999</v>
      </c>
      <c r="AK160" s="179"/>
      <c r="AL160" s="150">
        <v>4700000</v>
      </c>
      <c r="AM160" s="58" t="s">
        <v>822</v>
      </c>
      <c r="AN160" s="197">
        <f>SUM(AN154,AN156,AN158)</f>
        <v>66924532</v>
      </c>
      <c r="AO160" s="179"/>
      <c r="AP160" s="203">
        <f>FV(2%,3,,9788000)*-1</f>
        <v>10387103.903999999</v>
      </c>
      <c r="AQ160" s="57"/>
      <c r="AR160" s="197">
        <f>AR161*TriCouncilCanada[Tri-Council '[$']]</f>
        <v>28328904.000000004</v>
      </c>
      <c r="AS160" s="57" t="s">
        <v>932</v>
      </c>
    </row>
    <row r="161" spans="1:45" s="44" customFormat="1" x14ac:dyDescent="0.25">
      <c r="A161" s="44" t="s">
        <v>116</v>
      </c>
      <c r="B161" s="45" t="s">
        <v>23</v>
      </c>
      <c r="C161" s="128" t="s">
        <v>981</v>
      </c>
      <c r="D161" s="73">
        <v>1.1000000000000001E-3</v>
      </c>
      <c r="E161" s="61" t="s">
        <v>980</v>
      </c>
      <c r="F161" s="74">
        <v>6.7999999999999996E-3</v>
      </c>
      <c r="G161" s="58" t="s">
        <v>120</v>
      </c>
      <c r="H161" s="85">
        <v>3.3500000000000002E-2</v>
      </c>
      <c r="I161" s="58" t="s">
        <v>171</v>
      </c>
      <c r="J161" s="95">
        <f>AVERAGE(0.7%,0.8%)</f>
        <v>7.4999999999999997E-3</v>
      </c>
      <c r="K161" s="58" t="s">
        <v>224</v>
      </c>
      <c r="L161" s="200">
        <f>0.0001+0.00853587558487967</f>
        <v>8.6358755848796702E-3</v>
      </c>
      <c r="M161" s="179" t="s">
        <v>276</v>
      </c>
      <c r="N161" s="95">
        <v>9.0999999999999998E-2</v>
      </c>
      <c r="O161" s="109">
        <v>9.0999999999999998E-2</v>
      </c>
      <c r="P161" s="117">
        <f>AVERAGE(0.12%,0.13%)</f>
        <v>1.2499999999999998E-3</v>
      </c>
      <c r="Q161" s="111" t="s">
        <v>349</v>
      </c>
      <c r="R161" s="95">
        <v>8.0000000000000004E-4</v>
      </c>
      <c r="S161" s="58" t="s">
        <v>378</v>
      </c>
      <c r="T161" s="116">
        <v>5.7989818455383944E-2</v>
      </c>
      <c r="U161" s="58"/>
      <c r="V161" s="205">
        <f>AVERAGE(0.5%,4%)</f>
        <v>2.2499999999999999E-2</v>
      </c>
      <c r="W161" s="58" t="s">
        <v>483</v>
      </c>
      <c r="X161" s="200">
        <f>X160/TriCouncilCanada[Tri-Council '[$']]</f>
        <v>5.1975184073481985E-3</v>
      </c>
      <c r="Y161" s="179"/>
      <c r="Z161" s="180"/>
      <c r="AA161" s="179"/>
      <c r="AB161" s="207">
        <v>3.6104326521068375E-2</v>
      </c>
      <c r="AC161" s="179"/>
      <c r="AD161" s="210">
        <v>0.15429999999999999</v>
      </c>
      <c r="AE161" s="58"/>
      <c r="AF161" s="214">
        <v>0</v>
      </c>
      <c r="AG161" s="58" t="s">
        <v>690</v>
      </c>
      <c r="AH161" s="95">
        <v>7.4999999999999997E-2</v>
      </c>
      <c r="AI161" s="58" t="s">
        <v>740</v>
      </c>
      <c r="AJ161" s="95">
        <v>1.47E-2</v>
      </c>
      <c r="AK161" s="58" t="s">
        <v>789</v>
      </c>
      <c r="AL161" s="95">
        <v>1.0999999999999999E-2</v>
      </c>
      <c r="AM161" s="58" t="s">
        <v>822</v>
      </c>
      <c r="AN161" s="200">
        <f>AN160/TriCouncilCanada[Tri-Council '[$']]</f>
        <v>8.5046818330846832E-2</v>
      </c>
      <c r="AO161" s="179"/>
      <c r="AP161" s="200">
        <f>FV(2%,3,,1.244%)*-1</f>
        <v>1.320142752E-2</v>
      </c>
      <c r="AQ161" s="58" t="s">
        <v>884</v>
      </c>
      <c r="AR161" s="100">
        <f>AVERAGE(3.5%,3.7%)</f>
        <v>3.6000000000000004E-2</v>
      </c>
      <c r="AS161" s="57"/>
    </row>
    <row r="162" spans="1:45" s="44" customFormat="1" ht="105" x14ac:dyDescent="0.25">
      <c r="A162" s="44" t="s">
        <v>116</v>
      </c>
      <c r="B162" s="45" t="s">
        <v>23</v>
      </c>
      <c r="C162" s="128" t="s">
        <v>121</v>
      </c>
      <c r="D162" s="60">
        <v>29</v>
      </c>
      <c r="E162" s="61" t="s">
        <v>47</v>
      </c>
      <c r="F162" s="62">
        <v>2295</v>
      </c>
      <c r="G162" s="61" t="s">
        <v>123</v>
      </c>
      <c r="H162" s="57"/>
      <c r="I162" s="58"/>
      <c r="K162" s="58"/>
      <c r="L162" s="180"/>
      <c r="M162" s="179" t="s">
        <v>277</v>
      </c>
      <c r="N162" s="180"/>
      <c r="O162" s="179"/>
      <c r="P162" s="180"/>
      <c r="Q162" s="183"/>
      <c r="R162" s="180"/>
      <c r="S162" s="179"/>
      <c r="T162" s="44">
        <f>AVERAGE(2.2,2.5)</f>
        <v>2.35</v>
      </c>
      <c r="U162" s="58" t="s">
        <v>420</v>
      </c>
      <c r="V162" s="44">
        <f>AVERAGE(0.5,1.5)</f>
        <v>1</v>
      </c>
      <c r="W162" s="58" t="s">
        <v>484</v>
      </c>
      <c r="X162" s="44">
        <v>300</v>
      </c>
      <c r="Y162" s="58" t="s">
        <v>530</v>
      </c>
      <c r="Z162" s="180"/>
      <c r="AA162" s="179"/>
      <c r="AB162" s="180"/>
      <c r="AC162" s="179" t="s">
        <v>619</v>
      </c>
      <c r="AD162" s="143">
        <v>17300</v>
      </c>
      <c r="AE162" s="53" t="s">
        <v>661</v>
      </c>
      <c r="AF162" s="180"/>
      <c r="AG162" s="179" t="s">
        <v>690</v>
      </c>
      <c r="AH162" s="180"/>
      <c r="AI162" s="179" t="s">
        <v>741</v>
      </c>
      <c r="AJ162" s="180"/>
      <c r="AK162" s="179"/>
      <c r="AL162" s="44">
        <f>AVERAGE(1800,2000)</f>
        <v>1900</v>
      </c>
      <c r="AM162" s="58" t="s">
        <v>823</v>
      </c>
      <c r="AN162" s="44">
        <v>16500</v>
      </c>
      <c r="AO162" s="86" t="s">
        <v>845</v>
      </c>
      <c r="AP162" s="180"/>
      <c r="AQ162" s="58" t="s">
        <v>885</v>
      </c>
      <c r="AR162" s="180"/>
      <c r="AS162" s="57" t="s">
        <v>933</v>
      </c>
    </row>
    <row r="163" spans="1:45" s="44" customFormat="1" x14ac:dyDescent="0.25">
      <c r="A163" s="44" t="s">
        <v>116</v>
      </c>
      <c r="B163" s="45" t="s">
        <v>23</v>
      </c>
      <c r="C163" s="128" t="s">
        <v>122</v>
      </c>
      <c r="D163" s="76">
        <v>0.5</v>
      </c>
      <c r="E163" s="61" t="s">
        <v>47</v>
      </c>
      <c r="F163" s="77">
        <v>0.79</v>
      </c>
      <c r="G163" s="61" t="s">
        <v>123</v>
      </c>
      <c r="H163" s="57">
        <v>1.6</v>
      </c>
      <c r="I163" s="58" t="s">
        <v>172</v>
      </c>
      <c r="J163" s="44">
        <f>AVERAGE(1,1.2)</f>
        <v>1.1000000000000001</v>
      </c>
      <c r="K163" s="58" t="s">
        <v>228</v>
      </c>
      <c r="L163" s="180"/>
      <c r="M163" s="179" t="s">
        <v>277</v>
      </c>
      <c r="N163" s="180"/>
      <c r="O163" s="179"/>
      <c r="P163" s="116">
        <f>AVERAGE(0.47%,0.52%)</f>
        <v>4.9499999999999995E-3</v>
      </c>
      <c r="Q163" s="111" t="s">
        <v>350</v>
      </c>
      <c r="R163" s="44">
        <v>7.0000000000000007E-2</v>
      </c>
      <c r="S163" s="58" t="s">
        <v>379</v>
      </c>
      <c r="U163" s="58"/>
      <c r="W163" s="58"/>
      <c r="X163" s="44">
        <v>1.33</v>
      </c>
      <c r="Y163" s="58" t="s">
        <v>530</v>
      </c>
      <c r="Z163" s="180"/>
      <c r="AA163" s="179"/>
      <c r="AB163" s="180"/>
      <c r="AC163" s="179"/>
      <c r="AD163" s="143">
        <v>13.4</v>
      </c>
      <c r="AE163" s="58"/>
      <c r="AF163" s="180"/>
      <c r="AG163" s="179" t="s">
        <v>690</v>
      </c>
      <c r="AH163" s="180"/>
      <c r="AI163" s="179" t="s">
        <v>741</v>
      </c>
      <c r="AJ163" s="44">
        <v>1.1599999999999999</v>
      </c>
      <c r="AK163" s="58" t="s">
        <v>790</v>
      </c>
      <c r="AL163" s="44">
        <v>1.3</v>
      </c>
      <c r="AM163" s="58" t="s">
        <v>823</v>
      </c>
      <c r="AN163" s="44">
        <v>2.25</v>
      </c>
      <c r="AO163" s="58">
        <v>2.25</v>
      </c>
      <c r="AP163" s="180"/>
      <c r="AQ163" s="179"/>
      <c r="AR163" s="180"/>
      <c r="AS163" s="57" t="s">
        <v>933</v>
      </c>
    </row>
    <row r="164" spans="1:45" s="44" customFormat="1" x14ac:dyDescent="0.25">
      <c r="A164" s="44" t="s">
        <v>116</v>
      </c>
      <c r="B164" s="45" t="s">
        <v>23</v>
      </c>
      <c r="C164" s="128" t="s">
        <v>124</v>
      </c>
      <c r="D164" s="46" t="s">
        <v>48</v>
      </c>
      <c r="E164" s="61" t="s">
        <v>48</v>
      </c>
      <c r="F164" s="78">
        <v>14376</v>
      </c>
      <c r="G164" s="61" t="s">
        <v>126</v>
      </c>
      <c r="H164" s="57"/>
      <c r="I164" s="58"/>
      <c r="J164" s="180"/>
      <c r="K164" s="179"/>
      <c r="L164" s="180"/>
      <c r="M164" s="179" t="s">
        <v>278</v>
      </c>
      <c r="N164" s="180"/>
      <c r="O164" s="179"/>
      <c r="P164" s="180"/>
      <c r="Q164" s="183"/>
      <c r="R164" s="180"/>
      <c r="S164" s="179"/>
      <c r="T164" s="44">
        <f>AVERAGE(8.2,9.2)</f>
        <v>8.6999999999999993</v>
      </c>
      <c r="U164" s="58" t="s">
        <v>421</v>
      </c>
      <c r="V164" s="44">
        <f>AVERAGE(3,6)</f>
        <v>4.5</v>
      </c>
      <c r="W164" s="58" t="s">
        <v>485</v>
      </c>
      <c r="X164" s="180"/>
      <c r="Y164" s="179" t="s">
        <v>48</v>
      </c>
      <c r="Z164" s="180"/>
      <c r="AA164" s="179"/>
      <c r="AB164" s="180"/>
      <c r="AC164" s="179" t="s">
        <v>620</v>
      </c>
      <c r="AD164" s="143">
        <v>176000</v>
      </c>
      <c r="AE164" s="58" t="s">
        <v>662</v>
      </c>
      <c r="AF164" s="180"/>
      <c r="AG164" s="179" t="s">
        <v>690</v>
      </c>
      <c r="AH164" s="180"/>
      <c r="AI164" s="179" t="s">
        <v>741</v>
      </c>
      <c r="AJ164" s="180"/>
      <c r="AK164" s="179" t="s">
        <v>791</v>
      </c>
      <c r="AL164" s="44">
        <f>AVERAGE(8000,10000)</f>
        <v>9000</v>
      </c>
      <c r="AM164" s="58" t="s">
        <v>824</v>
      </c>
      <c r="AN164" s="44">
        <v>152009.4</v>
      </c>
      <c r="AO164" s="58" t="s">
        <v>846</v>
      </c>
      <c r="AQ164" s="58" t="s">
        <v>886</v>
      </c>
      <c r="AR164" s="180"/>
      <c r="AS164" s="57" t="s">
        <v>934</v>
      </c>
    </row>
    <row r="165" spans="1:45" s="44" customFormat="1" x14ac:dyDescent="0.25">
      <c r="A165" s="44" t="s">
        <v>116</v>
      </c>
      <c r="B165" s="45" t="s">
        <v>23</v>
      </c>
      <c r="C165" s="128" t="s">
        <v>125</v>
      </c>
      <c r="D165" s="46" t="s">
        <v>48</v>
      </c>
      <c r="E165" s="61" t="s">
        <v>48</v>
      </c>
      <c r="F165" s="78">
        <v>6.3</v>
      </c>
      <c r="G165" s="61" t="s">
        <v>126</v>
      </c>
      <c r="H165" s="57">
        <v>8.5</v>
      </c>
      <c r="I165" s="58" t="s">
        <v>173</v>
      </c>
      <c r="J165" s="44">
        <f>AVERAGE(7.5,8.5)</f>
        <v>8</v>
      </c>
      <c r="K165" s="58" t="s">
        <v>229</v>
      </c>
      <c r="L165" s="180"/>
      <c r="M165" s="179" t="s">
        <v>278</v>
      </c>
      <c r="N165" s="180"/>
      <c r="O165" s="179"/>
      <c r="P165" s="44">
        <f>AVERAGE(3.5,3.85)</f>
        <v>3.6749999999999998</v>
      </c>
      <c r="Q165" s="111" t="s">
        <v>351</v>
      </c>
      <c r="R165" s="44">
        <v>2.6</v>
      </c>
      <c r="S165" s="58" t="s">
        <v>380</v>
      </c>
      <c r="U165" s="58"/>
      <c r="V165" s="180"/>
      <c r="W165" s="179"/>
      <c r="X165" s="180"/>
      <c r="Y165" s="179" t="s">
        <v>48</v>
      </c>
      <c r="Z165" s="180"/>
      <c r="AA165" s="179"/>
      <c r="AB165" s="180"/>
      <c r="AC165" s="179"/>
      <c r="AD165" s="143">
        <v>10.3</v>
      </c>
      <c r="AE165" s="58"/>
      <c r="AF165" s="180"/>
      <c r="AG165" s="179" t="s">
        <v>690</v>
      </c>
      <c r="AH165" s="180"/>
      <c r="AI165" s="179" t="s">
        <v>741</v>
      </c>
      <c r="AJ165" s="180"/>
      <c r="AK165" s="179" t="s">
        <v>791</v>
      </c>
      <c r="AL165" s="44">
        <v>4.5</v>
      </c>
      <c r="AM165" s="58" t="s">
        <v>824</v>
      </c>
      <c r="AN165" s="180"/>
      <c r="AO165" s="179"/>
      <c r="AP165" s="180"/>
      <c r="AQ165" s="179"/>
      <c r="AR165" s="180"/>
      <c r="AS165" s="57" t="s">
        <v>934</v>
      </c>
    </row>
    <row r="166" spans="1:45" hidden="1" x14ac:dyDescent="0.25">
      <c r="A166" t="s">
        <v>116</v>
      </c>
      <c r="B166" s="1" t="s">
        <v>24</v>
      </c>
      <c r="C166" s="129" t="s">
        <v>49</v>
      </c>
      <c r="D166" s="13">
        <v>77</v>
      </c>
      <c r="E166" s="19">
        <v>77</v>
      </c>
      <c r="F166" s="27"/>
      <c r="G166" s="33"/>
      <c r="AS166" s="21"/>
    </row>
    <row r="167" spans="1:45" hidden="1" x14ac:dyDescent="0.25">
      <c r="A167" t="s">
        <v>116</v>
      </c>
      <c r="B167" s="1" t="s">
        <v>24</v>
      </c>
      <c r="C167" s="129" t="s">
        <v>50</v>
      </c>
      <c r="D167" s="13">
        <v>98</v>
      </c>
      <c r="E167" s="19">
        <v>98</v>
      </c>
      <c r="F167" s="27"/>
      <c r="G167" s="33"/>
      <c r="AS167" s="21"/>
    </row>
    <row r="168" spans="1:45" s="38" customFormat="1" ht="90" hidden="1" x14ac:dyDescent="0.25">
      <c r="A168" s="38" t="s">
        <v>116</v>
      </c>
      <c r="B168" s="39" t="s">
        <v>24</v>
      </c>
      <c r="C168" s="130" t="s">
        <v>51</v>
      </c>
      <c r="D168" s="96">
        <v>3</v>
      </c>
      <c r="E168" s="90">
        <v>3</v>
      </c>
      <c r="F168" s="97"/>
      <c r="G168" s="90"/>
      <c r="H168" s="43"/>
      <c r="I168" s="42"/>
      <c r="J168" s="38">
        <v>24</v>
      </c>
      <c r="K168" s="42">
        <v>24</v>
      </c>
      <c r="L168" s="38">
        <v>23</v>
      </c>
      <c r="M168" s="42" t="s">
        <v>279</v>
      </c>
      <c r="O168" s="42"/>
      <c r="Q168" s="113"/>
      <c r="S168" s="42"/>
      <c r="U168" s="42"/>
      <c r="W168" s="42"/>
      <c r="Y168" s="42"/>
      <c r="AA168" s="42"/>
      <c r="AC168" s="42"/>
      <c r="AD168" s="144"/>
      <c r="AE168" s="42"/>
      <c r="AG168" s="42"/>
      <c r="AI168" s="42"/>
      <c r="AK168" s="42"/>
      <c r="AM168" s="42"/>
      <c r="AN168" s="38">
        <v>110</v>
      </c>
      <c r="AO168" s="123" t="s">
        <v>849</v>
      </c>
      <c r="AQ168" s="42"/>
      <c r="AS168" s="43"/>
    </row>
    <row r="169" spans="1:45" hidden="1" x14ac:dyDescent="0.25">
      <c r="A169" t="s">
        <v>116</v>
      </c>
      <c r="B169" s="1" t="s">
        <v>24</v>
      </c>
      <c r="C169" s="129" t="s">
        <v>52</v>
      </c>
      <c r="D169" s="13">
        <v>8</v>
      </c>
      <c r="E169" s="19">
        <v>8</v>
      </c>
      <c r="F169" s="27"/>
      <c r="G169" s="33"/>
      <c r="AS169" s="21"/>
    </row>
    <row r="170" spans="1:45" s="38" customFormat="1" hidden="1" x14ac:dyDescent="0.25">
      <c r="A170" s="38" t="s">
        <v>116</v>
      </c>
      <c r="B170" s="39" t="s">
        <v>24</v>
      </c>
      <c r="C170" s="130" t="s">
        <v>127</v>
      </c>
      <c r="D170" s="96"/>
      <c r="E170" s="90"/>
      <c r="F170" s="97">
        <v>20</v>
      </c>
      <c r="G170" s="90" t="s">
        <v>129</v>
      </c>
      <c r="H170" s="43"/>
      <c r="I170" s="42"/>
      <c r="J170" s="38">
        <v>15</v>
      </c>
      <c r="K170" s="42" t="s">
        <v>232</v>
      </c>
      <c r="M170" s="42"/>
      <c r="O170" s="42"/>
      <c r="Q170" s="113"/>
      <c r="S170" s="42"/>
      <c r="U170" s="42"/>
      <c r="W170" s="42"/>
      <c r="Y170" s="42"/>
      <c r="AA170" s="42"/>
      <c r="AC170" s="42"/>
      <c r="AD170" s="144"/>
      <c r="AE170" s="42"/>
      <c r="AG170" s="42"/>
      <c r="AI170" s="42"/>
      <c r="AK170" s="42"/>
      <c r="AM170" s="42"/>
      <c r="AO170" s="42"/>
      <c r="AQ170" s="42"/>
      <c r="AS170" s="43"/>
    </row>
    <row r="171" spans="1:45" hidden="1" x14ac:dyDescent="0.25">
      <c r="A171" t="s">
        <v>116</v>
      </c>
      <c r="B171" s="1" t="s">
        <v>24</v>
      </c>
      <c r="C171" s="129" t="s">
        <v>128</v>
      </c>
      <c r="D171" s="13"/>
      <c r="E171" s="19"/>
      <c r="F171" s="27">
        <v>1322</v>
      </c>
      <c r="G171" s="33" t="s">
        <v>131</v>
      </c>
      <c r="AS171" s="21"/>
    </row>
    <row r="172" spans="1:45" s="38" customFormat="1" hidden="1" x14ac:dyDescent="0.25">
      <c r="A172" s="38" t="s">
        <v>116</v>
      </c>
      <c r="B172" s="39" t="s">
        <v>24</v>
      </c>
      <c r="C172" s="130" t="s">
        <v>174</v>
      </c>
      <c r="D172" s="96"/>
      <c r="E172" s="90"/>
      <c r="F172" s="97"/>
      <c r="G172" s="90"/>
      <c r="H172" s="98">
        <v>40000000</v>
      </c>
      <c r="I172" s="42" t="s">
        <v>175</v>
      </c>
      <c r="J172" s="99">
        <v>2500000</v>
      </c>
      <c r="K172" s="42" t="s">
        <v>230</v>
      </c>
      <c r="M172" s="42"/>
      <c r="O172" s="42"/>
      <c r="Q172" s="113"/>
      <c r="S172" s="42"/>
      <c r="U172" s="42"/>
      <c r="W172" s="42"/>
      <c r="Y172" s="42"/>
      <c r="AA172" s="42"/>
      <c r="AC172" s="42"/>
      <c r="AD172" s="144"/>
      <c r="AE172" s="42"/>
      <c r="AG172" s="42"/>
      <c r="AI172" s="42"/>
      <c r="AK172" s="42"/>
      <c r="AM172" s="42"/>
      <c r="AO172" s="42"/>
      <c r="AQ172" s="42"/>
      <c r="AS172" s="43"/>
    </row>
    <row r="173" spans="1:45" hidden="1" x14ac:dyDescent="0.25">
      <c r="A173" t="s">
        <v>116</v>
      </c>
      <c r="B173" s="1" t="s">
        <v>24</v>
      </c>
      <c r="C173" s="129" t="s">
        <v>176</v>
      </c>
      <c r="D173" s="13"/>
      <c r="E173" s="19"/>
      <c r="F173" s="27"/>
      <c r="G173" s="33"/>
      <c r="H173" s="14">
        <v>375</v>
      </c>
      <c r="I173" s="14">
        <v>375</v>
      </c>
      <c r="AS173" s="21"/>
    </row>
    <row r="174" spans="1:45" hidden="1" x14ac:dyDescent="0.25">
      <c r="A174" t="s">
        <v>116</v>
      </c>
      <c r="B174" s="1" t="s">
        <v>24</v>
      </c>
      <c r="C174" s="129" t="s">
        <v>231</v>
      </c>
      <c r="D174" s="13"/>
      <c r="E174" s="19"/>
      <c r="F174" s="27"/>
      <c r="G174" s="33"/>
      <c r="J174">
        <v>70</v>
      </c>
      <c r="K174" s="14">
        <v>70</v>
      </c>
      <c r="AS174" s="21"/>
    </row>
    <row r="175" spans="1:45" ht="32.1" hidden="1" customHeight="1" x14ac:dyDescent="0.25">
      <c r="A175" t="s">
        <v>116</v>
      </c>
      <c r="B175" s="1" t="s">
        <v>24</v>
      </c>
      <c r="C175" s="129" t="s">
        <v>233</v>
      </c>
      <c r="D175" s="13"/>
      <c r="E175" s="19"/>
      <c r="F175" s="27"/>
      <c r="G175" s="33"/>
      <c r="J175" s="1" t="s">
        <v>234</v>
      </c>
      <c r="K175" s="103" t="s">
        <v>234</v>
      </c>
      <c r="AS175" s="21"/>
    </row>
    <row r="176" spans="1:45" s="38" customFormat="1" ht="15" hidden="1" customHeight="1" x14ac:dyDescent="0.25">
      <c r="A176" s="38" t="s">
        <v>116</v>
      </c>
      <c r="B176" s="39" t="s">
        <v>24</v>
      </c>
      <c r="C176" s="130" t="s">
        <v>428</v>
      </c>
      <c r="D176" s="96"/>
      <c r="E176" s="90"/>
      <c r="F176" s="97"/>
      <c r="G176" s="90"/>
      <c r="H176" s="43"/>
      <c r="I176" s="42"/>
      <c r="J176" s="39"/>
      <c r="K176" s="123"/>
      <c r="M176" s="42"/>
      <c r="N176" s="124">
        <v>70000000</v>
      </c>
      <c r="O176" s="125">
        <v>70000000</v>
      </c>
      <c r="Q176" s="113"/>
      <c r="S176" s="42"/>
      <c r="U176" s="42"/>
      <c r="W176" s="42"/>
      <c r="Y176" s="42"/>
      <c r="AA176" s="42"/>
      <c r="AC176" s="42"/>
      <c r="AD176" s="144"/>
      <c r="AE176" s="42"/>
      <c r="AG176" s="42"/>
      <c r="AH176" s="99">
        <v>40000000</v>
      </c>
      <c r="AI176" s="42" t="s">
        <v>742</v>
      </c>
      <c r="AK176" s="42"/>
      <c r="AM176" s="42"/>
      <c r="AO176" s="42"/>
      <c r="AQ176" s="42"/>
      <c r="AS176" s="43"/>
    </row>
    <row r="177" spans="1:45" ht="15" hidden="1" customHeight="1" x14ac:dyDescent="0.25">
      <c r="A177" t="s">
        <v>116</v>
      </c>
      <c r="B177" s="1" t="s">
        <v>24</v>
      </c>
      <c r="C177" s="129" t="s">
        <v>352</v>
      </c>
      <c r="D177" s="13"/>
      <c r="E177" s="19"/>
      <c r="F177" s="27"/>
      <c r="G177" s="33"/>
      <c r="J177" s="1"/>
      <c r="K177" s="103"/>
      <c r="N177" s="108"/>
      <c r="O177" s="110"/>
      <c r="P177">
        <f>AVERAGE(75,100)</f>
        <v>87.5</v>
      </c>
      <c r="Q177" s="112" t="s">
        <v>354</v>
      </c>
      <c r="AS177" s="21"/>
    </row>
    <row r="178" spans="1:45" ht="15" hidden="1" customHeight="1" x14ac:dyDescent="0.25">
      <c r="A178" t="s">
        <v>116</v>
      </c>
      <c r="B178" s="1" t="s">
        <v>24</v>
      </c>
      <c r="C178" s="129" t="s">
        <v>353</v>
      </c>
      <c r="D178" s="13"/>
      <c r="E178" s="19"/>
      <c r="F178" s="27"/>
      <c r="G178" s="33"/>
      <c r="J178" s="1"/>
      <c r="K178" s="103"/>
      <c r="N178" s="108"/>
      <c r="O178" s="110"/>
      <c r="P178" s="119">
        <f>AVERAGE(4200,4400)</f>
        <v>4300</v>
      </c>
      <c r="Q178" s="112" t="s">
        <v>355</v>
      </c>
      <c r="AS178" s="21"/>
    </row>
    <row r="179" spans="1:45" ht="15" hidden="1" customHeight="1" x14ac:dyDescent="0.25">
      <c r="A179" t="s">
        <v>116</v>
      </c>
      <c r="B179" s="1" t="s">
        <v>24</v>
      </c>
      <c r="C179" s="129" t="s">
        <v>381</v>
      </c>
      <c r="D179" s="13"/>
      <c r="E179" s="19"/>
      <c r="F179" s="27"/>
      <c r="G179" s="33"/>
      <c r="J179" s="1"/>
      <c r="K179" s="103"/>
      <c r="N179" s="108"/>
      <c r="O179" s="110"/>
      <c r="P179" s="119"/>
      <c r="R179" s="110">
        <v>32000</v>
      </c>
      <c r="S179" s="110">
        <v>32000</v>
      </c>
      <c r="AS179" s="21"/>
    </row>
    <row r="180" spans="1:45" ht="15" hidden="1" customHeight="1" x14ac:dyDescent="0.25">
      <c r="A180" t="s">
        <v>116</v>
      </c>
      <c r="B180" s="1" t="s">
        <v>24</v>
      </c>
      <c r="C180" s="129" t="s">
        <v>382</v>
      </c>
      <c r="D180" s="13"/>
      <c r="E180" s="19"/>
      <c r="F180" s="27"/>
      <c r="G180" s="33"/>
      <c r="J180" s="1"/>
      <c r="K180" s="103"/>
      <c r="N180" s="108"/>
      <c r="O180" s="110"/>
      <c r="P180" s="119"/>
      <c r="R180" t="s">
        <v>384</v>
      </c>
      <c r="S180" s="14" t="s">
        <v>383</v>
      </c>
      <c r="AS180" s="21"/>
    </row>
    <row r="181" spans="1:45" ht="15.75" hidden="1" customHeight="1" x14ac:dyDescent="0.25">
      <c r="A181" t="s">
        <v>116</v>
      </c>
      <c r="B181" s="1" t="s">
        <v>24</v>
      </c>
      <c r="C181" s="1" t="s">
        <v>422</v>
      </c>
      <c r="D181" s="13"/>
      <c r="E181" s="19"/>
      <c r="F181" s="27"/>
      <c r="G181" s="33"/>
      <c r="J181" s="1"/>
      <c r="K181" s="103"/>
      <c r="T181" s="5">
        <f>AVERAGE(9.5%,10.5%)</f>
        <v>0.1</v>
      </c>
      <c r="U181" s="14" t="s">
        <v>423</v>
      </c>
      <c r="V181">
        <f>AVERAGE(40,70)</f>
        <v>55</v>
      </c>
      <c r="W181" s="14" t="s">
        <v>487</v>
      </c>
      <c r="AS181" s="21"/>
    </row>
    <row r="182" spans="1:45" ht="15.75" hidden="1" customHeight="1" x14ac:dyDescent="0.25">
      <c r="A182" t="s">
        <v>116</v>
      </c>
      <c r="B182" s="1" t="s">
        <v>24</v>
      </c>
      <c r="C182" s="1" t="s">
        <v>429</v>
      </c>
      <c r="D182" s="13"/>
      <c r="E182" s="19"/>
      <c r="F182" s="27"/>
      <c r="G182" s="33"/>
      <c r="J182" s="1"/>
      <c r="K182" s="103"/>
      <c r="N182" s="108">
        <v>340000</v>
      </c>
      <c r="O182" s="110">
        <v>340000</v>
      </c>
      <c r="T182" s="5"/>
      <c r="AS182" s="21"/>
    </row>
    <row r="183" spans="1:45" ht="15.75" hidden="1" customHeight="1" x14ac:dyDescent="0.25">
      <c r="A183" t="s">
        <v>116</v>
      </c>
      <c r="B183" s="1" t="s">
        <v>24</v>
      </c>
      <c r="C183" s="1" t="s">
        <v>531</v>
      </c>
      <c r="D183" s="13"/>
      <c r="E183" s="19"/>
      <c r="F183" s="27"/>
      <c r="G183" s="33"/>
      <c r="J183" s="1"/>
      <c r="K183" s="103"/>
      <c r="N183" s="108"/>
      <c r="O183" s="110"/>
      <c r="T183" s="5"/>
      <c r="X183" s="14">
        <v>56300</v>
      </c>
      <c r="Y183" s="14">
        <v>56300</v>
      </c>
      <c r="AS183" s="21"/>
    </row>
    <row r="184" spans="1:45" ht="15.75" hidden="1" customHeight="1" x14ac:dyDescent="0.25">
      <c r="A184" t="s">
        <v>116</v>
      </c>
      <c r="B184" s="1" t="s">
        <v>24</v>
      </c>
      <c r="C184" s="1" t="s">
        <v>532</v>
      </c>
      <c r="D184" s="13"/>
      <c r="E184" s="19"/>
      <c r="F184" s="27"/>
      <c r="G184" s="33"/>
      <c r="J184" s="1"/>
      <c r="K184" s="103"/>
      <c r="N184" s="108"/>
      <c r="O184" s="110"/>
      <c r="T184" s="5"/>
      <c r="X184" s="14">
        <v>32.700000000000003</v>
      </c>
      <c r="Y184" s="14">
        <v>32.700000000000003</v>
      </c>
      <c r="AS184" s="21"/>
    </row>
    <row r="185" spans="1:45" ht="15.75" hidden="1" customHeight="1" x14ac:dyDescent="0.25">
      <c r="A185" t="s">
        <v>116</v>
      </c>
      <c r="B185" s="1" t="s">
        <v>24</v>
      </c>
      <c r="C185" s="1" t="s">
        <v>533</v>
      </c>
      <c r="D185" s="13"/>
      <c r="E185" s="19"/>
      <c r="F185" s="27"/>
      <c r="G185" s="33"/>
      <c r="J185" s="1"/>
      <c r="K185" s="103"/>
      <c r="N185" s="108"/>
      <c r="O185" s="110"/>
      <c r="T185" s="5"/>
      <c r="X185" s="14">
        <v>19</v>
      </c>
      <c r="Y185" s="14">
        <v>19</v>
      </c>
      <c r="AS185" s="21"/>
    </row>
    <row r="186" spans="1:45" s="38" customFormat="1" ht="15.75" hidden="1" customHeight="1" x14ac:dyDescent="0.25">
      <c r="A186" s="38" t="s">
        <v>116</v>
      </c>
      <c r="B186" s="39" t="s">
        <v>24</v>
      </c>
      <c r="C186" s="39" t="s">
        <v>424</v>
      </c>
      <c r="D186" s="96"/>
      <c r="E186" s="90"/>
      <c r="F186" s="97"/>
      <c r="G186" s="90"/>
      <c r="H186" s="43"/>
      <c r="I186" s="42"/>
      <c r="J186" s="39"/>
      <c r="K186" s="123"/>
      <c r="M186" s="42"/>
      <c r="N186" s="124"/>
      <c r="O186" s="125"/>
      <c r="Q186" s="113"/>
      <c r="S186" s="42"/>
      <c r="T186" s="126">
        <v>25000</v>
      </c>
      <c r="U186" s="42" t="s">
        <v>425</v>
      </c>
      <c r="V186" s="126">
        <f>AVERAGE(9000000,15000000)</f>
        <v>12000000</v>
      </c>
      <c r="W186" s="42" t="s">
        <v>489</v>
      </c>
      <c r="Y186" s="42"/>
      <c r="AA186" s="42"/>
      <c r="AC186" s="42"/>
      <c r="AD186" s="144"/>
      <c r="AE186" s="42"/>
      <c r="AG186" s="42"/>
      <c r="AI186" s="42"/>
      <c r="AK186" s="42"/>
      <c r="AM186" s="42"/>
      <c r="AO186" s="42"/>
      <c r="AQ186" s="42" t="s">
        <v>887</v>
      </c>
      <c r="AS186" s="43"/>
    </row>
    <row r="187" spans="1:45" ht="15.75" hidden="1" customHeight="1" x14ac:dyDescent="0.25">
      <c r="A187" t="s">
        <v>116</v>
      </c>
      <c r="B187" s="1" t="s">
        <v>24</v>
      </c>
      <c r="C187" s="1" t="s">
        <v>486</v>
      </c>
      <c r="D187" s="13"/>
      <c r="E187" s="19"/>
      <c r="F187" s="27"/>
      <c r="G187" s="33"/>
      <c r="J187" s="1"/>
      <c r="K187" s="103"/>
      <c r="N187" s="108"/>
      <c r="O187" s="110"/>
      <c r="T187" s="118"/>
      <c r="V187">
        <f>AVERAGE(120,160)</f>
        <v>140</v>
      </c>
      <c r="W187" s="14" t="s">
        <v>488</v>
      </c>
      <c r="AS187" s="21"/>
    </row>
    <row r="188" spans="1:45" ht="15.75" hidden="1" customHeight="1" x14ac:dyDescent="0.25">
      <c r="A188" t="s">
        <v>116</v>
      </c>
      <c r="B188" s="1" t="s">
        <v>24</v>
      </c>
      <c r="C188" s="1" t="s">
        <v>621</v>
      </c>
      <c r="D188" s="13"/>
      <c r="E188" s="19"/>
      <c r="F188" s="27"/>
      <c r="G188" s="33"/>
      <c r="J188" s="1"/>
      <c r="K188" s="103"/>
      <c r="N188" s="108"/>
      <c r="O188" s="110"/>
      <c r="T188" s="118"/>
      <c r="AB188" s="118">
        <f>AVERAGE(130000000,175000000)</f>
        <v>152500000</v>
      </c>
      <c r="AC188" s="14" t="s">
        <v>624</v>
      </c>
      <c r="AS188" s="21"/>
    </row>
    <row r="189" spans="1:45" ht="15.75" hidden="1" customHeight="1" x14ac:dyDescent="0.25">
      <c r="A189" t="s">
        <v>116</v>
      </c>
      <c r="B189" s="1" t="s">
        <v>24</v>
      </c>
      <c r="C189" s="1" t="s">
        <v>622</v>
      </c>
      <c r="D189" s="13"/>
      <c r="E189" s="19"/>
      <c r="F189" s="27"/>
      <c r="G189" s="33"/>
      <c r="J189" s="1"/>
      <c r="K189" s="103"/>
      <c r="N189" s="108"/>
      <c r="O189" s="110"/>
      <c r="T189" s="118"/>
      <c r="AB189" s="118">
        <f>AVERAGE(12000000,25000000)</f>
        <v>18500000</v>
      </c>
      <c r="AC189" s="14" t="s">
        <v>625</v>
      </c>
      <c r="AS189" s="21"/>
    </row>
    <row r="190" spans="1:45" ht="15.75" hidden="1" customHeight="1" x14ac:dyDescent="0.25">
      <c r="A190" t="s">
        <v>116</v>
      </c>
      <c r="B190" s="1" t="s">
        <v>24</v>
      </c>
      <c r="C190" s="1" t="s">
        <v>623</v>
      </c>
      <c r="D190" s="13"/>
      <c r="E190" s="19"/>
      <c r="F190" s="27"/>
      <c r="G190" s="33"/>
      <c r="J190" s="1"/>
      <c r="K190" s="103"/>
      <c r="N190" s="108"/>
      <c r="O190" s="110"/>
      <c r="T190" s="118"/>
      <c r="AB190">
        <f>AVERAGE(50,150)</f>
        <v>100</v>
      </c>
      <c r="AC190" s="14" t="s">
        <v>626</v>
      </c>
      <c r="AS190" s="21"/>
    </row>
    <row r="191" spans="1:45" ht="15.75" hidden="1" customHeight="1" x14ac:dyDescent="0.25">
      <c r="A191" t="s">
        <v>116</v>
      </c>
      <c r="B191" s="1" t="s">
        <v>24</v>
      </c>
      <c r="C191" s="1" t="s">
        <v>427</v>
      </c>
      <c r="D191" s="13"/>
      <c r="E191" s="19"/>
      <c r="F191" s="27"/>
      <c r="G191" s="33"/>
      <c r="J191" s="1"/>
      <c r="K191" s="103"/>
      <c r="N191" s="108"/>
      <c r="O191" s="110"/>
      <c r="T191" s="118">
        <v>7000</v>
      </c>
      <c r="U191" s="14" t="s">
        <v>426</v>
      </c>
      <c r="AS191" s="21"/>
    </row>
    <row r="192" spans="1:45" ht="15.75" hidden="1" customHeight="1" x14ac:dyDescent="0.25">
      <c r="A192" t="s">
        <v>116</v>
      </c>
      <c r="B192" s="1" t="s">
        <v>24</v>
      </c>
      <c r="C192" s="1" t="s">
        <v>692</v>
      </c>
      <c r="D192" s="13"/>
      <c r="E192" s="19"/>
      <c r="F192" s="27"/>
      <c r="G192" s="33"/>
      <c r="J192" s="1"/>
      <c r="K192" s="103"/>
      <c r="N192" s="108"/>
      <c r="O192" s="110"/>
      <c r="T192" s="118"/>
      <c r="AF192" s="14" t="s">
        <v>696</v>
      </c>
      <c r="AG192" s="14" t="s">
        <v>696</v>
      </c>
      <c r="AS192" s="21"/>
    </row>
    <row r="193" spans="1:45" ht="15.75" hidden="1" customHeight="1" x14ac:dyDescent="0.25">
      <c r="A193" t="s">
        <v>116</v>
      </c>
      <c r="B193" s="1" t="s">
        <v>24</v>
      </c>
      <c r="C193" s="1" t="s">
        <v>693</v>
      </c>
      <c r="D193" s="13"/>
      <c r="E193" s="19"/>
      <c r="F193" s="27"/>
      <c r="G193" s="33"/>
      <c r="J193" s="1"/>
      <c r="K193" s="103"/>
      <c r="N193" s="108"/>
      <c r="O193" s="110"/>
      <c r="T193" s="118"/>
      <c r="AF193" s="14" t="s">
        <v>696</v>
      </c>
      <c r="AG193" s="14" t="s">
        <v>696</v>
      </c>
      <c r="AS193" s="21"/>
    </row>
    <row r="194" spans="1:45" ht="15.75" hidden="1" customHeight="1" x14ac:dyDescent="0.25">
      <c r="A194" t="s">
        <v>116</v>
      </c>
      <c r="B194" s="1" t="s">
        <v>24</v>
      </c>
      <c r="C194" s="1" t="s">
        <v>694</v>
      </c>
      <c r="D194" s="13"/>
      <c r="E194" s="19"/>
      <c r="F194" s="27"/>
      <c r="G194" s="33"/>
      <c r="J194" s="1"/>
      <c r="K194" s="103"/>
      <c r="N194" s="108"/>
      <c r="O194" s="110"/>
      <c r="T194" s="118"/>
      <c r="AF194" s="14" t="s">
        <v>696</v>
      </c>
      <c r="AG194" s="14" t="s">
        <v>696</v>
      </c>
      <c r="AS194" s="21"/>
    </row>
    <row r="195" spans="1:45" ht="15.75" hidden="1" customHeight="1" x14ac:dyDescent="0.25">
      <c r="A195" t="s">
        <v>116</v>
      </c>
      <c r="B195" s="1" t="s">
        <v>24</v>
      </c>
      <c r="C195" s="1" t="s">
        <v>695</v>
      </c>
      <c r="D195" s="13"/>
      <c r="E195" s="19"/>
      <c r="F195" s="27"/>
      <c r="G195" s="33"/>
      <c r="J195" s="1"/>
      <c r="K195" s="103"/>
      <c r="N195" s="108"/>
      <c r="O195" s="110"/>
      <c r="T195" s="118"/>
      <c r="AF195" s="14" t="s">
        <v>696</v>
      </c>
      <c r="AG195" s="14" t="s">
        <v>696</v>
      </c>
      <c r="AS195" s="21"/>
    </row>
    <row r="196" spans="1:45" ht="15.75" hidden="1" customHeight="1" x14ac:dyDescent="0.25">
      <c r="A196" t="s">
        <v>116</v>
      </c>
      <c r="B196" s="1" t="s">
        <v>24</v>
      </c>
      <c r="C196" s="1" t="s">
        <v>580</v>
      </c>
      <c r="D196" s="13"/>
      <c r="E196" s="19"/>
      <c r="F196" s="27"/>
      <c r="G196" s="33"/>
      <c r="J196" s="1"/>
      <c r="K196" s="103"/>
      <c r="N196" s="108"/>
      <c r="O196" s="110"/>
      <c r="T196" s="118"/>
      <c r="Z196" s="94">
        <v>0.4</v>
      </c>
      <c r="AA196" s="15">
        <v>0.4</v>
      </c>
      <c r="AS196" s="21"/>
    </row>
    <row r="197" spans="1:45" ht="15.75" hidden="1" customHeight="1" x14ac:dyDescent="0.25">
      <c r="A197" t="s">
        <v>116</v>
      </c>
      <c r="B197" s="1" t="s">
        <v>24</v>
      </c>
      <c r="C197" s="1" t="s">
        <v>663</v>
      </c>
      <c r="D197" s="13"/>
      <c r="E197" s="19"/>
      <c r="F197" s="27"/>
      <c r="G197" s="33"/>
      <c r="J197" s="1"/>
      <c r="K197" s="103"/>
      <c r="N197" s="108"/>
      <c r="O197" s="110"/>
      <c r="T197" s="118"/>
      <c r="Z197" s="94"/>
      <c r="AA197" s="15"/>
      <c r="AD197" s="14">
        <v>300</v>
      </c>
      <c r="AE197" s="14">
        <v>300</v>
      </c>
      <c r="AS197" s="21"/>
    </row>
    <row r="198" spans="1:45" ht="15.75" hidden="1" customHeight="1" x14ac:dyDescent="0.25">
      <c r="A198" t="s">
        <v>116</v>
      </c>
      <c r="B198" s="1" t="s">
        <v>24</v>
      </c>
      <c r="C198" s="1" t="s">
        <v>664</v>
      </c>
      <c r="D198" s="13"/>
      <c r="E198" s="19"/>
      <c r="F198" s="27"/>
      <c r="G198" s="33"/>
      <c r="J198" s="1"/>
      <c r="K198" s="103"/>
      <c r="N198" s="108"/>
      <c r="O198" s="110"/>
      <c r="T198" s="118"/>
      <c r="Z198" s="94"/>
      <c r="AA198" s="15"/>
      <c r="AD198" s="14" t="s">
        <v>665</v>
      </c>
      <c r="AE198" s="14" t="s">
        <v>665</v>
      </c>
      <c r="AS198" s="21"/>
    </row>
    <row r="199" spans="1:45" s="220" customFormat="1" ht="15.75" hidden="1" customHeight="1" x14ac:dyDescent="0.25">
      <c r="A199" s="220" t="s">
        <v>116</v>
      </c>
      <c r="B199" s="221" t="s">
        <v>24</v>
      </c>
      <c r="C199" s="221" t="s">
        <v>743</v>
      </c>
      <c r="D199" s="222"/>
      <c r="E199" s="223"/>
      <c r="F199" s="224"/>
      <c r="G199" s="223"/>
      <c r="H199" s="225"/>
      <c r="I199" s="226"/>
      <c r="J199" s="221"/>
      <c r="K199" s="227"/>
      <c r="M199" s="226"/>
      <c r="N199" s="228"/>
      <c r="O199" s="229"/>
      <c r="Q199" s="230"/>
      <c r="S199" s="226"/>
      <c r="T199" s="231"/>
      <c r="U199" s="226"/>
      <c r="W199" s="226"/>
      <c r="Y199" s="226"/>
      <c r="Z199" s="232"/>
      <c r="AA199" s="233"/>
      <c r="AC199" s="226"/>
      <c r="AD199" s="225"/>
      <c r="AE199" s="226"/>
      <c r="AG199" s="226"/>
      <c r="AH199" s="226" t="s">
        <v>744</v>
      </c>
      <c r="AI199" s="226" t="s">
        <v>744</v>
      </c>
      <c r="AK199" s="226"/>
      <c r="AM199" s="226"/>
      <c r="AO199" s="226"/>
      <c r="AQ199" s="226"/>
      <c r="AS199" s="225"/>
    </row>
    <row r="200" spans="1:45" ht="15.75" hidden="1" customHeight="1" x14ac:dyDescent="0.25">
      <c r="A200" t="s">
        <v>116</v>
      </c>
      <c r="B200" s="1" t="s">
        <v>24</v>
      </c>
      <c r="C200" s="1" t="s">
        <v>581</v>
      </c>
      <c r="D200" s="13"/>
      <c r="E200" s="19"/>
      <c r="F200" s="27"/>
      <c r="G200" s="33"/>
      <c r="J200" s="1"/>
      <c r="K200" s="103"/>
      <c r="N200" s="108"/>
      <c r="O200" s="110"/>
      <c r="T200" s="118"/>
      <c r="Z200" t="s">
        <v>582</v>
      </c>
      <c r="AA200" s="14" t="s">
        <v>582</v>
      </c>
      <c r="AS200" s="21"/>
    </row>
    <row r="201" spans="1:45" ht="15.75" hidden="1" customHeight="1" x14ac:dyDescent="0.25">
      <c r="A201" t="s">
        <v>116</v>
      </c>
      <c r="B201" s="1" t="s">
        <v>24</v>
      </c>
      <c r="C201" s="1" t="s">
        <v>792</v>
      </c>
      <c r="D201" s="13"/>
      <c r="E201" s="19"/>
      <c r="F201" s="27"/>
      <c r="G201" s="33"/>
      <c r="J201" s="1"/>
      <c r="K201" s="103"/>
      <c r="N201" s="108"/>
      <c r="O201" s="110"/>
      <c r="T201" s="118"/>
      <c r="AJ201" s="149">
        <v>500000</v>
      </c>
      <c r="AK201" s="14" t="s">
        <v>794</v>
      </c>
      <c r="AS201" s="21"/>
    </row>
    <row r="202" spans="1:45" ht="15.75" hidden="1" customHeight="1" x14ac:dyDescent="0.25">
      <c r="A202" t="s">
        <v>116</v>
      </c>
      <c r="B202" s="1" t="s">
        <v>24</v>
      </c>
      <c r="C202" s="1" t="s">
        <v>825</v>
      </c>
      <c r="D202" s="13"/>
      <c r="E202" s="19"/>
      <c r="F202" s="27"/>
      <c r="G202" s="33"/>
      <c r="J202" s="1"/>
      <c r="K202" s="103"/>
      <c r="N202" s="108"/>
      <c r="O202" s="110"/>
      <c r="T202" s="118"/>
      <c r="AJ202" s="149"/>
      <c r="AL202" s="118">
        <f>AVERAGE(11000000,13000000)</f>
        <v>12000000</v>
      </c>
      <c r="AM202" s="14" t="s">
        <v>826</v>
      </c>
      <c r="AS202" s="21"/>
    </row>
    <row r="203" spans="1:45" ht="15.75" hidden="1" customHeight="1" x14ac:dyDescent="0.25">
      <c r="A203" t="s">
        <v>116</v>
      </c>
      <c r="B203" s="1" t="s">
        <v>24</v>
      </c>
      <c r="C203" s="1" t="s">
        <v>793</v>
      </c>
      <c r="D203" s="13"/>
      <c r="E203" s="19"/>
      <c r="F203" s="27"/>
      <c r="G203" s="33"/>
      <c r="J203" s="1"/>
      <c r="K203" s="103"/>
      <c r="N203" s="108"/>
      <c r="O203" s="110"/>
      <c r="T203" s="118"/>
      <c r="AJ203" s="14" t="s">
        <v>795</v>
      </c>
      <c r="AK203" s="14" t="s">
        <v>795</v>
      </c>
      <c r="AS203" s="21"/>
    </row>
    <row r="204" spans="1:45" ht="15.75" hidden="1" customHeight="1" x14ac:dyDescent="0.25">
      <c r="A204" t="s">
        <v>116</v>
      </c>
      <c r="B204" s="1" t="s">
        <v>24</v>
      </c>
      <c r="C204" s="1" t="s">
        <v>847</v>
      </c>
      <c r="D204" s="13"/>
      <c r="E204" s="19"/>
      <c r="F204" s="27"/>
      <c r="G204" s="33"/>
      <c r="J204" s="1"/>
      <c r="K204" s="103"/>
      <c r="N204" s="108"/>
      <c r="O204" s="110"/>
      <c r="T204" s="118"/>
      <c r="AN204" s="108">
        <v>215000</v>
      </c>
      <c r="AO204" s="110">
        <v>215000</v>
      </c>
      <c r="AS204" s="21"/>
    </row>
    <row r="205" spans="1:45" ht="15.75" hidden="1" customHeight="1" x14ac:dyDescent="0.25">
      <c r="A205" t="s">
        <v>116</v>
      </c>
      <c r="B205" s="1" t="s">
        <v>24</v>
      </c>
      <c r="C205" s="1" t="s">
        <v>848</v>
      </c>
      <c r="D205" s="13"/>
      <c r="E205" s="19"/>
      <c r="F205" s="27"/>
      <c r="G205" s="33"/>
      <c r="J205" s="1"/>
      <c r="K205" s="103"/>
      <c r="N205" s="108"/>
      <c r="O205" s="110"/>
      <c r="T205" s="118"/>
      <c r="AN205" s="94">
        <v>0.2</v>
      </c>
      <c r="AO205" s="15">
        <v>0.2</v>
      </c>
      <c r="AS205" s="21"/>
    </row>
    <row r="206" spans="1:45" ht="15.75" hidden="1" customHeight="1" x14ac:dyDescent="0.25">
      <c r="A206" t="s">
        <v>116</v>
      </c>
      <c r="B206" s="1" t="s">
        <v>24</v>
      </c>
      <c r="C206" s="1" t="s">
        <v>935</v>
      </c>
      <c r="D206" s="13"/>
      <c r="E206" s="19"/>
      <c r="F206" s="27"/>
      <c r="G206" s="33"/>
      <c r="J206" s="1"/>
      <c r="K206" s="103"/>
      <c r="N206" s="108"/>
      <c r="O206" s="110"/>
      <c r="T206" s="118"/>
      <c r="AN206" s="94"/>
      <c r="AO206" s="22"/>
      <c r="AR206" s="2">
        <v>0.501</v>
      </c>
      <c r="AS206" s="21" t="s">
        <v>938</v>
      </c>
    </row>
    <row r="207" spans="1:45" ht="15.75" hidden="1" customHeight="1" x14ac:dyDescent="0.25">
      <c r="A207" t="s">
        <v>116</v>
      </c>
      <c r="B207" s="1" t="s">
        <v>24</v>
      </c>
      <c r="C207" s="1" t="s">
        <v>936</v>
      </c>
      <c r="D207" s="13"/>
      <c r="E207" s="19"/>
      <c r="F207" s="27"/>
      <c r="G207" s="33"/>
      <c r="J207" s="1"/>
      <c r="K207" s="103"/>
      <c r="N207" s="108"/>
      <c r="O207" s="110"/>
      <c r="T207" s="118"/>
      <c r="AN207" s="94"/>
      <c r="AO207" s="22"/>
      <c r="AR207">
        <v>5.0999999999999996</v>
      </c>
      <c r="AS207" s="21" t="s">
        <v>939</v>
      </c>
    </row>
    <row r="208" spans="1:45" ht="15.75" hidden="1" customHeight="1" x14ac:dyDescent="0.25">
      <c r="A208" t="s">
        <v>116</v>
      </c>
      <c r="B208" s="1" t="s">
        <v>24</v>
      </c>
      <c r="C208" s="1" t="s">
        <v>937</v>
      </c>
      <c r="D208" s="13"/>
      <c r="E208" s="19"/>
      <c r="F208" s="27"/>
      <c r="G208" s="33"/>
      <c r="J208" s="1"/>
      <c r="K208" s="103"/>
      <c r="N208" s="108"/>
      <c r="O208" s="110"/>
      <c r="T208" s="118"/>
      <c r="AN208" s="94"/>
      <c r="AO208" s="22"/>
      <c r="AR208" t="s">
        <v>940</v>
      </c>
      <c r="AS208" s="21" t="s">
        <v>940</v>
      </c>
    </row>
    <row r="209" spans="1:45" ht="15.75" hidden="1" customHeight="1" x14ac:dyDescent="0.25">
      <c r="A209" t="s">
        <v>116</v>
      </c>
      <c r="B209" s="1" t="s">
        <v>24</v>
      </c>
      <c r="C209" s="1" t="s">
        <v>850</v>
      </c>
      <c r="D209" s="13"/>
      <c r="E209" s="19"/>
      <c r="F209" s="27"/>
      <c r="G209" s="33"/>
      <c r="J209" s="1"/>
      <c r="K209" s="103"/>
      <c r="N209" s="108"/>
      <c r="O209" s="110"/>
      <c r="T209" s="118"/>
      <c r="AN209" s="168">
        <v>600000</v>
      </c>
      <c r="AO209" s="168">
        <v>600000</v>
      </c>
      <c r="AS209" s="21"/>
    </row>
    <row r="210" spans="1:45" s="44" customFormat="1" ht="30" customHeight="1" x14ac:dyDescent="0.25">
      <c r="A210" s="44" t="s">
        <v>130</v>
      </c>
      <c r="B210" s="45" t="s">
        <v>23</v>
      </c>
      <c r="C210" s="128" t="s">
        <v>55</v>
      </c>
      <c r="D210" s="79">
        <v>0.88</v>
      </c>
      <c r="E210" s="80" t="s">
        <v>106</v>
      </c>
      <c r="F210" s="66">
        <v>0.87</v>
      </c>
      <c r="G210" s="80" t="s">
        <v>132</v>
      </c>
      <c r="H210" s="49">
        <v>0.85</v>
      </c>
      <c r="I210" s="86" t="s">
        <v>177</v>
      </c>
      <c r="J210" s="50">
        <f>AVERAGE(87%,93%)</f>
        <v>0.9</v>
      </c>
      <c r="K210" s="86" t="s">
        <v>235</v>
      </c>
      <c r="L210" s="180"/>
      <c r="M210" s="179" t="s">
        <v>280</v>
      </c>
      <c r="N210" s="106">
        <f>AVERAGE(85%,88%)</f>
        <v>0.86499999999999999</v>
      </c>
      <c r="O210" s="58" t="s">
        <v>312</v>
      </c>
      <c r="P210" s="47">
        <v>0.85</v>
      </c>
      <c r="Q210" s="111" t="s">
        <v>356</v>
      </c>
      <c r="R210" s="95">
        <v>0.85499999999999998</v>
      </c>
      <c r="S210" s="58" t="s">
        <v>385</v>
      </c>
      <c r="T210" s="57" t="s">
        <v>430</v>
      </c>
      <c r="U210" s="58" t="s">
        <v>430</v>
      </c>
      <c r="V210" s="106">
        <f>AVERAGE(76%,84%)</f>
        <v>0.8</v>
      </c>
      <c r="W210" s="58" t="s">
        <v>490</v>
      </c>
      <c r="X210" s="95">
        <v>0.86980000000000002</v>
      </c>
      <c r="Y210" s="58" t="s">
        <v>534</v>
      </c>
      <c r="Z210" s="47">
        <v>0.9</v>
      </c>
      <c r="AA210" s="58" t="s">
        <v>583</v>
      </c>
      <c r="AB210" s="47">
        <v>0.87</v>
      </c>
      <c r="AC210" s="58" t="s">
        <v>627</v>
      </c>
      <c r="AD210" s="146">
        <v>0.89</v>
      </c>
      <c r="AE210" s="58" t="s">
        <v>666</v>
      </c>
      <c r="AG210" s="58" t="s">
        <v>697</v>
      </c>
      <c r="AH210" s="47">
        <v>0.8</v>
      </c>
      <c r="AI210" s="58" t="s">
        <v>745</v>
      </c>
      <c r="AJ210" s="47">
        <v>0.85</v>
      </c>
      <c r="AK210" s="58" t="s">
        <v>796</v>
      </c>
      <c r="AL210" s="106">
        <f>AVERAGE(94%,96%)</f>
        <v>0.95</v>
      </c>
      <c r="AM210" s="58" t="s">
        <v>827</v>
      </c>
      <c r="AN210" s="47">
        <v>0.9</v>
      </c>
      <c r="AO210" s="58" t="s">
        <v>851</v>
      </c>
      <c r="AP210" s="106">
        <f>AVERAGE(89%,91%)</f>
        <v>0.9</v>
      </c>
      <c r="AQ210" s="58" t="s">
        <v>889</v>
      </c>
      <c r="AR210" s="95">
        <v>0.82899999999999996</v>
      </c>
      <c r="AS210" s="172" t="s">
        <v>941</v>
      </c>
    </row>
    <row r="211" spans="1:45" s="44" customFormat="1" ht="30" customHeight="1" x14ac:dyDescent="0.25">
      <c r="A211" s="44" t="s">
        <v>130</v>
      </c>
      <c r="B211" s="45" t="s">
        <v>23</v>
      </c>
      <c r="C211" s="128" t="s">
        <v>54</v>
      </c>
      <c r="D211" s="79">
        <v>0.9</v>
      </c>
      <c r="E211" s="80" t="s">
        <v>105</v>
      </c>
      <c r="F211" s="66">
        <v>0.87</v>
      </c>
      <c r="G211" s="80" t="s">
        <v>132</v>
      </c>
      <c r="H211" s="85">
        <v>0.97699999999999998</v>
      </c>
      <c r="I211" s="86" t="s">
        <v>177</v>
      </c>
      <c r="J211" s="100">
        <f>AVERAGE(90%,85%)</f>
        <v>0.875</v>
      </c>
      <c r="K211" s="86" t="s">
        <v>235</v>
      </c>
      <c r="L211" s="180"/>
      <c r="M211" s="179" t="s">
        <v>281</v>
      </c>
      <c r="N211" s="106">
        <v>0.9</v>
      </c>
      <c r="O211" s="58" t="s">
        <v>313</v>
      </c>
      <c r="P211" s="47">
        <v>0.9</v>
      </c>
      <c r="Q211" s="111" t="s">
        <v>357</v>
      </c>
      <c r="R211" s="95">
        <v>0.93100000000000005</v>
      </c>
      <c r="S211" s="58" t="s">
        <v>386</v>
      </c>
      <c r="T211" s="57" t="s">
        <v>430</v>
      </c>
      <c r="U211" s="58" t="s">
        <v>430</v>
      </c>
      <c r="V211" s="106">
        <f>AVERAGE(85%,93%)</f>
        <v>0.89</v>
      </c>
      <c r="W211" s="58" t="s">
        <v>491</v>
      </c>
      <c r="X211" s="95">
        <v>0.93559999999999999</v>
      </c>
      <c r="Y211" s="58" t="s">
        <v>534</v>
      </c>
      <c r="Z211" s="47">
        <v>1</v>
      </c>
      <c r="AA211" s="58" t="s">
        <v>583</v>
      </c>
      <c r="AB211" s="47">
        <v>0.92</v>
      </c>
      <c r="AC211" s="58" t="s">
        <v>628</v>
      </c>
      <c r="AD211" s="146">
        <v>0.94</v>
      </c>
      <c r="AE211" s="58" t="s">
        <v>666</v>
      </c>
      <c r="AG211" s="58" t="s">
        <v>697</v>
      </c>
      <c r="AH211" s="47">
        <v>0.85</v>
      </c>
      <c r="AI211" s="58" t="s">
        <v>745</v>
      </c>
      <c r="AJ211" s="47">
        <v>0.92</v>
      </c>
      <c r="AK211" s="58" t="s">
        <v>796</v>
      </c>
      <c r="AL211" s="106">
        <f>AVERAGE(94%,96%)</f>
        <v>0.95</v>
      </c>
      <c r="AM211" s="58" t="s">
        <v>827</v>
      </c>
      <c r="AN211" s="95">
        <v>0.93500000000000005</v>
      </c>
      <c r="AO211" s="58" t="s">
        <v>851</v>
      </c>
      <c r="AP211" s="106">
        <f>AVERAGE(94%,95%)</f>
        <v>0.94499999999999995</v>
      </c>
      <c r="AQ211" s="58" t="s">
        <v>888</v>
      </c>
      <c r="AR211" s="95">
        <v>0.91300000000000003</v>
      </c>
      <c r="AS211" s="172" t="s">
        <v>941</v>
      </c>
    </row>
    <row r="212" spans="1:45" s="44" customFormat="1" x14ac:dyDescent="0.25">
      <c r="A212" s="44" t="s">
        <v>130</v>
      </c>
      <c r="B212" s="45" t="s">
        <v>23</v>
      </c>
      <c r="C212" s="128" t="s">
        <v>134</v>
      </c>
      <c r="D212" s="79">
        <v>0.8</v>
      </c>
      <c r="E212" s="61" t="s">
        <v>53</v>
      </c>
      <c r="F212" s="66">
        <v>0.9</v>
      </c>
      <c r="G212" s="80" t="s">
        <v>133</v>
      </c>
      <c r="H212" s="87">
        <v>0.87</v>
      </c>
      <c r="I212" s="93">
        <v>0.87</v>
      </c>
      <c r="J212" s="180"/>
      <c r="K212" s="179"/>
      <c r="L212" s="180"/>
      <c r="M212" s="179"/>
      <c r="N212" s="180"/>
      <c r="O212" s="179"/>
      <c r="P212" s="44">
        <f>AVERAGE(90%,92%)</f>
        <v>0.91</v>
      </c>
      <c r="Q212" s="111" t="s">
        <v>358</v>
      </c>
      <c r="R212" s="47">
        <v>0.82</v>
      </c>
      <c r="S212" s="53">
        <v>0.82</v>
      </c>
      <c r="T212" s="44">
        <f>AVERAGE(92%,94%)</f>
        <v>0.92999999999999994</v>
      </c>
      <c r="U212" s="58" t="s">
        <v>431</v>
      </c>
      <c r="V212" s="106">
        <f>AVERAGE(85%,95%)</f>
        <v>0.89999999999999991</v>
      </c>
      <c r="W212" s="58" t="s">
        <v>405</v>
      </c>
      <c r="Y212" s="58"/>
      <c r="Z212" s="47">
        <v>0.85</v>
      </c>
      <c r="AA212" s="58" t="s">
        <v>584</v>
      </c>
      <c r="AB212" s="47">
        <v>0.9</v>
      </c>
      <c r="AC212" s="58" t="s">
        <v>629</v>
      </c>
      <c r="AD212" s="146">
        <v>0.89</v>
      </c>
      <c r="AE212" s="53">
        <v>0.89</v>
      </c>
      <c r="AG212" s="58" t="s">
        <v>698</v>
      </c>
      <c r="AH212" s="47">
        <v>0.8</v>
      </c>
      <c r="AI212" s="58" t="s">
        <v>746</v>
      </c>
      <c r="AJ212" s="47">
        <v>0.9</v>
      </c>
      <c r="AK212" s="58" t="s">
        <v>714</v>
      </c>
      <c r="AL212" s="106">
        <f>AVERAGE(89%,91%)</f>
        <v>0.9</v>
      </c>
      <c r="AM212" s="58" t="s">
        <v>828</v>
      </c>
      <c r="AN212" s="47">
        <v>0.9</v>
      </c>
      <c r="AO212" s="53">
        <v>0.9</v>
      </c>
      <c r="AQ212" s="58"/>
      <c r="AR212" s="95">
        <v>0.83699999999999997</v>
      </c>
      <c r="AS212" s="57" t="s">
        <v>942</v>
      </c>
    </row>
    <row r="213" spans="1:45" s="44" customFormat="1" x14ac:dyDescent="0.25">
      <c r="A213" s="44" t="s">
        <v>130</v>
      </c>
      <c r="B213" s="45" t="s">
        <v>23</v>
      </c>
      <c r="C213" s="128" t="s">
        <v>135</v>
      </c>
      <c r="D213" s="79">
        <v>0.8</v>
      </c>
      <c r="E213" s="61" t="s">
        <v>53</v>
      </c>
      <c r="F213" s="66">
        <v>0.96</v>
      </c>
      <c r="G213" s="80" t="s">
        <v>133</v>
      </c>
      <c r="H213" s="87">
        <v>0.87</v>
      </c>
      <c r="I213" s="93">
        <v>0.87</v>
      </c>
      <c r="J213" s="100">
        <f>AVERAGE(90%,85%)</f>
        <v>0.875</v>
      </c>
      <c r="K213" s="58" t="s">
        <v>236</v>
      </c>
      <c r="L213" s="180"/>
      <c r="M213" s="179"/>
      <c r="N213" s="180"/>
      <c r="O213" s="179"/>
      <c r="P213" s="44">
        <f>AVERAGE(90%,92%)</f>
        <v>0.91</v>
      </c>
      <c r="Q213" s="111" t="s">
        <v>358</v>
      </c>
      <c r="R213" s="47">
        <v>0.82</v>
      </c>
      <c r="S213" s="53">
        <v>0.82</v>
      </c>
      <c r="T213" s="44">
        <f>AVERAGE(92%,94%)</f>
        <v>0.92999999999999994</v>
      </c>
      <c r="U213" s="58" t="s">
        <v>431</v>
      </c>
      <c r="V213" s="106">
        <f>AVERAGE(85%,95%)</f>
        <v>0.89999999999999991</v>
      </c>
      <c r="W213" s="58" t="s">
        <v>405</v>
      </c>
      <c r="X213" s="47">
        <v>0.88</v>
      </c>
      <c r="Y213" s="58" t="s">
        <v>535</v>
      </c>
      <c r="Z213" s="47">
        <v>0.85</v>
      </c>
      <c r="AA213" s="58" t="s">
        <v>584</v>
      </c>
      <c r="AB213" s="47">
        <v>0.9</v>
      </c>
      <c r="AC213" s="58" t="s">
        <v>629</v>
      </c>
      <c r="AD213" s="146">
        <v>0.89</v>
      </c>
      <c r="AE213" s="58"/>
      <c r="AG213" s="58" t="s">
        <v>698</v>
      </c>
      <c r="AH213" s="47">
        <v>0.8</v>
      </c>
      <c r="AI213" s="58" t="s">
        <v>746</v>
      </c>
      <c r="AJ213" s="47">
        <v>0.9</v>
      </c>
      <c r="AK213" s="58" t="s">
        <v>714</v>
      </c>
      <c r="AL213" s="106">
        <f>AVERAGE(89%,91%)</f>
        <v>0.9</v>
      </c>
      <c r="AM213" s="58" t="s">
        <v>828</v>
      </c>
      <c r="AN213" s="47">
        <v>0.9</v>
      </c>
      <c r="AO213" s="53">
        <v>0.9</v>
      </c>
      <c r="AP213" s="47">
        <v>0.89</v>
      </c>
      <c r="AQ213" s="58" t="s">
        <v>890</v>
      </c>
      <c r="AR213" s="95">
        <v>0.83699999999999997</v>
      </c>
      <c r="AS213" s="57" t="s">
        <v>942</v>
      </c>
    </row>
    <row r="214" spans="1:45" hidden="1" x14ac:dyDescent="0.25">
      <c r="A214" t="s">
        <v>130</v>
      </c>
      <c r="B214" s="1" t="s">
        <v>24</v>
      </c>
      <c r="C214" s="129" t="s">
        <v>57</v>
      </c>
      <c r="D214" s="10">
        <v>648</v>
      </c>
      <c r="E214" s="19">
        <v>648</v>
      </c>
      <c r="F214" s="27"/>
      <c r="G214" s="33"/>
      <c r="AS214" s="21"/>
    </row>
    <row r="215" spans="1:45" ht="32.1" hidden="1" customHeight="1" x14ac:dyDescent="0.25">
      <c r="A215" t="s">
        <v>116</v>
      </c>
      <c r="B215" s="1" t="s">
        <v>24</v>
      </c>
      <c r="C215" s="129" t="s">
        <v>283</v>
      </c>
      <c r="D215" s="13"/>
      <c r="E215" s="19"/>
      <c r="F215" s="27"/>
      <c r="G215" s="33"/>
      <c r="J215" s="1"/>
      <c r="K215" s="103"/>
      <c r="L215">
        <v>6</v>
      </c>
      <c r="M215" s="14" t="s">
        <v>282</v>
      </c>
      <c r="AS215" s="21"/>
    </row>
    <row r="216" spans="1:45" hidden="1" x14ac:dyDescent="0.25">
      <c r="A216" t="s">
        <v>130</v>
      </c>
      <c r="B216" s="1" t="s">
        <v>24</v>
      </c>
      <c r="C216" s="129" t="s">
        <v>58</v>
      </c>
      <c r="D216" s="10">
        <v>1335</v>
      </c>
      <c r="E216" s="19">
        <v>1335</v>
      </c>
      <c r="F216" s="27"/>
      <c r="G216" s="33"/>
      <c r="AS216" s="21"/>
    </row>
    <row r="217" spans="1:45" ht="14.1" hidden="1" customHeight="1" x14ac:dyDescent="0.25">
      <c r="A217" t="s">
        <v>130</v>
      </c>
      <c r="B217" s="1" t="s">
        <v>24</v>
      </c>
      <c r="C217" s="129" t="s">
        <v>136</v>
      </c>
      <c r="D217" s="7"/>
      <c r="E217" s="17"/>
      <c r="F217" s="21" t="s">
        <v>137</v>
      </c>
      <c r="G217" s="30" t="s">
        <v>137</v>
      </c>
      <c r="AS217" s="21"/>
    </row>
    <row r="218" spans="1:45" hidden="1" x14ac:dyDescent="0.25">
      <c r="A218" t="s">
        <v>130</v>
      </c>
      <c r="B218" s="1" t="s">
        <v>24</v>
      </c>
      <c r="C218" s="129" t="s">
        <v>138</v>
      </c>
      <c r="E218" s="17"/>
      <c r="F218" s="21" t="s">
        <v>139</v>
      </c>
      <c r="G218" s="30" t="s">
        <v>139</v>
      </c>
      <c r="AS218" s="21"/>
    </row>
    <row r="219" spans="1:45" hidden="1" x14ac:dyDescent="0.25">
      <c r="A219" t="s">
        <v>130</v>
      </c>
      <c r="B219" s="1" t="s">
        <v>24</v>
      </c>
      <c r="C219" s="129" t="s">
        <v>178</v>
      </c>
      <c r="E219" s="17"/>
      <c r="H219" s="21">
        <v>575</v>
      </c>
      <c r="I219" s="14">
        <v>575</v>
      </c>
      <c r="AS219" s="21"/>
    </row>
    <row r="220" spans="1:45" hidden="1" x14ac:dyDescent="0.25">
      <c r="A220" t="s">
        <v>130</v>
      </c>
      <c r="B220" s="1" t="s">
        <v>24</v>
      </c>
      <c r="C220" s="129" t="s">
        <v>179</v>
      </c>
      <c r="D220" s="6"/>
      <c r="E220" s="16"/>
      <c r="H220" s="21">
        <v>670</v>
      </c>
      <c r="I220" s="14">
        <v>670</v>
      </c>
      <c r="AS220" s="21"/>
    </row>
    <row r="221" spans="1:45" hidden="1" x14ac:dyDescent="0.25">
      <c r="A221" t="s">
        <v>130</v>
      </c>
      <c r="B221" s="1" t="s">
        <v>24</v>
      </c>
      <c r="C221" s="129" t="s">
        <v>237</v>
      </c>
      <c r="D221" s="9"/>
      <c r="E221" s="9"/>
      <c r="F221" s="9"/>
      <c r="G221" s="9"/>
      <c r="H221" s="9"/>
      <c r="I221" s="9"/>
      <c r="J221" t="s">
        <v>238</v>
      </c>
      <c r="K221" s="14" t="s">
        <v>238</v>
      </c>
      <c r="AS221" s="21"/>
    </row>
    <row r="222" spans="1:45" hidden="1" x14ac:dyDescent="0.25">
      <c r="A222" t="s">
        <v>130</v>
      </c>
      <c r="B222" s="1" t="s">
        <v>24</v>
      </c>
      <c r="C222" s="129" t="s">
        <v>239</v>
      </c>
      <c r="D222" s="9"/>
      <c r="E222" s="9"/>
      <c r="F222" s="9"/>
      <c r="G222" s="9"/>
      <c r="H222" s="9"/>
      <c r="I222" s="9"/>
      <c r="J222" t="s">
        <v>238</v>
      </c>
      <c r="K222" s="14" t="s">
        <v>238</v>
      </c>
      <c r="AS222" s="21"/>
    </row>
    <row r="223" spans="1:45" ht="14.25" hidden="1" customHeight="1" x14ac:dyDescent="0.25">
      <c r="A223" t="s">
        <v>130</v>
      </c>
      <c r="B223" s="1" t="s">
        <v>24</v>
      </c>
      <c r="C223" s="129" t="s">
        <v>240</v>
      </c>
      <c r="D223" s="9"/>
      <c r="E223" s="9"/>
      <c r="F223" s="9"/>
      <c r="G223" s="9"/>
      <c r="H223" s="9"/>
      <c r="I223" s="9"/>
      <c r="J223" s="1" t="s">
        <v>246</v>
      </c>
      <c r="K223" s="103" t="s">
        <v>246</v>
      </c>
      <c r="AS223" s="21"/>
    </row>
    <row r="224" spans="1:45" hidden="1" x14ac:dyDescent="0.25">
      <c r="A224" t="s">
        <v>130</v>
      </c>
      <c r="B224" s="1" t="s">
        <v>24</v>
      </c>
      <c r="C224" s="129" t="s">
        <v>241</v>
      </c>
      <c r="D224" s="9"/>
      <c r="E224" s="9"/>
      <c r="F224" s="9"/>
      <c r="G224" s="9"/>
      <c r="H224" s="9"/>
      <c r="I224" s="9"/>
      <c r="J224" t="s">
        <v>242</v>
      </c>
      <c r="K224" s="14" t="s">
        <v>242</v>
      </c>
      <c r="AS224" s="21"/>
    </row>
    <row r="225" spans="1:45" hidden="1" x14ac:dyDescent="0.25">
      <c r="A225" t="s">
        <v>130</v>
      </c>
      <c r="B225" s="1" t="s">
        <v>24</v>
      </c>
      <c r="C225" s="129" t="s">
        <v>243</v>
      </c>
      <c r="D225" s="9"/>
      <c r="E225" s="9"/>
      <c r="F225" s="9"/>
      <c r="G225" s="9"/>
      <c r="H225" s="9"/>
      <c r="I225" s="9"/>
      <c r="J225" s="9" t="s">
        <v>247</v>
      </c>
      <c r="K225" s="19" t="s">
        <v>247</v>
      </c>
      <c r="AS225" s="21"/>
    </row>
    <row r="226" spans="1:45" ht="14.25" hidden="1" customHeight="1" x14ac:dyDescent="0.25">
      <c r="A226" t="s">
        <v>130</v>
      </c>
      <c r="B226" s="1" t="s">
        <v>24</v>
      </c>
      <c r="C226" s="129" t="s">
        <v>244</v>
      </c>
      <c r="D226" s="9"/>
      <c r="E226" s="9"/>
      <c r="F226" s="9"/>
      <c r="G226" s="9"/>
      <c r="H226" s="9"/>
      <c r="I226" s="9"/>
      <c r="J226" s="101" t="s">
        <v>248</v>
      </c>
      <c r="K226" s="104" t="s">
        <v>248</v>
      </c>
      <c r="AS226" s="21"/>
    </row>
    <row r="227" spans="1:45" ht="18.75" hidden="1" customHeight="1" x14ac:dyDescent="0.25">
      <c r="A227" t="s">
        <v>130</v>
      </c>
      <c r="B227" s="1" t="s">
        <v>24</v>
      </c>
      <c r="C227" s="129" t="s">
        <v>245</v>
      </c>
      <c r="D227" s="9"/>
      <c r="E227" s="9"/>
      <c r="F227" s="9"/>
      <c r="G227" s="9"/>
      <c r="H227" s="9"/>
      <c r="I227" s="9"/>
      <c r="J227" s="101" t="s">
        <v>249</v>
      </c>
      <c r="K227" s="104" t="s">
        <v>249</v>
      </c>
      <c r="AS227" s="21"/>
    </row>
    <row r="228" spans="1:45" hidden="1" x14ac:dyDescent="0.25">
      <c r="A228" t="s">
        <v>130</v>
      </c>
      <c r="B228" s="1" t="s">
        <v>24</v>
      </c>
      <c r="C228" s="129" t="s">
        <v>314</v>
      </c>
      <c r="D228" s="9"/>
      <c r="E228" s="9"/>
      <c r="F228" s="9"/>
      <c r="G228" s="9"/>
      <c r="H228" s="9"/>
      <c r="I228" s="9"/>
      <c r="J228" s="9"/>
      <c r="N228">
        <v>133</v>
      </c>
      <c r="O228" s="14">
        <v>133</v>
      </c>
      <c r="AS228" s="21"/>
    </row>
    <row r="229" spans="1:45" hidden="1" x14ac:dyDescent="0.25">
      <c r="A229" t="s">
        <v>130</v>
      </c>
      <c r="B229" s="1" t="s">
        <v>24</v>
      </c>
      <c r="C229" s="129" t="s">
        <v>359</v>
      </c>
      <c r="D229" s="9"/>
      <c r="E229" s="9"/>
      <c r="F229" s="9"/>
      <c r="G229" s="9"/>
      <c r="H229" s="9"/>
      <c r="I229" s="9"/>
      <c r="J229" s="9"/>
      <c r="P229">
        <v>15</v>
      </c>
      <c r="Q229" s="112">
        <v>15</v>
      </c>
      <c r="AS229" s="21"/>
    </row>
    <row r="230" spans="1:45" hidden="1" x14ac:dyDescent="0.25">
      <c r="A230" t="s">
        <v>130</v>
      </c>
      <c r="B230" s="1" t="s">
        <v>24</v>
      </c>
      <c r="C230" s="129" t="s">
        <v>387</v>
      </c>
      <c r="D230" s="9"/>
      <c r="E230" s="9"/>
      <c r="F230" s="9"/>
      <c r="G230" s="9"/>
      <c r="H230" s="9"/>
      <c r="I230" s="9"/>
      <c r="J230" s="9"/>
      <c r="R230" s="14" t="s">
        <v>389</v>
      </c>
      <c r="S230" s="14" t="s">
        <v>389</v>
      </c>
      <c r="AS230" s="21"/>
    </row>
    <row r="231" spans="1:45" hidden="1" x14ac:dyDescent="0.25">
      <c r="A231" t="s">
        <v>130</v>
      </c>
      <c r="B231" s="1" t="s">
        <v>24</v>
      </c>
      <c r="C231" s="129" t="s">
        <v>388</v>
      </c>
      <c r="D231" s="9"/>
      <c r="E231" s="9"/>
      <c r="F231" s="9"/>
      <c r="G231" s="9"/>
      <c r="H231" s="9"/>
      <c r="I231" s="9"/>
      <c r="J231" s="9"/>
      <c r="R231" s="94">
        <v>0.15</v>
      </c>
      <c r="S231" s="15">
        <v>0.15</v>
      </c>
      <c r="AS231" s="21"/>
    </row>
    <row r="232" spans="1:45" hidden="1" x14ac:dyDescent="0.25">
      <c r="A232" t="s">
        <v>130</v>
      </c>
      <c r="B232" s="1" t="s">
        <v>24</v>
      </c>
      <c r="C232" s="129" t="s">
        <v>432</v>
      </c>
      <c r="D232" s="9"/>
      <c r="E232" s="9"/>
      <c r="F232" s="9"/>
      <c r="G232" s="9"/>
      <c r="H232" s="9"/>
      <c r="I232" s="9"/>
      <c r="J232" s="9"/>
      <c r="T232">
        <f>AVERAGE(42000,43000)</f>
        <v>42500</v>
      </c>
      <c r="U232" s="14" t="s">
        <v>434</v>
      </c>
      <c r="AS232" s="21"/>
    </row>
    <row r="233" spans="1:45" ht="15" hidden="1" customHeight="1" x14ac:dyDescent="0.25">
      <c r="A233" t="s">
        <v>130</v>
      </c>
      <c r="B233" s="1" t="s">
        <v>24</v>
      </c>
      <c r="C233" s="129" t="s">
        <v>433</v>
      </c>
      <c r="D233" s="9"/>
      <c r="E233" s="9"/>
      <c r="F233" s="9"/>
      <c r="G233" s="9"/>
      <c r="H233" s="9"/>
      <c r="I233" s="9"/>
      <c r="J233" s="9"/>
      <c r="T233" s="5">
        <f>AVERAGE(28.3%,29.3%)</f>
        <v>0.28800000000000003</v>
      </c>
      <c r="U233" s="14" t="s">
        <v>435</v>
      </c>
      <c r="AS233" s="21"/>
    </row>
    <row r="234" spans="1:45" hidden="1" x14ac:dyDescent="0.25">
      <c r="A234" t="s">
        <v>130</v>
      </c>
      <c r="B234" s="1" t="s">
        <v>24</v>
      </c>
      <c r="C234" s="129" t="s">
        <v>436</v>
      </c>
      <c r="D234" s="9"/>
      <c r="E234" s="9"/>
      <c r="F234" s="9"/>
      <c r="G234" s="9"/>
      <c r="H234" s="9"/>
      <c r="I234" s="9"/>
      <c r="J234" s="9"/>
      <c r="T234">
        <f>AVERAGE(45,55)</f>
        <v>50</v>
      </c>
      <c r="U234" s="14" t="s">
        <v>439</v>
      </c>
      <c r="AS234" s="21"/>
    </row>
    <row r="235" spans="1:45" ht="15" hidden="1" customHeight="1" x14ac:dyDescent="0.25">
      <c r="A235" t="s">
        <v>130</v>
      </c>
      <c r="B235" s="1" t="s">
        <v>24</v>
      </c>
      <c r="C235" s="129" t="s">
        <v>437</v>
      </c>
      <c r="D235" s="9"/>
      <c r="E235" s="9"/>
      <c r="F235" s="9"/>
      <c r="G235" s="9"/>
      <c r="H235" s="9"/>
      <c r="I235" s="9"/>
      <c r="J235" s="9"/>
      <c r="T235">
        <f>AVERAGE(6,9)</f>
        <v>7.5</v>
      </c>
      <c r="U235" s="14" t="s">
        <v>440</v>
      </c>
      <c r="AS235" s="21"/>
    </row>
    <row r="236" spans="1:45" hidden="1" x14ac:dyDescent="0.25">
      <c r="A236" t="s">
        <v>130</v>
      </c>
      <c r="B236" s="1" t="s">
        <v>24</v>
      </c>
      <c r="C236" s="129" t="s">
        <v>438</v>
      </c>
      <c r="D236" s="9"/>
      <c r="E236" s="9"/>
      <c r="F236" s="9"/>
      <c r="G236" s="9"/>
      <c r="H236" s="9"/>
      <c r="I236" s="9"/>
      <c r="J236" s="9"/>
      <c r="T236">
        <f>AVERAGE(17,21)</f>
        <v>19</v>
      </c>
      <c r="U236" s="14" t="s">
        <v>441</v>
      </c>
      <c r="AS236" s="21"/>
    </row>
    <row r="237" spans="1:45" hidden="1" x14ac:dyDescent="0.25">
      <c r="A237" t="s">
        <v>130</v>
      </c>
      <c r="B237" s="1" t="s">
        <v>24</v>
      </c>
      <c r="C237" s="129" t="s">
        <v>492</v>
      </c>
      <c r="D237" s="9"/>
      <c r="E237" s="9"/>
      <c r="F237" s="9"/>
      <c r="G237" s="9"/>
      <c r="H237" s="9"/>
      <c r="I237" s="9"/>
      <c r="J237" s="9"/>
      <c r="V237">
        <f>AVERAGE(900,1000)</f>
        <v>950</v>
      </c>
      <c r="W237" s="14" t="s">
        <v>495</v>
      </c>
      <c r="AS237" s="21"/>
    </row>
    <row r="238" spans="1:45" hidden="1" x14ac:dyDescent="0.25">
      <c r="A238" t="s">
        <v>130</v>
      </c>
      <c r="B238" s="1" t="s">
        <v>24</v>
      </c>
      <c r="C238" s="129" t="s">
        <v>493</v>
      </c>
      <c r="D238" s="9"/>
      <c r="E238" s="9"/>
      <c r="F238" s="9"/>
      <c r="G238" s="9"/>
      <c r="H238" s="9"/>
      <c r="I238" s="9"/>
      <c r="J238" s="9"/>
      <c r="V238">
        <f>AVERAGE(5000,6000)</f>
        <v>5500</v>
      </c>
      <c r="W238" s="14" t="s">
        <v>496</v>
      </c>
      <c r="AS238" s="21"/>
    </row>
    <row r="239" spans="1:45" s="38" customFormat="1" hidden="1" x14ac:dyDescent="0.25">
      <c r="A239" s="38" t="s">
        <v>130</v>
      </c>
      <c r="B239" s="39" t="s">
        <v>24</v>
      </c>
      <c r="C239" s="130" t="s">
        <v>494</v>
      </c>
      <c r="E239" s="42"/>
      <c r="F239" s="43"/>
      <c r="G239" s="42"/>
      <c r="H239" s="43"/>
      <c r="I239" s="42"/>
      <c r="K239" s="42"/>
      <c r="M239" s="42"/>
      <c r="O239" s="42"/>
      <c r="Q239" s="113"/>
      <c r="S239" s="42"/>
      <c r="U239" s="42"/>
      <c r="V239" s="38">
        <f>AVERAGE(250,350)</f>
        <v>300</v>
      </c>
      <c r="W239" s="42" t="s">
        <v>497</v>
      </c>
      <c r="X239" s="38">
        <v>20</v>
      </c>
      <c r="Y239" s="42" t="s">
        <v>542</v>
      </c>
      <c r="AA239" s="42"/>
      <c r="AC239" s="42"/>
      <c r="AD239" s="144"/>
      <c r="AE239" s="42"/>
      <c r="AG239" s="42" t="s">
        <v>696</v>
      </c>
      <c r="AI239" s="42"/>
      <c r="AK239" s="42"/>
      <c r="AM239" s="42"/>
      <c r="AO239" s="42"/>
      <c r="AQ239" s="42"/>
      <c r="AR239" s="38">
        <v>85.1</v>
      </c>
      <c r="AS239" s="43" t="s">
        <v>943</v>
      </c>
    </row>
    <row r="240" spans="1:45" hidden="1" x14ac:dyDescent="0.25">
      <c r="A240" t="s">
        <v>130</v>
      </c>
      <c r="B240" s="1" t="s">
        <v>24</v>
      </c>
      <c r="C240" s="129" t="s">
        <v>536</v>
      </c>
      <c r="X240">
        <v>47</v>
      </c>
      <c r="Y240" s="14" t="s">
        <v>541</v>
      </c>
      <c r="AS240" s="21"/>
    </row>
    <row r="241" spans="1:45" hidden="1" x14ac:dyDescent="0.25">
      <c r="A241" t="s">
        <v>130</v>
      </c>
      <c r="B241" s="1" t="s">
        <v>24</v>
      </c>
      <c r="C241" s="129" t="s">
        <v>668</v>
      </c>
      <c r="AD241" s="140" t="s">
        <v>669</v>
      </c>
      <c r="AE241" s="14" t="s">
        <v>669</v>
      </c>
      <c r="AS241" s="21"/>
    </row>
    <row r="242" spans="1:45" s="38" customFormat="1" hidden="1" x14ac:dyDescent="0.25">
      <c r="A242" s="38" t="s">
        <v>130</v>
      </c>
      <c r="B242" s="39" t="s">
        <v>24</v>
      </c>
      <c r="C242" s="130" t="s">
        <v>667</v>
      </c>
      <c r="E242" s="42"/>
      <c r="F242" s="43"/>
      <c r="G242" s="42"/>
      <c r="H242" s="43"/>
      <c r="I242" s="42"/>
      <c r="K242" s="42"/>
      <c r="M242" s="42"/>
      <c r="O242" s="42"/>
      <c r="Q242" s="113"/>
      <c r="S242" s="42"/>
      <c r="U242" s="42"/>
      <c r="W242" s="42"/>
      <c r="Y242" s="42"/>
      <c r="AA242" s="42"/>
      <c r="AC242" s="42"/>
      <c r="AD242" s="144" t="s">
        <v>670</v>
      </c>
      <c r="AE242" s="42" t="s">
        <v>670</v>
      </c>
      <c r="AG242" s="42"/>
      <c r="AI242" s="42"/>
      <c r="AK242" s="42"/>
      <c r="AM242" s="42"/>
      <c r="AN242" s="124">
        <v>13000000000</v>
      </c>
      <c r="AO242" s="125">
        <v>13000000000</v>
      </c>
      <c r="AQ242" s="42"/>
      <c r="AS242" s="43"/>
    </row>
    <row r="243" spans="1:45" hidden="1" x14ac:dyDescent="0.25">
      <c r="A243" t="s">
        <v>130</v>
      </c>
      <c r="B243" s="1" t="s">
        <v>24</v>
      </c>
      <c r="C243" s="129" t="s">
        <v>537</v>
      </c>
      <c r="X243" s="14" t="s">
        <v>540</v>
      </c>
      <c r="Y243" s="14" t="s">
        <v>540</v>
      </c>
      <c r="AS243" s="21"/>
    </row>
    <row r="244" spans="1:45" hidden="1" x14ac:dyDescent="0.25">
      <c r="A244" t="s">
        <v>130</v>
      </c>
      <c r="B244" s="1" t="s">
        <v>24</v>
      </c>
      <c r="C244" s="129" t="s">
        <v>538</v>
      </c>
      <c r="X244" s="14" t="s">
        <v>539</v>
      </c>
      <c r="Y244" s="14" t="s">
        <v>539</v>
      </c>
      <c r="AS244" s="21"/>
    </row>
    <row r="245" spans="1:45" ht="20.25" hidden="1" customHeight="1" x14ac:dyDescent="0.25">
      <c r="A245" t="s">
        <v>130</v>
      </c>
      <c r="B245" s="1" t="s">
        <v>24</v>
      </c>
      <c r="C245" s="1" t="s">
        <v>585</v>
      </c>
      <c r="Z245" s="103" t="s">
        <v>586</v>
      </c>
      <c r="AA245" s="103" t="s">
        <v>586</v>
      </c>
      <c r="AS245" s="21"/>
    </row>
    <row r="246" spans="1:45" hidden="1" x14ac:dyDescent="0.25">
      <c r="A246" t="s">
        <v>130</v>
      </c>
      <c r="B246" s="1" t="s">
        <v>24</v>
      </c>
      <c r="C246" s="129" t="s">
        <v>630</v>
      </c>
      <c r="AB246">
        <f>AVERAGE(5,7)</f>
        <v>6</v>
      </c>
      <c r="AC246" s="14" t="s">
        <v>632</v>
      </c>
      <c r="AS246" s="21"/>
    </row>
    <row r="247" spans="1:45" hidden="1" x14ac:dyDescent="0.25">
      <c r="A247" t="s">
        <v>130</v>
      </c>
      <c r="B247" s="1" t="s">
        <v>24</v>
      </c>
      <c r="C247" s="129" t="s">
        <v>631</v>
      </c>
      <c r="AB247" s="94">
        <v>0.1</v>
      </c>
      <c r="AC247" s="14" t="s">
        <v>633</v>
      </c>
      <c r="AS247" s="21"/>
    </row>
    <row r="248" spans="1:45" hidden="1" x14ac:dyDescent="0.25">
      <c r="A248" t="s">
        <v>130</v>
      </c>
      <c r="B248" s="1" t="s">
        <v>24</v>
      </c>
      <c r="C248" s="129" t="s">
        <v>699</v>
      </c>
      <c r="AF248" s="14" t="s">
        <v>696</v>
      </c>
      <c r="AG248" s="14" t="s">
        <v>696</v>
      </c>
      <c r="AS248" s="21"/>
    </row>
    <row r="249" spans="1:45" hidden="1" x14ac:dyDescent="0.25">
      <c r="A249" t="s">
        <v>130</v>
      </c>
      <c r="B249" s="1" t="s">
        <v>24</v>
      </c>
      <c r="C249" s="129" t="s">
        <v>982</v>
      </c>
      <c r="AF249" s="14" t="s">
        <v>696</v>
      </c>
      <c r="AG249" s="14" t="s">
        <v>696</v>
      </c>
      <c r="AS249" s="21"/>
    </row>
    <row r="250" spans="1:45" hidden="1" x14ac:dyDescent="0.25">
      <c r="A250" t="s">
        <v>130</v>
      </c>
      <c r="B250" s="1" t="s">
        <v>24</v>
      </c>
      <c r="C250" s="129" t="s">
        <v>747</v>
      </c>
      <c r="AH250">
        <v>115</v>
      </c>
      <c r="AI250" s="14" t="s">
        <v>750</v>
      </c>
      <c r="AS250" s="21"/>
    </row>
    <row r="251" spans="1:45" hidden="1" x14ac:dyDescent="0.25">
      <c r="A251" t="s">
        <v>130</v>
      </c>
      <c r="B251" s="1" t="s">
        <v>24</v>
      </c>
      <c r="C251" s="129" t="s">
        <v>748</v>
      </c>
      <c r="AH251" s="2">
        <v>0.60099999999999998</v>
      </c>
      <c r="AI251" s="14" t="s">
        <v>751</v>
      </c>
      <c r="AS251" s="21"/>
    </row>
    <row r="252" spans="1:45" hidden="1" x14ac:dyDescent="0.25">
      <c r="A252" t="s">
        <v>130</v>
      </c>
      <c r="B252" s="1" t="s">
        <v>24</v>
      </c>
      <c r="C252" s="129" t="s">
        <v>749</v>
      </c>
      <c r="AH252" s="149">
        <v>100000000</v>
      </c>
      <c r="AI252" s="14" t="s">
        <v>752</v>
      </c>
      <c r="AS252" s="21"/>
    </row>
    <row r="253" spans="1:45" hidden="1" x14ac:dyDescent="0.25">
      <c r="A253" t="s">
        <v>130</v>
      </c>
      <c r="B253" s="1" t="s">
        <v>24</v>
      </c>
      <c r="C253" s="129" t="s">
        <v>797</v>
      </c>
      <c r="AJ253" s="14" t="s">
        <v>798</v>
      </c>
      <c r="AK253" s="14" t="s">
        <v>798</v>
      </c>
      <c r="AS253" s="21"/>
    </row>
    <row r="254" spans="1:45" hidden="1" x14ac:dyDescent="0.25">
      <c r="A254" t="s">
        <v>130</v>
      </c>
      <c r="B254" s="1" t="s">
        <v>24</v>
      </c>
      <c r="C254" s="129" t="s">
        <v>829</v>
      </c>
      <c r="AL254" s="94">
        <v>0.9</v>
      </c>
      <c r="AM254" s="15">
        <v>0.9</v>
      </c>
      <c r="AS254" s="21"/>
    </row>
    <row r="255" spans="1:45" hidden="1" x14ac:dyDescent="0.25">
      <c r="A255" t="s">
        <v>130</v>
      </c>
      <c r="B255" s="1" t="s">
        <v>24</v>
      </c>
      <c r="C255" s="129" t="s">
        <v>852</v>
      </c>
      <c r="AN255" s="108">
        <v>5000000</v>
      </c>
      <c r="AO255" s="110">
        <v>5000000</v>
      </c>
      <c r="AS255" s="21"/>
    </row>
    <row r="256" spans="1:45" hidden="1" x14ac:dyDescent="0.25">
      <c r="A256" t="s">
        <v>130</v>
      </c>
      <c r="B256" s="1" t="s">
        <v>24</v>
      </c>
      <c r="C256" s="129" t="s">
        <v>853</v>
      </c>
      <c r="AN256" t="s">
        <v>854</v>
      </c>
      <c r="AO256" s="14" t="s">
        <v>854</v>
      </c>
      <c r="AS256" s="21"/>
    </row>
    <row r="257" spans="1:45" hidden="1" x14ac:dyDescent="0.25">
      <c r="A257" t="s">
        <v>130</v>
      </c>
      <c r="B257" s="1" t="s">
        <v>24</v>
      </c>
      <c r="C257" s="129" t="s">
        <v>891</v>
      </c>
      <c r="AP257" s="2">
        <v>0.95099999999999996</v>
      </c>
      <c r="AQ257" s="14" t="s">
        <v>894</v>
      </c>
      <c r="AS257" s="21"/>
    </row>
    <row r="258" spans="1:45" hidden="1" x14ac:dyDescent="0.25">
      <c r="A258" t="s">
        <v>130</v>
      </c>
      <c r="B258" s="1" t="s">
        <v>24</v>
      </c>
      <c r="C258" s="129" t="s">
        <v>892</v>
      </c>
      <c r="AP258" s="2">
        <v>0.90100000000000002</v>
      </c>
      <c r="AQ258" s="14" t="s">
        <v>895</v>
      </c>
      <c r="AS258" s="21"/>
    </row>
    <row r="259" spans="1:45" hidden="1" x14ac:dyDescent="0.25">
      <c r="A259" t="s">
        <v>130</v>
      </c>
      <c r="B259" s="1" t="s">
        <v>24</v>
      </c>
      <c r="C259" s="129" t="s">
        <v>893</v>
      </c>
      <c r="AP259" s="14" t="s">
        <v>896</v>
      </c>
      <c r="AQ259" s="14" t="s">
        <v>896</v>
      </c>
      <c r="AS259" s="21"/>
    </row>
    <row r="260" spans="1:45" hidden="1" x14ac:dyDescent="0.25">
      <c r="A260" t="s">
        <v>130</v>
      </c>
      <c r="B260" s="1" t="s">
        <v>24</v>
      </c>
      <c r="C260" s="129" t="s">
        <v>945</v>
      </c>
      <c r="AR260">
        <f>_xlfn.CEILING.MATH(1835+1835*0.35)</f>
        <v>2478</v>
      </c>
      <c r="AS260" s="21" t="s">
        <v>944</v>
      </c>
    </row>
    <row r="261" spans="1:45" hidden="1" x14ac:dyDescent="0.25">
      <c r="A261" t="s">
        <v>130</v>
      </c>
      <c r="B261" s="1" t="s">
        <v>24</v>
      </c>
      <c r="C261" s="129" t="s">
        <v>946</v>
      </c>
      <c r="AR261">
        <f>_xlfn.CEILING.MATH(59+58*0.2)</f>
        <v>71</v>
      </c>
      <c r="AS261" s="21" t="s">
        <v>947</v>
      </c>
    </row>
  </sheetData>
  <pageMargins left="0.7" right="0.7" top="0.75" bottom="0.75" header="0.3" footer="0.3"/>
  <pageSetup orientation="portrait" r:id="rId1"/>
  <legacy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F93465-3DD8-452F-8A01-EDDB4760E9ED}">
  <dimension ref="A1:V11"/>
  <sheetViews>
    <sheetView workbookViewId="0">
      <selection activeCell="H5" sqref="H5"/>
    </sheetView>
  </sheetViews>
  <sheetFormatPr defaultColWidth="8.85546875" defaultRowHeight="15" x14ac:dyDescent="0.25"/>
  <cols>
    <col min="1" max="1" width="6.7109375" customWidth="1"/>
    <col min="2" max="2" width="17.28515625" customWidth="1"/>
    <col min="3" max="3" width="15.85546875" customWidth="1"/>
    <col min="4" max="4" width="18.140625" customWidth="1"/>
    <col min="5" max="5" width="19" customWidth="1"/>
    <col min="6" max="6" width="20" customWidth="1"/>
    <col min="7" max="7" width="19.7109375" customWidth="1"/>
    <col min="8" max="8" width="18.7109375" customWidth="1"/>
    <col min="10" max="10" width="18" customWidth="1"/>
    <col min="11" max="11" width="17.85546875" customWidth="1"/>
    <col min="12" max="12" width="15.7109375" customWidth="1"/>
    <col min="13" max="13" width="19" customWidth="1"/>
    <col min="14" max="14" width="19.140625" customWidth="1"/>
    <col min="15" max="15" width="19.28515625" customWidth="1"/>
    <col min="16" max="16" width="19.85546875" customWidth="1"/>
    <col min="17" max="17" width="21" customWidth="1"/>
    <col min="18" max="18" width="20.140625" customWidth="1"/>
    <col min="19" max="19" width="11.7109375" customWidth="1"/>
    <col min="20" max="20" width="18.140625" customWidth="1"/>
    <col min="21" max="21" width="22.85546875" customWidth="1"/>
    <col min="22" max="22" width="15" customWidth="1"/>
  </cols>
  <sheetData>
    <row r="1" spans="1:22" x14ac:dyDescent="0.25">
      <c r="A1" t="s">
        <v>957</v>
      </c>
      <c r="B1" s="8" t="s">
        <v>2</v>
      </c>
      <c r="C1" s="8" t="s">
        <v>3</v>
      </c>
      <c r="D1" s="8" t="s">
        <v>4</v>
      </c>
      <c r="E1" s="8" t="s">
        <v>5</v>
      </c>
      <c r="F1" s="8" t="s">
        <v>6</v>
      </c>
      <c r="G1" s="8" t="s">
        <v>7</v>
      </c>
      <c r="H1" s="8" t="s">
        <v>8</v>
      </c>
      <c r="I1" s="8" t="s">
        <v>9</v>
      </c>
      <c r="J1" s="8" t="s">
        <v>10</v>
      </c>
      <c r="K1" s="8" t="s">
        <v>11</v>
      </c>
      <c r="L1" s="8" t="s">
        <v>12</v>
      </c>
      <c r="M1" s="8" t="s">
        <v>13</v>
      </c>
      <c r="N1" s="8" t="s">
        <v>14</v>
      </c>
      <c r="O1" s="8" t="s">
        <v>15</v>
      </c>
      <c r="P1" s="8" t="s">
        <v>16</v>
      </c>
      <c r="Q1" s="8" t="s">
        <v>17</v>
      </c>
      <c r="R1" s="8" t="s">
        <v>18</v>
      </c>
      <c r="S1" s="8" t="s">
        <v>19</v>
      </c>
      <c r="T1" s="8" t="s">
        <v>20</v>
      </c>
      <c r="U1" s="8" t="s">
        <v>21</v>
      </c>
      <c r="V1" s="8" t="s">
        <v>22</v>
      </c>
    </row>
    <row r="2" spans="1:22" x14ac:dyDescent="0.25">
      <c r="A2">
        <v>1</v>
      </c>
      <c r="B2" t="s">
        <v>62</v>
      </c>
      <c r="C2" t="s">
        <v>153</v>
      </c>
      <c r="D2" t="s">
        <v>180</v>
      </c>
      <c r="E2" t="s">
        <v>250</v>
      </c>
      <c r="F2" t="s">
        <v>285</v>
      </c>
      <c r="G2" t="s">
        <v>315</v>
      </c>
      <c r="H2" t="s">
        <v>360</v>
      </c>
      <c r="I2" t="s">
        <v>390</v>
      </c>
      <c r="J2" t="s">
        <v>442</v>
      </c>
      <c r="K2" t="s">
        <v>498</v>
      </c>
      <c r="L2" t="s">
        <v>543</v>
      </c>
      <c r="M2" t="s">
        <v>587</v>
      </c>
      <c r="N2" t="s">
        <v>634</v>
      </c>
      <c r="O2" t="s">
        <v>447</v>
      </c>
      <c r="P2" t="s">
        <v>700</v>
      </c>
      <c r="Q2" t="s">
        <v>753</v>
      </c>
      <c r="R2" t="s">
        <v>154</v>
      </c>
      <c r="S2" t="s">
        <v>250</v>
      </c>
      <c r="T2" t="s">
        <v>855</v>
      </c>
      <c r="U2" t="s">
        <v>897</v>
      </c>
      <c r="V2" t="s">
        <v>948</v>
      </c>
    </row>
    <row r="3" spans="1:22" x14ac:dyDescent="0.25">
      <c r="A3">
        <v>2</v>
      </c>
      <c r="B3" t="s">
        <v>63</v>
      </c>
      <c r="C3" t="s">
        <v>154</v>
      </c>
      <c r="D3" t="s">
        <v>181</v>
      </c>
      <c r="E3" t="s">
        <v>251</v>
      </c>
      <c r="F3" t="s">
        <v>286</v>
      </c>
      <c r="G3" t="s">
        <v>316</v>
      </c>
      <c r="H3" t="s">
        <v>361</v>
      </c>
      <c r="I3" t="s">
        <v>391</v>
      </c>
      <c r="J3" t="s">
        <v>443</v>
      </c>
      <c r="K3" t="s">
        <v>499</v>
      </c>
      <c r="L3" t="s">
        <v>544</v>
      </c>
      <c r="M3" t="s">
        <v>588</v>
      </c>
      <c r="N3" t="s">
        <v>635</v>
      </c>
      <c r="O3" t="s">
        <v>671</v>
      </c>
      <c r="P3" t="s">
        <v>701</v>
      </c>
      <c r="Q3" t="s">
        <v>754</v>
      </c>
      <c r="R3" t="s">
        <v>799</v>
      </c>
      <c r="S3" t="s">
        <v>830</v>
      </c>
      <c r="T3" t="s">
        <v>856</v>
      </c>
      <c r="U3" t="s">
        <v>898</v>
      </c>
      <c r="V3" t="s">
        <v>949</v>
      </c>
    </row>
    <row r="4" spans="1:22" x14ac:dyDescent="0.25">
      <c r="A4">
        <v>3</v>
      </c>
      <c r="B4" t="s">
        <v>64</v>
      </c>
      <c r="C4" t="s">
        <v>155</v>
      </c>
      <c r="D4" t="s">
        <v>182</v>
      </c>
      <c r="E4" t="s">
        <v>252</v>
      </c>
      <c r="F4" t="s">
        <v>287</v>
      </c>
      <c r="G4" t="s">
        <v>317</v>
      </c>
      <c r="H4" t="s">
        <v>362</v>
      </c>
      <c r="I4" t="s">
        <v>392</v>
      </c>
      <c r="J4" t="s">
        <v>444</v>
      </c>
      <c r="K4" t="s">
        <v>500</v>
      </c>
      <c r="L4" t="s">
        <v>545</v>
      </c>
      <c r="M4" t="s">
        <v>589</v>
      </c>
      <c r="N4" t="s">
        <v>636</v>
      </c>
      <c r="O4" t="s">
        <v>672</v>
      </c>
      <c r="P4" t="s">
        <v>543</v>
      </c>
      <c r="Q4" t="s">
        <v>64</v>
      </c>
      <c r="R4" t="s">
        <v>800</v>
      </c>
      <c r="S4" t="s">
        <v>362</v>
      </c>
      <c r="T4" t="s">
        <v>857</v>
      </c>
      <c r="U4" t="s">
        <v>899</v>
      </c>
      <c r="V4" t="s">
        <v>154</v>
      </c>
    </row>
    <row r="5" spans="1:22" x14ac:dyDescent="0.25">
      <c r="A5">
        <v>4</v>
      </c>
      <c r="B5" t="s">
        <v>65</v>
      </c>
      <c r="C5" t="s">
        <v>156</v>
      </c>
      <c r="D5" t="s">
        <v>183</v>
      </c>
      <c r="E5" t="s">
        <v>154</v>
      </c>
      <c r="F5" t="s">
        <v>288</v>
      </c>
      <c r="G5" t="s">
        <v>318</v>
      </c>
      <c r="H5" t="s">
        <v>158</v>
      </c>
      <c r="I5" t="s">
        <v>393</v>
      </c>
      <c r="J5" t="s">
        <v>154</v>
      </c>
      <c r="K5" t="s">
        <v>501</v>
      </c>
      <c r="L5" t="s">
        <v>362</v>
      </c>
      <c r="N5" t="s">
        <v>637</v>
      </c>
      <c r="O5" t="s">
        <v>673</v>
      </c>
      <c r="P5" t="s">
        <v>702</v>
      </c>
      <c r="Q5" t="s">
        <v>286</v>
      </c>
      <c r="R5" t="s">
        <v>250</v>
      </c>
      <c r="S5" t="s">
        <v>831</v>
      </c>
      <c r="T5" t="s">
        <v>858</v>
      </c>
      <c r="U5" t="s">
        <v>900</v>
      </c>
      <c r="V5" t="s">
        <v>950</v>
      </c>
    </row>
    <row r="6" spans="1:22" x14ac:dyDescent="0.25">
      <c r="A6">
        <v>5</v>
      </c>
      <c r="B6" t="s">
        <v>66</v>
      </c>
      <c r="C6" t="s">
        <v>157</v>
      </c>
      <c r="D6" t="s">
        <v>184</v>
      </c>
      <c r="E6" t="s">
        <v>158</v>
      </c>
      <c r="F6" t="s">
        <v>289</v>
      </c>
      <c r="G6" t="s">
        <v>319</v>
      </c>
      <c r="H6" t="s">
        <v>363</v>
      </c>
      <c r="J6" t="s">
        <v>158</v>
      </c>
      <c r="K6" t="s">
        <v>502</v>
      </c>
      <c r="L6" t="s">
        <v>158</v>
      </c>
      <c r="N6" t="s">
        <v>638</v>
      </c>
      <c r="O6" t="s">
        <v>446</v>
      </c>
      <c r="P6" t="s">
        <v>703</v>
      </c>
      <c r="Q6" t="s">
        <v>755</v>
      </c>
      <c r="R6" t="s">
        <v>801</v>
      </c>
      <c r="S6" t="s">
        <v>832</v>
      </c>
      <c r="T6" t="s">
        <v>158</v>
      </c>
      <c r="U6" t="s">
        <v>901</v>
      </c>
      <c r="V6" t="s">
        <v>951</v>
      </c>
    </row>
    <row r="7" spans="1:22" x14ac:dyDescent="0.25">
      <c r="A7">
        <v>6</v>
      </c>
      <c r="C7" t="s">
        <v>158</v>
      </c>
      <c r="D7" t="s">
        <v>185</v>
      </c>
      <c r="E7" t="s">
        <v>253</v>
      </c>
      <c r="F7" t="s">
        <v>290</v>
      </c>
      <c r="G7" t="s">
        <v>320</v>
      </c>
      <c r="H7" t="s">
        <v>364</v>
      </c>
      <c r="J7" t="s">
        <v>445</v>
      </c>
      <c r="K7" t="s">
        <v>503</v>
      </c>
      <c r="L7" t="s">
        <v>546</v>
      </c>
      <c r="N7" t="s">
        <v>639</v>
      </c>
      <c r="O7" t="s">
        <v>543</v>
      </c>
      <c r="P7" t="s">
        <v>704</v>
      </c>
      <c r="Q7" t="s">
        <v>756</v>
      </c>
      <c r="R7" t="s">
        <v>802</v>
      </c>
      <c r="S7" t="s">
        <v>833</v>
      </c>
      <c r="U7" t="s">
        <v>902</v>
      </c>
      <c r="V7" t="s">
        <v>952</v>
      </c>
    </row>
    <row r="8" spans="1:22" x14ac:dyDescent="0.25">
      <c r="A8">
        <v>7</v>
      </c>
      <c r="D8" t="s">
        <v>186</v>
      </c>
      <c r="E8" t="s">
        <v>254</v>
      </c>
      <c r="F8" t="s">
        <v>291</v>
      </c>
      <c r="G8" t="s">
        <v>321</v>
      </c>
      <c r="H8" t="s">
        <v>65</v>
      </c>
      <c r="J8" t="s">
        <v>446</v>
      </c>
      <c r="K8" t="s">
        <v>504</v>
      </c>
      <c r="L8" t="s">
        <v>547</v>
      </c>
      <c r="N8" t="s">
        <v>640</v>
      </c>
      <c r="O8" t="s">
        <v>674</v>
      </c>
      <c r="P8" t="s">
        <v>705</v>
      </c>
      <c r="Q8" t="s">
        <v>757</v>
      </c>
      <c r="R8" t="s">
        <v>543</v>
      </c>
      <c r="S8" t="s">
        <v>834</v>
      </c>
      <c r="U8" t="s">
        <v>903</v>
      </c>
      <c r="V8" t="s">
        <v>543</v>
      </c>
    </row>
    <row r="9" spans="1:22" x14ac:dyDescent="0.25">
      <c r="A9">
        <v>8</v>
      </c>
      <c r="D9" t="s">
        <v>187</v>
      </c>
      <c r="E9" t="s">
        <v>255</v>
      </c>
      <c r="F9" t="s">
        <v>158</v>
      </c>
      <c r="G9" t="s">
        <v>322</v>
      </c>
      <c r="H9" t="s">
        <v>365</v>
      </c>
      <c r="J9" t="s">
        <v>447</v>
      </c>
      <c r="K9" t="s">
        <v>505</v>
      </c>
      <c r="L9" t="s">
        <v>548</v>
      </c>
      <c r="N9" t="s">
        <v>641</v>
      </c>
      <c r="O9" t="s">
        <v>158</v>
      </c>
      <c r="P9" t="s">
        <v>706</v>
      </c>
      <c r="Q9" t="s">
        <v>758</v>
      </c>
      <c r="R9" t="s">
        <v>803</v>
      </c>
      <c r="S9" t="s">
        <v>835</v>
      </c>
      <c r="U9" t="s">
        <v>904</v>
      </c>
      <c r="V9" t="s">
        <v>446</v>
      </c>
    </row>
    <row r="10" spans="1:22" x14ac:dyDescent="0.25">
      <c r="A10">
        <v>9</v>
      </c>
      <c r="D10" t="s">
        <v>188</v>
      </c>
      <c r="F10" t="s">
        <v>292</v>
      </c>
      <c r="G10" t="s">
        <v>323</v>
      </c>
      <c r="J10" t="s">
        <v>362</v>
      </c>
      <c r="L10" t="s">
        <v>154</v>
      </c>
      <c r="Q10" t="s">
        <v>759</v>
      </c>
      <c r="R10" t="s">
        <v>446</v>
      </c>
      <c r="S10" t="s">
        <v>158</v>
      </c>
      <c r="U10" t="s">
        <v>905</v>
      </c>
      <c r="V10" t="s">
        <v>672</v>
      </c>
    </row>
    <row r="11" spans="1:22" x14ac:dyDescent="0.25">
      <c r="A11">
        <v>10</v>
      </c>
      <c r="D11" t="s">
        <v>189</v>
      </c>
      <c r="F11" t="s">
        <v>293</v>
      </c>
      <c r="G11" t="s">
        <v>324</v>
      </c>
      <c r="J11" t="s">
        <v>448</v>
      </c>
      <c r="Q11" t="s">
        <v>760</v>
      </c>
      <c r="R11" t="s">
        <v>804</v>
      </c>
      <c r="S11" t="s">
        <v>671</v>
      </c>
      <c r="V11" t="s">
        <v>702</v>
      </c>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527D74-11BC-4293-9EB9-C1630C9BE86A}">
  <dimension ref="A1:V11"/>
  <sheetViews>
    <sheetView workbookViewId="0">
      <selection sqref="A1:A1048576"/>
    </sheetView>
  </sheetViews>
  <sheetFormatPr defaultColWidth="8.85546875" defaultRowHeight="15" x14ac:dyDescent="0.25"/>
  <cols>
    <col min="1" max="1" width="7" bestFit="1" customWidth="1"/>
    <col min="2" max="2" width="17.28515625" customWidth="1"/>
    <col min="3" max="3" width="15.85546875" customWidth="1"/>
    <col min="4" max="4" width="18.140625" customWidth="1"/>
    <col min="5" max="5" width="19" customWidth="1"/>
    <col min="6" max="6" width="20" customWidth="1"/>
    <col min="7" max="7" width="19.7109375" customWidth="1"/>
    <col min="8" max="8" width="18.7109375" customWidth="1"/>
    <col min="10" max="10" width="18" customWidth="1"/>
    <col min="11" max="11" width="17.85546875" customWidth="1"/>
    <col min="12" max="12" width="15.7109375" customWidth="1"/>
    <col min="13" max="13" width="19" customWidth="1"/>
    <col min="14" max="14" width="19.140625" customWidth="1"/>
    <col min="15" max="15" width="19.28515625" customWidth="1"/>
    <col min="16" max="16" width="19.85546875" customWidth="1"/>
    <col min="17" max="17" width="21" customWidth="1"/>
    <col min="18" max="18" width="20.140625" customWidth="1"/>
    <col min="19" max="19" width="11.7109375" customWidth="1"/>
    <col min="20" max="20" width="18.140625" customWidth="1"/>
    <col min="21" max="21" width="22.85546875" customWidth="1"/>
    <col min="22" max="22" width="15" customWidth="1"/>
  </cols>
  <sheetData>
    <row r="1" spans="1:22" x14ac:dyDescent="0.25">
      <c r="A1" t="s">
        <v>957</v>
      </c>
      <c r="B1" s="8" t="s">
        <v>2</v>
      </c>
      <c r="C1" s="8" t="s">
        <v>3</v>
      </c>
      <c r="D1" s="8" t="s">
        <v>4</v>
      </c>
      <c r="E1" s="8" t="s">
        <v>5</v>
      </c>
      <c r="F1" s="8" t="s">
        <v>6</v>
      </c>
      <c r="G1" s="8" t="s">
        <v>7</v>
      </c>
      <c r="H1" s="8" t="s">
        <v>8</v>
      </c>
      <c r="I1" s="8" t="s">
        <v>9</v>
      </c>
      <c r="J1" s="8" t="s">
        <v>10</v>
      </c>
      <c r="K1" s="8" t="s">
        <v>11</v>
      </c>
      <c r="L1" s="8" t="s">
        <v>12</v>
      </c>
      <c r="M1" s="8" t="s">
        <v>13</v>
      </c>
      <c r="N1" s="8" t="s">
        <v>14</v>
      </c>
      <c r="O1" s="8" t="s">
        <v>15</v>
      </c>
      <c r="P1" s="8" t="s">
        <v>16</v>
      </c>
      <c r="Q1" s="8" t="s">
        <v>17</v>
      </c>
      <c r="R1" s="8" t="s">
        <v>18</v>
      </c>
      <c r="S1" s="8" t="s">
        <v>19</v>
      </c>
      <c r="T1" s="8" t="s">
        <v>20</v>
      </c>
      <c r="U1" s="8" t="s">
        <v>21</v>
      </c>
      <c r="V1" s="8" t="s">
        <v>22</v>
      </c>
    </row>
    <row r="2" spans="1:22" x14ac:dyDescent="0.25">
      <c r="A2">
        <v>1</v>
      </c>
      <c r="B2" t="s">
        <v>67</v>
      </c>
      <c r="C2" t="s">
        <v>153</v>
      </c>
      <c r="D2" t="s">
        <v>187</v>
      </c>
      <c r="E2" t="s">
        <v>256</v>
      </c>
      <c r="F2" t="s">
        <v>286</v>
      </c>
      <c r="G2" t="s">
        <v>325</v>
      </c>
      <c r="H2" t="s">
        <v>366</v>
      </c>
      <c r="I2" t="s">
        <v>391</v>
      </c>
      <c r="J2" t="s">
        <v>316</v>
      </c>
      <c r="K2" t="s">
        <v>506</v>
      </c>
      <c r="L2" t="s">
        <v>549</v>
      </c>
      <c r="M2" t="s">
        <v>590</v>
      </c>
      <c r="N2" t="s">
        <v>634</v>
      </c>
      <c r="O2" t="s">
        <v>675</v>
      </c>
      <c r="P2" t="s">
        <v>707</v>
      </c>
      <c r="Q2" t="s">
        <v>761</v>
      </c>
      <c r="R2" t="s">
        <v>802</v>
      </c>
      <c r="S2" t="s">
        <v>833</v>
      </c>
      <c r="T2" t="s">
        <v>859</v>
      </c>
      <c r="U2" t="s">
        <v>897</v>
      </c>
      <c r="V2" t="s">
        <v>953</v>
      </c>
    </row>
    <row r="3" spans="1:22" x14ac:dyDescent="0.25">
      <c r="A3">
        <v>2</v>
      </c>
      <c r="B3" t="s">
        <v>68</v>
      </c>
      <c r="C3" t="s">
        <v>155</v>
      </c>
      <c r="D3" t="s">
        <v>190</v>
      </c>
      <c r="E3" t="s">
        <v>250</v>
      </c>
      <c r="F3" t="s">
        <v>294</v>
      </c>
      <c r="G3" t="s">
        <v>326</v>
      </c>
      <c r="H3" t="s">
        <v>367</v>
      </c>
      <c r="I3" t="s">
        <v>392</v>
      </c>
      <c r="J3" t="s">
        <v>449</v>
      </c>
      <c r="K3" t="s">
        <v>507</v>
      </c>
      <c r="L3" t="s">
        <v>550</v>
      </c>
      <c r="M3" t="s">
        <v>588</v>
      </c>
      <c r="N3" t="s">
        <v>637</v>
      </c>
      <c r="O3" t="s">
        <v>673</v>
      </c>
      <c r="P3" t="s">
        <v>708</v>
      </c>
      <c r="Q3" t="s">
        <v>762</v>
      </c>
      <c r="R3" t="s">
        <v>805</v>
      </c>
      <c r="S3" t="s">
        <v>836</v>
      </c>
      <c r="T3" t="s">
        <v>857</v>
      </c>
      <c r="U3" t="s">
        <v>899</v>
      </c>
      <c r="V3" t="s">
        <v>949</v>
      </c>
    </row>
    <row r="4" spans="1:22" x14ac:dyDescent="0.25">
      <c r="A4">
        <v>3</v>
      </c>
      <c r="B4" t="s">
        <v>69</v>
      </c>
      <c r="C4" t="s">
        <v>154</v>
      </c>
      <c r="D4" t="s">
        <v>191</v>
      </c>
      <c r="E4" t="s">
        <v>257</v>
      </c>
      <c r="F4" t="s">
        <v>295</v>
      </c>
      <c r="G4" t="s">
        <v>321</v>
      </c>
      <c r="H4" t="s">
        <v>368</v>
      </c>
      <c r="I4" t="s">
        <v>393</v>
      </c>
      <c r="J4" t="s">
        <v>450</v>
      </c>
      <c r="K4" t="s">
        <v>508</v>
      </c>
      <c r="L4" t="s">
        <v>551</v>
      </c>
      <c r="M4" t="s">
        <v>589</v>
      </c>
      <c r="N4" t="s">
        <v>636</v>
      </c>
      <c r="O4" t="s">
        <v>672</v>
      </c>
      <c r="P4" t="s">
        <v>709</v>
      </c>
      <c r="Q4" t="s">
        <v>763</v>
      </c>
      <c r="R4" t="s">
        <v>806</v>
      </c>
      <c r="S4" t="s">
        <v>837</v>
      </c>
      <c r="T4" t="s">
        <v>858</v>
      </c>
      <c r="U4" t="s">
        <v>898</v>
      </c>
      <c r="V4" t="s">
        <v>954</v>
      </c>
    </row>
    <row r="5" spans="1:22" x14ac:dyDescent="0.25">
      <c r="A5">
        <v>4</v>
      </c>
      <c r="C5" t="s">
        <v>159</v>
      </c>
      <c r="D5" t="s">
        <v>192</v>
      </c>
      <c r="E5" t="s">
        <v>253</v>
      </c>
      <c r="F5" t="s">
        <v>296</v>
      </c>
      <c r="G5" t="s">
        <v>327</v>
      </c>
      <c r="H5" t="s">
        <v>369</v>
      </c>
      <c r="I5" t="s">
        <v>390</v>
      </c>
      <c r="K5" t="s">
        <v>509</v>
      </c>
      <c r="L5" t="s">
        <v>552</v>
      </c>
      <c r="N5" t="s">
        <v>642</v>
      </c>
      <c r="O5" t="s">
        <v>676</v>
      </c>
      <c r="P5" t="s">
        <v>710</v>
      </c>
      <c r="Q5" t="s">
        <v>764</v>
      </c>
      <c r="R5" t="s">
        <v>807</v>
      </c>
      <c r="S5" t="s">
        <v>838</v>
      </c>
      <c r="T5" t="s">
        <v>158</v>
      </c>
      <c r="U5" t="s">
        <v>905</v>
      </c>
      <c r="V5" t="s">
        <v>955</v>
      </c>
    </row>
    <row r="6" spans="1:22" x14ac:dyDescent="0.25">
      <c r="A6">
        <v>5</v>
      </c>
      <c r="C6" t="s">
        <v>157</v>
      </c>
      <c r="D6" t="s">
        <v>193</v>
      </c>
      <c r="E6" t="s">
        <v>258</v>
      </c>
      <c r="F6" t="s">
        <v>297</v>
      </c>
      <c r="G6" t="s">
        <v>328</v>
      </c>
      <c r="H6" t="s">
        <v>158</v>
      </c>
      <c r="I6" t="s">
        <v>298</v>
      </c>
      <c r="J6" t="s">
        <v>299</v>
      </c>
      <c r="K6" t="s">
        <v>510</v>
      </c>
      <c r="L6" t="s">
        <v>553</v>
      </c>
      <c r="N6" t="s">
        <v>643</v>
      </c>
      <c r="O6" t="s">
        <v>158</v>
      </c>
      <c r="P6" t="s">
        <v>711</v>
      </c>
      <c r="Q6" t="s">
        <v>765</v>
      </c>
      <c r="R6" t="s">
        <v>808</v>
      </c>
      <c r="S6" t="s">
        <v>753</v>
      </c>
      <c r="V6" t="s">
        <v>956</v>
      </c>
    </row>
    <row r="7" spans="1:22" x14ac:dyDescent="0.25">
      <c r="A7">
        <v>6</v>
      </c>
      <c r="H7" t="s">
        <v>65</v>
      </c>
      <c r="P7" t="s">
        <v>712</v>
      </c>
    </row>
    <row r="8" spans="1:22" x14ac:dyDescent="0.25">
      <c r="A8">
        <v>7</v>
      </c>
      <c r="H8" t="s">
        <v>370</v>
      </c>
    </row>
    <row r="9" spans="1:22" x14ac:dyDescent="0.25">
      <c r="A9">
        <v>8</v>
      </c>
      <c r="H9" t="s">
        <v>363</v>
      </c>
    </row>
    <row r="10" spans="1:22" x14ac:dyDescent="0.25">
      <c r="A10">
        <v>9</v>
      </c>
    </row>
    <row r="11" spans="1:22" x14ac:dyDescent="0.25">
      <c r="A11">
        <v>10</v>
      </c>
    </row>
  </sheetData>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E611A1-36CF-44DD-95B2-68924C39D786}">
  <dimension ref="A1:B22"/>
  <sheetViews>
    <sheetView workbookViewId="0">
      <selection activeCell="B22" sqref="A1:B22"/>
    </sheetView>
  </sheetViews>
  <sheetFormatPr defaultColWidth="8.85546875" defaultRowHeight="15" x14ac:dyDescent="0.25"/>
  <cols>
    <col min="1" max="1" width="64.28515625" customWidth="1"/>
    <col min="2" max="2" width="22.28515625" customWidth="1"/>
  </cols>
  <sheetData>
    <row r="1" spans="1:2" x14ac:dyDescent="0.25">
      <c r="A1" s="3" t="s">
        <v>25</v>
      </c>
      <c r="B1" s="3" t="s">
        <v>56</v>
      </c>
    </row>
    <row r="2" spans="1:2" x14ac:dyDescent="0.25">
      <c r="A2" t="s">
        <v>2</v>
      </c>
      <c r="B2" s="4">
        <v>1525</v>
      </c>
    </row>
    <row r="3" spans="1:2" x14ac:dyDescent="0.25">
      <c r="A3" t="s">
        <v>3</v>
      </c>
      <c r="B3" s="4">
        <v>28157.98</v>
      </c>
    </row>
    <row r="4" spans="1:2" x14ac:dyDescent="0.25">
      <c r="A4" t="s">
        <v>4</v>
      </c>
      <c r="B4" s="4">
        <v>53273.31</v>
      </c>
    </row>
    <row r="5" spans="1:2" x14ac:dyDescent="0.25">
      <c r="A5" t="s">
        <v>5</v>
      </c>
      <c r="B5" s="4">
        <v>15487</v>
      </c>
    </row>
    <row r="6" spans="1:2" x14ac:dyDescent="0.25">
      <c r="A6" t="s">
        <v>6</v>
      </c>
      <c r="B6" s="4">
        <v>15891</v>
      </c>
    </row>
    <row r="7" spans="1:2" x14ac:dyDescent="0.25">
      <c r="A7" t="s">
        <v>7</v>
      </c>
      <c r="B7" s="4">
        <v>74245.289999999994</v>
      </c>
    </row>
    <row r="8" spans="1:2" x14ac:dyDescent="0.25">
      <c r="A8" t="s">
        <v>8</v>
      </c>
      <c r="B8" s="4">
        <v>7874.74</v>
      </c>
    </row>
    <row r="9" spans="1:2" x14ac:dyDescent="0.25">
      <c r="A9" t="s">
        <v>9</v>
      </c>
      <c r="B9" s="4">
        <v>6686.88</v>
      </c>
    </row>
    <row r="10" spans="1:2" x14ac:dyDescent="0.25">
      <c r="A10" t="s">
        <v>10</v>
      </c>
      <c r="B10" s="4">
        <v>60785.3</v>
      </c>
    </row>
    <row r="11" spans="1:2" x14ac:dyDescent="0.25">
      <c r="A11" t="s">
        <v>11</v>
      </c>
      <c r="B11" s="4">
        <v>79515.210000000006</v>
      </c>
    </row>
    <row r="12" spans="1:2" x14ac:dyDescent="0.25">
      <c r="A12" t="s">
        <v>12</v>
      </c>
      <c r="B12" s="4">
        <v>14847.82</v>
      </c>
    </row>
    <row r="13" spans="1:2" x14ac:dyDescent="0.25">
      <c r="A13" t="s">
        <v>13</v>
      </c>
      <c r="B13">
        <v>146.22999999999999</v>
      </c>
    </row>
    <row r="14" spans="1:2" x14ac:dyDescent="0.25">
      <c r="A14" t="s">
        <v>14</v>
      </c>
      <c r="B14" s="4">
        <v>64831.94</v>
      </c>
    </row>
    <row r="15" spans="1:2" x14ac:dyDescent="0.25">
      <c r="A15" t="s">
        <v>15</v>
      </c>
      <c r="B15" s="4">
        <v>85300.83</v>
      </c>
    </row>
    <row r="16" spans="1:2" x14ac:dyDescent="0.25">
      <c r="A16" t="s">
        <v>16</v>
      </c>
      <c r="B16" s="12">
        <v>199074.17</v>
      </c>
    </row>
    <row r="17" spans="1:2" x14ac:dyDescent="0.25">
      <c r="A17" t="s">
        <v>17</v>
      </c>
      <c r="B17" s="4">
        <v>77551.100000000006</v>
      </c>
    </row>
    <row r="18" spans="1:2" x14ac:dyDescent="0.25">
      <c r="A18" t="s">
        <v>18</v>
      </c>
      <c r="B18" s="4">
        <v>26337.32</v>
      </c>
    </row>
    <row r="19" spans="1:2" x14ac:dyDescent="0.25">
      <c r="A19" t="s">
        <v>19</v>
      </c>
      <c r="B19" s="4">
        <v>17845.72</v>
      </c>
    </row>
    <row r="20" spans="1:2" x14ac:dyDescent="0.25">
      <c r="A20" t="s">
        <v>20</v>
      </c>
      <c r="B20" s="4">
        <v>93001.8</v>
      </c>
    </row>
    <row r="21" spans="1:2" x14ac:dyDescent="0.25">
      <c r="A21" t="s">
        <v>21</v>
      </c>
      <c r="B21" s="4">
        <v>32966.730000000003</v>
      </c>
    </row>
    <row r="22" spans="1:2" x14ac:dyDescent="0.25">
      <c r="A22" t="s">
        <v>22</v>
      </c>
      <c r="B22" s="4">
        <v>83600.36</v>
      </c>
    </row>
  </sheetData>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774E0A-5312-4AE9-9776-EE7271670357}">
  <dimension ref="A1:X26"/>
  <sheetViews>
    <sheetView topLeftCell="C1" workbookViewId="0">
      <pane xSplit="1" topLeftCell="L1" activePane="topRight" state="frozen"/>
      <selection activeCell="C1" sqref="C1"/>
      <selection pane="topRight" activeCell="O1" sqref="O1"/>
    </sheetView>
  </sheetViews>
  <sheetFormatPr defaultColWidth="8.85546875" defaultRowHeight="15" x14ac:dyDescent="0.25"/>
  <cols>
    <col min="1" max="1" width="24.85546875" hidden="1" customWidth="1"/>
    <col min="2" max="2" width="22.28515625" hidden="1" customWidth="1"/>
    <col min="3" max="3" width="87.85546875" customWidth="1"/>
    <col min="4" max="4" width="19.28515625" customWidth="1"/>
    <col min="5" max="5" width="17.28515625" customWidth="1"/>
    <col min="6" max="6" width="20.28515625" customWidth="1"/>
    <col min="7" max="7" width="21.140625" customWidth="1"/>
    <col min="8" max="8" width="22.140625" customWidth="1"/>
    <col min="9" max="9" width="21.7109375" customWidth="1"/>
    <col min="10" max="10" width="20.85546875" customWidth="1"/>
    <col min="11" max="11" width="9.28515625" customWidth="1"/>
    <col min="12" max="12" width="20.140625" customWidth="1"/>
    <col min="13" max="13" width="19.85546875" customWidth="1"/>
    <col min="14" max="14" width="17.28515625" customWidth="1"/>
    <col min="15" max="17" width="21.28515625" customWidth="1"/>
    <col min="18" max="18" width="22" customWidth="1"/>
    <col min="19" max="19" width="21.28515625" bestFit="1" customWidth="1"/>
    <col min="20" max="20" width="20.7109375" bestFit="1" customWidth="1"/>
    <col min="21" max="21" width="13.28515625" customWidth="1"/>
    <col min="22" max="22" width="18.7109375" bestFit="1" customWidth="1"/>
    <col min="23" max="23" width="23.28515625" bestFit="1" customWidth="1"/>
    <col min="24" max="24" width="16.7109375" customWidth="1"/>
  </cols>
  <sheetData>
    <row r="1" spans="1:24" x14ac:dyDescent="0.25">
      <c r="A1" t="s">
        <v>61</v>
      </c>
      <c r="C1" t="s">
        <v>284</v>
      </c>
      <c r="D1" s="8" t="s">
        <v>2</v>
      </c>
      <c r="E1" s="8" t="s">
        <v>3</v>
      </c>
      <c r="F1" s="8" t="s">
        <v>4</v>
      </c>
      <c r="G1" s="8" t="s">
        <v>5</v>
      </c>
      <c r="H1" s="8" t="s">
        <v>6</v>
      </c>
      <c r="I1" s="8" t="s">
        <v>7</v>
      </c>
      <c r="J1" s="8" t="s">
        <v>8</v>
      </c>
      <c r="K1" s="8" t="s">
        <v>9</v>
      </c>
      <c r="L1" s="8" t="s">
        <v>10</v>
      </c>
      <c r="M1" s="8" t="s">
        <v>11</v>
      </c>
      <c r="N1" s="8" t="s">
        <v>12</v>
      </c>
      <c r="O1" s="8" t="s">
        <v>13</v>
      </c>
      <c r="P1" s="8" t="s">
        <v>14</v>
      </c>
      <c r="Q1" s="8" t="s">
        <v>15</v>
      </c>
      <c r="R1" s="8" t="s">
        <v>16</v>
      </c>
      <c r="S1" s="8" t="s">
        <v>17</v>
      </c>
      <c r="T1" s="8" t="s">
        <v>18</v>
      </c>
      <c r="U1" s="8" t="s">
        <v>19</v>
      </c>
      <c r="V1" s="8" t="s">
        <v>20</v>
      </c>
      <c r="W1" s="8" t="s">
        <v>21</v>
      </c>
      <c r="X1" s="8" t="s">
        <v>22</v>
      </c>
    </row>
    <row r="2" spans="1:24" x14ac:dyDescent="0.25">
      <c r="A2" t="s">
        <v>60</v>
      </c>
      <c r="B2" t="s">
        <v>141</v>
      </c>
      <c r="C2" t="str">
        <f>_xlfn.CONCAT(A2,": ",B2)</f>
        <v>Projected funding-eligible undergraduate enrolments: Undergraduate Full-time Headcounts (Projected 2017-18)</v>
      </c>
      <c r="D2" s="4">
        <v>683</v>
      </c>
      <c r="E2" s="4">
        <v>13465</v>
      </c>
      <c r="F2" s="4">
        <v>18790</v>
      </c>
      <c r="G2" s="4">
        <v>5198</v>
      </c>
      <c r="H2" s="4">
        <v>6003</v>
      </c>
      <c r="I2" s="4">
        <v>21536</v>
      </c>
      <c r="J2" s="4">
        <v>2730</v>
      </c>
      <c r="K2" s="4">
        <v>2702</v>
      </c>
      <c r="L2" s="4">
        <v>18176</v>
      </c>
      <c r="M2" s="4">
        <v>27067</v>
      </c>
      <c r="N2" s="4">
        <v>6700</v>
      </c>
      <c r="O2" s="4">
        <v>66</v>
      </c>
      <c r="P2" s="4">
        <v>22780</v>
      </c>
      <c r="Q2" s="4">
        <v>27530</v>
      </c>
      <c r="R2" s="4">
        <v>49930</v>
      </c>
      <c r="S2" s="4">
        <v>27200</v>
      </c>
      <c r="T2" s="4">
        <v>8717</v>
      </c>
      <c r="U2" s="4">
        <v>7594</v>
      </c>
      <c r="V2" s="4">
        <v>26893</v>
      </c>
      <c r="W2" s="4">
        <v>13982</v>
      </c>
      <c r="X2" s="4">
        <v>33927</v>
      </c>
    </row>
    <row r="3" spans="1:24" x14ac:dyDescent="0.25">
      <c r="A3" t="s">
        <v>60</v>
      </c>
      <c r="B3" t="s">
        <v>140</v>
      </c>
      <c r="C3" t="str">
        <f t="shared" ref="C3:C25" si="0">_xlfn.CONCAT(A3,": ",B3)</f>
        <v>Projected funding-eligible undergraduate enrolments: Undergraduate Full-time Headcounts (Projected 2018-19)</v>
      </c>
      <c r="D3" s="4">
        <v>666</v>
      </c>
      <c r="E3" s="4">
        <v>13716</v>
      </c>
      <c r="F3" s="4">
        <v>19093</v>
      </c>
      <c r="G3" s="4">
        <v>5185</v>
      </c>
      <c r="H3" s="4">
        <v>5896</v>
      </c>
      <c r="I3" s="4">
        <v>21837</v>
      </c>
      <c r="J3" s="4">
        <v>2750</v>
      </c>
      <c r="K3" s="4">
        <v>2758</v>
      </c>
      <c r="L3" s="4">
        <v>18315</v>
      </c>
      <c r="M3" s="4">
        <v>27584</v>
      </c>
      <c r="N3" s="4">
        <v>7200</v>
      </c>
      <c r="O3" s="4">
        <v>69</v>
      </c>
      <c r="P3" s="4">
        <v>22870</v>
      </c>
      <c r="Q3" s="4">
        <v>27501</v>
      </c>
      <c r="R3" s="4">
        <v>49340</v>
      </c>
      <c r="S3" s="4">
        <v>27500</v>
      </c>
      <c r="T3" s="4">
        <v>8476</v>
      </c>
      <c r="U3" s="4">
        <v>7462</v>
      </c>
      <c r="V3" s="4">
        <v>26986</v>
      </c>
      <c r="W3" s="4">
        <v>14131</v>
      </c>
      <c r="X3" s="4">
        <v>34676</v>
      </c>
    </row>
    <row r="4" spans="1:24" x14ac:dyDescent="0.25">
      <c r="A4" t="s">
        <v>60</v>
      </c>
      <c r="B4" t="s">
        <v>142</v>
      </c>
      <c r="C4" t="str">
        <f t="shared" si="0"/>
        <v>Projected funding-eligible undergraduate enrolments: Undergraduate Full-time Headcounts (Projected 2019-20)</v>
      </c>
      <c r="D4" s="4">
        <v>656</v>
      </c>
      <c r="E4" s="4">
        <v>13731</v>
      </c>
      <c r="F4" s="4">
        <v>19268</v>
      </c>
      <c r="G4" s="4">
        <v>5254</v>
      </c>
      <c r="H4" s="4">
        <v>5873</v>
      </c>
      <c r="I4" s="4">
        <v>22079</v>
      </c>
      <c r="J4" s="4">
        <v>2890</v>
      </c>
      <c r="K4" s="4">
        <v>2869</v>
      </c>
      <c r="L4" s="4">
        <v>18445</v>
      </c>
      <c r="M4" s="4">
        <v>27985</v>
      </c>
      <c r="N4" s="4">
        <v>7650</v>
      </c>
      <c r="O4" s="4">
        <v>72</v>
      </c>
      <c r="P4" s="4">
        <v>23000</v>
      </c>
      <c r="Q4" s="4">
        <v>27492</v>
      </c>
      <c r="R4" s="4">
        <v>48544</v>
      </c>
      <c r="S4" s="4">
        <v>27900</v>
      </c>
      <c r="T4" s="4">
        <v>8434</v>
      </c>
      <c r="U4" s="4">
        <v>7513</v>
      </c>
      <c r="V4" s="4">
        <v>27104</v>
      </c>
      <c r="W4" s="4">
        <v>14243</v>
      </c>
      <c r="X4" s="4">
        <v>35122</v>
      </c>
    </row>
    <row r="5" spans="1:24" x14ac:dyDescent="0.25">
      <c r="A5" t="s">
        <v>152</v>
      </c>
      <c r="B5" t="s">
        <v>143</v>
      </c>
      <c r="C5" t="str">
        <f t="shared" si="0"/>
        <v>Graduate allocation – SMA 2017-2020: Masters Full-time Headcounts (Projected 2017-18)</v>
      </c>
      <c r="D5" s="4"/>
      <c r="E5" s="4">
        <v>792</v>
      </c>
      <c r="F5" s="4">
        <v>1926</v>
      </c>
      <c r="G5" s="4">
        <v>523</v>
      </c>
      <c r="H5" s="4">
        <v>442</v>
      </c>
      <c r="I5" s="4">
        <v>1974</v>
      </c>
      <c r="J5" s="4">
        <v>96</v>
      </c>
      <c r="K5" s="4">
        <v>188</v>
      </c>
      <c r="L5" s="4">
        <v>2245</v>
      </c>
      <c r="M5" s="4">
        <v>1623</v>
      </c>
      <c r="N5" s="4">
        <v>198</v>
      </c>
      <c r="O5" s="4"/>
      <c r="P5" s="4">
        <v>1463</v>
      </c>
      <c r="Q5" s="4">
        <v>2637</v>
      </c>
      <c r="R5" s="4">
        <v>7928</v>
      </c>
      <c r="S5" s="4">
        <v>2035</v>
      </c>
      <c r="T5" s="4">
        <v>975</v>
      </c>
      <c r="U5" s="4">
        <v>244</v>
      </c>
      <c r="V5" s="4">
        <v>2985</v>
      </c>
      <c r="W5" s="4">
        <v>757</v>
      </c>
      <c r="X5" s="4">
        <v>2407</v>
      </c>
    </row>
    <row r="6" spans="1:24" x14ac:dyDescent="0.25">
      <c r="A6" t="s">
        <v>152</v>
      </c>
      <c r="B6" t="s">
        <v>147</v>
      </c>
      <c r="C6" t="str">
        <f t="shared" si="0"/>
        <v>Graduate allocation – SMA 2017-2020: Masters Full-time Headcounts (Projected 2018-19)</v>
      </c>
      <c r="D6" s="4"/>
      <c r="E6" s="4">
        <v>846</v>
      </c>
      <c r="F6" s="4">
        <v>1992</v>
      </c>
      <c r="G6" s="4">
        <v>541</v>
      </c>
      <c r="H6" s="4">
        <v>514</v>
      </c>
      <c r="I6" s="4">
        <v>2055</v>
      </c>
      <c r="J6" s="4">
        <v>125</v>
      </c>
      <c r="K6" s="4">
        <v>208</v>
      </c>
      <c r="L6" s="4">
        <v>2353</v>
      </c>
      <c r="M6" s="4">
        <v>1623</v>
      </c>
      <c r="N6" s="4">
        <v>198</v>
      </c>
      <c r="O6" s="4"/>
      <c r="P6" s="4">
        <v>1470</v>
      </c>
      <c r="Q6" s="4">
        <v>2637</v>
      </c>
      <c r="R6" s="4">
        <v>8110</v>
      </c>
      <c r="S6" s="4">
        <v>2099</v>
      </c>
      <c r="T6" s="4">
        <v>980</v>
      </c>
      <c r="U6" s="4">
        <v>255</v>
      </c>
      <c r="V6" s="4">
        <v>3114</v>
      </c>
      <c r="W6" s="4">
        <v>815</v>
      </c>
      <c r="X6" s="4">
        <v>2456</v>
      </c>
    </row>
    <row r="7" spans="1:24" x14ac:dyDescent="0.25">
      <c r="A7" t="s">
        <v>152</v>
      </c>
      <c r="B7" t="s">
        <v>148</v>
      </c>
      <c r="C7" t="str">
        <f t="shared" si="0"/>
        <v>Graduate allocation – SMA 2017-2020: Masters Full-time Headcounts (Projected 2019-20)</v>
      </c>
      <c r="D7" s="4"/>
      <c r="E7" s="4">
        <v>885</v>
      </c>
      <c r="F7" s="4">
        <v>2022</v>
      </c>
      <c r="G7" s="4">
        <v>546</v>
      </c>
      <c r="H7" s="4">
        <v>542</v>
      </c>
      <c r="I7" s="4">
        <v>2109</v>
      </c>
      <c r="J7" s="4">
        <v>136</v>
      </c>
      <c r="K7" s="4">
        <v>21</v>
      </c>
      <c r="L7" s="4">
        <v>2481</v>
      </c>
      <c r="M7" s="4">
        <v>1623</v>
      </c>
      <c r="N7" s="4">
        <v>198</v>
      </c>
      <c r="O7" s="4"/>
      <c r="P7" s="4">
        <v>1480</v>
      </c>
      <c r="Q7" s="4">
        <v>2644</v>
      </c>
      <c r="R7" s="4">
        <v>8171</v>
      </c>
      <c r="S7" s="4">
        <v>2173</v>
      </c>
      <c r="T7" s="4">
        <v>975</v>
      </c>
      <c r="U7" s="4">
        <v>255</v>
      </c>
      <c r="V7" s="4">
        <v>3145</v>
      </c>
      <c r="W7" s="4">
        <v>822</v>
      </c>
      <c r="X7" s="4">
        <v>2515</v>
      </c>
    </row>
    <row r="8" spans="1:24" x14ac:dyDescent="0.25">
      <c r="A8" t="s">
        <v>152</v>
      </c>
      <c r="B8" t="s">
        <v>149</v>
      </c>
      <c r="C8" t="str">
        <f t="shared" si="0"/>
        <v>Graduate allocation – SMA 2017-2020: Doctoral Full-time Headcounts	(Projected 2017-18)</v>
      </c>
      <c r="D8" s="4"/>
      <c r="E8" s="4">
        <v>108</v>
      </c>
      <c r="F8" s="4">
        <v>713</v>
      </c>
      <c r="G8" s="4">
        <v>95</v>
      </c>
      <c r="H8" s="4">
        <v>104</v>
      </c>
      <c r="I8" s="4">
        <v>871</v>
      </c>
      <c r="J8" s="4">
        <v>30</v>
      </c>
      <c r="K8" s="4"/>
      <c r="L8" s="4">
        <v>669</v>
      </c>
      <c r="M8" s="4">
        <v>340</v>
      </c>
      <c r="N8" s="4">
        <v>79</v>
      </c>
      <c r="O8" s="4"/>
      <c r="P8" s="4">
        <v>524</v>
      </c>
      <c r="Q8" s="4">
        <v>1082</v>
      </c>
      <c r="R8" s="4">
        <v>3768</v>
      </c>
      <c r="S8" s="4">
        <v>789</v>
      </c>
      <c r="T8" s="4">
        <v>202</v>
      </c>
      <c r="U8" s="4">
        <v>67</v>
      </c>
      <c r="V8" s="4">
        <v>1339</v>
      </c>
      <c r="W8" s="4">
        <v>192</v>
      </c>
      <c r="X8" s="4">
        <v>1102</v>
      </c>
    </row>
    <row r="9" spans="1:24" x14ac:dyDescent="0.25">
      <c r="A9" t="s">
        <v>152</v>
      </c>
      <c r="B9" t="s">
        <v>150</v>
      </c>
      <c r="C9" t="str">
        <f t="shared" si="0"/>
        <v>Graduate allocation – SMA 2017-2020: Doctoral Full-time Headcounts	(Projected 2018-19)</v>
      </c>
      <c r="D9" s="4"/>
      <c r="E9" s="4">
        <v>123</v>
      </c>
      <c r="F9" s="4">
        <v>744</v>
      </c>
      <c r="G9" s="4">
        <v>109</v>
      </c>
      <c r="H9" s="4">
        <v>118</v>
      </c>
      <c r="I9" s="4">
        <v>890</v>
      </c>
      <c r="J9" s="4">
        <v>30</v>
      </c>
      <c r="K9" s="4"/>
      <c r="L9" s="4">
        <v>703</v>
      </c>
      <c r="M9" s="4">
        <v>352</v>
      </c>
      <c r="N9" s="4">
        <v>79</v>
      </c>
      <c r="O9" s="4"/>
      <c r="P9" s="4">
        <v>536</v>
      </c>
      <c r="Q9" s="4">
        <v>1082</v>
      </c>
      <c r="R9" s="4">
        <v>3848</v>
      </c>
      <c r="S9" s="4">
        <v>832</v>
      </c>
      <c r="T9" s="4">
        <v>202</v>
      </c>
      <c r="U9" s="4">
        <v>73</v>
      </c>
      <c r="V9" s="4">
        <v>1399</v>
      </c>
      <c r="W9" s="4">
        <v>194</v>
      </c>
      <c r="X9" s="4">
        <v>1135</v>
      </c>
    </row>
    <row r="10" spans="1:24" x14ac:dyDescent="0.25">
      <c r="A10" t="s">
        <v>152</v>
      </c>
      <c r="B10" t="s">
        <v>151</v>
      </c>
      <c r="C10" t="str">
        <f t="shared" si="0"/>
        <v>Graduate allocation – SMA 2017-2020: Doctoral Full-time Headcounts	(Projected 2019-20)</v>
      </c>
      <c r="D10" s="4"/>
      <c r="E10" s="4">
        <v>135</v>
      </c>
      <c r="F10" s="4">
        <v>783</v>
      </c>
      <c r="G10" s="4">
        <v>114</v>
      </c>
      <c r="H10" s="4">
        <v>123</v>
      </c>
      <c r="I10" s="4">
        <v>913</v>
      </c>
      <c r="J10" s="4">
        <v>30</v>
      </c>
      <c r="K10" s="4"/>
      <c r="L10" s="4">
        <v>739</v>
      </c>
      <c r="M10" s="4">
        <v>364</v>
      </c>
      <c r="N10" s="4">
        <v>80</v>
      </c>
      <c r="O10" s="4"/>
      <c r="P10" s="4">
        <v>541</v>
      </c>
      <c r="Q10" s="4">
        <v>1114</v>
      </c>
      <c r="R10" s="4">
        <v>3925</v>
      </c>
      <c r="S10" s="4">
        <v>856</v>
      </c>
      <c r="T10" s="4">
        <v>202</v>
      </c>
      <c r="U10" s="4">
        <v>82</v>
      </c>
      <c r="V10" s="4">
        <v>1421</v>
      </c>
      <c r="W10" s="4">
        <v>194</v>
      </c>
      <c r="X10" s="4">
        <v>1164</v>
      </c>
    </row>
    <row r="11" spans="1:24" x14ac:dyDescent="0.25">
      <c r="A11" t="s">
        <v>152</v>
      </c>
      <c r="B11" t="s">
        <v>144</v>
      </c>
      <c r="C11" t="str">
        <f t="shared" si="0"/>
        <v>Graduate allocation – SMA 2017-2020: Total Full-time Headcounts (Projected 2017-18)</v>
      </c>
      <c r="D11" s="4"/>
      <c r="E11" s="4">
        <v>900</v>
      </c>
      <c r="F11" s="4">
        <v>2638</v>
      </c>
      <c r="G11" s="4">
        <v>618</v>
      </c>
      <c r="H11" s="4">
        <v>546</v>
      </c>
      <c r="I11" s="4">
        <v>2845</v>
      </c>
      <c r="J11" s="4">
        <v>126</v>
      </c>
      <c r="K11" s="4">
        <v>188</v>
      </c>
      <c r="L11" s="4">
        <v>2914</v>
      </c>
      <c r="M11" s="4">
        <v>1963</v>
      </c>
      <c r="N11" s="4">
        <v>277</v>
      </c>
      <c r="O11" s="4"/>
      <c r="P11" s="4">
        <v>1988</v>
      </c>
      <c r="Q11" s="4">
        <v>3719</v>
      </c>
      <c r="R11" s="4">
        <v>11696</v>
      </c>
      <c r="S11" s="4">
        <v>2824</v>
      </c>
      <c r="T11" s="4">
        <v>1177</v>
      </c>
      <c r="U11" s="4">
        <v>311</v>
      </c>
      <c r="V11" s="4">
        <v>4324</v>
      </c>
      <c r="W11" s="4">
        <v>949</v>
      </c>
      <c r="X11" s="4">
        <v>3509</v>
      </c>
    </row>
    <row r="12" spans="1:24" x14ac:dyDescent="0.25">
      <c r="A12" t="s">
        <v>152</v>
      </c>
      <c r="B12" t="s">
        <v>145</v>
      </c>
      <c r="C12" t="str">
        <f t="shared" si="0"/>
        <v>Graduate allocation – SMA 2017-2020: Total Full-time Headcounts (Projected 2018-19)</v>
      </c>
      <c r="D12" s="4"/>
      <c r="E12" s="4">
        <v>969</v>
      </c>
      <c r="F12" s="4">
        <v>2736</v>
      </c>
      <c r="G12" s="4">
        <v>650</v>
      </c>
      <c r="H12" s="4">
        <v>632</v>
      </c>
      <c r="I12" s="4">
        <v>2945</v>
      </c>
      <c r="J12" s="4">
        <v>155</v>
      </c>
      <c r="K12" s="4">
        <v>208</v>
      </c>
      <c r="L12" s="4">
        <v>3056</v>
      </c>
      <c r="M12" s="4">
        <v>1975</v>
      </c>
      <c r="N12" s="4">
        <v>277</v>
      </c>
      <c r="O12" s="4"/>
      <c r="P12" s="4">
        <v>2007</v>
      </c>
      <c r="Q12" s="4">
        <v>3719</v>
      </c>
      <c r="R12" s="4">
        <v>11958</v>
      </c>
      <c r="S12" s="4">
        <v>2931</v>
      </c>
      <c r="T12" s="4">
        <v>1182</v>
      </c>
      <c r="U12" s="4">
        <v>328</v>
      </c>
      <c r="V12" s="4">
        <v>4513</v>
      </c>
      <c r="W12" s="4">
        <v>1009</v>
      </c>
      <c r="X12" s="4">
        <v>3591</v>
      </c>
    </row>
    <row r="13" spans="1:24" x14ac:dyDescent="0.25">
      <c r="A13" t="s">
        <v>152</v>
      </c>
      <c r="B13" t="s">
        <v>146</v>
      </c>
      <c r="C13" t="str">
        <f t="shared" si="0"/>
        <v>Graduate allocation – SMA 2017-2020: Total Full-time Headcounts (Projected 2019-20)</v>
      </c>
      <c r="D13" s="4"/>
      <c r="E13" s="4">
        <v>1020</v>
      </c>
      <c r="F13" s="4">
        <v>2805</v>
      </c>
      <c r="G13" s="4">
        <v>660</v>
      </c>
      <c r="H13" s="4">
        <v>665</v>
      </c>
      <c r="I13" s="4">
        <v>3022</v>
      </c>
      <c r="J13" s="4">
        <v>166</v>
      </c>
      <c r="K13" s="4">
        <v>221</v>
      </c>
      <c r="L13" s="4">
        <v>3220</v>
      </c>
      <c r="M13" s="4">
        <v>1987</v>
      </c>
      <c r="N13" s="4">
        <v>278</v>
      </c>
      <c r="O13" s="4"/>
      <c r="P13" s="4">
        <v>2022</v>
      </c>
      <c r="Q13" s="4">
        <v>3758</v>
      </c>
      <c r="R13" s="4">
        <v>12096</v>
      </c>
      <c r="S13" s="4">
        <v>3029</v>
      </c>
      <c r="T13" s="4">
        <v>1177</v>
      </c>
      <c r="U13" s="4">
        <v>337</v>
      </c>
      <c r="V13" s="4">
        <v>4566</v>
      </c>
      <c r="W13" s="4">
        <v>1016</v>
      </c>
      <c r="X13" s="4">
        <v>3676</v>
      </c>
    </row>
    <row r="14" spans="1:24" x14ac:dyDescent="0.25">
      <c r="A14" t="s">
        <v>59</v>
      </c>
      <c r="B14" t="s">
        <v>141</v>
      </c>
      <c r="C14" t="str">
        <f>_xlfn.CONCAT(A14,": ",B14)</f>
        <v>Projected international enrolment: Undergraduate Full-time Headcounts (Projected 2017-18)</v>
      </c>
      <c r="D14" s="4">
        <v>213</v>
      </c>
      <c r="E14" s="4">
        <v>949</v>
      </c>
      <c r="F14" s="4">
        <v>2397</v>
      </c>
      <c r="G14" s="4">
        <v>413</v>
      </c>
      <c r="H14" s="4">
        <v>444</v>
      </c>
      <c r="I14" s="4">
        <v>2607</v>
      </c>
      <c r="J14" s="4">
        <v>25</v>
      </c>
      <c r="K14" s="4">
        <v>502</v>
      </c>
      <c r="L14" s="4">
        <v>1047</v>
      </c>
      <c r="M14" s="4">
        <v>1300</v>
      </c>
      <c r="N14" s="4">
        <v>600</v>
      </c>
      <c r="O14" s="4">
        <v>65</v>
      </c>
      <c r="P14" s="4">
        <v>840</v>
      </c>
      <c r="Q14" s="4">
        <v>3204</v>
      </c>
      <c r="R14" s="4">
        <v>12700</v>
      </c>
      <c r="S14" s="4">
        <v>6000</v>
      </c>
      <c r="T14" s="4">
        <v>834</v>
      </c>
      <c r="U14" s="4">
        <v>512</v>
      </c>
      <c r="V14" s="4">
        <v>3127</v>
      </c>
      <c r="W14" s="4">
        <v>845</v>
      </c>
      <c r="X14" s="4">
        <v>5115</v>
      </c>
    </row>
    <row r="15" spans="1:24" x14ac:dyDescent="0.25">
      <c r="A15" t="s">
        <v>59</v>
      </c>
      <c r="B15" t="s">
        <v>140</v>
      </c>
      <c r="C15" t="str">
        <f t="shared" si="0"/>
        <v>Projected international enrolment: Undergraduate Full-time Headcounts (Projected 2018-19)</v>
      </c>
      <c r="D15" s="4">
        <v>195</v>
      </c>
      <c r="E15" s="4">
        <v>945</v>
      </c>
      <c r="F15" s="4">
        <v>2439</v>
      </c>
      <c r="G15" s="4">
        <v>574</v>
      </c>
      <c r="H15" s="4">
        <v>505</v>
      </c>
      <c r="I15" s="4">
        <v>3146</v>
      </c>
      <c r="J15" s="4">
        <v>30</v>
      </c>
      <c r="K15" s="4">
        <v>612</v>
      </c>
      <c r="L15" s="4">
        <v>1100</v>
      </c>
      <c r="M15" s="4">
        <v>1614</v>
      </c>
      <c r="N15" s="4">
        <v>675</v>
      </c>
      <c r="O15" s="4">
        <v>100</v>
      </c>
      <c r="P15" s="4">
        <v>970</v>
      </c>
      <c r="Q15" s="4">
        <v>3457</v>
      </c>
      <c r="R15" s="4">
        <v>13001</v>
      </c>
      <c r="S15" s="4">
        <v>6200</v>
      </c>
      <c r="T15" s="4">
        <v>815</v>
      </c>
      <c r="U15" s="4">
        <v>579</v>
      </c>
      <c r="V15" s="4">
        <v>3268</v>
      </c>
      <c r="W15" s="4">
        <v>876</v>
      </c>
      <c r="X15" s="4">
        <v>5874</v>
      </c>
    </row>
    <row r="16" spans="1:24" x14ac:dyDescent="0.25">
      <c r="A16" t="s">
        <v>59</v>
      </c>
      <c r="B16" t="s">
        <v>142</v>
      </c>
      <c r="C16" t="str">
        <f t="shared" si="0"/>
        <v>Projected international enrolment: Undergraduate Full-time Headcounts (Projected 2019-20)</v>
      </c>
      <c r="D16" s="4">
        <v>196</v>
      </c>
      <c r="E16" s="4">
        <v>945</v>
      </c>
      <c r="F16" s="4">
        <v>2490</v>
      </c>
      <c r="G16" s="4">
        <v>772</v>
      </c>
      <c r="H16" s="4">
        <v>589</v>
      </c>
      <c r="I16" s="4">
        <v>3914</v>
      </c>
      <c r="J16" s="4">
        <v>40</v>
      </c>
      <c r="K16" s="4">
        <v>751</v>
      </c>
      <c r="L16" s="4">
        <v>1118</v>
      </c>
      <c r="M16" s="4">
        <v>1970</v>
      </c>
      <c r="N16" s="4">
        <v>750</v>
      </c>
      <c r="O16" s="4">
        <v>140</v>
      </c>
      <c r="P16" s="4">
        <v>1170</v>
      </c>
      <c r="Q16" s="4">
        <v>3693</v>
      </c>
      <c r="R16" s="4">
        <v>13056</v>
      </c>
      <c r="S16" s="4">
        <v>6300</v>
      </c>
      <c r="T16" s="4">
        <v>815</v>
      </c>
      <c r="U16" s="4">
        <v>619</v>
      </c>
      <c r="V16" s="4">
        <v>3343</v>
      </c>
      <c r="W16" s="4">
        <v>918</v>
      </c>
      <c r="X16" s="4">
        <v>6751</v>
      </c>
    </row>
    <row r="17" spans="1:24" x14ac:dyDescent="0.25">
      <c r="A17" t="s">
        <v>59</v>
      </c>
      <c r="B17" t="s">
        <v>143</v>
      </c>
      <c r="C17" t="str">
        <f t="shared" si="0"/>
        <v>Projected international enrolment: Masters Full-time Headcounts (Projected 2017-18)</v>
      </c>
      <c r="D17" s="4"/>
      <c r="E17" s="4">
        <v>632</v>
      </c>
      <c r="F17" s="4">
        <v>738</v>
      </c>
      <c r="G17" s="4">
        <v>425</v>
      </c>
      <c r="H17" s="4">
        <v>53</v>
      </c>
      <c r="I17" s="4">
        <v>382</v>
      </c>
      <c r="J17" s="4">
        <v>1</v>
      </c>
      <c r="K17" s="4">
        <v>48</v>
      </c>
      <c r="L17" s="4">
        <v>371</v>
      </c>
      <c r="M17" s="4">
        <v>164</v>
      </c>
      <c r="N17" s="4">
        <v>50</v>
      </c>
      <c r="O17" s="4"/>
      <c r="P17" s="4">
        <v>260</v>
      </c>
      <c r="Q17" s="4">
        <v>1062</v>
      </c>
      <c r="R17" s="4">
        <v>1652</v>
      </c>
      <c r="S17" s="4">
        <v>930</v>
      </c>
      <c r="T17" s="4">
        <v>1774</v>
      </c>
      <c r="U17" s="4">
        <v>101</v>
      </c>
      <c r="V17" s="4">
        <v>764</v>
      </c>
      <c r="W17" s="4">
        <v>103</v>
      </c>
      <c r="X17" s="4">
        <v>485</v>
      </c>
    </row>
    <row r="18" spans="1:24" x14ac:dyDescent="0.25">
      <c r="A18" t="s">
        <v>59</v>
      </c>
      <c r="B18" t="s">
        <v>147</v>
      </c>
      <c r="C18" t="str">
        <f t="shared" si="0"/>
        <v>Projected international enrolment: Masters Full-time Headcounts (Projected 2018-19)</v>
      </c>
      <c r="D18" s="4"/>
      <c r="E18" s="4">
        <v>663</v>
      </c>
      <c r="F18" s="4">
        <v>784</v>
      </c>
      <c r="G18" s="4">
        <v>469</v>
      </c>
      <c r="H18" s="4">
        <v>53</v>
      </c>
      <c r="I18" s="4">
        <v>406</v>
      </c>
      <c r="J18" s="4">
        <v>2</v>
      </c>
      <c r="K18" s="4">
        <v>65</v>
      </c>
      <c r="L18" s="4">
        <v>375</v>
      </c>
      <c r="M18" s="4">
        <v>159</v>
      </c>
      <c r="N18" s="4">
        <v>80</v>
      </c>
      <c r="O18" s="4"/>
      <c r="P18" s="4">
        <v>280</v>
      </c>
      <c r="Q18" s="4">
        <v>1087</v>
      </c>
      <c r="R18" s="4">
        <v>1766</v>
      </c>
      <c r="S18" s="4">
        <v>930</v>
      </c>
      <c r="T18" s="4">
        <v>1774</v>
      </c>
      <c r="U18" s="4">
        <v>127</v>
      </c>
      <c r="V18" s="4">
        <v>795</v>
      </c>
      <c r="W18" s="4">
        <v>112</v>
      </c>
      <c r="X18" s="4">
        <v>499</v>
      </c>
    </row>
    <row r="19" spans="1:24" x14ac:dyDescent="0.25">
      <c r="A19" t="s">
        <v>59</v>
      </c>
      <c r="B19" t="s">
        <v>148</v>
      </c>
      <c r="C19" t="str">
        <f t="shared" si="0"/>
        <v>Projected international enrolment: Masters Full-time Headcounts (Projected 2019-20)</v>
      </c>
      <c r="D19" s="4"/>
      <c r="E19" s="4">
        <v>670</v>
      </c>
      <c r="F19" s="4">
        <v>832</v>
      </c>
      <c r="G19" s="4">
        <v>509</v>
      </c>
      <c r="H19" s="4">
        <v>53</v>
      </c>
      <c r="I19" s="4">
        <v>445</v>
      </c>
      <c r="J19" s="4">
        <v>2</v>
      </c>
      <c r="K19" s="4">
        <v>76</v>
      </c>
      <c r="L19" s="4">
        <v>400</v>
      </c>
      <c r="M19" s="4">
        <v>159</v>
      </c>
      <c r="N19" s="4">
        <v>90</v>
      </c>
      <c r="O19" s="4"/>
      <c r="P19" s="4">
        <v>290</v>
      </c>
      <c r="Q19" s="4">
        <v>1114</v>
      </c>
      <c r="R19" s="4">
        <v>1858</v>
      </c>
      <c r="S19" s="4">
        <v>950</v>
      </c>
      <c r="T19" s="4">
        <v>1774</v>
      </c>
      <c r="U19" s="4">
        <v>134</v>
      </c>
      <c r="V19" s="4">
        <v>801</v>
      </c>
      <c r="W19" s="4">
        <v>114</v>
      </c>
      <c r="X19" s="4">
        <v>523</v>
      </c>
    </row>
    <row r="20" spans="1:24" x14ac:dyDescent="0.25">
      <c r="A20" t="s">
        <v>59</v>
      </c>
      <c r="B20" t="s">
        <v>149</v>
      </c>
      <c r="C20" t="str">
        <f t="shared" si="0"/>
        <v>Projected international enrolment: Doctoral Full-time Headcounts	(Projected 2017-18)</v>
      </c>
      <c r="D20" s="4"/>
      <c r="E20" s="4">
        <v>29</v>
      </c>
      <c r="F20" s="4">
        <v>178</v>
      </c>
      <c r="G20" s="4">
        <v>39</v>
      </c>
      <c r="H20" s="4">
        <v>33</v>
      </c>
      <c r="I20" s="4">
        <v>453</v>
      </c>
      <c r="J20" s="4">
        <v>1</v>
      </c>
      <c r="K20" s="4"/>
      <c r="L20" s="4">
        <v>319</v>
      </c>
      <c r="M20" s="4">
        <v>84</v>
      </c>
      <c r="N20" s="4">
        <v>25</v>
      </c>
      <c r="O20" s="4"/>
      <c r="P20" s="4">
        <v>150</v>
      </c>
      <c r="Q20" s="4">
        <v>372</v>
      </c>
      <c r="R20" s="4">
        <v>1030</v>
      </c>
      <c r="S20" s="4">
        <v>750</v>
      </c>
      <c r="T20" s="4">
        <v>106</v>
      </c>
      <c r="U20" s="4">
        <v>68</v>
      </c>
      <c r="V20" s="4">
        <v>600</v>
      </c>
      <c r="W20" s="4">
        <v>23</v>
      </c>
      <c r="X20" s="4">
        <v>211</v>
      </c>
    </row>
    <row r="21" spans="1:24" x14ac:dyDescent="0.25">
      <c r="A21" t="s">
        <v>59</v>
      </c>
      <c r="B21" t="s">
        <v>150</v>
      </c>
      <c r="C21" t="str">
        <f t="shared" si="0"/>
        <v>Projected international enrolment: Doctoral Full-time Headcounts	(Projected 2018-19)</v>
      </c>
      <c r="D21" s="4"/>
      <c r="E21" s="4">
        <v>33</v>
      </c>
      <c r="F21" s="4">
        <v>176</v>
      </c>
      <c r="G21" s="4">
        <v>49</v>
      </c>
      <c r="H21" s="4">
        <v>33</v>
      </c>
      <c r="I21" s="4">
        <v>453</v>
      </c>
      <c r="J21" s="4">
        <v>2</v>
      </c>
      <c r="K21" s="4"/>
      <c r="L21" s="4">
        <v>343</v>
      </c>
      <c r="M21" s="4">
        <v>94</v>
      </c>
      <c r="N21" s="4">
        <v>25</v>
      </c>
      <c r="O21" s="4"/>
      <c r="P21" s="4">
        <v>160</v>
      </c>
      <c r="Q21" s="4">
        <v>384</v>
      </c>
      <c r="R21" s="4">
        <v>1034</v>
      </c>
      <c r="S21" s="4">
        <v>740</v>
      </c>
      <c r="T21" s="4">
        <v>106</v>
      </c>
      <c r="U21" s="4">
        <v>73</v>
      </c>
      <c r="V21" s="4">
        <v>605</v>
      </c>
      <c r="W21" s="4">
        <v>23</v>
      </c>
      <c r="X21" s="4">
        <v>223</v>
      </c>
    </row>
    <row r="22" spans="1:24" x14ac:dyDescent="0.25">
      <c r="A22" t="s">
        <v>59</v>
      </c>
      <c r="B22" t="s">
        <v>151</v>
      </c>
      <c r="C22" t="str">
        <f t="shared" si="0"/>
        <v>Projected international enrolment: Doctoral Full-time Headcounts	(Projected 2019-20)</v>
      </c>
      <c r="D22" s="4"/>
      <c r="E22" s="4">
        <v>36</v>
      </c>
      <c r="F22" s="4">
        <v>171</v>
      </c>
      <c r="G22" s="4">
        <v>60</v>
      </c>
      <c r="H22" s="4">
        <v>33</v>
      </c>
      <c r="I22" s="4">
        <v>463</v>
      </c>
      <c r="J22" s="4">
        <v>3</v>
      </c>
      <c r="K22" s="4"/>
      <c r="L22" s="4">
        <v>342</v>
      </c>
      <c r="M22" s="4">
        <v>101</v>
      </c>
      <c r="N22" s="4">
        <v>25</v>
      </c>
      <c r="O22" s="4"/>
      <c r="P22" s="4">
        <v>160</v>
      </c>
      <c r="Q22" s="4">
        <v>385</v>
      </c>
      <c r="R22" s="4">
        <v>1049</v>
      </c>
      <c r="S22" s="4">
        <v>750</v>
      </c>
      <c r="T22" s="4">
        <v>106</v>
      </c>
      <c r="U22" s="4">
        <v>82</v>
      </c>
      <c r="V22" s="4">
        <v>611</v>
      </c>
      <c r="W22" s="4">
        <v>23</v>
      </c>
      <c r="X22" s="4">
        <v>235</v>
      </c>
    </row>
    <row r="23" spans="1:24" x14ac:dyDescent="0.25">
      <c r="A23" t="s">
        <v>59</v>
      </c>
      <c r="B23" t="s">
        <v>144</v>
      </c>
      <c r="C23" t="str">
        <f t="shared" si="0"/>
        <v>Projected international enrolment: Total Full-time Headcounts (Projected 2017-18)</v>
      </c>
      <c r="D23" s="4">
        <v>213</v>
      </c>
      <c r="E23" s="4">
        <v>1610</v>
      </c>
      <c r="F23" s="4">
        <v>3313</v>
      </c>
      <c r="G23" s="4">
        <v>877</v>
      </c>
      <c r="H23" s="4">
        <v>530</v>
      </c>
      <c r="I23" s="4">
        <v>3441</v>
      </c>
      <c r="J23" s="4">
        <v>27</v>
      </c>
      <c r="K23" s="4">
        <v>550</v>
      </c>
      <c r="L23" s="4">
        <v>1737</v>
      </c>
      <c r="M23" s="4">
        <v>1548</v>
      </c>
      <c r="N23" s="4">
        <v>675</v>
      </c>
      <c r="O23" s="4"/>
      <c r="P23" s="4">
        <v>1250</v>
      </c>
      <c r="Q23" s="4">
        <v>4638</v>
      </c>
      <c r="R23" s="4">
        <v>15382</v>
      </c>
      <c r="S23" s="4">
        <v>7680</v>
      </c>
      <c r="T23" s="4">
        <v>2952</v>
      </c>
      <c r="U23" s="4">
        <v>681</v>
      </c>
      <c r="V23" s="4">
        <v>4491</v>
      </c>
      <c r="W23" s="4">
        <v>971</v>
      </c>
      <c r="X23" s="4">
        <v>5811</v>
      </c>
    </row>
    <row r="24" spans="1:24" x14ac:dyDescent="0.25">
      <c r="A24" t="s">
        <v>59</v>
      </c>
      <c r="B24" t="s">
        <v>145</v>
      </c>
      <c r="C24" t="str">
        <f t="shared" si="0"/>
        <v>Projected international enrolment: Total Full-time Headcounts (Projected 2018-19)</v>
      </c>
      <c r="D24" s="4">
        <v>195</v>
      </c>
      <c r="E24" s="4">
        <v>1641</v>
      </c>
      <c r="F24" s="4">
        <v>3399</v>
      </c>
      <c r="G24" s="4">
        <v>1092</v>
      </c>
      <c r="H24" s="4">
        <v>591</v>
      </c>
      <c r="I24" s="4">
        <v>4005</v>
      </c>
      <c r="J24" s="4">
        <v>34</v>
      </c>
      <c r="K24" s="4">
        <v>677</v>
      </c>
      <c r="L24" s="4">
        <v>1818</v>
      </c>
      <c r="M24" s="4">
        <v>1867</v>
      </c>
      <c r="N24" s="4">
        <v>780</v>
      </c>
      <c r="O24" s="4"/>
      <c r="P24" s="4">
        <v>1400</v>
      </c>
      <c r="Q24" s="4">
        <v>4928</v>
      </c>
      <c r="R24" s="4">
        <v>15801</v>
      </c>
      <c r="S24" s="4">
        <v>7870</v>
      </c>
      <c r="T24" s="4">
        <v>2933</v>
      </c>
      <c r="U24" s="4">
        <v>779</v>
      </c>
      <c r="V24" s="4">
        <v>4668</v>
      </c>
      <c r="W24" s="4">
        <v>1011</v>
      </c>
      <c r="X24" s="4">
        <v>6596</v>
      </c>
    </row>
    <row r="25" spans="1:24" x14ac:dyDescent="0.25">
      <c r="A25" t="s">
        <v>59</v>
      </c>
      <c r="B25" t="s">
        <v>146</v>
      </c>
      <c r="C25" t="str">
        <f t="shared" si="0"/>
        <v>Projected international enrolment: Total Full-time Headcounts (Projected 2019-20)</v>
      </c>
      <c r="D25" s="4">
        <v>196</v>
      </c>
      <c r="E25" s="4">
        <v>1651</v>
      </c>
      <c r="F25" s="4">
        <v>3493</v>
      </c>
      <c r="G25" s="4">
        <v>1341</v>
      </c>
      <c r="H25" s="4">
        <v>675</v>
      </c>
      <c r="I25" s="4">
        <v>4821</v>
      </c>
      <c r="J25" s="4">
        <v>45</v>
      </c>
      <c r="K25" s="4">
        <v>927</v>
      </c>
      <c r="L25" s="4">
        <v>1860</v>
      </c>
      <c r="M25" s="4">
        <v>2230</v>
      </c>
      <c r="N25" s="4">
        <v>865</v>
      </c>
      <c r="O25" s="4"/>
      <c r="P25" s="4">
        <v>1620</v>
      </c>
      <c r="Q25" s="4">
        <v>5192</v>
      </c>
      <c r="R25" s="4">
        <v>15963</v>
      </c>
      <c r="S25" s="4">
        <v>8000</v>
      </c>
      <c r="T25" s="4">
        <v>2933</v>
      </c>
      <c r="U25" s="4">
        <v>835</v>
      </c>
      <c r="V25" s="4">
        <v>4755</v>
      </c>
      <c r="W25" s="4">
        <v>1055</v>
      </c>
      <c r="X25" s="4">
        <v>7509</v>
      </c>
    </row>
    <row r="26" spans="1:24" x14ac:dyDescent="0.25">
      <c r="C26" s="186" t="s">
        <v>962</v>
      </c>
      <c r="D26" s="187">
        <f>SUBTOTAL(9,D4,D13,D25)</f>
        <v>852</v>
      </c>
      <c r="E26" s="187">
        <f t="shared" ref="E26:X26" si="1">SUBTOTAL(9,E4,E13,E25)</f>
        <v>16402</v>
      </c>
      <c r="F26" s="187">
        <f t="shared" si="1"/>
        <v>25566</v>
      </c>
      <c r="G26" s="187">
        <f t="shared" si="1"/>
        <v>7255</v>
      </c>
      <c r="H26" s="187">
        <f t="shared" si="1"/>
        <v>7213</v>
      </c>
      <c r="I26" s="187">
        <f t="shared" si="1"/>
        <v>29922</v>
      </c>
      <c r="J26" s="187">
        <f t="shared" si="1"/>
        <v>3101</v>
      </c>
      <c r="K26" s="187">
        <f t="shared" si="1"/>
        <v>4017</v>
      </c>
      <c r="L26" s="187">
        <f t="shared" si="1"/>
        <v>23525</v>
      </c>
      <c r="M26" s="187">
        <f t="shared" si="1"/>
        <v>32202</v>
      </c>
      <c r="N26" s="187">
        <f t="shared" si="1"/>
        <v>8793</v>
      </c>
      <c r="O26" s="187">
        <f t="shared" si="1"/>
        <v>72</v>
      </c>
      <c r="P26" s="187">
        <f t="shared" si="1"/>
        <v>26642</v>
      </c>
      <c r="Q26" s="187">
        <f t="shared" si="1"/>
        <v>36442</v>
      </c>
      <c r="R26" s="187">
        <f t="shared" si="1"/>
        <v>76603</v>
      </c>
      <c r="S26" s="187">
        <f t="shared" si="1"/>
        <v>38929</v>
      </c>
      <c r="T26" s="187">
        <f t="shared" si="1"/>
        <v>12544</v>
      </c>
      <c r="U26" s="187">
        <f t="shared" si="1"/>
        <v>8685</v>
      </c>
      <c r="V26" s="187">
        <f t="shared" si="1"/>
        <v>36425</v>
      </c>
      <c r="W26" s="187">
        <f t="shared" si="1"/>
        <v>16314</v>
      </c>
      <c r="X26" s="187">
        <f t="shared" si="1"/>
        <v>46307</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E9E389-5533-4B54-9429-2339D43FD0B2}">
  <dimension ref="A1:V12"/>
  <sheetViews>
    <sheetView workbookViewId="0">
      <pane xSplit="1" topLeftCell="O1" activePane="topRight" state="frozen"/>
      <selection pane="topRight" sqref="A1:V4"/>
    </sheetView>
  </sheetViews>
  <sheetFormatPr defaultColWidth="8.85546875" defaultRowHeight="15" x14ac:dyDescent="0.25"/>
  <cols>
    <col min="1" max="1" width="28.28515625" bestFit="1" customWidth="1"/>
    <col min="2" max="2" width="17.28515625" customWidth="1"/>
    <col min="3" max="3" width="18" customWidth="1"/>
    <col min="4" max="4" width="18.140625" customWidth="1"/>
    <col min="5" max="5" width="19" customWidth="1"/>
    <col min="6" max="6" width="20" customWidth="1"/>
    <col min="7" max="7" width="19.7109375" customWidth="1"/>
    <col min="8" max="8" width="18.7109375" customWidth="1"/>
    <col min="10" max="10" width="18" customWidth="1"/>
    <col min="11" max="11" width="17.85546875" customWidth="1"/>
    <col min="12" max="12" width="15.7109375" customWidth="1"/>
    <col min="13" max="13" width="19" customWidth="1"/>
    <col min="14" max="14" width="19.140625" customWidth="1"/>
    <col min="15" max="15" width="19.28515625" customWidth="1"/>
    <col min="16" max="16" width="19.85546875" customWidth="1"/>
    <col min="17" max="17" width="21" customWidth="1"/>
    <col min="18" max="18" width="20.140625" customWidth="1"/>
    <col min="19" max="19" width="11.7109375" customWidth="1"/>
    <col min="20" max="20" width="18.140625" customWidth="1"/>
    <col min="21" max="21" width="22.85546875" customWidth="1"/>
    <col min="22" max="22" width="15" customWidth="1"/>
  </cols>
  <sheetData>
    <row r="1" spans="1:22" x14ac:dyDescent="0.25">
      <c r="A1" t="s">
        <v>26</v>
      </c>
      <c r="B1" s="8" t="s">
        <v>2</v>
      </c>
      <c r="C1" s="8" t="s">
        <v>3</v>
      </c>
      <c r="D1" s="8" t="s">
        <v>4</v>
      </c>
      <c r="E1" s="8" t="s">
        <v>5</v>
      </c>
      <c r="F1" s="8" t="s">
        <v>6</v>
      </c>
      <c r="G1" s="8" t="s">
        <v>7</v>
      </c>
      <c r="H1" s="8" t="s">
        <v>8</v>
      </c>
      <c r="I1" s="8" t="s">
        <v>9</v>
      </c>
      <c r="J1" s="8" t="s">
        <v>10</v>
      </c>
      <c r="K1" s="8" t="s">
        <v>11</v>
      </c>
      <c r="L1" s="8" t="s">
        <v>12</v>
      </c>
      <c r="M1" s="8" t="s">
        <v>13</v>
      </c>
      <c r="N1" s="8" t="s">
        <v>14</v>
      </c>
      <c r="O1" s="8" t="s">
        <v>15</v>
      </c>
      <c r="P1" s="8" t="s">
        <v>16</v>
      </c>
      <c r="Q1" s="8" t="s">
        <v>17</v>
      </c>
      <c r="R1" s="8" t="s">
        <v>18</v>
      </c>
      <c r="S1" s="8" t="s">
        <v>19</v>
      </c>
      <c r="T1" s="8" t="s">
        <v>20</v>
      </c>
      <c r="U1" s="8" t="s">
        <v>21</v>
      </c>
      <c r="V1" s="8" t="s">
        <v>22</v>
      </c>
    </row>
    <row r="2" spans="1:22" x14ac:dyDescent="0.25">
      <c r="A2" t="s">
        <v>70</v>
      </c>
      <c r="B2" s="2">
        <v>3.7499999999999999E-2</v>
      </c>
      <c r="C2" s="2">
        <v>2.0500000000000001E-2</v>
      </c>
      <c r="D2" s="2">
        <v>0.12720000000000001</v>
      </c>
      <c r="E2" s="105">
        <v>-4.5499999999999999E-2</v>
      </c>
      <c r="F2" s="2">
        <v>-1.11E-2</v>
      </c>
      <c r="G2" s="2">
        <v>3.0499999999999999E-2</v>
      </c>
      <c r="H2" s="2">
        <v>-2.3099999999999999E-2</v>
      </c>
      <c r="I2" s="2">
        <v>-7.0499999999999993E-2</v>
      </c>
      <c r="J2" s="2">
        <v>4.2999999999999997E-2</v>
      </c>
      <c r="K2" s="2">
        <v>6.3299999999999995E-2</v>
      </c>
      <c r="L2" s="2">
        <v>6.7599999999999993E-2</v>
      </c>
      <c r="M2" s="2">
        <v>-5.8999999999999997E-2</v>
      </c>
      <c r="N2" s="2">
        <v>8.0100000000000005E-2</v>
      </c>
      <c r="O2" s="2">
        <v>-1.3599999999999999E-2</v>
      </c>
      <c r="P2" s="2">
        <v>7.2400000000000006E-2</v>
      </c>
      <c r="Q2" s="2">
        <v>3.6400000000000002E-2</v>
      </c>
      <c r="R2" s="2">
        <v>-7.9000000000000008E-3</v>
      </c>
      <c r="S2" s="2">
        <v>1.7100000000000001E-2</v>
      </c>
      <c r="T2" s="2">
        <v>3.9800000000000002E-2</v>
      </c>
      <c r="U2" s="2">
        <v>5.8999999999999999E-3</v>
      </c>
      <c r="V2" s="2">
        <v>2.24E-2</v>
      </c>
    </row>
    <row r="3" spans="1:22" x14ac:dyDescent="0.25">
      <c r="A3" t="s">
        <v>71</v>
      </c>
      <c r="B3" s="2">
        <v>4.1000000000000002E-2</v>
      </c>
      <c r="D3" s="2">
        <v>0.1361</v>
      </c>
      <c r="E3" s="105">
        <v>-1.09E-2</v>
      </c>
      <c r="F3" s="2">
        <v>5.16E-2</v>
      </c>
      <c r="G3" s="2">
        <v>7.0800000000000002E-2</v>
      </c>
      <c r="H3" s="2">
        <v>4.3400000000000001E-2</v>
      </c>
      <c r="I3" s="2">
        <v>-9.2499999999999999E-2</v>
      </c>
      <c r="J3" s="2">
        <v>5.3600000000000002E-2</v>
      </c>
      <c r="K3" s="2">
        <v>0.10929999999999999</v>
      </c>
      <c r="L3" s="2">
        <v>4.2099999999999999E-2</v>
      </c>
      <c r="M3" s="2">
        <v>-9.4000000000000004E-3</v>
      </c>
      <c r="N3" s="2">
        <v>0.1454</v>
      </c>
      <c r="O3" s="2">
        <v>6.4299999999999996E-2</v>
      </c>
      <c r="P3" s="2">
        <v>0.1164</v>
      </c>
      <c r="Q3" s="2">
        <v>5.0599999999999999E-2</v>
      </c>
      <c r="R3" s="2">
        <v>4.9700000000000001E-2</v>
      </c>
      <c r="S3" s="2">
        <v>0.10970000000000001</v>
      </c>
      <c r="T3" s="2">
        <v>9.5600000000000004E-2</v>
      </c>
      <c r="U3" s="2">
        <v>0.1229</v>
      </c>
      <c r="V3" s="2">
        <v>4.07E-2</v>
      </c>
    </row>
    <row r="4" spans="1:22" x14ac:dyDescent="0.25">
      <c r="A4" t="s">
        <v>300</v>
      </c>
      <c r="B4" s="7">
        <v>8</v>
      </c>
      <c r="C4" s="7">
        <v>0.43</v>
      </c>
      <c r="D4" s="7">
        <v>265</v>
      </c>
      <c r="E4" s="7">
        <v>78</v>
      </c>
      <c r="F4" s="7">
        <v>-14</v>
      </c>
      <c r="G4" s="7">
        <v>176</v>
      </c>
      <c r="H4" s="7">
        <v>15</v>
      </c>
      <c r="I4" s="7">
        <v>10</v>
      </c>
      <c r="J4" s="7">
        <v>163</v>
      </c>
      <c r="K4" s="7">
        <v>60</v>
      </c>
      <c r="L4" s="7">
        <v>42</v>
      </c>
      <c r="M4" s="7">
        <v>72</v>
      </c>
      <c r="N4" s="7">
        <v>173</v>
      </c>
      <c r="O4" s="7">
        <v>115</v>
      </c>
      <c r="P4" s="7">
        <v>166</v>
      </c>
      <c r="Q4" s="7">
        <v>141</v>
      </c>
      <c r="R4" s="7">
        <v>41</v>
      </c>
      <c r="S4" s="7">
        <v>27</v>
      </c>
      <c r="T4" s="7">
        <v>205</v>
      </c>
      <c r="U4" s="7">
        <v>57</v>
      </c>
      <c r="V4" s="7">
        <v>105</v>
      </c>
    </row>
    <row r="5" spans="1:22" x14ac:dyDescent="0.25">
      <c r="A5" t="s">
        <v>72</v>
      </c>
      <c r="B5" s="5">
        <v>1.5800000000000002E-2</v>
      </c>
      <c r="C5" s="2">
        <v>7.51E-2</v>
      </c>
      <c r="D5" s="2">
        <v>8.3000000000000001E-3</v>
      </c>
      <c r="E5" s="2">
        <v>3.7199999999999997E-2</v>
      </c>
      <c r="F5" s="2">
        <v>1.66E-2</v>
      </c>
      <c r="G5" s="2">
        <v>1.17E-2</v>
      </c>
      <c r="H5" s="2">
        <v>2.4E-2</v>
      </c>
      <c r="I5" s="2">
        <v>2.6800000000000001E-2</v>
      </c>
      <c r="J5" s="2">
        <v>1.6899999999999998E-2</v>
      </c>
      <c r="K5" s="2">
        <v>1.7100000000000001E-2</v>
      </c>
      <c r="L5" s="2">
        <v>1.9E-2</v>
      </c>
      <c r="M5" s="2">
        <v>1.9400000000000001E-2</v>
      </c>
      <c r="N5" s="2">
        <v>1.8100000000000002E-2</v>
      </c>
      <c r="O5" s="2">
        <v>1.17E-2</v>
      </c>
      <c r="P5" s="2">
        <v>1.52E-2</v>
      </c>
      <c r="Q5" s="2">
        <v>1.4E-3</v>
      </c>
      <c r="R5" s="2">
        <v>2.5899999999999999E-2</v>
      </c>
      <c r="S5" s="2">
        <v>9.35E-2</v>
      </c>
      <c r="T5" s="2">
        <v>1.34E-2</v>
      </c>
      <c r="U5" s="2">
        <v>3.0700000000000002E-2</v>
      </c>
      <c r="V5" s="2">
        <v>2.41E-2</v>
      </c>
    </row>
    <row r="6" spans="1:22" x14ac:dyDescent="0.25">
      <c r="A6" t="s">
        <v>958</v>
      </c>
      <c r="B6">
        <v>0.05</v>
      </c>
      <c r="C6" s="2">
        <v>2.58E-2</v>
      </c>
      <c r="D6" s="88">
        <v>4.91</v>
      </c>
      <c r="E6" s="2">
        <v>0.32150000000000001</v>
      </c>
      <c r="F6" s="5">
        <v>-0.09</v>
      </c>
      <c r="G6" s="2">
        <v>1.67E-2</v>
      </c>
      <c r="H6" s="120">
        <v>0.09</v>
      </c>
      <c r="I6" s="2">
        <v>6.7000000000000004E-2</v>
      </c>
      <c r="J6" s="122">
        <v>1.41</v>
      </c>
      <c r="K6" s="94">
        <v>0.48</v>
      </c>
      <c r="L6" s="122">
        <v>0.31</v>
      </c>
      <c r="M6" s="122">
        <v>0.45</v>
      </c>
      <c r="N6" s="122">
        <v>1.61</v>
      </c>
      <c r="O6" s="122">
        <v>1.85</v>
      </c>
      <c r="P6" s="122">
        <v>1.71</v>
      </c>
      <c r="Q6" s="154">
        <v>12.81</v>
      </c>
      <c r="R6" s="154">
        <v>0.25</v>
      </c>
      <c r="S6" s="154">
        <v>0.06</v>
      </c>
      <c r="T6" s="122">
        <v>2.2000000000000002</v>
      </c>
      <c r="U6" s="94">
        <v>0.23</v>
      </c>
      <c r="V6" s="122">
        <v>0.73</v>
      </c>
    </row>
    <row r="7" spans="1:22" x14ac:dyDescent="0.25">
      <c r="A7" t="s">
        <v>959</v>
      </c>
      <c r="B7" s="176">
        <f>B6/1</f>
        <v>0.05</v>
      </c>
      <c r="C7" s="176">
        <f>C6/1</f>
        <v>2.58E-2</v>
      </c>
      <c r="D7" s="176">
        <f>D6/1</f>
        <v>4.91</v>
      </c>
      <c r="E7" s="6">
        <v>0.32150000000000001</v>
      </c>
      <c r="F7" s="176">
        <v>-0.09</v>
      </c>
      <c r="G7" s="6">
        <v>1.67E-2</v>
      </c>
      <c r="H7" s="175">
        <v>0.09</v>
      </c>
      <c r="I7" s="6">
        <v>6.7000000000000004E-2</v>
      </c>
      <c r="J7" s="177">
        <f>J6/1</f>
        <v>1.41</v>
      </c>
      <c r="K7" s="6">
        <v>0.48</v>
      </c>
      <c r="L7" s="177">
        <f t="shared" ref="L7:T7" si="0">L6/1</f>
        <v>0.31</v>
      </c>
      <c r="M7" s="177">
        <f t="shared" si="0"/>
        <v>0.45</v>
      </c>
      <c r="N7" s="175">
        <f t="shared" si="0"/>
        <v>1.61</v>
      </c>
      <c r="O7" s="177">
        <f t="shared" si="0"/>
        <v>1.85</v>
      </c>
      <c r="P7" s="177">
        <f t="shared" si="0"/>
        <v>1.71</v>
      </c>
      <c r="Q7" s="178">
        <f t="shared" si="0"/>
        <v>12.81</v>
      </c>
      <c r="R7" s="178">
        <f t="shared" si="0"/>
        <v>0.25</v>
      </c>
      <c r="S7" s="178">
        <f t="shared" si="0"/>
        <v>0.06</v>
      </c>
      <c r="T7" s="177">
        <f t="shared" si="0"/>
        <v>2.2000000000000002</v>
      </c>
      <c r="U7" s="6">
        <v>0.23</v>
      </c>
      <c r="V7" s="177">
        <f>V6/1</f>
        <v>0.73</v>
      </c>
    </row>
    <row r="8" spans="1:22" x14ac:dyDescent="0.25">
      <c r="A8" t="s">
        <v>451</v>
      </c>
      <c r="C8" s="2"/>
      <c r="D8" s="2"/>
      <c r="E8" s="2"/>
      <c r="J8" s="118">
        <v>36.39</v>
      </c>
    </row>
    <row r="9" spans="1:22" x14ac:dyDescent="0.25">
      <c r="A9" t="s">
        <v>452</v>
      </c>
      <c r="J9" t="s">
        <v>453</v>
      </c>
    </row>
    <row r="10" spans="1:22" x14ac:dyDescent="0.25">
      <c r="A10" t="s">
        <v>454</v>
      </c>
      <c r="J10" t="s">
        <v>455</v>
      </c>
    </row>
    <row r="11" spans="1:22" x14ac:dyDescent="0.25">
      <c r="C11" s="2"/>
    </row>
    <row r="12" spans="1:22" x14ac:dyDescent="0.25">
      <c r="B12" s="5">
        <f>1/1</f>
        <v>1</v>
      </c>
    </row>
  </sheetData>
  <pageMargins left="0.7" right="0.7" top="0.75" bottom="0.75" header="0.3" footer="0.3"/>
  <pageSetup orientation="portrait" r:id="rId1"/>
  <drawing r:id="rId2"/>
  <legacyDrawing r:id="rId3"/>
  <tableParts count="1">
    <tablePart r:id="rId4"/>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87B8CF-13C3-489A-8413-FACF4EEC3A93}">
  <dimension ref="A2:H169"/>
  <sheetViews>
    <sheetView zoomScaleNormal="100" workbookViewId="0">
      <selection activeCell="G23" sqref="G23"/>
    </sheetView>
  </sheetViews>
  <sheetFormatPr defaultColWidth="8.85546875" defaultRowHeight="15" x14ac:dyDescent="0.25"/>
  <cols>
    <col min="1" max="1" width="13.140625" bestFit="1" customWidth="1"/>
    <col min="2" max="2" width="19.7109375" bestFit="1" customWidth="1"/>
    <col min="3" max="3" width="17.85546875" bestFit="1" customWidth="1"/>
    <col min="4" max="4" width="19.28515625" bestFit="1" customWidth="1"/>
    <col min="5" max="7" width="13.7109375" bestFit="1" customWidth="1"/>
    <col min="8" max="8" width="15.85546875" bestFit="1" customWidth="1"/>
  </cols>
  <sheetData>
    <row r="2" spans="1:8" x14ac:dyDescent="0.25">
      <c r="B2" s="173" t="s">
        <v>963</v>
      </c>
      <c r="C2" s="174" t="s">
        <v>964</v>
      </c>
      <c r="D2" s="173" t="s">
        <v>965</v>
      </c>
      <c r="E2" s="173" t="s">
        <v>966</v>
      </c>
      <c r="F2" s="174" t="s">
        <v>967</v>
      </c>
      <c r="G2" s="173" t="s">
        <v>968</v>
      </c>
      <c r="H2" s="174" t="s">
        <v>969</v>
      </c>
    </row>
    <row r="3" spans="1:8" x14ac:dyDescent="0.25">
      <c r="B3" s="5">
        <v>0.38179999999999997</v>
      </c>
      <c r="C3" s="2">
        <v>0.39400000000000002</v>
      </c>
      <c r="D3" s="5">
        <v>0.42249999999999999</v>
      </c>
      <c r="E3" s="193">
        <v>316006000</v>
      </c>
      <c r="F3" s="193">
        <v>355096000</v>
      </c>
      <c r="G3" s="193">
        <v>115812000</v>
      </c>
      <c r="H3" s="194">
        <f>SUM(E3:G3)</f>
        <v>786914000</v>
      </c>
    </row>
    <row r="4" spans="1:8" x14ac:dyDescent="0.25">
      <c r="B4" s="5"/>
      <c r="D4" s="5"/>
    </row>
    <row r="8" spans="1:8" x14ac:dyDescent="0.25">
      <c r="A8" s="195"/>
    </row>
    <row r="25" spans="1:1" x14ac:dyDescent="0.25">
      <c r="A25" s="194"/>
    </row>
    <row r="49" spans="1:1" x14ac:dyDescent="0.25">
      <c r="A49" s="194"/>
    </row>
    <row r="73" spans="1:1" x14ac:dyDescent="0.25">
      <c r="A73" s="194"/>
    </row>
    <row r="81" spans="1:1" x14ac:dyDescent="0.25">
      <c r="A81" s="194"/>
    </row>
    <row r="89" spans="1:1" x14ac:dyDescent="0.25">
      <c r="A89" s="194"/>
    </row>
    <row r="105" spans="1:1" x14ac:dyDescent="0.25">
      <c r="A105" s="194"/>
    </row>
    <row r="113" spans="1:1" x14ac:dyDescent="0.25">
      <c r="A113" s="194"/>
    </row>
    <row r="121" spans="1:1" x14ac:dyDescent="0.25">
      <c r="A121" s="194"/>
    </row>
    <row r="129" spans="1:1" x14ac:dyDescent="0.25">
      <c r="A129" s="194"/>
    </row>
    <row r="137" spans="1:1" x14ac:dyDescent="0.25">
      <c r="A137" s="194"/>
    </row>
    <row r="145" spans="1:1" x14ac:dyDescent="0.25">
      <c r="A145" s="194"/>
    </row>
    <row r="153" spans="1:1" x14ac:dyDescent="0.25">
      <c r="A153" s="194"/>
    </row>
    <row r="161" spans="1:1" x14ac:dyDescent="0.25">
      <c r="A161" s="194"/>
    </row>
    <row r="169" spans="1:1" x14ac:dyDescent="0.25">
      <c r="A169" s="194"/>
    </row>
  </sheetData>
  <pageMargins left="0.7" right="0.7" top="0.75" bottom="0.75" header="0.3" footer="0.3"/>
  <pageSetup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CF74AFA3296A0444BBBE2E0D5CCC9429" ma:contentTypeVersion="27" ma:contentTypeDescription="Create a new document." ma:contentTypeScope="" ma:versionID="570963087c10804fa7f3aed9e736a6e1">
  <xsd:schema xmlns:xsd="http://www.w3.org/2001/XMLSchema" xmlns:xs="http://www.w3.org/2001/XMLSchema" xmlns:p="http://schemas.microsoft.com/office/2006/metadata/properties" xmlns:ns3="eac5268f-51ee-481b-b78d-8d978f904fe5" xmlns:ns4="e2d5c734-d981-41c2-ac27-27f55a1c5eba" targetNamespace="http://schemas.microsoft.com/office/2006/metadata/properties" ma:root="true" ma:fieldsID="bd7bafa0fc21d5ac6ec0e4db24eeeb60" ns3:_="" ns4:_="">
    <xsd:import namespace="eac5268f-51ee-481b-b78d-8d978f904fe5"/>
    <xsd:import namespace="e2d5c734-d981-41c2-ac27-27f55a1c5eba"/>
    <xsd:element name="properties">
      <xsd:complexType>
        <xsd:sequence>
          <xsd:element name="documentManagement">
            <xsd:complexType>
              <xsd:all>
                <xsd:element ref="ns3:SharedWithUsers" minOccurs="0"/>
                <xsd:element ref="ns3:SharedWithDetails" minOccurs="0"/>
                <xsd:element ref="ns3:SharingHintHash" minOccurs="0"/>
                <xsd:element ref="ns4:NotebookType" minOccurs="0"/>
                <xsd:element ref="ns4:FolderType" minOccurs="0"/>
                <xsd:element ref="ns4:Owner" minOccurs="0"/>
                <xsd:element ref="ns4:DefaultSectionNames" minOccurs="0"/>
                <xsd:element ref="ns4:AppVersion" minOccurs="0"/>
                <xsd:element ref="ns4:Teachers" minOccurs="0"/>
                <xsd:element ref="ns4:Students" minOccurs="0"/>
                <xsd:element ref="ns4:Student_Groups" minOccurs="0"/>
                <xsd:element ref="ns4:Invited_Teachers" minOccurs="0"/>
                <xsd:element ref="ns4:Invited_Students" minOccurs="0"/>
                <xsd:element ref="ns4:Self_Registration_Enabled" minOccurs="0"/>
                <xsd:element ref="ns4:CultureName" minOccurs="0"/>
                <xsd:element ref="ns4:Has_Teacher_Only_SectionGroup" minOccurs="0"/>
                <xsd:element ref="ns4:Is_Collaboration_Space_Locked" minOccurs="0"/>
                <xsd:element ref="ns4:Self_Registration_Enabled0" minOccurs="0"/>
                <xsd:element ref="ns4:Templates" minOccurs="0"/>
                <xsd:element ref="ns4:MediaServiceMetadata" minOccurs="0"/>
                <xsd:element ref="ns4:MediaServiceFastMetadata" minOccurs="0"/>
                <xsd:element ref="ns4:MediaServiceDateTaken" minOccurs="0"/>
                <xsd:element ref="ns4:MediaServiceAutoTags" minOccurs="0"/>
                <xsd:element ref="ns4:MediaServiceLocation" minOccurs="0"/>
                <xsd:element ref="ns4:MediaServiceOCR" minOccurs="0"/>
                <xsd:element ref="ns4:MediaServiceGenerationTime" minOccurs="0"/>
                <xsd:element ref="ns4: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ac5268f-51ee-481b-b78d-8d978f904fe5"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SharingHintHash" ma:index="10" nillable="true" ma:displayName="Sharing Hint Hash" ma:description=""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e2d5c734-d981-41c2-ac27-27f55a1c5eba" elementFormDefault="qualified">
    <xsd:import namespace="http://schemas.microsoft.com/office/2006/documentManagement/types"/>
    <xsd:import namespace="http://schemas.microsoft.com/office/infopath/2007/PartnerControls"/>
    <xsd:element name="NotebookType" ma:index="11" nillable="true" ma:displayName="Notebook Type" ma:internalName="NotebookType">
      <xsd:simpleType>
        <xsd:restriction base="dms:Text"/>
      </xsd:simpleType>
    </xsd:element>
    <xsd:element name="FolderType" ma:index="12" nillable="true" ma:displayName="Folder Type" ma:internalName="FolderType">
      <xsd:simpleType>
        <xsd:restriction base="dms:Text"/>
      </xsd:simpleType>
    </xsd:element>
    <xsd:element name="Owner" ma:index="13" nillable="true" ma:displayName="Owner" ma:internalName="Owner">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DefaultSectionNames" ma:index="14" nillable="true" ma:displayName="Default Section Names" ma:internalName="DefaultSectionNames">
      <xsd:simpleType>
        <xsd:restriction base="dms:Note">
          <xsd:maxLength value="255"/>
        </xsd:restriction>
      </xsd:simpleType>
    </xsd:element>
    <xsd:element name="AppVersion" ma:index="15" nillable="true" ma:displayName="App Version" ma:internalName="AppVersion">
      <xsd:simpleType>
        <xsd:restriction base="dms:Text"/>
      </xsd:simpleType>
    </xsd:element>
    <xsd:element name="Teachers" ma:index="16" nillable="true" ma:displayName="Teachers" ma:internalName="Teachers">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tudents" ma:index="17" nillable="true" ma:displayName="Students" ma:internalName="Students">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tudent_Groups" ma:index="18" nillable="true" ma:displayName="Student Groups" ma:internalName="Student_Groups">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Invited_Teachers" ma:index="19" nillable="true" ma:displayName="Invited Teachers" ma:internalName="Invited_Teachers">
      <xsd:simpleType>
        <xsd:restriction base="dms:Note">
          <xsd:maxLength value="255"/>
        </xsd:restriction>
      </xsd:simpleType>
    </xsd:element>
    <xsd:element name="Invited_Students" ma:index="20" nillable="true" ma:displayName="Invited Students" ma:internalName="Invited_Students">
      <xsd:simpleType>
        <xsd:restriction base="dms:Note">
          <xsd:maxLength value="255"/>
        </xsd:restriction>
      </xsd:simpleType>
    </xsd:element>
    <xsd:element name="Self_Registration_Enabled" ma:index="21" nillable="true" ma:displayName="Self_Registration_Enabled" ma:internalName="Self_Registration_Enabled">
      <xsd:simpleType>
        <xsd:restriction base="dms:Boolean"/>
      </xsd:simpleType>
    </xsd:element>
    <xsd:element name="CultureName" ma:index="22" nillable="true" ma:displayName="Culture Name" ma:internalName="CultureName">
      <xsd:simpleType>
        <xsd:restriction base="dms:Text"/>
      </xsd:simpleType>
    </xsd:element>
    <xsd:element name="Has_Teacher_Only_SectionGroup" ma:index="23" nillable="true" ma:displayName="Has Teacher Only SectionGroup" ma:internalName="Has_Teacher_Only_SectionGroup">
      <xsd:simpleType>
        <xsd:restriction base="dms:Boolean"/>
      </xsd:simpleType>
    </xsd:element>
    <xsd:element name="Is_Collaboration_Space_Locked" ma:index="24" nillable="true" ma:displayName="Is Collaboration Space Locked" ma:internalName="Is_Collaboration_Space_Locked">
      <xsd:simpleType>
        <xsd:restriction base="dms:Boolean"/>
      </xsd:simpleType>
    </xsd:element>
    <xsd:element name="Self_Registration_Enabled0" ma:index="25" nillable="true" ma:displayName="Self Registration Enabled" ma:internalName="Self_Registration_Enabled0">
      <xsd:simpleType>
        <xsd:restriction base="dms:Boolean"/>
      </xsd:simpleType>
    </xsd:element>
    <xsd:element name="Templates" ma:index="26" nillable="true" ma:displayName="Templates" ma:internalName="Templates">
      <xsd:simpleType>
        <xsd:restriction base="dms:Note">
          <xsd:maxLength value="255"/>
        </xsd:restriction>
      </xsd:simpleType>
    </xsd:element>
    <xsd:element name="MediaServiceMetadata" ma:index="27" nillable="true" ma:displayName="MediaServiceMetadata" ma:description="" ma:hidden="true" ma:internalName="MediaServiceMetadata" ma:readOnly="true">
      <xsd:simpleType>
        <xsd:restriction base="dms:Note"/>
      </xsd:simpleType>
    </xsd:element>
    <xsd:element name="MediaServiceFastMetadata" ma:index="28" nillable="true" ma:displayName="MediaServiceFastMetadata" ma:description="" ma:hidden="true" ma:internalName="MediaServiceFastMetadata" ma:readOnly="true">
      <xsd:simpleType>
        <xsd:restriction base="dms:Note"/>
      </xsd:simpleType>
    </xsd:element>
    <xsd:element name="MediaServiceDateTaken" ma:index="29" nillable="true" ma:displayName="MediaServiceDateTaken" ma:description="" ma:hidden="true" ma:internalName="MediaServiceDateTaken" ma:readOnly="true">
      <xsd:simpleType>
        <xsd:restriction base="dms:Text"/>
      </xsd:simpleType>
    </xsd:element>
    <xsd:element name="MediaServiceAutoTags" ma:index="30" nillable="true" ma:displayName="MediaServiceAutoTags" ma:description="" ma:internalName="MediaServiceAutoTags" ma:readOnly="true">
      <xsd:simpleType>
        <xsd:restriction base="dms:Text"/>
      </xsd:simpleType>
    </xsd:element>
    <xsd:element name="MediaServiceLocation" ma:index="31" nillable="true" ma:displayName="MediaServiceLocation" ma:description="" ma:internalName="MediaServiceLocation" ma:readOnly="true">
      <xsd:simpleType>
        <xsd:restriction base="dms:Text"/>
      </xsd:simpleType>
    </xsd:element>
    <xsd:element name="MediaServiceOCR" ma:index="32" nillable="true" ma:displayName="Extracted Text" ma:internalName="MediaServiceOCR" ma:readOnly="true">
      <xsd:simpleType>
        <xsd:restriction base="dms:Note">
          <xsd:maxLength value="255"/>
        </xsd:restriction>
      </xsd:simpleType>
    </xsd:element>
    <xsd:element name="MediaServiceGenerationTime" ma:index="33" nillable="true" ma:displayName="MediaServiceGenerationTime" ma:hidden="true" ma:internalName="MediaServiceGenerationTime" ma:readOnly="true">
      <xsd:simpleType>
        <xsd:restriction base="dms:Text"/>
      </xsd:simpleType>
    </xsd:element>
    <xsd:element name="MediaServiceEventHashCode" ma:index="34"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1 6 " ? > < D a t a M a s h u p   x m l n s = " h t t p : / / s c h e m a s . m i c r o s o f t . c o m / D a t a M a s h u p " > A A A A A B c D A A B Q S w M E F A A C A A g A h 7 J Z T x O y 0 J e n A A A A + A A A A B I A H A B D b 2 5 m a W c v U G F j a 2 F n Z S 5 4 b W w g o h g A K K A U A A A A A A A A A A A A A A A A A A A A A A A A A A A A h Y / R C o I w G I V f R X b v N p d W y O 8 k v E 0 I g u h 2 6 N K R z n C z + W 5 d 9 E i 9 Q k J Z 3 X V 5 D t + B 7 z x u d 0 j H t v G u s j e q 0 w k K M E W e 1 E V X K l 0 l a L A n f 4 1 S D j t R n E U l v Q n W J h 6 N S l B t 7 S U m x D m H 3 Q J 3 f U U Y p Q E 5 5 t t 9 U c t W + E o b K 3 Q h 0 W d V / l 8 h D o e X D G d 4 x X A U R U s c h g G Q u Y Z c 6 S / C J m N M g f y U k A 2 N H X r J p f a z D Z A 5 A n m / 4 E 9 Q S w M E F A A C A A g A h 7 J Z T 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I e y W U 8 o i k e 4 D g A A A B E A A A A T A B w A R m 9 y b X V s Y X M v U 2 V j d G l v b j E u b S C i G A A o o B Q A A A A A A A A A A A A A A A A A A A A A A A A A A A A r T k 0 u y c z P U w i G 0 I b W A F B L A Q I t A B Q A A g A I A I e y W U 8 T s t C X p w A A A P g A A A A S A A A A A A A A A A A A A A A A A A A A A A B D b 2 5 m a W c v U G F j a 2 F n Z S 5 4 b W x Q S w E C L Q A U A A I A C A C H s l l P D 8 r p q 6 Q A A A D p A A A A E w A A A A A A A A A A A A A A A A D z A A A A W 0 N v b n R l b n R f V H l w Z X N d L n h t b F B L A Q I t A B Q A A g A I A I e y W U 8 o i k e 4 D g A A A B E A A A A T A A A A A A A A A A A A A A A A A O Q B A A B G b 3 J t d W x h c y 9 T Z W N 0 a W 9 u M S 5 t U E s F B g A A A A A D A A M A w g A A A D 8 C 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p c B A A A A A A A A d Q 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N o A A A A B A A A A 0 I y d 3 w E V 0 R G M e g D A T 8 K X 6 w E A A A C 8 t b d 6 H F 8 Y T b Q 3 P 2 c b o J s t A A A A A A I A A A A A A A N m A A D A A A A A E A A A A P Y f X g x 9 j M 9 b c u J O k a W 0 c z 8 A A A A A B I A A A K A A A A A Q A A A A K 0 t P V S J o 3 L A i H i p g H K 3 L O F A A A A A b 1 D 1 B Z K W / m D t d 2 Q 9 E y N 4 z t P h u N L X I J c Z 1 6 j 9 + 2 c j z m j V o F h m s F N 4 5 L 9 j s b G H j n j u 0 Q 5 Y p l n y e P 6 Y Z 0 r p v Y b V H S s l E C r d W 5 J M 6 I x F H D 9 m I y R Q A A A D R / o u j X k 9 C I 7 + 1 L s 5 3 8 L Q A 8 i N f Z g = = < / D a t a M a s h u p > 
</file>

<file path=customXml/item4.xml><?xml version="1.0" encoding="utf-8"?>
<p:properties xmlns:p="http://schemas.microsoft.com/office/2006/metadata/properties" xmlns:xsi="http://www.w3.org/2001/XMLSchema-instance" xmlns:pc="http://schemas.microsoft.com/office/infopath/2007/PartnerControls">
  <documentManagement>
    <AppVersion xmlns="e2d5c734-d981-41c2-ac27-27f55a1c5eba" xsi:nil="true"/>
    <DefaultSectionNames xmlns="e2d5c734-d981-41c2-ac27-27f55a1c5eba" xsi:nil="true"/>
    <Has_Teacher_Only_SectionGroup xmlns="e2d5c734-d981-41c2-ac27-27f55a1c5eba" xsi:nil="true"/>
    <Templates xmlns="e2d5c734-d981-41c2-ac27-27f55a1c5eba" xsi:nil="true"/>
    <NotebookType xmlns="e2d5c734-d981-41c2-ac27-27f55a1c5eba" xsi:nil="true"/>
    <Is_Collaboration_Space_Locked xmlns="e2d5c734-d981-41c2-ac27-27f55a1c5eba" xsi:nil="true"/>
    <Self_Registration_Enabled0 xmlns="e2d5c734-d981-41c2-ac27-27f55a1c5eba" xsi:nil="true"/>
    <Owner xmlns="e2d5c734-d981-41c2-ac27-27f55a1c5eba">
      <UserInfo>
        <DisplayName/>
        <AccountId xsi:nil="true"/>
        <AccountType/>
      </UserInfo>
    </Owner>
    <Invited_Students xmlns="e2d5c734-d981-41c2-ac27-27f55a1c5eba" xsi:nil="true"/>
    <Self_Registration_Enabled xmlns="e2d5c734-d981-41c2-ac27-27f55a1c5eba" xsi:nil="true"/>
    <FolderType xmlns="e2d5c734-d981-41c2-ac27-27f55a1c5eba" xsi:nil="true"/>
    <Students xmlns="e2d5c734-d981-41c2-ac27-27f55a1c5eba">
      <UserInfo>
        <DisplayName/>
        <AccountId xsi:nil="true"/>
        <AccountType/>
      </UserInfo>
    </Students>
    <CultureName xmlns="e2d5c734-d981-41c2-ac27-27f55a1c5eba" xsi:nil="true"/>
    <Invited_Teachers xmlns="e2d5c734-d981-41c2-ac27-27f55a1c5eba" xsi:nil="true"/>
    <Teachers xmlns="e2d5c734-d981-41c2-ac27-27f55a1c5eba">
      <UserInfo>
        <DisplayName/>
        <AccountId xsi:nil="true"/>
        <AccountType/>
      </UserInfo>
    </Teachers>
    <Student_Groups xmlns="e2d5c734-d981-41c2-ac27-27f55a1c5eba">
      <UserInfo>
        <DisplayName/>
        <AccountId xsi:nil="true"/>
        <AccountType/>
      </UserInfo>
    </Student_Groups>
  </documentManagement>
</p:properties>
</file>

<file path=customXml/itemProps1.xml><?xml version="1.0" encoding="utf-8"?>
<ds:datastoreItem xmlns:ds="http://schemas.openxmlformats.org/officeDocument/2006/customXml" ds:itemID="{6D29C83F-50B5-4165-99B7-DE7073C58CBB}">
  <ds:schemaRefs>
    <ds:schemaRef ds:uri="http://schemas.microsoft.com/sharepoint/v3/contenttype/forms"/>
  </ds:schemaRefs>
</ds:datastoreItem>
</file>

<file path=customXml/itemProps2.xml><?xml version="1.0" encoding="utf-8"?>
<ds:datastoreItem xmlns:ds="http://schemas.openxmlformats.org/officeDocument/2006/customXml" ds:itemID="{8755CFFE-96CE-4133-8B7F-9C19C6CB899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ac5268f-51ee-481b-b78d-8d978f904fe5"/>
    <ds:schemaRef ds:uri="e2d5c734-d981-41c2-ac27-27f55a1c5eb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0597CF7-C93B-4183-BB2A-F955552F4FE7}">
  <ds:schemaRefs>
    <ds:schemaRef ds:uri="http://schemas.microsoft.com/DataMashup"/>
  </ds:schemaRefs>
</ds:datastoreItem>
</file>

<file path=customXml/itemProps4.xml><?xml version="1.0" encoding="utf-8"?>
<ds:datastoreItem xmlns:ds="http://schemas.openxmlformats.org/officeDocument/2006/customXml" ds:itemID="{6E62DC8B-9DFA-46B3-9C66-5D7CC54CD65A}">
  <ds:schemaRefs>
    <ds:schemaRef ds:uri="http://schemas.microsoft.com/office/2006/metadata/propertie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e2d5c734-d981-41c2-ac27-27f55a1c5eba"/>
    <ds:schemaRef ds:uri="http://purl.org/dc/elements/1.1/"/>
    <ds:schemaRef ds:uri="eac5268f-51ee-481b-b78d-8d978f904fe5"/>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Metrics</vt:lpstr>
      <vt:lpstr>Strengths</vt:lpstr>
      <vt:lpstr>Expansion</vt:lpstr>
      <vt:lpstr>Weighted Grant Units</vt:lpstr>
      <vt:lpstr>Enrolment</vt:lpstr>
      <vt:lpstr>Financial sustainability</vt:lpstr>
      <vt:lpstr>Reference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 Clare</dc:creator>
  <cp:lastModifiedBy>Matt Clare</cp:lastModifiedBy>
  <dcterms:created xsi:type="dcterms:W3CDTF">2019-10-15T17:39:36Z</dcterms:created>
  <dcterms:modified xsi:type="dcterms:W3CDTF">2020-01-20T15:36:58Z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0x010100CF74AFA3296A0444BBBE2E0D5CCC9429</vt:lpwstr>
  </property>
</Properties>
</file>