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clare/git/ontartio-sma-data/SMA3/"/>
    </mc:Choice>
  </mc:AlternateContent>
  <xr:revisionPtr revIDLastSave="0" documentId="13_ncr:1_{4112D527-9761-AC45-B62F-8E85D52E4386}" xr6:coauthVersionLast="47" xr6:coauthVersionMax="47" xr10:uidLastSave="{00000000-0000-0000-0000-000000000000}"/>
  <bookViews>
    <workbookView xWindow="780" yWindow="1000" windowWidth="27640" windowHeight="15840" xr2:uid="{1356E144-A2F5-134B-897E-C21DF3A245A5}"/>
  </bookViews>
  <sheets>
    <sheet name="Data &amp; Targets &amp; Bands ($)" sheetId="2" r:id="rId1"/>
    <sheet name="Data &amp; Targets &amp; Bands (%)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4" i="2" l="1"/>
  <c r="E234" i="2" s="1"/>
  <c r="F233" i="2"/>
  <c r="A233" i="2"/>
  <c r="D233" i="2" s="1"/>
  <c r="F232" i="2"/>
  <c r="E232" i="2"/>
  <c r="J232" i="2" s="1"/>
  <c r="A232" i="2"/>
  <c r="G232" i="2" s="1"/>
  <c r="F231" i="2"/>
  <c r="J231" i="2" s="1"/>
  <c r="E231" i="2"/>
  <c r="I231" i="2" s="1"/>
  <c r="K231" i="2" s="1"/>
  <c r="D231" i="2"/>
  <c r="H231" i="2" s="1"/>
  <c r="A231" i="2"/>
  <c r="G231" i="2" s="1"/>
  <c r="A230" i="2"/>
  <c r="E230" i="2" s="1"/>
  <c r="F229" i="2"/>
  <c r="A229" i="2"/>
  <c r="D229" i="2" s="1"/>
  <c r="F228" i="2"/>
  <c r="J228" i="2" s="1"/>
  <c r="E228" i="2"/>
  <c r="A228" i="2"/>
  <c r="G228" i="2" s="1"/>
  <c r="F227" i="2"/>
  <c r="E227" i="2"/>
  <c r="J227" i="2" s="1"/>
  <c r="D227" i="2"/>
  <c r="I227" i="2" s="1"/>
  <c r="A227" i="2"/>
  <c r="G227" i="2" s="1"/>
  <c r="G226" i="2"/>
  <c r="A226" i="2"/>
  <c r="F225" i="2"/>
  <c r="A225" i="2"/>
  <c r="D225" i="2" s="1"/>
  <c r="F224" i="2"/>
  <c r="E224" i="2"/>
  <c r="J224" i="2" s="1"/>
  <c r="A224" i="2"/>
  <c r="G224" i="2" s="1"/>
  <c r="F223" i="2"/>
  <c r="E223" i="2"/>
  <c r="I223" i="2" s="1"/>
  <c r="D223" i="2"/>
  <c r="H223" i="2" s="1"/>
  <c r="A223" i="2"/>
  <c r="G223" i="2" s="1"/>
  <c r="A222" i="2"/>
  <c r="A221" i="2"/>
  <c r="F220" i="2"/>
  <c r="J220" i="2" s="1"/>
  <c r="E220" i="2"/>
  <c r="A220" i="2"/>
  <c r="G220" i="2" s="1"/>
  <c r="F219" i="2"/>
  <c r="E219" i="2"/>
  <c r="J219" i="2" s="1"/>
  <c r="D219" i="2"/>
  <c r="I219" i="2" s="1"/>
  <c r="K219" i="2" s="1"/>
  <c r="A219" i="2"/>
  <c r="G219" i="2" s="1"/>
  <c r="G218" i="2"/>
  <c r="A218" i="2"/>
  <c r="F218" i="2" s="1"/>
  <c r="G217" i="2"/>
  <c r="A217" i="2"/>
  <c r="E217" i="2" s="1"/>
  <c r="G216" i="2"/>
  <c r="A216" i="2"/>
  <c r="D216" i="2" s="1"/>
  <c r="H215" i="2"/>
  <c r="L215" i="2" s="1"/>
  <c r="F215" i="2"/>
  <c r="E215" i="2"/>
  <c r="J215" i="2" s="1"/>
  <c r="D215" i="2"/>
  <c r="I215" i="2" s="1"/>
  <c r="K215" i="2" s="1"/>
  <c r="A215" i="2"/>
  <c r="G215" i="2" s="1"/>
  <c r="M215" i="2" s="1"/>
  <c r="E214" i="2"/>
  <c r="J214" i="2" s="1"/>
  <c r="D214" i="2"/>
  <c r="H214" i="2" s="1"/>
  <c r="A214" i="2"/>
  <c r="F214" i="2" s="1"/>
  <c r="F213" i="2"/>
  <c r="J213" i="2" s="1"/>
  <c r="D213" i="2"/>
  <c r="A213" i="2"/>
  <c r="E213" i="2" s="1"/>
  <c r="J212" i="2"/>
  <c r="K212" i="2" s="1"/>
  <c r="F212" i="2"/>
  <c r="E212" i="2"/>
  <c r="I212" i="2" s="1"/>
  <c r="A212" i="2"/>
  <c r="D212" i="2" s="1"/>
  <c r="F211" i="2"/>
  <c r="E211" i="2"/>
  <c r="J211" i="2" s="1"/>
  <c r="D211" i="2"/>
  <c r="I211" i="2" s="1"/>
  <c r="A211" i="2"/>
  <c r="G211" i="2" s="1"/>
  <c r="A210" i="2"/>
  <c r="G210" i="2" s="1"/>
  <c r="G209" i="2"/>
  <c r="F209" i="2"/>
  <c r="A209" i="2"/>
  <c r="A208" i="2"/>
  <c r="G208" i="2" s="1"/>
  <c r="H207" i="2"/>
  <c r="F207" i="2"/>
  <c r="J207" i="2" s="1"/>
  <c r="E207" i="2"/>
  <c r="D207" i="2"/>
  <c r="I207" i="2" s="1"/>
  <c r="K207" i="2" s="1"/>
  <c r="A207" i="2"/>
  <c r="G207" i="2" s="1"/>
  <c r="A206" i="2"/>
  <c r="F205" i="2"/>
  <c r="D205" i="2"/>
  <c r="A205" i="2"/>
  <c r="A204" i="2"/>
  <c r="F203" i="2"/>
  <c r="E203" i="2"/>
  <c r="J203" i="2" s="1"/>
  <c r="D203" i="2"/>
  <c r="I203" i="2" s="1"/>
  <c r="A203" i="2"/>
  <c r="G203" i="2" s="1"/>
  <c r="G202" i="2"/>
  <c r="E202" i="2"/>
  <c r="A202" i="2"/>
  <c r="A201" i="2"/>
  <c r="H200" i="2"/>
  <c r="F200" i="2"/>
  <c r="E200" i="2"/>
  <c r="J200" i="2" s="1"/>
  <c r="D200" i="2"/>
  <c r="I200" i="2" s="1"/>
  <c r="K200" i="2" s="1"/>
  <c r="A200" i="2"/>
  <c r="G200" i="2" s="1"/>
  <c r="E199" i="2"/>
  <c r="J199" i="2" s="1"/>
  <c r="D199" i="2"/>
  <c r="I199" i="2" s="1"/>
  <c r="K199" i="2" s="1"/>
  <c r="A199" i="2"/>
  <c r="F199" i="2" s="1"/>
  <c r="J198" i="2"/>
  <c r="F198" i="2"/>
  <c r="D198" i="2"/>
  <c r="H198" i="2" s="1"/>
  <c r="A198" i="2"/>
  <c r="E198" i="2" s="1"/>
  <c r="F197" i="2"/>
  <c r="E197" i="2"/>
  <c r="J197" i="2" s="1"/>
  <c r="A197" i="2"/>
  <c r="D197" i="2" s="1"/>
  <c r="F196" i="2"/>
  <c r="E196" i="2"/>
  <c r="I196" i="2" s="1"/>
  <c r="D196" i="2"/>
  <c r="A196" i="2"/>
  <c r="G196" i="2" s="1"/>
  <c r="A195" i="2"/>
  <c r="A194" i="2"/>
  <c r="A193" i="2"/>
  <c r="F192" i="2"/>
  <c r="E192" i="2"/>
  <c r="J192" i="2" s="1"/>
  <c r="D192" i="2"/>
  <c r="H192" i="2" s="1"/>
  <c r="A192" i="2"/>
  <c r="G192" i="2" s="1"/>
  <c r="E191" i="2"/>
  <c r="D191" i="2"/>
  <c r="A191" i="2"/>
  <c r="A190" i="2"/>
  <c r="F190" i="2" s="1"/>
  <c r="F189" i="2"/>
  <c r="E189" i="2"/>
  <c r="J189" i="2" s="1"/>
  <c r="A189" i="2"/>
  <c r="J188" i="2"/>
  <c r="F188" i="2"/>
  <c r="E188" i="2"/>
  <c r="D188" i="2"/>
  <c r="H188" i="2" s="1"/>
  <c r="A188" i="2"/>
  <c r="G188" i="2" s="1"/>
  <c r="A187" i="2"/>
  <c r="G187" i="2" s="1"/>
  <c r="G186" i="2"/>
  <c r="F186" i="2"/>
  <c r="A186" i="2"/>
  <c r="E185" i="2"/>
  <c r="I185" i="2" s="1"/>
  <c r="D185" i="2"/>
  <c r="H185" i="2" s="1"/>
  <c r="A185" i="2"/>
  <c r="F185" i="2" s="1"/>
  <c r="F184" i="2"/>
  <c r="J184" i="2" s="1"/>
  <c r="D184" i="2"/>
  <c r="H184" i="2" s="1"/>
  <c r="A184" i="2"/>
  <c r="E184" i="2" s="1"/>
  <c r="F183" i="2"/>
  <c r="E183" i="2"/>
  <c r="J183" i="2" s="1"/>
  <c r="A183" i="2"/>
  <c r="D183" i="2" s="1"/>
  <c r="F182" i="2"/>
  <c r="E182" i="2"/>
  <c r="J182" i="2" s="1"/>
  <c r="D182" i="2"/>
  <c r="H182" i="2" s="1"/>
  <c r="A182" i="2"/>
  <c r="G182" i="2" s="1"/>
  <c r="A181" i="2"/>
  <c r="G180" i="2"/>
  <c r="A180" i="2"/>
  <c r="G179" i="2"/>
  <c r="A179" i="2"/>
  <c r="H178" i="2"/>
  <c r="F178" i="2"/>
  <c r="E178" i="2"/>
  <c r="J178" i="2" s="1"/>
  <c r="D178" i="2"/>
  <c r="I178" i="2" s="1"/>
  <c r="K178" i="2" s="1"/>
  <c r="A178" i="2"/>
  <c r="G178" i="2" s="1"/>
  <c r="E177" i="2"/>
  <c r="J177" i="2" s="1"/>
  <c r="D177" i="2"/>
  <c r="H177" i="2" s="1"/>
  <c r="A177" i="2"/>
  <c r="F177" i="2" s="1"/>
  <c r="A176" i="2"/>
  <c r="F175" i="2"/>
  <c r="E175" i="2"/>
  <c r="J175" i="2" s="1"/>
  <c r="A175" i="2"/>
  <c r="J174" i="2"/>
  <c r="I174" i="2"/>
  <c r="K174" i="2" s="1"/>
  <c r="F174" i="2"/>
  <c r="E174" i="2"/>
  <c r="D174" i="2"/>
  <c r="H174" i="2" s="1"/>
  <c r="L174" i="2" s="1"/>
  <c r="A174" i="2"/>
  <c r="G174" i="2" s="1"/>
  <c r="A173" i="2"/>
  <c r="G172" i="2"/>
  <c r="F172" i="2"/>
  <c r="A172" i="2"/>
  <c r="A171" i="2"/>
  <c r="H170" i="2"/>
  <c r="F170" i="2"/>
  <c r="E170" i="2"/>
  <c r="J170" i="2" s="1"/>
  <c r="D170" i="2"/>
  <c r="I170" i="2" s="1"/>
  <c r="A170" i="2"/>
  <c r="G170" i="2" s="1"/>
  <c r="G169" i="2"/>
  <c r="E169" i="2"/>
  <c r="J169" i="2" s="1"/>
  <c r="D169" i="2"/>
  <c r="H169" i="2" s="1"/>
  <c r="A169" i="2"/>
  <c r="F169" i="2" s="1"/>
  <c r="G168" i="2"/>
  <c r="F168" i="2"/>
  <c r="J168" i="2" s="1"/>
  <c r="D168" i="2"/>
  <c r="H168" i="2" s="1"/>
  <c r="A168" i="2"/>
  <c r="E168" i="2" s="1"/>
  <c r="G167" i="2"/>
  <c r="F167" i="2"/>
  <c r="E167" i="2"/>
  <c r="J167" i="2" s="1"/>
  <c r="A167" i="2"/>
  <c r="D167" i="2" s="1"/>
  <c r="F166" i="2"/>
  <c r="E166" i="2"/>
  <c r="J166" i="2" s="1"/>
  <c r="D166" i="2"/>
  <c r="I166" i="2" s="1"/>
  <c r="A166" i="2"/>
  <c r="G166" i="2" s="1"/>
  <c r="G165" i="2"/>
  <c r="A165" i="2"/>
  <c r="F165" i="2" s="1"/>
  <c r="G164" i="2"/>
  <c r="A164" i="2"/>
  <c r="E164" i="2" s="1"/>
  <c r="G163" i="2"/>
  <c r="A163" i="2"/>
  <c r="D163" i="2" s="1"/>
  <c r="F162" i="2"/>
  <c r="J162" i="2" s="1"/>
  <c r="E162" i="2"/>
  <c r="D162" i="2"/>
  <c r="I162" i="2" s="1"/>
  <c r="A162" i="2"/>
  <c r="G162" i="2" s="1"/>
  <c r="G161" i="2"/>
  <c r="E161" i="2"/>
  <c r="J161" i="2" s="1"/>
  <c r="D161" i="2"/>
  <c r="H161" i="2" s="1"/>
  <c r="A161" i="2"/>
  <c r="F161" i="2" s="1"/>
  <c r="G160" i="2"/>
  <c r="F160" i="2"/>
  <c r="J160" i="2" s="1"/>
  <c r="K160" i="2" s="1"/>
  <c r="D160" i="2"/>
  <c r="I160" i="2" s="1"/>
  <c r="A160" i="2"/>
  <c r="E160" i="2" s="1"/>
  <c r="G159" i="2"/>
  <c r="F159" i="2"/>
  <c r="E159" i="2"/>
  <c r="J159" i="2" s="1"/>
  <c r="A159" i="2"/>
  <c r="D159" i="2" s="1"/>
  <c r="F158" i="2"/>
  <c r="E158" i="2"/>
  <c r="J158" i="2" s="1"/>
  <c r="D158" i="2"/>
  <c r="I158" i="2" s="1"/>
  <c r="A158" i="2"/>
  <c r="G158" i="2" s="1"/>
  <c r="A157" i="2"/>
  <c r="A156" i="2"/>
  <c r="E155" i="2"/>
  <c r="D155" i="2"/>
  <c r="A155" i="2"/>
  <c r="G155" i="2" s="1"/>
  <c r="G154" i="2"/>
  <c r="A154" i="2"/>
  <c r="F153" i="2"/>
  <c r="A153" i="2"/>
  <c r="G153" i="2" s="1"/>
  <c r="F152" i="2"/>
  <c r="J152" i="2" s="1"/>
  <c r="E152" i="2"/>
  <c r="I152" i="2" s="1"/>
  <c r="A152" i="2"/>
  <c r="D152" i="2" s="1"/>
  <c r="E151" i="2"/>
  <c r="I151" i="2" s="1"/>
  <c r="D151" i="2"/>
  <c r="A151" i="2"/>
  <c r="G151" i="2" s="1"/>
  <c r="A150" i="2"/>
  <c r="F149" i="2"/>
  <c r="A149" i="2"/>
  <c r="G149" i="2" s="1"/>
  <c r="I148" i="2"/>
  <c r="F148" i="2"/>
  <c r="E148" i="2"/>
  <c r="J148" i="2" s="1"/>
  <c r="A148" i="2"/>
  <c r="D148" i="2" s="1"/>
  <c r="E147" i="2"/>
  <c r="D147" i="2"/>
  <c r="A147" i="2"/>
  <c r="G147" i="2" s="1"/>
  <c r="A146" i="2"/>
  <c r="F145" i="2"/>
  <c r="A145" i="2"/>
  <c r="G145" i="2" s="1"/>
  <c r="I144" i="2"/>
  <c r="F144" i="2"/>
  <c r="E144" i="2"/>
  <c r="J144" i="2" s="1"/>
  <c r="D144" i="2"/>
  <c r="A144" i="2"/>
  <c r="G144" i="2" s="1"/>
  <c r="G143" i="2"/>
  <c r="D143" i="2"/>
  <c r="A143" i="2"/>
  <c r="F143" i="2" s="1"/>
  <c r="G142" i="2"/>
  <c r="D142" i="2"/>
  <c r="I142" i="2" s="1"/>
  <c r="A142" i="2"/>
  <c r="E142" i="2" s="1"/>
  <c r="G141" i="2"/>
  <c r="E141" i="2"/>
  <c r="I141" i="2" s="1"/>
  <c r="A141" i="2"/>
  <c r="D141" i="2" s="1"/>
  <c r="F140" i="2"/>
  <c r="E140" i="2"/>
  <c r="I140" i="2" s="1"/>
  <c r="D140" i="2"/>
  <c r="A140" i="2"/>
  <c r="G140" i="2" s="1"/>
  <c r="G139" i="2"/>
  <c r="E139" i="2"/>
  <c r="J139" i="2" s="1"/>
  <c r="D139" i="2"/>
  <c r="I139" i="2" s="1"/>
  <c r="K139" i="2" s="1"/>
  <c r="A139" i="2"/>
  <c r="F139" i="2" s="1"/>
  <c r="J138" i="2"/>
  <c r="G138" i="2"/>
  <c r="F138" i="2"/>
  <c r="D138" i="2"/>
  <c r="I138" i="2" s="1"/>
  <c r="K138" i="2" s="1"/>
  <c r="A138" i="2"/>
  <c r="E138" i="2" s="1"/>
  <c r="G137" i="2"/>
  <c r="F137" i="2"/>
  <c r="E137" i="2"/>
  <c r="J137" i="2" s="1"/>
  <c r="A137" i="2"/>
  <c r="D137" i="2" s="1"/>
  <c r="F136" i="2"/>
  <c r="E136" i="2"/>
  <c r="J136" i="2" s="1"/>
  <c r="D136" i="2"/>
  <c r="I136" i="2" s="1"/>
  <c r="K136" i="2" s="1"/>
  <c r="A136" i="2"/>
  <c r="G136" i="2" s="1"/>
  <c r="G135" i="2"/>
  <c r="D135" i="2"/>
  <c r="A135" i="2"/>
  <c r="F135" i="2" s="1"/>
  <c r="G134" i="2"/>
  <c r="D134" i="2"/>
  <c r="A134" i="2"/>
  <c r="E134" i="2" s="1"/>
  <c r="G133" i="2"/>
  <c r="E133" i="2"/>
  <c r="A133" i="2"/>
  <c r="D133" i="2" s="1"/>
  <c r="J132" i="2"/>
  <c r="H132" i="2"/>
  <c r="L132" i="2" s="1"/>
  <c r="F132" i="2"/>
  <c r="E132" i="2"/>
  <c r="I132" i="2" s="1"/>
  <c r="K132" i="2" s="1"/>
  <c r="D132" i="2"/>
  <c r="A132" i="2"/>
  <c r="G132" i="2" s="1"/>
  <c r="M132" i="2" s="1"/>
  <c r="G131" i="2"/>
  <c r="E131" i="2"/>
  <c r="J131" i="2" s="1"/>
  <c r="D131" i="2"/>
  <c r="H131" i="2" s="1"/>
  <c r="A131" i="2"/>
  <c r="F131" i="2" s="1"/>
  <c r="J130" i="2"/>
  <c r="G130" i="2"/>
  <c r="F130" i="2"/>
  <c r="D130" i="2"/>
  <c r="H130" i="2" s="1"/>
  <c r="A130" i="2"/>
  <c r="E130" i="2" s="1"/>
  <c r="G129" i="2"/>
  <c r="F129" i="2"/>
  <c r="E129" i="2"/>
  <c r="I129" i="2" s="1"/>
  <c r="A129" i="2"/>
  <c r="D129" i="2" s="1"/>
  <c r="H128" i="2"/>
  <c r="F128" i="2"/>
  <c r="E128" i="2"/>
  <c r="J128" i="2" s="1"/>
  <c r="D128" i="2"/>
  <c r="A128" i="2"/>
  <c r="G128" i="2" s="1"/>
  <c r="G127" i="2"/>
  <c r="D127" i="2"/>
  <c r="A127" i="2"/>
  <c r="F127" i="2" s="1"/>
  <c r="G126" i="2"/>
  <c r="D126" i="2"/>
  <c r="A126" i="2"/>
  <c r="E126" i="2" s="1"/>
  <c r="G125" i="2"/>
  <c r="E125" i="2"/>
  <c r="A125" i="2"/>
  <c r="D125" i="2" s="1"/>
  <c r="F124" i="2"/>
  <c r="E124" i="2"/>
  <c r="I124" i="2" s="1"/>
  <c r="D124" i="2"/>
  <c r="A124" i="2"/>
  <c r="G124" i="2" s="1"/>
  <c r="I123" i="2"/>
  <c r="K123" i="2" s="1"/>
  <c r="G123" i="2"/>
  <c r="E123" i="2"/>
  <c r="J123" i="2" s="1"/>
  <c r="D123" i="2"/>
  <c r="H123" i="2" s="1"/>
  <c r="L123" i="2" s="1"/>
  <c r="A123" i="2"/>
  <c r="F123" i="2" s="1"/>
  <c r="J122" i="2"/>
  <c r="G122" i="2"/>
  <c r="F122" i="2"/>
  <c r="D122" i="2"/>
  <c r="A122" i="2"/>
  <c r="E122" i="2" s="1"/>
  <c r="J121" i="2"/>
  <c r="G121" i="2"/>
  <c r="F121" i="2"/>
  <c r="E121" i="2"/>
  <c r="I121" i="2" s="1"/>
  <c r="K121" i="2" s="1"/>
  <c r="A121" i="2"/>
  <c r="D121" i="2" s="1"/>
  <c r="J120" i="2"/>
  <c r="H120" i="2"/>
  <c r="F120" i="2"/>
  <c r="E120" i="2"/>
  <c r="D120" i="2"/>
  <c r="I120" i="2" s="1"/>
  <c r="K120" i="2" s="1"/>
  <c r="A120" i="2"/>
  <c r="G120" i="2" s="1"/>
  <c r="G119" i="2"/>
  <c r="D119" i="2"/>
  <c r="A119" i="2"/>
  <c r="F119" i="2" s="1"/>
  <c r="G118" i="2"/>
  <c r="A118" i="2"/>
  <c r="A117" i="2"/>
  <c r="H116" i="2"/>
  <c r="F116" i="2"/>
  <c r="E116" i="2"/>
  <c r="J116" i="2" s="1"/>
  <c r="D116" i="2"/>
  <c r="I116" i="2" s="1"/>
  <c r="A116" i="2"/>
  <c r="G116" i="2" s="1"/>
  <c r="G115" i="2"/>
  <c r="E115" i="2"/>
  <c r="J115" i="2" s="1"/>
  <c r="D115" i="2"/>
  <c r="H115" i="2" s="1"/>
  <c r="A115" i="2"/>
  <c r="F115" i="2" s="1"/>
  <c r="G114" i="2"/>
  <c r="F114" i="2"/>
  <c r="J114" i="2" s="1"/>
  <c r="D114" i="2"/>
  <c r="A114" i="2"/>
  <c r="E114" i="2" s="1"/>
  <c r="G113" i="2"/>
  <c r="F113" i="2"/>
  <c r="J113" i="2" s="1"/>
  <c r="E113" i="2"/>
  <c r="I113" i="2" s="1"/>
  <c r="A113" i="2"/>
  <c r="D113" i="2" s="1"/>
  <c r="J112" i="2"/>
  <c r="F112" i="2"/>
  <c r="E112" i="2"/>
  <c r="H112" i="2" s="1"/>
  <c r="L112" i="2" s="1"/>
  <c r="M112" i="2" s="1"/>
  <c r="D112" i="2"/>
  <c r="I112" i="2" s="1"/>
  <c r="K112" i="2" s="1"/>
  <c r="A112" i="2"/>
  <c r="G112" i="2" s="1"/>
  <c r="A111" i="2"/>
  <c r="G110" i="2"/>
  <c r="A110" i="2"/>
  <c r="A109" i="2"/>
  <c r="H108" i="2"/>
  <c r="F108" i="2"/>
  <c r="E108" i="2"/>
  <c r="J108" i="2" s="1"/>
  <c r="D108" i="2"/>
  <c r="A108" i="2"/>
  <c r="G108" i="2" s="1"/>
  <c r="G107" i="2"/>
  <c r="E107" i="2"/>
  <c r="D107" i="2"/>
  <c r="H107" i="2" s="1"/>
  <c r="A107" i="2"/>
  <c r="F107" i="2" s="1"/>
  <c r="G106" i="2"/>
  <c r="F106" i="2"/>
  <c r="J106" i="2" s="1"/>
  <c r="D106" i="2"/>
  <c r="A106" i="2"/>
  <c r="E106" i="2" s="1"/>
  <c r="G105" i="2"/>
  <c r="F105" i="2"/>
  <c r="E105" i="2"/>
  <c r="J105" i="2" s="1"/>
  <c r="A105" i="2"/>
  <c r="D105" i="2" s="1"/>
  <c r="J104" i="2"/>
  <c r="F104" i="2"/>
  <c r="E104" i="2"/>
  <c r="H104" i="2" s="1"/>
  <c r="L104" i="2" s="1"/>
  <c r="M104" i="2" s="1"/>
  <c r="D104" i="2"/>
  <c r="I104" i="2" s="1"/>
  <c r="K104" i="2" s="1"/>
  <c r="A104" i="2"/>
  <c r="G104" i="2" s="1"/>
  <c r="A103" i="2"/>
  <c r="A102" i="2"/>
  <c r="D102" i="2" s="1"/>
  <c r="F101" i="2"/>
  <c r="E101" i="2"/>
  <c r="J101" i="2" s="1"/>
  <c r="D101" i="2"/>
  <c r="H101" i="2" s="1"/>
  <c r="A101" i="2"/>
  <c r="G101" i="2" s="1"/>
  <c r="E100" i="2"/>
  <c r="J100" i="2" s="1"/>
  <c r="A100" i="2"/>
  <c r="F100" i="2" s="1"/>
  <c r="F99" i="2"/>
  <c r="J99" i="2" s="1"/>
  <c r="A99" i="2"/>
  <c r="E99" i="2" s="1"/>
  <c r="F98" i="2"/>
  <c r="A98" i="2"/>
  <c r="D98" i="2" s="1"/>
  <c r="F97" i="2"/>
  <c r="J97" i="2" s="1"/>
  <c r="E97" i="2"/>
  <c r="D97" i="2"/>
  <c r="I97" i="2" s="1"/>
  <c r="K97" i="2" s="1"/>
  <c r="A97" i="2"/>
  <c r="G97" i="2" s="1"/>
  <c r="A96" i="2"/>
  <c r="F96" i="2" s="1"/>
  <c r="A95" i="2"/>
  <c r="E95" i="2" s="1"/>
  <c r="A94" i="2"/>
  <c r="D94" i="2" s="1"/>
  <c r="F93" i="2"/>
  <c r="E93" i="2"/>
  <c r="J93" i="2" s="1"/>
  <c r="D93" i="2"/>
  <c r="H93" i="2" s="1"/>
  <c r="A93" i="2"/>
  <c r="G93" i="2" s="1"/>
  <c r="E92" i="2"/>
  <c r="J92" i="2" s="1"/>
  <c r="A92" i="2"/>
  <c r="F92" i="2" s="1"/>
  <c r="F91" i="2"/>
  <c r="J91" i="2" s="1"/>
  <c r="A91" i="2"/>
  <c r="E91" i="2" s="1"/>
  <c r="F90" i="2"/>
  <c r="A90" i="2"/>
  <c r="D90" i="2" s="1"/>
  <c r="F89" i="2"/>
  <c r="E89" i="2"/>
  <c r="D89" i="2"/>
  <c r="I89" i="2" s="1"/>
  <c r="A89" i="2"/>
  <c r="G89" i="2" s="1"/>
  <c r="A88" i="2"/>
  <c r="A87" i="2"/>
  <c r="A86" i="2"/>
  <c r="F85" i="2"/>
  <c r="J85" i="2" s="1"/>
  <c r="E85" i="2"/>
  <c r="D85" i="2"/>
  <c r="H85" i="2" s="1"/>
  <c r="A85" i="2"/>
  <c r="G85" i="2" s="1"/>
  <c r="E84" i="2"/>
  <c r="J84" i="2" s="1"/>
  <c r="A84" i="2"/>
  <c r="F84" i="2" s="1"/>
  <c r="A83" i="2"/>
  <c r="A82" i="2"/>
  <c r="I81" i="2"/>
  <c r="K81" i="2" s="1"/>
  <c r="F81" i="2"/>
  <c r="E81" i="2"/>
  <c r="J81" i="2" s="1"/>
  <c r="D81" i="2"/>
  <c r="H81" i="2" s="1"/>
  <c r="L81" i="2" s="1"/>
  <c r="A81" i="2"/>
  <c r="G81" i="2" s="1"/>
  <c r="E80" i="2"/>
  <c r="A80" i="2"/>
  <c r="F79" i="2"/>
  <c r="A79" i="2"/>
  <c r="F78" i="2"/>
  <c r="A78" i="2"/>
  <c r="F77" i="2"/>
  <c r="J77" i="2" s="1"/>
  <c r="E77" i="2"/>
  <c r="D77" i="2"/>
  <c r="I77" i="2" s="1"/>
  <c r="K77" i="2" s="1"/>
  <c r="A77" i="2"/>
  <c r="G77" i="2" s="1"/>
  <c r="A76" i="2"/>
  <c r="E76" i="2" s="1"/>
  <c r="A75" i="2"/>
  <c r="F75" i="2" s="1"/>
  <c r="A74" i="2"/>
  <c r="F74" i="2" s="1"/>
  <c r="F73" i="2"/>
  <c r="J73" i="2" s="1"/>
  <c r="E73" i="2"/>
  <c r="D73" i="2"/>
  <c r="I73" i="2" s="1"/>
  <c r="A73" i="2"/>
  <c r="G73" i="2" s="1"/>
  <c r="G72" i="2"/>
  <c r="E72" i="2"/>
  <c r="A72" i="2"/>
  <c r="H71" i="2"/>
  <c r="F71" i="2"/>
  <c r="D71" i="2"/>
  <c r="A71" i="2"/>
  <c r="E71" i="2" s="1"/>
  <c r="J71" i="2" s="1"/>
  <c r="G70" i="2"/>
  <c r="E70" i="2"/>
  <c r="A70" i="2"/>
  <c r="J69" i="2"/>
  <c r="H69" i="2"/>
  <c r="F69" i="2"/>
  <c r="E69" i="2"/>
  <c r="D69" i="2"/>
  <c r="A69" i="2"/>
  <c r="G69" i="2" s="1"/>
  <c r="G68" i="2"/>
  <c r="A68" i="2"/>
  <c r="F67" i="2"/>
  <c r="D67" i="2"/>
  <c r="A67" i="2"/>
  <c r="E67" i="2" s="1"/>
  <c r="J67" i="2" s="1"/>
  <c r="G66" i="2"/>
  <c r="A66" i="2"/>
  <c r="J65" i="2"/>
  <c r="F65" i="2"/>
  <c r="E65" i="2"/>
  <c r="D65" i="2"/>
  <c r="I65" i="2" s="1"/>
  <c r="K65" i="2" s="1"/>
  <c r="A65" i="2"/>
  <c r="G65" i="2" s="1"/>
  <c r="A64" i="2"/>
  <c r="F63" i="2"/>
  <c r="J63" i="2" s="1"/>
  <c r="D63" i="2"/>
  <c r="H63" i="2" s="1"/>
  <c r="A63" i="2"/>
  <c r="E63" i="2" s="1"/>
  <c r="A62" i="2"/>
  <c r="F61" i="2"/>
  <c r="H61" i="2" s="1"/>
  <c r="E61" i="2"/>
  <c r="J61" i="2" s="1"/>
  <c r="D61" i="2"/>
  <c r="I61" i="2" s="1"/>
  <c r="K61" i="2" s="1"/>
  <c r="A61" i="2"/>
  <c r="G61" i="2" s="1"/>
  <c r="A60" i="2"/>
  <c r="F60" i="2" s="1"/>
  <c r="A59" i="2"/>
  <c r="E59" i="2" s="1"/>
  <c r="A58" i="2"/>
  <c r="F57" i="2"/>
  <c r="E57" i="2"/>
  <c r="J57" i="2" s="1"/>
  <c r="D57" i="2"/>
  <c r="H57" i="2" s="1"/>
  <c r="A57" i="2"/>
  <c r="G57" i="2" s="1"/>
  <c r="G56" i="2"/>
  <c r="E56" i="2"/>
  <c r="J56" i="2" s="1"/>
  <c r="A56" i="2"/>
  <c r="F56" i="2" s="1"/>
  <c r="G55" i="2"/>
  <c r="F55" i="2"/>
  <c r="J55" i="2" s="1"/>
  <c r="A55" i="2"/>
  <c r="E55" i="2" s="1"/>
  <c r="F54" i="2"/>
  <c r="A54" i="2"/>
  <c r="D54" i="2" s="1"/>
  <c r="F53" i="2"/>
  <c r="J53" i="2" s="1"/>
  <c r="E53" i="2"/>
  <c r="D53" i="2"/>
  <c r="I53" i="2" s="1"/>
  <c r="K53" i="2" s="1"/>
  <c r="A53" i="2"/>
  <c r="G53" i="2" s="1"/>
  <c r="A52" i="2"/>
  <c r="A51" i="2"/>
  <c r="A50" i="2"/>
  <c r="F49" i="2"/>
  <c r="E49" i="2"/>
  <c r="J49" i="2" s="1"/>
  <c r="D49" i="2"/>
  <c r="H49" i="2" s="1"/>
  <c r="A49" i="2"/>
  <c r="G49" i="2" s="1"/>
  <c r="E48" i="2"/>
  <c r="J48" i="2" s="1"/>
  <c r="A48" i="2"/>
  <c r="F48" i="2" s="1"/>
  <c r="F47" i="2"/>
  <c r="J47" i="2" s="1"/>
  <c r="A47" i="2"/>
  <c r="E47" i="2" s="1"/>
  <c r="F46" i="2"/>
  <c r="A46" i="2"/>
  <c r="D46" i="2" s="1"/>
  <c r="F45" i="2"/>
  <c r="E45" i="2"/>
  <c r="D45" i="2"/>
  <c r="I45" i="2" s="1"/>
  <c r="A45" i="2"/>
  <c r="G45" i="2" s="1"/>
  <c r="A44" i="2"/>
  <c r="A43" i="2"/>
  <c r="F42" i="2"/>
  <c r="J42" i="2" s="1"/>
  <c r="E42" i="2"/>
  <c r="D42" i="2"/>
  <c r="H42" i="2" s="1"/>
  <c r="A42" i="2"/>
  <c r="G42" i="2" s="1"/>
  <c r="G41" i="2"/>
  <c r="A41" i="2"/>
  <c r="F40" i="2"/>
  <c r="D40" i="2"/>
  <c r="I40" i="2" s="1"/>
  <c r="A40" i="2"/>
  <c r="E40" i="2" s="1"/>
  <c r="J40" i="2" s="1"/>
  <c r="E39" i="2"/>
  <c r="A39" i="2"/>
  <c r="D39" i="2" s="1"/>
  <c r="I39" i="2" s="1"/>
  <c r="H38" i="2"/>
  <c r="F38" i="2"/>
  <c r="J38" i="2" s="1"/>
  <c r="E38" i="2"/>
  <c r="D38" i="2"/>
  <c r="I38" i="2" s="1"/>
  <c r="A38" i="2"/>
  <c r="G38" i="2" s="1"/>
  <c r="G37" i="2"/>
  <c r="A37" i="2"/>
  <c r="F36" i="2"/>
  <c r="J36" i="2" s="1"/>
  <c r="D36" i="2"/>
  <c r="A36" i="2"/>
  <c r="E36" i="2" s="1"/>
  <c r="I36" i="2" s="1"/>
  <c r="I35" i="2"/>
  <c r="E35" i="2"/>
  <c r="A35" i="2"/>
  <c r="D35" i="2" s="1"/>
  <c r="H34" i="2"/>
  <c r="F34" i="2"/>
  <c r="J34" i="2" s="1"/>
  <c r="E34" i="2"/>
  <c r="D34" i="2"/>
  <c r="I34" i="2" s="1"/>
  <c r="A34" i="2"/>
  <c r="G34" i="2" s="1"/>
  <c r="A33" i="2"/>
  <c r="J32" i="2"/>
  <c r="F32" i="2"/>
  <c r="D32" i="2"/>
  <c r="A32" i="2"/>
  <c r="E32" i="2" s="1"/>
  <c r="I31" i="2"/>
  <c r="E31" i="2"/>
  <c r="A31" i="2"/>
  <c r="D31" i="2" s="1"/>
  <c r="F30" i="2"/>
  <c r="J30" i="2" s="1"/>
  <c r="E30" i="2"/>
  <c r="D30" i="2"/>
  <c r="H30" i="2" s="1"/>
  <c r="A30" i="2"/>
  <c r="G30" i="2" s="1"/>
  <c r="A29" i="2"/>
  <c r="G29" i="2" s="1"/>
  <c r="F28" i="2"/>
  <c r="D28" i="2"/>
  <c r="A28" i="2"/>
  <c r="E28" i="2" s="1"/>
  <c r="J28" i="2" s="1"/>
  <c r="E27" i="2"/>
  <c r="A27" i="2"/>
  <c r="D27" i="2" s="1"/>
  <c r="F26" i="2"/>
  <c r="J26" i="2" s="1"/>
  <c r="E26" i="2"/>
  <c r="D26" i="2"/>
  <c r="I26" i="2" s="1"/>
  <c r="K26" i="2" s="1"/>
  <c r="A26" i="2"/>
  <c r="G26" i="2" s="1"/>
  <c r="G25" i="2"/>
  <c r="A25" i="2"/>
  <c r="F24" i="2"/>
  <c r="D24" i="2"/>
  <c r="I24" i="2" s="1"/>
  <c r="A24" i="2"/>
  <c r="E24" i="2" s="1"/>
  <c r="J24" i="2" s="1"/>
  <c r="E23" i="2"/>
  <c r="A23" i="2"/>
  <c r="D23" i="2" s="1"/>
  <c r="I23" i="2" s="1"/>
  <c r="H22" i="2"/>
  <c r="L22" i="2" s="1"/>
  <c r="F22" i="2"/>
  <c r="J22" i="2" s="1"/>
  <c r="E22" i="2"/>
  <c r="I22" i="2" s="1"/>
  <c r="K22" i="2" s="1"/>
  <c r="D22" i="2"/>
  <c r="A22" i="2"/>
  <c r="G22" i="2" s="1"/>
  <c r="G21" i="2"/>
  <c r="A21" i="2"/>
  <c r="F20" i="2"/>
  <c r="J20" i="2" s="1"/>
  <c r="D20" i="2"/>
  <c r="A20" i="2"/>
  <c r="E20" i="2" s="1"/>
  <c r="I20" i="2" s="1"/>
  <c r="I19" i="2"/>
  <c r="E19" i="2"/>
  <c r="A19" i="2"/>
  <c r="D19" i="2" s="1"/>
  <c r="H18" i="2"/>
  <c r="F18" i="2"/>
  <c r="J18" i="2" s="1"/>
  <c r="E18" i="2"/>
  <c r="D18" i="2"/>
  <c r="I18" i="2" s="1"/>
  <c r="A18" i="2"/>
  <c r="G18" i="2" s="1"/>
  <c r="A17" i="2"/>
  <c r="J16" i="2"/>
  <c r="F16" i="2"/>
  <c r="D16" i="2"/>
  <c r="A16" i="2"/>
  <c r="E16" i="2" s="1"/>
  <c r="I15" i="2"/>
  <c r="E15" i="2"/>
  <c r="A15" i="2"/>
  <c r="D15" i="2" s="1"/>
  <c r="F14" i="2"/>
  <c r="J14" i="2" s="1"/>
  <c r="E14" i="2"/>
  <c r="D14" i="2"/>
  <c r="H14" i="2" s="1"/>
  <c r="A14" i="2"/>
  <c r="G14" i="2" s="1"/>
  <c r="A13" i="2"/>
  <c r="G13" i="2" s="1"/>
  <c r="F12" i="2"/>
  <c r="D12" i="2"/>
  <c r="A12" i="2"/>
  <c r="E12" i="2" s="1"/>
  <c r="J12" i="2" s="1"/>
  <c r="E11" i="2"/>
  <c r="I11" i="2" s="1"/>
  <c r="K11" i="2" s="1"/>
  <c r="A11" i="2"/>
  <c r="D11" i="2" s="1"/>
  <c r="F10" i="2"/>
  <c r="J10" i="2" s="1"/>
  <c r="E10" i="2"/>
  <c r="D10" i="2"/>
  <c r="I10" i="2" s="1"/>
  <c r="K10" i="2" s="1"/>
  <c r="A10" i="2"/>
  <c r="G10" i="2" s="1"/>
  <c r="A9" i="2"/>
  <c r="G9" i="2" s="1"/>
  <c r="F8" i="2"/>
  <c r="J8" i="2" s="1"/>
  <c r="D8" i="2"/>
  <c r="A8" i="2"/>
  <c r="E8" i="2" s="1"/>
  <c r="I8" i="2" s="1"/>
  <c r="E7" i="2"/>
  <c r="A7" i="2"/>
  <c r="D7" i="2" s="1"/>
  <c r="H6" i="2"/>
  <c r="F6" i="2"/>
  <c r="J6" i="2" s="1"/>
  <c r="E6" i="2"/>
  <c r="D6" i="2"/>
  <c r="I6" i="2" s="1"/>
  <c r="A6" i="2"/>
  <c r="G6" i="2" s="1"/>
  <c r="G5" i="2"/>
  <c r="A5" i="2"/>
  <c r="F4" i="2"/>
  <c r="J4" i="2" s="1"/>
  <c r="D4" i="2"/>
  <c r="I4" i="2" s="1"/>
  <c r="A4" i="2"/>
  <c r="E4" i="2" s="1"/>
  <c r="E3" i="2"/>
  <c r="I3" i="2" s="1"/>
  <c r="A3" i="2"/>
  <c r="D3" i="2" s="1"/>
  <c r="A234" i="1"/>
  <c r="G234" i="1" s="1"/>
  <c r="A233" i="1"/>
  <c r="G233" i="1" s="1"/>
  <c r="A232" i="1"/>
  <c r="G232" i="1" s="1"/>
  <c r="A231" i="1"/>
  <c r="G231" i="1" s="1"/>
  <c r="A230" i="1"/>
  <c r="G230" i="1" s="1"/>
  <c r="A229" i="1"/>
  <c r="G229" i="1" s="1"/>
  <c r="A228" i="1"/>
  <c r="G228" i="1" s="1"/>
  <c r="A227" i="1"/>
  <c r="G227" i="1" s="1"/>
  <c r="D226" i="1"/>
  <c r="A226" i="1"/>
  <c r="G226" i="1" s="1"/>
  <c r="D225" i="1"/>
  <c r="A225" i="1"/>
  <c r="G225" i="1" s="1"/>
  <c r="E224" i="1"/>
  <c r="D224" i="1"/>
  <c r="A224" i="1"/>
  <c r="G224" i="1" s="1"/>
  <c r="E223" i="1"/>
  <c r="A223" i="1"/>
  <c r="G223" i="1" s="1"/>
  <c r="F222" i="1"/>
  <c r="E222" i="1"/>
  <c r="D222" i="1"/>
  <c r="I222" i="1" s="1"/>
  <c r="A222" i="1"/>
  <c r="G222" i="1" s="1"/>
  <c r="F221" i="1"/>
  <c r="E221" i="1"/>
  <c r="D221" i="1"/>
  <c r="I221" i="1" s="1"/>
  <c r="A221" i="1"/>
  <c r="G221" i="1" s="1"/>
  <c r="A220" i="1"/>
  <c r="G220" i="1" s="1"/>
  <c r="A219" i="1"/>
  <c r="G219" i="1" s="1"/>
  <c r="F218" i="1"/>
  <c r="D218" i="1"/>
  <c r="A218" i="1"/>
  <c r="G218" i="1" s="1"/>
  <c r="F217" i="1"/>
  <c r="D217" i="1"/>
  <c r="A217" i="1"/>
  <c r="G217" i="1" s="1"/>
  <c r="E216" i="1"/>
  <c r="A216" i="1"/>
  <c r="G216" i="1" s="1"/>
  <c r="E215" i="1"/>
  <c r="A215" i="1"/>
  <c r="G215" i="1" s="1"/>
  <c r="F214" i="1"/>
  <c r="E214" i="1"/>
  <c r="D214" i="1"/>
  <c r="I214" i="1" s="1"/>
  <c r="A214" i="1"/>
  <c r="G214" i="1" s="1"/>
  <c r="F213" i="1"/>
  <c r="E213" i="1"/>
  <c r="D213" i="1"/>
  <c r="I213" i="1" s="1"/>
  <c r="A213" i="1"/>
  <c r="G213" i="1" s="1"/>
  <c r="A212" i="1"/>
  <c r="G212" i="1" s="1"/>
  <c r="A211" i="1"/>
  <c r="G211" i="1" s="1"/>
  <c r="F210" i="1"/>
  <c r="D210" i="1"/>
  <c r="A210" i="1"/>
  <c r="G210" i="1" s="1"/>
  <c r="F209" i="1"/>
  <c r="D209" i="1"/>
  <c r="A209" i="1"/>
  <c r="G209" i="1" s="1"/>
  <c r="E208" i="1"/>
  <c r="A208" i="1"/>
  <c r="G208" i="1" s="1"/>
  <c r="E207" i="1"/>
  <c r="A207" i="1"/>
  <c r="G207" i="1" s="1"/>
  <c r="F206" i="1"/>
  <c r="E206" i="1"/>
  <c r="D206" i="1"/>
  <c r="I206" i="1" s="1"/>
  <c r="A206" i="1"/>
  <c r="G206" i="1" s="1"/>
  <c r="F205" i="1"/>
  <c r="E205" i="1"/>
  <c r="D205" i="1"/>
  <c r="I205" i="1" s="1"/>
  <c r="A205" i="1"/>
  <c r="G205" i="1" s="1"/>
  <c r="A204" i="1"/>
  <c r="G204" i="1" s="1"/>
  <c r="A203" i="1"/>
  <c r="G203" i="1" s="1"/>
  <c r="F202" i="1"/>
  <c r="D202" i="1"/>
  <c r="A202" i="1"/>
  <c r="G202" i="1" s="1"/>
  <c r="F201" i="1"/>
  <c r="D201" i="1"/>
  <c r="A201" i="1"/>
  <c r="G201" i="1" s="1"/>
  <c r="E200" i="1"/>
  <c r="A200" i="1"/>
  <c r="G200" i="1" s="1"/>
  <c r="E199" i="1"/>
  <c r="A199" i="1"/>
  <c r="G199" i="1" s="1"/>
  <c r="F198" i="1"/>
  <c r="E198" i="1"/>
  <c r="D198" i="1"/>
  <c r="I198" i="1" s="1"/>
  <c r="A198" i="1"/>
  <c r="G198" i="1" s="1"/>
  <c r="F197" i="1"/>
  <c r="E197" i="1"/>
  <c r="D197" i="1"/>
  <c r="I197" i="1" s="1"/>
  <c r="A197" i="1"/>
  <c r="G197" i="1" s="1"/>
  <c r="A196" i="1"/>
  <c r="A195" i="1"/>
  <c r="A194" i="1"/>
  <c r="A193" i="1"/>
  <c r="E192" i="1"/>
  <c r="D192" i="1"/>
  <c r="I192" i="1" s="1"/>
  <c r="A192" i="1"/>
  <c r="G192" i="1" s="1"/>
  <c r="E191" i="1"/>
  <c r="A191" i="1"/>
  <c r="G191" i="1" s="1"/>
  <c r="D190" i="1"/>
  <c r="A190" i="1"/>
  <c r="G190" i="1" s="1"/>
  <c r="D189" i="1"/>
  <c r="A189" i="1"/>
  <c r="G189" i="1" s="1"/>
  <c r="A188" i="1"/>
  <c r="E187" i="1"/>
  <c r="D187" i="1"/>
  <c r="A187" i="1"/>
  <c r="G187" i="1" s="1"/>
  <c r="G186" i="1"/>
  <c r="A186" i="1"/>
  <c r="F186" i="1" s="1"/>
  <c r="A185" i="1"/>
  <c r="A184" i="1"/>
  <c r="F184" i="1" s="1"/>
  <c r="G183" i="1"/>
  <c r="D183" i="1"/>
  <c r="A183" i="1"/>
  <c r="F183" i="1" s="1"/>
  <c r="A182" i="1"/>
  <c r="F181" i="1"/>
  <c r="E181" i="1"/>
  <c r="A181" i="1"/>
  <c r="D181" i="1" s="1"/>
  <c r="F180" i="1"/>
  <c r="A180" i="1"/>
  <c r="D180" i="1" s="1"/>
  <c r="E179" i="1"/>
  <c r="A179" i="1"/>
  <c r="D179" i="1" s="1"/>
  <c r="E178" i="1"/>
  <c r="A178" i="1"/>
  <c r="D178" i="1" s="1"/>
  <c r="E177" i="1"/>
  <c r="I177" i="1" s="1"/>
  <c r="A177" i="1"/>
  <c r="D177" i="1" s="1"/>
  <c r="E176" i="1"/>
  <c r="A176" i="1"/>
  <c r="D176" i="1" s="1"/>
  <c r="A175" i="1"/>
  <c r="A174" i="1"/>
  <c r="A173" i="1"/>
  <c r="A172" i="1"/>
  <c r="F171" i="1"/>
  <c r="E171" i="1"/>
  <c r="L171" i="1" s="1"/>
  <c r="A171" i="1"/>
  <c r="D171" i="1" s="1"/>
  <c r="J170" i="1"/>
  <c r="F170" i="1"/>
  <c r="E170" i="1"/>
  <c r="A170" i="1"/>
  <c r="D170" i="1" s="1"/>
  <c r="A169" i="1"/>
  <c r="F168" i="1"/>
  <c r="E168" i="1"/>
  <c r="J168" i="1" s="1"/>
  <c r="A168" i="1"/>
  <c r="D168" i="1" s="1"/>
  <c r="F167" i="1"/>
  <c r="A167" i="1"/>
  <c r="D167" i="1" s="1"/>
  <c r="A166" i="1"/>
  <c r="I165" i="1"/>
  <c r="F165" i="1"/>
  <c r="E165" i="1"/>
  <c r="J165" i="1" s="1"/>
  <c r="A165" i="1"/>
  <c r="D165" i="1" s="1"/>
  <c r="A164" i="1"/>
  <c r="E163" i="1"/>
  <c r="A163" i="1"/>
  <c r="D163" i="1" s="1"/>
  <c r="E162" i="1"/>
  <c r="A162" i="1"/>
  <c r="D162" i="1" s="1"/>
  <c r="E161" i="1"/>
  <c r="I161" i="1" s="1"/>
  <c r="A161" i="1"/>
  <c r="D161" i="1" s="1"/>
  <c r="A160" i="1"/>
  <c r="F159" i="1"/>
  <c r="E159" i="1"/>
  <c r="L159" i="1" s="1"/>
  <c r="A159" i="1"/>
  <c r="D159" i="1" s="1"/>
  <c r="G158" i="1"/>
  <c r="F158" i="1"/>
  <c r="E158" i="1"/>
  <c r="A158" i="1"/>
  <c r="D158" i="1" s="1"/>
  <c r="G157" i="1"/>
  <c r="A157" i="1"/>
  <c r="A156" i="1"/>
  <c r="D156" i="1" s="1"/>
  <c r="E155" i="1"/>
  <c r="A155" i="1"/>
  <c r="D155" i="1" s="1"/>
  <c r="G154" i="1"/>
  <c r="E154" i="1"/>
  <c r="A154" i="1"/>
  <c r="D154" i="1" s="1"/>
  <c r="G153" i="1"/>
  <c r="A153" i="1"/>
  <c r="A152" i="1"/>
  <c r="D152" i="1" s="1"/>
  <c r="E151" i="1"/>
  <c r="A151" i="1"/>
  <c r="D151" i="1" s="1"/>
  <c r="G150" i="1"/>
  <c r="F150" i="1"/>
  <c r="E150" i="1"/>
  <c r="A150" i="1"/>
  <c r="D150" i="1" s="1"/>
  <c r="F149" i="1"/>
  <c r="A149" i="1"/>
  <c r="D149" i="1" s="1"/>
  <c r="A148" i="1"/>
  <c r="D148" i="1" s="1"/>
  <c r="A147" i="1"/>
  <c r="D147" i="1" s="1"/>
  <c r="G146" i="1"/>
  <c r="E146" i="1"/>
  <c r="A146" i="1"/>
  <c r="G145" i="1"/>
  <c r="A145" i="1"/>
  <c r="A144" i="1"/>
  <c r="E143" i="1"/>
  <c r="A143" i="1"/>
  <c r="D143" i="1" s="1"/>
  <c r="G142" i="1"/>
  <c r="F142" i="1"/>
  <c r="E142" i="1"/>
  <c r="A142" i="1"/>
  <c r="D142" i="1" s="1"/>
  <c r="G141" i="1"/>
  <c r="F141" i="1"/>
  <c r="A141" i="1"/>
  <c r="D141" i="1" s="1"/>
  <c r="A140" i="1"/>
  <c r="E139" i="1"/>
  <c r="A139" i="1"/>
  <c r="D139" i="1" s="1"/>
  <c r="E138" i="1"/>
  <c r="A138" i="1"/>
  <c r="A137" i="1"/>
  <c r="F137" i="1" s="1"/>
  <c r="F136" i="1"/>
  <c r="D136" i="1"/>
  <c r="A136" i="1"/>
  <c r="E135" i="1"/>
  <c r="D135" i="1"/>
  <c r="A135" i="1"/>
  <c r="F134" i="1"/>
  <c r="E134" i="1"/>
  <c r="D134" i="1"/>
  <c r="A134" i="1"/>
  <c r="G134" i="1" s="1"/>
  <c r="F133" i="1"/>
  <c r="E133" i="1"/>
  <c r="A133" i="1"/>
  <c r="F132" i="1"/>
  <c r="D132" i="1"/>
  <c r="A132" i="1"/>
  <c r="E131" i="1"/>
  <c r="D131" i="1"/>
  <c r="A131" i="1"/>
  <c r="F130" i="1"/>
  <c r="E130" i="1"/>
  <c r="D130" i="1"/>
  <c r="A130" i="1"/>
  <c r="G130" i="1" s="1"/>
  <c r="F129" i="1"/>
  <c r="E129" i="1"/>
  <c r="D129" i="1"/>
  <c r="A129" i="1"/>
  <c r="G129" i="1" s="1"/>
  <c r="F128" i="1"/>
  <c r="H128" i="1" s="1"/>
  <c r="E128" i="1"/>
  <c r="J128" i="1" s="1"/>
  <c r="D128" i="1"/>
  <c r="A128" i="1"/>
  <c r="G128" i="1" s="1"/>
  <c r="F127" i="1"/>
  <c r="E127" i="1"/>
  <c r="L127" i="1" s="1"/>
  <c r="D127" i="1"/>
  <c r="A127" i="1"/>
  <c r="G127" i="1" s="1"/>
  <c r="F126" i="1"/>
  <c r="E126" i="1"/>
  <c r="J126" i="1" s="1"/>
  <c r="D126" i="1"/>
  <c r="A126" i="1"/>
  <c r="G126" i="1" s="1"/>
  <c r="F125" i="1"/>
  <c r="E125" i="1"/>
  <c r="L125" i="1" s="1"/>
  <c r="D125" i="1"/>
  <c r="A125" i="1"/>
  <c r="G125" i="1" s="1"/>
  <c r="F124" i="1"/>
  <c r="E124" i="1"/>
  <c r="D124" i="1"/>
  <c r="A124" i="1"/>
  <c r="G124" i="1" s="1"/>
  <c r="F123" i="1"/>
  <c r="E123" i="1"/>
  <c r="D123" i="1"/>
  <c r="A123" i="1"/>
  <c r="G123" i="1" s="1"/>
  <c r="F122" i="1"/>
  <c r="E122" i="1"/>
  <c r="J122" i="1" s="1"/>
  <c r="D122" i="1"/>
  <c r="A122" i="1"/>
  <c r="G122" i="1" s="1"/>
  <c r="F121" i="1"/>
  <c r="E121" i="1"/>
  <c r="A121" i="1"/>
  <c r="F120" i="1"/>
  <c r="E120" i="1"/>
  <c r="J120" i="1" s="1"/>
  <c r="A120" i="1"/>
  <c r="F119" i="1"/>
  <c r="D119" i="1"/>
  <c r="A119" i="1"/>
  <c r="E118" i="1"/>
  <c r="D118" i="1"/>
  <c r="I118" i="1" s="1"/>
  <c r="A118" i="1"/>
  <c r="A117" i="1"/>
  <c r="A116" i="1"/>
  <c r="E115" i="1"/>
  <c r="D115" i="1"/>
  <c r="A115" i="1"/>
  <c r="E114" i="1"/>
  <c r="D114" i="1"/>
  <c r="I114" i="1" s="1"/>
  <c r="A114" i="1"/>
  <c r="E113" i="1"/>
  <c r="D113" i="1"/>
  <c r="A113" i="1"/>
  <c r="G113" i="1" s="1"/>
  <c r="D112" i="1"/>
  <c r="A112" i="1"/>
  <c r="A111" i="1"/>
  <c r="E111" i="1" s="1"/>
  <c r="A110" i="1"/>
  <c r="F110" i="1" s="1"/>
  <c r="D109" i="1"/>
  <c r="A109" i="1"/>
  <c r="A108" i="1"/>
  <c r="E108" i="1" s="1"/>
  <c r="E107" i="1"/>
  <c r="D107" i="1"/>
  <c r="A107" i="1"/>
  <c r="F106" i="1"/>
  <c r="E106" i="1"/>
  <c r="A106" i="1"/>
  <c r="A105" i="1"/>
  <c r="E105" i="1" s="1"/>
  <c r="E104" i="1"/>
  <c r="D104" i="1"/>
  <c r="A104" i="1"/>
  <c r="E103" i="1"/>
  <c r="D103" i="1"/>
  <c r="A103" i="1"/>
  <c r="F102" i="1"/>
  <c r="E102" i="1"/>
  <c r="D102" i="1"/>
  <c r="A102" i="1"/>
  <c r="G102" i="1" s="1"/>
  <c r="F101" i="1"/>
  <c r="D101" i="1"/>
  <c r="A101" i="1"/>
  <c r="F100" i="1"/>
  <c r="A100" i="1"/>
  <c r="D99" i="1"/>
  <c r="A99" i="1"/>
  <c r="D98" i="1"/>
  <c r="A98" i="1"/>
  <c r="E97" i="1"/>
  <c r="A97" i="1"/>
  <c r="A96" i="1"/>
  <c r="F96" i="1" s="1"/>
  <c r="A95" i="1"/>
  <c r="F95" i="1" s="1"/>
  <c r="A94" i="1"/>
  <c r="E94" i="1" s="1"/>
  <c r="E93" i="1"/>
  <c r="D93" i="1"/>
  <c r="A93" i="1"/>
  <c r="E92" i="1"/>
  <c r="A92" i="1"/>
  <c r="F91" i="1"/>
  <c r="E91" i="1"/>
  <c r="L91" i="1" s="1"/>
  <c r="D91" i="1"/>
  <c r="A91" i="1"/>
  <c r="G91" i="1" s="1"/>
  <c r="F90" i="1"/>
  <c r="A90" i="1"/>
  <c r="I89" i="1"/>
  <c r="E89" i="1"/>
  <c r="D89" i="1"/>
  <c r="A89" i="1"/>
  <c r="E88" i="1"/>
  <c r="A88" i="1"/>
  <c r="F87" i="1"/>
  <c r="E87" i="1"/>
  <c r="D87" i="1"/>
  <c r="A87" i="1"/>
  <c r="G87" i="1" s="1"/>
  <c r="F86" i="1"/>
  <c r="A86" i="1"/>
  <c r="E85" i="1"/>
  <c r="A85" i="1"/>
  <c r="A84" i="1"/>
  <c r="F84" i="1" s="1"/>
  <c r="A83" i="1"/>
  <c r="F83" i="1" s="1"/>
  <c r="F82" i="1"/>
  <c r="D82" i="1"/>
  <c r="A82" i="1"/>
  <c r="E81" i="1"/>
  <c r="D81" i="1"/>
  <c r="I81" i="1" s="1"/>
  <c r="A81" i="1"/>
  <c r="E80" i="1"/>
  <c r="A80" i="1"/>
  <c r="F79" i="1"/>
  <c r="E79" i="1"/>
  <c r="L79" i="1" s="1"/>
  <c r="D79" i="1"/>
  <c r="A79" i="1"/>
  <c r="G79" i="1" s="1"/>
  <c r="F78" i="1"/>
  <c r="E78" i="1"/>
  <c r="J78" i="1" s="1"/>
  <c r="D78" i="1"/>
  <c r="A78" i="1"/>
  <c r="G78" i="1" s="1"/>
  <c r="F77" i="1"/>
  <c r="A77" i="1"/>
  <c r="E76" i="1"/>
  <c r="A76" i="1"/>
  <c r="D75" i="1"/>
  <c r="A75" i="1"/>
  <c r="D74" i="1"/>
  <c r="A74" i="1"/>
  <c r="F73" i="1"/>
  <c r="E73" i="1"/>
  <c r="D73" i="1"/>
  <c r="A73" i="1"/>
  <c r="G73" i="1" s="1"/>
  <c r="A72" i="1"/>
  <c r="A71" i="1"/>
  <c r="G70" i="1"/>
  <c r="A70" i="1"/>
  <c r="G69" i="1"/>
  <c r="A69" i="1"/>
  <c r="A68" i="1"/>
  <c r="A67" i="1"/>
  <c r="G66" i="1"/>
  <c r="A66" i="1"/>
  <c r="G65" i="1"/>
  <c r="A65" i="1"/>
  <c r="A64" i="1"/>
  <c r="A63" i="1"/>
  <c r="G62" i="1"/>
  <c r="A62" i="1"/>
  <c r="G61" i="1"/>
  <c r="A61" i="1"/>
  <c r="A60" i="1"/>
  <c r="A59" i="1"/>
  <c r="G58" i="1"/>
  <c r="A58" i="1"/>
  <c r="A57" i="1"/>
  <c r="A56" i="1"/>
  <c r="G56" i="1" s="1"/>
  <c r="A55" i="1"/>
  <c r="D54" i="1"/>
  <c r="A54" i="1"/>
  <c r="G54" i="1" s="1"/>
  <c r="A53" i="1"/>
  <c r="A52" i="1"/>
  <c r="G52" i="1" s="1"/>
  <c r="A51" i="1"/>
  <c r="D50" i="1"/>
  <c r="A50" i="1"/>
  <c r="G50" i="1" s="1"/>
  <c r="A49" i="1"/>
  <c r="A48" i="1"/>
  <c r="G48" i="1" s="1"/>
  <c r="A47" i="1"/>
  <c r="D46" i="1"/>
  <c r="A46" i="1"/>
  <c r="G46" i="1" s="1"/>
  <c r="A45" i="1"/>
  <c r="A44" i="1"/>
  <c r="G44" i="1" s="1"/>
  <c r="A43" i="1"/>
  <c r="D42" i="1"/>
  <c r="A42" i="1"/>
  <c r="G42" i="1" s="1"/>
  <c r="A41" i="1"/>
  <c r="A40" i="1"/>
  <c r="G40" i="1" s="1"/>
  <c r="A39" i="1"/>
  <c r="E38" i="1"/>
  <c r="A38" i="1"/>
  <c r="A37" i="1"/>
  <c r="F37" i="1" s="1"/>
  <c r="A36" i="1"/>
  <c r="G35" i="1"/>
  <c r="A35" i="1"/>
  <c r="G34" i="1"/>
  <c r="E34" i="1"/>
  <c r="J34" i="1" s="1"/>
  <c r="A34" i="1"/>
  <c r="F34" i="1" s="1"/>
  <c r="A33" i="1"/>
  <c r="F33" i="1" s="1"/>
  <c r="A32" i="1"/>
  <c r="F32" i="1" s="1"/>
  <c r="A31" i="1"/>
  <c r="D30" i="1"/>
  <c r="A30" i="1"/>
  <c r="A29" i="1"/>
  <c r="F29" i="1" s="1"/>
  <c r="F28" i="1"/>
  <c r="D28" i="1"/>
  <c r="A28" i="1"/>
  <c r="F27" i="1"/>
  <c r="A27" i="1"/>
  <c r="D26" i="1"/>
  <c r="A26" i="1"/>
  <c r="D25" i="1"/>
  <c r="A25" i="1"/>
  <c r="G25" i="1" s="1"/>
  <c r="N25" i="1" s="1"/>
  <c r="D24" i="1"/>
  <c r="A24" i="1"/>
  <c r="G24" i="1" s="1"/>
  <c r="D23" i="1"/>
  <c r="A23" i="1"/>
  <c r="G23" i="1" s="1"/>
  <c r="D22" i="1"/>
  <c r="A22" i="1"/>
  <c r="G22" i="1" s="1"/>
  <c r="D21" i="1"/>
  <c r="A21" i="1"/>
  <c r="G21" i="1" s="1"/>
  <c r="A20" i="1"/>
  <c r="F20" i="1" s="1"/>
  <c r="F19" i="1"/>
  <c r="E19" i="1"/>
  <c r="A19" i="1"/>
  <c r="D19" i="1" s="1"/>
  <c r="F18" i="1"/>
  <c r="A18" i="1"/>
  <c r="D18" i="1" s="1"/>
  <c r="A17" i="1"/>
  <c r="A16" i="1"/>
  <c r="F15" i="1"/>
  <c r="E15" i="1"/>
  <c r="A15" i="1"/>
  <c r="D15" i="1" s="1"/>
  <c r="A14" i="1"/>
  <c r="D14" i="1" s="1"/>
  <c r="A13" i="1"/>
  <c r="A12" i="1"/>
  <c r="F11" i="1"/>
  <c r="E11" i="1"/>
  <c r="J11" i="1" s="1"/>
  <c r="A11" i="1"/>
  <c r="F10" i="1"/>
  <c r="A10" i="1"/>
  <c r="E9" i="1"/>
  <c r="A9" i="1"/>
  <c r="A8" i="1"/>
  <c r="G8" i="1" s="1"/>
  <c r="N8" i="1" s="1"/>
  <c r="A7" i="1"/>
  <c r="G7" i="1" s="1"/>
  <c r="A6" i="1"/>
  <c r="G6" i="1" s="1"/>
  <c r="A5" i="1"/>
  <c r="G5" i="1" s="1"/>
  <c r="A4" i="1"/>
  <c r="F4" i="1" s="1"/>
  <c r="A3" i="1"/>
  <c r="F3" i="1" s="1"/>
  <c r="K4" i="2" l="1"/>
  <c r="K40" i="2"/>
  <c r="I7" i="2"/>
  <c r="I12" i="2"/>
  <c r="K12" i="2" s="1"/>
  <c r="I14" i="2"/>
  <c r="K14" i="2" s="1"/>
  <c r="L14" i="2" s="1"/>
  <c r="M14" i="2" s="1"/>
  <c r="F17" i="2"/>
  <c r="E17" i="2"/>
  <c r="D17" i="2"/>
  <c r="K18" i="2"/>
  <c r="L18" i="2" s="1"/>
  <c r="M18" i="2" s="1"/>
  <c r="M22" i="2"/>
  <c r="I28" i="2"/>
  <c r="K28" i="2" s="1"/>
  <c r="I30" i="2"/>
  <c r="K30" i="2" s="1"/>
  <c r="L30" i="2" s="1"/>
  <c r="M30" i="2" s="1"/>
  <c r="F33" i="2"/>
  <c r="E33" i="2"/>
  <c r="I33" i="2" s="1"/>
  <c r="K33" i="2" s="1"/>
  <c r="D33" i="2"/>
  <c r="K34" i="2"/>
  <c r="L34" i="2" s="1"/>
  <c r="M34" i="2" s="1"/>
  <c r="F44" i="2"/>
  <c r="J44" i="2" s="1"/>
  <c r="G44" i="2"/>
  <c r="E44" i="2"/>
  <c r="I44" i="2" s="1"/>
  <c r="K44" i="2" s="1"/>
  <c r="D44" i="2"/>
  <c r="E51" i="2"/>
  <c r="J51" i="2" s="1"/>
  <c r="G51" i="2"/>
  <c r="F51" i="2"/>
  <c r="D51" i="2"/>
  <c r="H8" i="2"/>
  <c r="F13" i="2"/>
  <c r="E13" i="2"/>
  <c r="D13" i="2"/>
  <c r="K24" i="2"/>
  <c r="F29" i="2"/>
  <c r="E29" i="2"/>
  <c r="J29" i="2" s="1"/>
  <c r="D29" i="2"/>
  <c r="F5" i="2"/>
  <c r="E5" i="2"/>
  <c r="J5" i="2" s="1"/>
  <c r="D5" i="2"/>
  <c r="K6" i="2"/>
  <c r="L6" i="2" s="1"/>
  <c r="M6" i="2" s="1"/>
  <c r="H10" i="2"/>
  <c r="L10" i="2" s="1"/>
  <c r="M10" i="2" s="1"/>
  <c r="I16" i="2"/>
  <c r="K16" i="2" s="1"/>
  <c r="G17" i="2"/>
  <c r="K20" i="2"/>
  <c r="F21" i="2"/>
  <c r="E21" i="2"/>
  <c r="J21" i="2" s="1"/>
  <c r="D21" i="2"/>
  <c r="H26" i="2"/>
  <c r="L26" i="2" s="1"/>
  <c r="M26" i="2" s="1"/>
  <c r="I27" i="2"/>
  <c r="I32" i="2"/>
  <c r="K32" i="2" s="1"/>
  <c r="G33" i="2"/>
  <c r="K36" i="2"/>
  <c r="F37" i="2"/>
  <c r="E37" i="2"/>
  <c r="D37" i="2"/>
  <c r="K38" i="2"/>
  <c r="L38" i="2" s="1"/>
  <c r="M38" i="2" s="1"/>
  <c r="I42" i="2"/>
  <c r="K42" i="2" s="1"/>
  <c r="J45" i="2"/>
  <c r="K45" i="2" s="1"/>
  <c r="I49" i="2"/>
  <c r="K49" i="2" s="1"/>
  <c r="I57" i="2"/>
  <c r="K57" i="2" s="1"/>
  <c r="L61" i="2"/>
  <c r="K8" i="2"/>
  <c r="F9" i="2"/>
  <c r="J9" i="2" s="1"/>
  <c r="E9" i="2"/>
  <c r="I9" i="2" s="1"/>
  <c r="K9" i="2" s="1"/>
  <c r="D9" i="2"/>
  <c r="H9" i="2" s="1"/>
  <c r="L9" i="2" s="1"/>
  <c r="M9" i="2" s="1"/>
  <c r="H20" i="2"/>
  <c r="L20" i="2" s="1"/>
  <c r="F25" i="2"/>
  <c r="E25" i="2"/>
  <c r="I25" i="2" s="1"/>
  <c r="D25" i="2"/>
  <c r="H36" i="2"/>
  <c r="L36" i="2" s="1"/>
  <c r="F41" i="2"/>
  <c r="J41" i="2" s="1"/>
  <c r="E41" i="2"/>
  <c r="I41" i="2" s="1"/>
  <c r="K41" i="2" s="1"/>
  <c r="D41" i="2"/>
  <c r="H41" i="2" s="1"/>
  <c r="L42" i="2"/>
  <c r="M42" i="2" s="1"/>
  <c r="E43" i="2"/>
  <c r="G43" i="2"/>
  <c r="F43" i="2"/>
  <c r="D43" i="2"/>
  <c r="L49" i="2"/>
  <c r="M49" i="2" s="1"/>
  <c r="D50" i="2"/>
  <c r="G50" i="2"/>
  <c r="F50" i="2"/>
  <c r="E50" i="2"/>
  <c r="J50" i="2" s="1"/>
  <c r="F52" i="2"/>
  <c r="J52" i="2" s="1"/>
  <c r="G52" i="2"/>
  <c r="E52" i="2"/>
  <c r="D52" i="2"/>
  <c r="H52" i="2" s="1"/>
  <c r="L57" i="2"/>
  <c r="M57" i="2" s="1"/>
  <c r="D58" i="2"/>
  <c r="G58" i="2"/>
  <c r="F58" i="2"/>
  <c r="J58" i="2" s="1"/>
  <c r="E58" i="2"/>
  <c r="I58" i="2" s="1"/>
  <c r="K58" i="2" s="1"/>
  <c r="M81" i="2"/>
  <c r="F3" i="2"/>
  <c r="H3" i="2" s="1"/>
  <c r="G4" i="2"/>
  <c r="F7" i="2"/>
  <c r="H7" i="2" s="1"/>
  <c r="G8" i="2"/>
  <c r="F11" i="2"/>
  <c r="J11" i="2" s="1"/>
  <c r="G12" i="2"/>
  <c r="F15" i="2"/>
  <c r="H15" i="2" s="1"/>
  <c r="G16" i="2"/>
  <c r="F19" i="2"/>
  <c r="J19" i="2" s="1"/>
  <c r="K19" i="2" s="1"/>
  <c r="G20" i="2"/>
  <c r="M20" i="2" s="1"/>
  <c r="F23" i="2"/>
  <c r="H23" i="2" s="1"/>
  <c r="G24" i="2"/>
  <c r="F27" i="2"/>
  <c r="J27" i="2" s="1"/>
  <c r="G28" i="2"/>
  <c r="F31" i="2"/>
  <c r="J31" i="2" s="1"/>
  <c r="K31" i="2" s="1"/>
  <c r="G32" i="2"/>
  <c r="F35" i="2"/>
  <c r="H35" i="2" s="1"/>
  <c r="G36" i="2"/>
  <c r="M36" i="2" s="1"/>
  <c r="F39" i="2"/>
  <c r="J39" i="2" s="1"/>
  <c r="K39" i="2" s="1"/>
  <c r="G40" i="2"/>
  <c r="H45" i="2"/>
  <c r="G46" i="2"/>
  <c r="G47" i="2"/>
  <c r="G48" i="2"/>
  <c r="H53" i="2"/>
  <c r="L53" i="2" s="1"/>
  <c r="M53" i="2" s="1"/>
  <c r="G54" i="2"/>
  <c r="D59" i="2"/>
  <c r="D60" i="2"/>
  <c r="M61" i="2"/>
  <c r="D62" i="2"/>
  <c r="F62" i="2"/>
  <c r="F64" i="2"/>
  <c r="D64" i="2"/>
  <c r="I67" i="2"/>
  <c r="K67" i="2" s="1"/>
  <c r="H73" i="2"/>
  <c r="I85" i="2"/>
  <c r="K85" i="2" s="1"/>
  <c r="E75" i="2"/>
  <c r="I75" i="2" s="1"/>
  <c r="D75" i="2"/>
  <c r="G75" i="2"/>
  <c r="G3" i="2"/>
  <c r="G7" i="2"/>
  <c r="G15" i="2"/>
  <c r="H16" i="2"/>
  <c r="L16" i="2" s="1"/>
  <c r="G23" i="2"/>
  <c r="H24" i="2"/>
  <c r="L24" i="2" s="1"/>
  <c r="G27" i="2"/>
  <c r="H28" i="2"/>
  <c r="L28" i="2" s="1"/>
  <c r="G31" i="2"/>
  <c r="H32" i="2"/>
  <c r="L32" i="2" s="1"/>
  <c r="G35" i="2"/>
  <c r="G39" i="2"/>
  <c r="H40" i="2"/>
  <c r="L40" i="2" s="1"/>
  <c r="F59" i="2"/>
  <c r="J59" i="2" s="1"/>
  <c r="E60" i="2"/>
  <c r="J60" i="2" s="1"/>
  <c r="E62" i="2"/>
  <c r="J62" i="2" s="1"/>
  <c r="E64" i="2"/>
  <c r="I64" i="2" s="1"/>
  <c r="D66" i="2"/>
  <c r="F66" i="2"/>
  <c r="F68" i="2"/>
  <c r="D68" i="2"/>
  <c r="I69" i="2"/>
  <c r="K69" i="2" s="1"/>
  <c r="L69" i="2" s="1"/>
  <c r="M69" i="2" s="1"/>
  <c r="I71" i="2"/>
  <c r="K71" i="2" s="1"/>
  <c r="L71" i="2" s="1"/>
  <c r="K73" i="2"/>
  <c r="H77" i="2"/>
  <c r="L77" i="2" s="1"/>
  <c r="M77" i="2" s="1"/>
  <c r="D82" i="2"/>
  <c r="E82" i="2"/>
  <c r="G82" i="2"/>
  <c r="E83" i="2"/>
  <c r="D83" i="2"/>
  <c r="G83" i="2"/>
  <c r="L85" i="2"/>
  <c r="M85" i="2" s="1"/>
  <c r="D86" i="2"/>
  <c r="G86" i="2"/>
  <c r="F86" i="2"/>
  <c r="J86" i="2" s="1"/>
  <c r="E86" i="2"/>
  <c r="F88" i="2"/>
  <c r="G88" i="2"/>
  <c r="E88" i="2"/>
  <c r="I88" i="2" s="1"/>
  <c r="K88" i="2" s="1"/>
  <c r="D88" i="2"/>
  <c r="D74" i="2"/>
  <c r="E74" i="2"/>
  <c r="I74" i="2" s="1"/>
  <c r="G74" i="2"/>
  <c r="F76" i="2"/>
  <c r="J76" i="2" s="1"/>
  <c r="D76" i="2"/>
  <c r="G76" i="2"/>
  <c r="E87" i="2"/>
  <c r="G87" i="2"/>
  <c r="F87" i="2"/>
  <c r="D87" i="2"/>
  <c r="H4" i="2"/>
  <c r="L4" i="2" s="1"/>
  <c r="G11" i="2"/>
  <c r="H12" i="2"/>
  <c r="L12" i="2" s="1"/>
  <c r="G19" i="2"/>
  <c r="E46" i="2"/>
  <c r="J46" i="2" s="1"/>
  <c r="D47" i="2"/>
  <c r="H47" i="2" s="1"/>
  <c r="D48" i="2"/>
  <c r="E54" i="2"/>
  <c r="J54" i="2" s="1"/>
  <c r="D55" i="2"/>
  <c r="H55" i="2" s="1"/>
  <c r="D56" i="2"/>
  <c r="G59" i="2"/>
  <c r="G60" i="2"/>
  <c r="G62" i="2"/>
  <c r="I63" i="2"/>
  <c r="K63" i="2" s="1"/>
  <c r="L63" i="2" s="1"/>
  <c r="G64" i="2"/>
  <c r="M65" i="2"/>
  <c r="H65" i="2"/>
  <c r="L65" i="2" s="1"/>
  <c r="E66" i="2"/>
  <c r="I66" i="2" s="1"/>
  <c r="K66" i="2" s="1"/>
  <c r="H67" i="2"/>
  <c r="L67" i="2" s="1"/>
  <c r="E68" i="2"/>
  <c r="J68" i="2" s="1"/>
  <c r="D70" i="2"/>
  <c r="F70" i="2"/>
  <c r="J70" i="2" s="1"/>
  <c r="F72" i="2"/>
  <c r="J72" i="2" s="1"/>
  <c r="D72" i="2"/>
  <c r="D78" i="2"/>
  <c r="G78" i="2"/>
  <c r="E78" i="2"/>
  <c r="J78" i="2" s="1"/>
  <c r="E79" i="2"/>
  <c r="J79" i="2" s="1"/>
  <c r="G79" i="2"/>
  <c r="D79" i="2"/>
  <c r="F80" i="2"/>
  <c r="J80" i="2" s="1"/>
  <c r="G80" i="2"/>
  <c r="D80" i="2"/>
  <c r="H80" i="2" s="1"/>
  <c r="F82" i="2"/>
  <c r="F83" i="2"/>
  <c r="J89" i="2"/>
  <c r="K89" i="2" s="1"/>
  <c r="I93" i="2"/>
  <c r="K93" i="2" s="1"/>
  <c r="L93" i="2" s="1"/>
  <c r="M93" i="2" s="1"/>
  <c r="K113" i="2"/>
  <c r="K116" i="2"/>
  <c r="I101" i="2"/>
  <c r="K101" i="2" s="1"/>
  <c r="L101" i="2" s="1"/>
  <c r="M101" i="2" s="1"/>
  <c r="F103" i="2"/>
  <c r="E103" i="2"/>
  <c r="J103" i="2" s="1"/>
  <c r="D109" i="2"/>
  <c r="F109" i="2"/>
  <c r="F111" i="2"/>
  <c r="E111" i="2"/>
  <c r="J111" i="2" s="1"/>
  <c r="L116" i="2"/>
  <c r="M116" i="2" s="1"/>
  <c r="D117" i="2"/>
  <c r="F117" i="2"/>
  <c r="G63" i="2"/>
  <c r="G67" i="2"/>
  <c r="M67" i="2" s="1"/>
  <c r="G71" i="2"/>
  <c r="G84" i="2"/>
  <c r="H89" i="2"/>
  <c r="G90" i="2"/>
  <c r="G91" i="2"/>
  <c r="G92" i="2"/>
  <c r="E94" i="2"/>
  <c r="I94" i="2" s="1"/>
  <c r="D95" i="2"/>
  <c r="D96" i="2"/>
  <c r="H97" i="2"/>
  <c r="L97" i="2" s="1"/>
  <c r="M97" i="2" s="1"/>
  <c r="G98" i="2"/>
  <c r="G99" i="2"/>
  <c r="G100" i="2"/>
  <c r="E102" i="2"/>
  <c r="I102" i="2" s="1"/>
  <c r="D103" i="2"/>
  <c r="I107" i="2"/>
  <c r="I108" i="2"/>
  <c r="K108" i="2" s="1"/>
  <c r="L108" i="2" s="1"/>
  <c r="M108" i="2" s="1"/>
  <c r="E109" i="2"/>
  <c r="J109" i="2" s="1"/>
  <c r="D111" i="2"/>
  <c r="I115" i="2"/>
  <c r="K115" i="2" s="1"/>
  <c r="L115" i="2" s="1"/>
  <c r="M115" i="2" s="1"/>
  <c r="E117" i="2"/>
  <c r="J117" i="2" s="1"/>
  <c r="L120" i="2"/>
  <c r="M120" i="2" s="1"/>
  <c r="I128" i="2"/>
  <c r="K128" i="2" s="1"/>
  <c r="L128" i="2" s="1"/>
  <c r="M128" i="2" s="1"/>
  <c r="F94" i="2"/>
  <c r="F95" i="2"/>
  <c r="J95" i="2" s="1"/>
  <c r="E96" i="2"/>
  <c r="I96" i="2" s="1"/>
  <c r="F102" i="2"/>
  <c r="J102" i="2" s="1"/>
  <c r="G103" i="2"/>
  <c r="G109" i="2"/>
  <c r="E110" i="2"/>
  <c r="F110" i="2"/>
  <c r="J110" i="2" s="1"/>
  <c r="G111" i="2"/>
  <c r="G117" i="2"/>
  <c r="E118" i="2"/>
  <c r="F118" i="2"/>
  <c r="J118" i="2" s="1"/>
  <c r="H124" i="2"/>
  <c r="I134" i="2"/>
  <c r="D84" i="2"/>
  <c r="E90" i="2"/>
  <c r="J90" i="2" s="1"/>
  <c r="D91" i="2"/>
  <c r="H91" i="2" s="1"/>
  <c r="D92" i="2"/>
  <c r="G94" i="2"/>
  <c r="G95" i="2"/>
  <c r="G96" i="2"/>
  <c r="E98" i="2"/>
  <c r="J98" i="2" s="1"/>
  <c r="D99" i="2"/>
  <c r="H99" i="2" s="1"/>
  <c r="D100" i="2"/>
  <c r="G102" i="2"/>
  <c r="I106" i="2"/>
  <c r="K106" i="2" s="1"/>
  <c r="H106" i="2"/>
  <c r="D110" i="2"/>
  <c r="H110" i="2" s="1"/>
  <c r="I114" i="2"/>
  <c r="K114" i="2" s="1"/>
  <c r="H114" i="2"/>
  <c r="L114" i="2" s="1"/>
  <c r="M114" i="2" s="1"/>
  <c r="D118" i="2"/>
  <c r="H118" i="2" s="1"/>
  <c r="I122" i="2"/>
  <c r="K122" i="2" s="1"/>
  <c r="H122" i="2"/>
  <c r="M123" i="2"/>
  <c r="J124" i="2"/>
  <c r="K124" i="2" s="1"/>
  <c r="I126" i="2"/>
  <c r="J129" i="2"/>
  <c r="K129" i="2" s="1"/>
  <c r="I131" i="2"/>
  <c r="K131" i="2" s="1"/>
  <c r="L131" i="2" s="1"/>
  <c r="M131" i="2" s="1"/>
  <c r="K152" i="2"/>
  <c r="H136" i="2"/>
  <c r="L136" i="2" s="1"/>
  <c r="M136" i="2" s="1"/>
  <c r="J140" i="2"/>
  <c r="K140" i="2" s="1"/>
  <c r="K144" i="2"/>
  <c r="F146" i="2"/>
  <c r="J146" i="2" s="1"/>
  <c r="E146" i="2"/>
  <c r="K148" i="2"/>
  <c r="F150" i="2"/>
  <c r="E150" i="2"/>
  <c r="F154" i="2"/>
  <c r="E154" i="2"/>
  <c r="E156" i="2"/>
  <c r="J156" i="2" s="1"/>
  <c r="F156" i="2"/>
  <c r="D156" i="2"/>
  <c r="F157" i="2"/>
  <c r="E157" i="2"/>
  <c r="I157" i="2" s="1"/>
  <c r="D157" i="2"/>
  <c r="H105" i="2"/>
  <c r="I105" i="2"/>
  <c r="K105" i="2" s="1"/>
  <c r="J107" i="2"/>
  <c r="H113" i="2"/>
  <c r="L113" i="2" s="1"/>
  <c r="M113" i="2" s="1"/>
  <c r="E119" i="2"/>
  <c r="I119" i="2" s="1"/>
  <c r="H121" i="2"/>
  <c r="L121" i="2" s="1"/>
  <c r="M121" i="2" s="1"/>
  <c r="F125" i="2"/>
  <c r="J125" i="2" s="1"/>
  <c r="F126" i="2"/>
  <c r="J126" i="2" s="1"/>
  <c r="E127" i="2"/>
  <c r="J127" i="2" s="1"/>
  <c r="H129" i="2"/>
  <c r="I130" i="2"/>
  <c r="K130" i="2" s="1"/>
  <c r="L130" i="2" s="1"/>
  <c r="M130" i="2" s="1"/>
  <c r="F133" i="2"/>
  <c r="J133" i="2" s="1"/>
  <c r="F134" i="2"/>
  <c r="J134" i="2" s="1"/>
  <c r="E135" i="2"/>
  <c r="I135" i="2" s="1"/>
  <c r="K135" i="2" s="1"/>
  <c r="H137" i="2"/>
  <c r="L137" i="2" s="1"/>
  <c r="M137" i="2" s="1"/>
  <c r="I137" i="2"/>
  <c r="K137" i="2" s="1"/>
  <c r="H138" i="2"/>
  <c r="L138" i="2" s="1"/>
  <c r="M138" i="2" s="1"/>
  <c r="H139" i="2"/>
  <c r="L139" i="2" s="1"/>
  <c r="M139" i="2" s="1"/>
  <c r="F141" i="2"/>
  <c r="J141" i="2" s="1"/>
  <c r="K141" i="2" s="1"/>
  <c r="F142" i="2"/>
  <c r="J142" i="2" s="1"/>
  <c r="K142" i="2" s="1"/>
  <c r="E143" i="2"/>
  <c r="I143" i="2" s="1"/>
  <c r="K143" i="2" s="1"/>
  <c r="H144" i="2"/>
  <c r="L144" i="2" s="1"/>
  <c r="M144" i="2" s="1"/>
  <c r="D146" i="2"/>
  <c r="H146" i="2" s="1"/>
  <c r="H148" i="2"/>
  <c r="L148" i="2" s="1"/>
  <c r="D150" i="2"/>
  <c r="H152" i="2"/>
  <c r="L152" i="2" s="1"/>
  <c r="D154" i="2"/>
  <c r="H154" i="2" s="1"/>
  <c r="G156" i="2"/>
  <c r="G157" i="2"/>
  <c r="K166" i="2"/>
  <c r="K170" i="2"/>
  <c r="L170" i="2" s="1"/>
  <c r="M170" i="2" s="1"/>
  <c r="H140" i="2"/>
  <c r="G146" i="2"/>
  <c r="I147" i="2"/>
  <c r="G150" i="2"/>
  <c r="I155" i="2"/>
  <c r="K158" i="2"/>
  <c r="J119" i="2"/>
  <c r="H125" i="2"/>
  <c r="L125" i="2" s="1"/>
  <c r="M125" i="2" s="1"/>
  <c r="I125" i="2"/>
  <c r="K125" i="2" s="1"/>
  <c r="H133" i="2"/>
  <c r="I133" i="2"/>
  <c r="J135" i="2"/>
  <c r="H141" i="2"/>
  <c r="H142" i="2"/>
  <c r="J143" i="2"/>
  <c r="E145" i="2"/>
  <c r="J145" i="2" s="1"/>
  <c r="D145" i="2"/>
  <c r="E149" i="2"/>
  <c r="J149" i="2" s="1"/>
  <c r="D149" i="2"/>
  <c r="E153" i="2"/>
  <c r="J153" i="2" s="1"/>
  <c r="D153" i="2"/>
  <c r="K162" i="2"/>
  <c r="I161" i="2"/>
  <c r="K161" i="2" s="1"/>
  <c r="L161" i="2" s="1"/>
  <c r="M161" i="2" s="1"/>
  <c r="H162" i="2"/>
  <c r="L162" i="2" s="1"/>
  <c r="M162" i="2" s="1"/>
  <c r="I169" i="2"/>
  <c r="K169" i="2" s="1"/>
  <c r="L169" i="2" s="1"/>
  <c r="M169" i="2" s="1"/>
  <c r="M174" i="2"/>
  <c r="L177" i="2"/>
  <c r="L178" i="2"/>
  <c r="M178" i="2" s="1"/>
  <c r="D171" i="2"/>
  <c r="E171" i="2"/>
  <c r="J171" i="2" s="1"/>
  <c r="F173" i="2"/>
  <c r="D173" i="2"/>
  <c r="E176" i="2"/>
  <c r="G176" i="2"/>
  <c r="F147" i="2"/>
  <c r="H147" i="2" s="1"/>
  <c r="G148" i="2"/>
  <c r="M148" i="2" s="1"/>
  <c r="F151" i="2"/>
  <c r="J151" i="2" s="1"/>
  <c r="K151" i="2" s="1"/>
  <c r="G152" i="2"/>
  <c r="M152" i="2" s="1"/>
  <c r="F155" i="2"/>
  <c r="H155" i="2" s="1"/>
  <c r="H158" i="2"/>
  <c r="L158" i="2" s="1"/>
  <c r="M158" i="2" s="1"/>
  <c r="M160" i="2"/>
  <c r="E163" i="2"/>
  <c r="I163" i="2" s="1"/>
  <c r="D164" i="2"/>
  <c r="D165" i="2"/>
  <c r="H165" i="2" s="1"/>
  <c r="H166" i="2"/>
  <c r="L166" i="2" s="1"/>
  <c r="M166" i="2" s="1"/>
  <c r="F171" i="2"/>
  <c r="E173" i="2"/>
  <c r="I173" i="2" s="1"/>
  <c r="D176" i="2"/>
  <c r="I177" i="2"/>
  <c r="K177" i="2" s="1"/>
  <c r="F181" i="2"/>
  <c r="D181" i="2"/>
  <c r="G181" i="2"/>
  <c r="E181" i="2"/>
  <c r="J181" i="2" s="1"/>
  <c r="H159" i="2"/>
  <c r="L159" i="2" s="1"/>
  <c r="M159" i="2" s="1"/>
  <c r="I159" i="2"/>
  <c r="K159" i="2" s="1"/>
  <c r="H160" i="2"/>
  <c r="L160" i="2" s="1"/>
  <c r="F163" i="2"/>
  <c r="J163" i="2" s="1"/>
  <c r="F164" i="2"/>
  <c r="J164" i="2" s="1"/>
  <c r="E165" i="2"/>
  <c r="H167" i="2"/>
  <c r="I167" i="2"/>
  <c r="K167" i="2" s="1"/>
  <c r="I168" i="2"/>
  <c r="K168" i="2" s="1"/>
  <c r="L168" i="2" s="1"/>
  <c r="M168" i="2" s="1"/>
  <c r="G171" i="2"/>
  <c r="E172" i="2"/>
  <c r="J172" i="2" s="1"/>
  <c r="D172" i="2"/>
  <c r="G173" i="2"/>
  <c r="D175" i="2"/>
  <c r="G175" i="2"/>
  <c r="F176" i="2"/>
  <c r="J176" i="2" s="1"/>
  <c r="D179" i="2"/>
  <c r="H179" i="2" s="1"/>
  <c r="E179" i="2"/>
  <c r="F179" i="2"/>
  <c r="E180" i="2"/>
  <c r="J180" i="2" s="1"/>
  <c r="D180" i="2"/>
  <c r="F180" i="2"/>
  <c r="L192" i="2"/>
  <c r="M192" i="2" s="1"/>
  <c r="I182" i="2"/>
  <c r="K182" i="2" s="1"/>
  <c r="L182" i="2" s="1"/>
  <c r="M182" i="2" s="1"/>
  <c r="H183" i="2"/>
  <c r="L183" i="2" s="1"/>
  <c r="I183" i="2"/>
  <c r="K183" i="2" s="1"/>
  <c r="I184" i="2"/>
  <c r="K184" i="2" s="1"/>
  <c r="L184" i="2" s="1"/>
  <c r="J185" i="2"/>
  <c r="K185" i="2" s="1"/>
  <c r="L185" i="2" s="1"/>
  <c r="E186" i="2"/>
  <c r="J186" i="2" s="1"/>
  <c r="D186" i="2"/>
  <c r="D189" i="2"/>
  <c r="G189" i="2"/>
  <c r="F191" i="2"/>
  <c r="J191" i="2" s="1"/>
  <c r="G191" i="2"/>
  <c r="I191" i="2"/>
  <c r="I192" i="2"/>
  <c r="K192" i="2" s="1"/>
  <c r="H196" i="2"/>
  <c r="I188" i="2"/>
  <c r="K188" i="2" s="1"/>
  <c r="L188" i="2" s="1"/>
  <c r="M188" i="2" s="1"/>
  <c r="K196" i="2"/>
  <c r="K203" i="2"/>
  <c r="M207" i="2"/>
  <c r="L207" i="2"/>
  <c r="F187" i="2"/>
  <c r="D187" i="2"/>
  <c r="E190" i="2"/>
  <c r="G190" i="2"/>
  <c r="D193" i="2"/>
  <c r="F193" i="2"/>
  <c r="E193" i="2"/>
  <c r="E194" i="2"/>
  <c r="F194" i="2"/>
  <c r="D194" i="2"/>
  <c r="F195" i="2"/>
  <c r="J195" i="2" s="1"/>
  <c r="E195" i="2"/>
  <c r="D195" i="2"/>
  <c r="H195" i="2" s="1"/>
  <c r="H205" i="2"/>
  <c r="G177" i="2"/>
  <c r="M177" i="2" s="1"/>
  <c r="G183" i="2"/>
  <c r="M183" i="2" s="1"/>
  <c r="G184" i="2"/>
  <c r="G185" i="2"/>
  <c r="E187" i="2"/>
  <c r="I187" i="2" s="1"/>
  <c r="K187" i="2" s="1"/>
  <c r="D190" i="2"/>
  <c r="H190" i="2" s="1"/>
  <c r="G193" i="2"/>
  <c r="G194" i="2"/>
  <c r="G195" i="2"/>
  <c r="J196" i="2"/>
  <c r="L200" i="2"/>
  <c r="M200" i="2" s="1"/>
  <c r="E201" i="2"/>
  <c r="I201" i="2" s="1"/>
  <c r="D201" i="2"/>
  <c r="D204" i="2"/>
  <c r="G204" i="2"/>
  <c r="F206" i="2"/>
  <c r="G206" i="2"/>
  <c r="F208" i="2"/>
  <c r="E210" i="2"/>
  <c r="G197" i="2"/>
  <c r="G198" i="2"/>
  <c r="G199" i="2"/>
  <c r="M199" i="2" s="1"/>
  <c r="F201" i="2"/>
  <c r="J201" i="2" s="1"/>
  <c r="E204" i="2"/>
  <c r="D206" i="2"/>
  <c r="H206" i="2" s="1"/>
  <c r="E209" i="2"/>
  <c r="I209" i="2" s="1"/>
  <c r="K209" i="2" s="1"/>
  <c r="D209" i="2"/>
  <c r="I214" i="2"/>
  <c r="K214" i="2" s="1"/>
  <c r="H197" i="2"/>
  <c r="L197" i="2" s="1"/>
  <c r="I197" i="2"/>
  <c r="K197" i="2" s="1"/>
  <c r="I198" i="2"/>
  <c r="K198" i="2" s="1"/>
  <c r="L198" i="2" s="1"/>
  <c r="H199" i="2"/>
  <c r="L199" i="2" s="1"/>
  <c r="G201" i="2"/>
  <c r="F202" i="2"/>
  <c r="D202" i="2"/>
  <c r="H203" i="2"/>
  <c r="L203" i="2" s="1"/>
  <c r="M203" i="2" s="1"/>
  <c r="F204" i="2"/>
  <c r="E205" i="2"/>
  <c r="J205" i="2" s="1"/>
  <c r="G205" i="2"/>
  <c r="E206" i="2"/>
  <c r="I213" i="2"/>
  <c r="K213" i="2" s="1"/>
  <c r="H213" i="2"/>
  <c r="J202" i="2"/>
  <c r="I205" i="2"/>
  <c r="K205" i="2" s="1"/>
  <c r="D208" i="2"/>
  <c r="E208" i="2"/>
  <c r="F210" i="2"/>
  <c r="D210" i="2"/>
  <c r="K211" i="2"/>
  <c r="L214" i="2"/>
  <c r="K223" i="2"/>
  <c r="L223" i="2" s="1"/>
  <c r="M223" i="2" s="1"/>
  <c r="D221" i="2"/>
  <c r="E221" i="2"/>
  <c r="J221" i="2" s="1"/>
  <c r="H225" i="2"/>
  <c r="I217" i="2"/>
  <c r="K217" i="2" s="1"/>
  <c r="J218" i="2"/>
  <c r="F221" i="2"/>
  <c r="E222" i="2"/>
  <c r="F222" i="2"/>
  <c r="I228" i="2"/>
  <c r="K228" i="2" s="1"/>
  <c r="I233" i="2"/>
  <c r="K233" i="2" s="1"/>
  <c r="H211" i="2"/>
  <c r="L211" i="2" s="1"/>
  <c r="M211" i="2" s="1"/>
  <c r="G212" i="2"/>
  <c r="G213" i="2"/>
  <c r="G214" i="2"/>
  <c r="M214" i="2" s="1"/>
  <c r="E216" i="2"/>
  <c r="H216" i="2" s="1"/>
  <c r="D217" i="2"/>
  <c r="D218" i="2"/>
  <c r="H219" i="2"/>
  <c r="L219" i="2" s="1"/>
  <c r="M219" i="2" s="1"/>
  <c r="G221" i="2"/>
  <c r="D222" i="2"/>
  <c r="J223" i="2"/>
  <c r="H227" i="2"/>
  <c r="H212" i="2"/>
  <c r="L212" i="2" s="1"/>
  <c r="F216" i="2"/>
  <c r="F217" i="2"/>
  <c r="J217" i="2" s="1"/>
  <c r="E218" i="2"/>
  <c r="I218" i="2" s="1"/>
  <c r="G222" i="2"/>
  <c r="E226" i="2"/>
  <c r="J226" i="2" s="1"/>
  <c r="D226" i="2"/>
  <c r="F226" i="2"/>
  <c r="K227" i="2"/>
  <c r="H229" i="2"/>
  <c r="L231" i="2"/>
  <c r="M231" i="2" s="1"/>
  <c r="D220" i="2"/>
  <c r="D224" i="2"/>
  <c r="E225" i="2"/>
  <c r="J225" i="2" s="1"/>
  <c r="D228" i="2"/>
  <c r="H228" i="2" s="1"/>
  <c r="E229" i="2"/>
  <c r="I229" i="2" s="1"/>
  <c r="F230" i="2"/>
  <c r="J230" i="2" s="1"/>
  <c r="D232" i="2"/>
  <c r="E233" i="2"/>
  <c r="J233" i="2" s="1"/>
  <c r="F234" i="2"/>
  <c r="J234" i="2" s="1"/>
  <c r="G230" i="2"/>
  <c r="G234" i="2"/>
  <c r="G225" i="2"/>
  <c r="G229" i="2"/>
  <c r="D230" i="2"/>
  <c r="G233" i="2"/>
  <c r="D234" i="2"/>
  <c r="G10" i="1"/>
  <c r="D10" i="1"/>
  <c r="D13" i="1"/>
  <c r="F13" i="1"/>
  <c r="F14" i="1"/>
  <c r="G27" i="1"/>
  <c r="E27" i="1"/>
  <c r="D31" i="1"/>
  <c r="F31" i="1"/>
  <c r="G77" i="1"/>
  <c r="D77" i="1"/>
  <c r="G80" i="1"/>
  <c r="F80" i="1"/>
  <c r="G86" i="1"/>
  <c r="D86" i="1"/>
  <c r="G88" i="1"/>
  <c r="F88" i="1"/>
  <c r="G90" i="1"/>
  <c r="D90" i="1"/>
  <c r="G92" i="1"/>
  <c r="F92" i="1"/>
  <c r="G100" i="1"/>
  <c r="E100" i="1"/>
  <c r="G103" i="1"/>
  <c r="F103" i="1"/>
  <c r="I104" i="1"/>
  <c r="J106" i="1"/>
  <c r="I107" i="1"/>
  <c r="D16" i="1"/>
  <c r="E16" i="1"/>
  <c r="F35" i="1"/>
  <c r="D35" i="1"/>
  <c r="G9" i="1"/>
  <c r="D9" i="1"/>
  <c r="E10" i="1"/>
  <c r="J10" i="1" s="1"/>
  <c r="E13" i="1"/>
  <c r="F16" i="1"/>
  <c r="E18" i="1"/>
  <c r="L18" i="1" s="1"/>
  <c r="J19" i="1"/>
  <c r="G26" i="1"/>
  <c r="E26" i="1"/>
  <c r="D27" i="1"/>
  <c r="H27" i="1" s="1"/>
  <c r="G30" i="1"/>
  <c r="N30" i="1" s="1"/>
  <c r="E30" i="1"/>
  <c r="E31" i="1"/>
  <c r="L31" i="1" s="1"/>
  <c r="E35" i="1"/>
  <c r="J35" i="1" s="1"/>
  <c r="F38" i="1"/>
  <c r="J38" i="1" s="1"/>
  <c r="G38" i="1"/>
  <c r="D40" i="1"/>
  <c r="D48" i="1"/>
  <c r="D56" i="1"/>
  <c r="G74" i="1"/>
  <c r="F74" i="1"/>
  <c r="G75" i="1"/>
  <c r="E75" i="1"/>
  <c r="G76" i="1"/>
  <c r="D76" i="1"/>
  <c r="I76" i="1" s="1"/>
  <c r="E77" i="1"/>
  <c r="L77" i="1" s="1"/>
  <c r="I78" i="1"/>
  <c r="I79" i="1"/>
  <c r="H79" i="1"/>
  <c r="D80" i="1"/>
  <c r="I80" i="1" s="1"/>
  <c r="G85" i="1"/>
  <c r="D85" i="1"/>
  <c r="E86" i="1"/>
  <c r="H87" i="1"/>
  <c r="D88" i="1"/>
  <c r="I88" i="1" s="1"/>
  <c r="E90" i="1"/>
  <c r="I91" i="1"/>
  <c r="D92" i="1"/>
  <c r="L92" i="1" s="1"/>
  <c r="G97" i="1"/>
  <c r="D97" i="1"/>
  <c r="G98" i="1"/>
  <c r="F98" i="1"/>
  <c r="G99" i="1"/>
  <c r="E99" i="1"/>
  <c r="D100" i="1"/>
  <c r="I100" i="1" s="1"/>
  <c r="I102" i="1"/>
  <c r="I103" i="1"/>
  <c r="G109" i="1"/>
  <c r="F109" i="1"/>
  <c r="G112" i="1"/>
  <c r="F112" i="1"/>
  <c r="I113" i="1"/>
  <c r="G116" i="1"/>
  <c r="F116" i="1"/>
  <c r="D116" i="1"/>
  <c r="E116" i="1"/>
  <c r="J80" i="1"/>
  <c r="G83" i="1"/>
  <c r="E83" i="1"/>
  <c r="L87" i="1"/>
  <c r="J87" i="1"/>
  <c r="G95" i="1"/>
  <c r="E95" i="1"/>
  <c r="I99" i="1"/>
  <c r="J102" i="1"/>
  <c r="L102" i="1"/>
  <c r="G105" i="1"/>
  <c r="F105" i="1"/>
  <c r="J105" i="1" s="1"/>
  <c r="G110" i="1"/>
  <c r="D110" i="1"/>
  <c r="G111" i="1"/>
  <c r="F111" i="1"/>
  <c r="G117" i="1"/>
  <c r="F117" i="1"/>
  <c r="E117" i="1"/>
  <c r="D117" i="1"/>
  <c r="H117" i="1" s="1"/>
  <c r="D12" i="1"/>
  <c r="E12" i="1"/>
  <c r="D17" i="1"/>
  <c r="F17" i="1"/>
  <c r="G29" i="1"/>
  <c r="E29" i="1"/>
  <c r="I73" i="1"/>
  <c r="H73" i="1"/>
  <c r="I75" i="1"/>
  <c r="G84" i="1"/>
  <c r="D84" i="1"/>
  <c r="H84" i="1" s="1"/>
  <c r="H86" i="1"/>
  <c r="J88" i="1"/>
  <c r="G94" i="1"/>
  <c r="F94" i="1"/>
  <c r="J94" i="1" s="1"/>
  <c r="G96" i="1"/>
  <c r="D96" i="1"/>
  <c r="L100" i="1"/>
  <c r="L103" i="1"/>
  <c r="G108" i="1"/>
  <c r="F108" i="1"/>
  <c r="F9" i="1"/>
  <c r="J9" i="1" s="1"/>
  <c r="G11" i="1"/>
  <c r="N11" i="1" s="1"/>
  <c r="D11" i="1"/>
  <c r="H11" i="1" s="1"/>
  <c r="F12" i="1"/>
  <c r="E14" i="1"/>
  <c r="L14" i="1" s="1"/>
  <c r="E17" i="1"/>
  <c r="F26" i="1"/>
  <c r="H26" i="1" s="1"/>
  <c r="G28" i="1"/>
  <c r="E28" i="1"/>
  <c r="L28" i="1" s="1"/>
  <c r="D29" i="1"/>
  <c r="H29" i="1" s="1"/>
  <c r="F30" i="1"/>
  <c r="H30" i="1" s="1"/>
  <c r="D32" i="1"/>
  <c r="F36" i="1"/>
  <c r="D36" i="1"/>
  <c r="D44" i="1"/>
  <c r="D52" i="1"/>
  <c r="L73" i="1"/>
  <c r="E74" i="1"/>
  <c r="J74" i="1" s="1"/>
  <c r="F75" i="1"/>
  <c r="F76" i="1"/>
  <c r="J76" i="1" s="1"/>
  <c r="G81" i="1"/>
  <c r="F81" i="1"/>
  <c r="H81" i="1" s="1"/>
  <c r="G82" i="1"/>
  <c r="E82" i="1"/>
  <c r="J82" i="1" s="1"/>
  <c r="D83" i="1"/>
  <c r="E84" i="1"/>
  <c r="F85" i="1"/>
  <c r="L85" i="1" s="1"/>
  <c r="G89" i="1"/>
  <c r="F89" i="1"/>
  <c r="L89" i="1" s="1"/>
  <c r="J89" i="1"/>
  <c r="G93" i="1"/>
  <c r="F93" i="1"/>
  <c r="L93" i="1" s="1"/>
  <c r="D94" i="1"/>
  <c r="I94" i="1" s="1"/>
  <c r="D95" i="1"/>
  <c r="H95" i="1" s="1"/>
  <c r="E96" i="1"/>
  <c r="J96" i="1" s="1"/>
  <c r="F97" i="1"/>
  <c r="J97" i="1" s="1"/>
  <c r="E98" i="1"/>
  <c r="I98" i="1" s="1"/>
  <c r="F99" i="1"/>
  <c r="G101" i="1"/>
  <c r="E101" i="1"/>
  <c r="H102" i="1"/>
  <c r="G104" i="1"/>
  <c r="F104" i="1"/>
  <c r="L104" i="1" s="1"/>
  <c r="D105" i="1"/>
  <c r="G106" i="1"/>
  <c r="D106" i="1"/>
  <c r="G107" i="1"/>
  <c r="F107" i="1"/>
  <c r="L107" i="1" s="1"/>
  <c r="D108" i="1"/>
  <c r="I108" i="1" s="1"/>
  <c r="E109" i="1"/>
  <c r="J109" i="1" s="1"/>
  <c r="E110" i="1"/>
  <c r="D111" i="1"/>
  <c r="I111" i="1" s="1"/>
  <c r="E112" i="1"/>
  <c r="I112" i="1" s="1"/>
  <c r="G114" i="1"/>
  <c r="F114" i="1"/>
  <c r="H114" i="1" s="1"/>
  <c r="G118" i="1"/>
  <c r="F118" i="1"/>
  <c r="H118" i="1" s="1"/>
  <c r="G119" i="1"/>
  <c r="E119" i="1"/>
  <c r="H119" i="1" s="1"/>
  <c r="G120" i="1"/>
  <c r="D120" i="1"/>
  <c r="I120" i="1" s="1"/>
  <c r="I122" i="1"/>
  <c r="H123" i="1"/>
  <c r="I124" i="1"/>
  <c r="H125" i="1"/>
  <c r="I126" i="1"/>
  <c r="H127" i="1"/>
  <c r="I128" i="1"/>
  <c r="H129" i="1"/>
  <c r="I130" i="1"/>
  <c r="H130" i="1"/>
  <c r="I131" i="1"/>
  <c r="J133" i="1"/>
  <c r="I134" i="1"/>
  <c r="H134" i="1"/>
  <c r="I135" i="1"/>
  <c r="D160" i="1"/>
  <c r="E160" i="1"/>
  <c r="D166" i="1"/>
  <c r="E166" i="1"/>
  <c r="D172" i="1"/>
  <c r="I172" i="1" s="1"/>
  <c r="F172" i="1"/>
  <c r="E172" i="1"/>
  <c r="J172" i="1" s="1"/>
  <c r="G188" i="1"/>
  <c r="E188" i="1"/>
  <c r="D188" i="1"/>
  <c r="G195" i="1"/>
  <c r="F195" i="1"/>
  <c r="E195" i="1"/>
  <c r="D195" i="1"/>
  <c r="L129" i="1"/>
  <c r="J130" i="1"/>
  <c r="J134" i="1"/>
  <c r="D138" i="1"/>
  <c r="F138" i="1"/>
  <c r="D145" i="1"/>
  <c r="F145" i="1"/>
  <c r="F160" i="1"/>
  <c r="F166" i="1"/>
  <c r="D173" i="1"/>
  <c r="F173" i="1"/>
  <c r="E173" i="1"/>
  <c r="I176" i="1"/>
  <c r="F182" i="1"/>
  <c r="G182" i="1"/>
  <c r="E182" i="1"/>
  <c r="J182" i="1" s="1"/>
  <c r="G196" i="1"/>
  <c r="F196" i="1"/>
  <c r="E196" i="1"/>
  <c r="D196" i="1"/>
  <c r="H120" i="1"/>
  <c r="H122" i="1"/>
  <c r="H124" i="1"/>
  <c r="H126" i="1"/>
  <c r="G137" i="1"/>
  <c r="E137" i="1"/>
  <c r="J137" i="1" s="1"/>
  <c r="L138" i="1"/>
  <c r="D164" i="1"/>
  <c r="E164" i="1"/>
  <c r="D174" i="1"/>
  <c r="F174" i="1"/>
  <c r="E174" i="1"/>
  <c r="F185" i="1"/>
  <c r="G185" i="1"/>
  <c r="G193" i="1"/>
  <c r="F193" i="1"/>
  <c r="J193" i="1" s="1"/>
  <c r="E193" i="1"/>
  <c r="D193" i="1"/>
  <c r="F113" i="1"/>
  <c r="H113" i="1" s="1"/>
  <c r="G115" i="1"/>
  <c r="F115" i="1"/>
  <c r="H115" i="1" s="1"/>
  <c r="L118" i="1"/>
  <c r="I119" i="1"/>
  <c r="G121" i="1"/>
  <c r="D121" i="1"/>
  <c r="G131" i="1"/>
  <c r="F131" i="1"/>
  <c r="H131" i="1" s="1"/>
  <c r="G132" i="1"/>
  <c r="E132" i="1"/>
  <c r="I132" i="1" s="1"/>
  <c r="G133" i="1"/>
  <c r="D133" i="1"/>
  <c r="G135" i="1"/>
  <c r="F135" i="1"/>
  <c r="H135" i="1" s="1"/>
  <c r="G136" i="1"/>
  <c r="E136" i="1"/>
  <c r="J136" i="1" s="1"/>
  <c r="D137" i="1"/>
  <c r="I137" i="1" s="1"/>
  <c r="G138" i="1"/>
  <c r="D146" i="1"/>
  <c r="F146" i="1"/>
  <c r="E147" i="1"/>
  <c r="G149" i="1"/>
  <c r="D153" i="1"/>
  <c r="F153" i="1"/>
  <c r="D157" i="1"/>
  <c r="F157" i="1"/>
  <c r="F164" i="1"/>
  <c r="D169" i="1"/>
  <c r="F169" i="1"/>
  <c r="E169" i="1"/>
  <c r="J169" i="1" s="1"/>
  <c r="D175" i="1"/>
  <c r="F175" i="1"/>
  <c r="E175" i="1"/>
  <c r="G194" i="1"/>
  <c r="F194" i="1"/>
  <c r="E194" i="1"/>
  <c r="D194" i="1"/>
  <c r="F154" i="1"/>
  <c r="I159" i="1"/>
  <c r="F161" i="1"/>
  <c r="J161" i="1" s="1"/>
  <c r="F162" i="1"/>
  <c r="J162" i="1" s="1"/>
  <c r="F163" i="1"/>
  <c r="L163" i="1" s="1"/>
  <c r="H165" i="1"/>
  <c r="K165" i="1" s="1"/>
  <c r="H170" i="1"/>
  <c r="I171" i="1"/>
  <c r="F176" i="1"/>
  <c r="J176" i="1" s="1"/>
  <c r="F177" i="1"/>
  <c r="J177" i="1" s="1"/>
  <c r="F178" i="1"/>
  <c r="J178" i="1" s="1"/>
  <c r="F179" i="1"/>
  <c r="E183" i="1"/>
  <c r="J183" i="1" s="1"/>
  <c r="E189" i="1"/>
  <c r="I189" i="1" s="1"/>
  <c r="E190" i="1"/>
  <c r="I190" i="1" s="1"/>
  <c r="H198" i="1"/>
  <c r="F199" i="1"/>
  <c r="F200" i="1"/>
  <c r="E201" i="1"/>
  <c r="L201" i="1" s="1"/>
  <c r="E202" i="1"/>
  <c r="L202" i="1" s="1"/>
  <c r="D203" i="1"/>
  <c r="D204" i="1"/>
  <c r="H206" i="1"/>
  <c r="F207" i="1"/>
  <c r="F208" i="1"/>
  <c r="E209" i="1"/>
  <c r="L209" i="1" s="1"/>
  <c r="E210" i="1"/>
  <c r="L210" i="1" s="1"/>
  <c r="D211" i="1"/>
  <c r="I211" i="1" s="1"/>
  <c r="D212" i="1"/>
  <c r="H214" i="1"/>
  <c r="F215" i="1"/>
  <c r="F216" i="1"/>
  <c r="E217" i="1"/>
  <c r="L217" i="1" s="1"/>
  <c r="E218" i="1"/>
  <c r="L218" i="1" s="1"/>
  <c r="D219" i="1"/>
  <c r="D220" i="1"/>
  <c r="H222" i="1"/>
  <c r="F223" i="1"/>
  <c r="F224" i="1"/>
  <c r="H224" i="1" s="1"/>
  <c r="E225" i="1"/>
  <c r="L225" i="1" s="1"/>
  <c r="E226" i="1"/>
  <c r="D227" i="1"/>
  <c r="I227" i="1" s="1"/>
  <c r="D228" i="1"/>
  <c r="D229" i="1"/>
  <c r="I229" i="1" s="1"/>
  <c r="D230" i="1"/>
  <c r="D231" i="1"/>
  <c r="I231" i="1" s="1"/>
  <c r="D232" i="1"/>
  <c r="D233" i="1"/>
  <c r="I233" i="1" s="1"/>
  <c r="D234" i="1"/>
  <c r="E203" i="1"/>
  <c r="E204" i="1"/>
  <c r="L204" i="1" s="1"/>
  <c r="E211" i="1"/>
  <c r="E212" i="1"/>
  <c r="E219" i="1"/>
  <c r="E220" i="1"/>
  <c r="L220" i="1" s="1"/>
  <c r="F225" i="1"/>
  <c r="F226" i="1"/>
  <c r="E227" i="1"/>
  <c r="E228" i="1"/>
  <c r="E229" i="1"/>
  <c r="E230" i="1"/>
  <c r="E231" i="1"/>
  <c r="E232" i="1"/>
  <c r="E233" i="1"/>
  <c r="E234" i="1"/>
  <c r="H161" i="1"/>
  <c r="H162" i="1"/>
  <c r="I163" i="1"/>
  <c r="E167" i="1"/>
  <c r="L167" i="1" s="1"/>
  <c r="H177" i="1"/>
  <c r="H178" i="1"/>
  <c r="I179" i="1"/>
  <c r="E180" i="1"/>
  <c r="H180" i="1" s="1"/>
  <c r="E186" i="1"/>
  <c r="J186" i="1" s="1"/>
  <c r="D191" i="1"/>
  <c r="L197" i="1"/>
  <c r="L198" i="1"/>
  <c r="D199" i="1"/>
  <c r="L199" i="1" s="1"/>
  <c r="D200" i="1"/>
  <c r="L200" i="1" s="1"/>
  <c r="H202" i="1"/>
  <c r="F203" i="1"/>
  <c r="F204" i="1"/>
  <c r="L205" i="1"/>
  <c r="L206" i="1"/>
  <c r="D207" i="1"/>
  <c r="I207" i="1" s="1"/>
  <c r="D208" i="1"/>
  <c r="L208" i="1" s="1"/>
  <c r="H210" i="1"/>
  <c r="F211" i="1"/>
  <c r="F212" i="1"/>
  <c r="L213" i="1"/>
  <c r="L214" i="1"/>
  <c r="D215" i="1"/>
  <c r="I215" i="1" s="1"/>
  <c r="D216" i="1"/>
  <c r="H218" i="1"/>
  <c r="F219" i="1"/>
  <c r="F220" i="1"/>
  <c r="L221" i="1"/>
  <c r="L222" i="1"/>
  <c r="D223" i="1"/>
  <c r="I223" i="1" s="1"/>
  <c r="I224" i="1"/>
  <c r="H226" i="1"/>
  <c r="F227" i="1"/>
  <c r="F228" i="1"/>
  <c r="F229" i="1"/>
  <c r="F230" i="1"/>
  <c r="F231" i="1"/>
  <c r="F232" i="1"/>
  <c r="F233" i="1"/>
  <c r="F234" i="1"/>
  <c r="I15" i="1"/>
  <c r="H15" i="1"/>
  <c r="I19" i="1"/>
  <c r="H19" i="1"/>
  <c r="I14" i="1"/>
  <c r="H14" i="1"/>
  <c r="L15" i="1"/>
  <c r="I18" i="1"/>
  <c r="H18" i="1"/>
  <c r="L19" i="1"/>
  <c r="I13" i="1"/>
  <c r="H13" i="1"/>
  <c r="I17" i="1"/>
  <c r="H17" i="1"/>
  <c r="I31" i="1"/>
  <c r="H31" i="1"/>
  <c r="I12" i="1"/>
  <c r="H12" i="1"/>
  <c r="L13" i="1"/>
  <c r="I16" i="1"/>
  <c r="H16" i="1"/>
  <c r="L17" i="1"/>
  <c r="G4" i="1"/>
  <c r="D4" i="1"/>
  <c r="D6" i="1"/>
  <c r="D8" i="1"/>
  <c r="J12" i="1"/>
  <c r="J15" i="1"/>
  <c r="J17" i="1"/>
  <c r="G20" i="1"/>
  <c r="N20" i="1" s="1"/>
  <c r="H25" i="1"/>
  <c r="F39" i="1"/>
  <c r="E39" i="1"/>
  <c r="F41" i="1"/>
  <c r="E41" i="1"/>
  <c r="F43" i="1"/>
  <c r="E43" i="1"/>
  <c r="F45" i="1"/>
  <c r="E45" i="1"/>
  <c r="F47" i="1"/>
  <c r="E47" i="1"/>
  <c r="F49" i="1"/>
  <c r="E49" i="1"/>
  <c r="F51" i="1"/>
  <c r="E51" i="1"/>
  <c r="F53" i="1"/>
  <c r="E53" i="1"/>
  <c r="F55" i="1"/>
  <c r="E55" i="1"/>
  <c r="F57" i="1"/>
  <c r="E57" i="1"/>
  <c r="F60" i="1"/>
  <c r="E60" i="1"/>
  <c r="D60" i="1"/>
  <c r="F64" i="1"/>
  <c r="E64" i="1"/>
  <c r="D64" i="1"/>
  <c r="F68" i="1"/>
  <c r="E68" i="1"/>
  <c r="D68" i="1"/>
  <c r="F72" i="1"/>
  <c r="E72" i="1"/>
  <c r="D72" i="1"/>
  <c r="G3" i="1"/>
  <c r="L9" i="1"/>
  <c r="L10" i="1"/>
  <c r="L11" i="1"/>
  <c r="D3" i="1"/>
  <c r="D7" i="1"/>
  <c r="I9" i="1"/>
  <c r="I11" i="1"/>
  <c r="K11" i="1" s="1"/>
  <c r="J16" i="1"/>
  <c r="J18" i="1"/>
  <c r="I26" i="1"/>
  <c r="I27" i="1"/>
  <c r="I28" i="1"/>
  <c r="I29" i="1"/>
  <c r="I30" i="1"/>
  <c r="E3" i="1"/>
  <c r="E5" i="1"/>
  <c r="E7" i="1"/>
  <c r="E8" i="1"/>
  <c r="G12" i="1"/>
  <c r="G13" i="1"/>
  <c r="G14" i="1"/>
  <c r="G15" i="1"/>
  <c r="G16" i="1"/>
  <c r="G17" i="1"/>
  <c r="G18" i="1"/>
  <c r="G19" i="1"/>
  <c r="N19" i="1" s="1"/>
  <c r="D20" i="1"/>
  <c r="E21" i="1"/>
  <c r="E22" i="1"/>
  <c r="E23" i="1"/>
  <c r="E24" i="1"/>
  <c r="I24" i="1" s="1"/>
  <c r="E25" i="1"/>
  <c r="I25" i="1" s="1"/>
  <c r="J26" i="1"/>
  <c r="J27" i="1"/>
  <c r="J28" i="1"/>
  <c r="J29" i="1"/>
  <c r="J30" i="1"/>
  <c r="G31" i="1"/>
  <c r="N31" i="1" s="1"/>
  <c r="E32" i="1"/>
  <c r="D33" i="1"/>
  <c r="L35" i="1"/>
  <c r="E36" i="1"/>
  <c r="H36" i="1" s="1"/>
  <c r="D37" i="1"/>
  <c r="D39" i="1"/>
  <c r="D41" i="1"/>
  <c r="D43" i="1"/>
  <c r="D45" i="1"/>
  <c r="D47" i="1"/>
  <c r="D49" i="1"/>
  <c r="D51" i="1"/>
  <c r="D53" i="1"/>
  <c r="D55" i="1"/>
  <c r="D57" i="1"/>
  <c r="F59" i="1"/>
  <c r="E59" i="1"/>
  <c r="D59" i="1"/>
  <c r="G60" i="1"/>
  <c r="F63" i="1"/>
  <c r="E63" i="1"/>
  <c r="D63" i="1"/>
  <c r="G64" i="1"/>
  <c r="F67" i="1"/>
  <c r="E67" i="1"/>
  <c r="D67" i="1"/>
  <c r="G68" i="1"/>
  <c r="F71" i="1"/>
  <c r="E71" i="1"/>
  <c r="D71" i="1"/>
  <c r="G72" i="1"/>
  <c r="D5" i="1"/>
  <c r="I10" i="1"/>
  <c r="J13" i="1"/>
  <c r="J14" i="1"/>
  <c r="I36" i="1"/>
  <c r="E4" i="1"/>
  <c r="E6" i="1"/>
  <c r="F5" i="1"/>
  <c r="F6" i="1"/>
  <c r="F7" i="1"/>
  <c r="F8" i="1"/>
  <c r="E20" i="1"/>
  <c r="F21" i="1"/>
  <c r="F22" i="1"/>
  <c r="F23" i="1"/>
  <c r="F24" i="1"/>
  <c r="F25" i="1"/>
  <c r="G32" i="1"/>
  <c r="E33" i="1"/>
  <c r="D34" i="1"/>
  <c r="H35" i="1"/>
  <c r="G36" i="1"/>
  <c r="E37" i="1"/>
  <c r="D38" i="1"/>
  <c r="G39" i="1"/>
  <c r="F40" i="1"/>
  <c r="E40" i="1"/>
  <c r="G41" i="1"/>
  <c r="F42" i="1"/>
  <c r="E42" i="1"/>
  <c r="G43" i="1"/>
  <c r="F44" i="1"/>
  <c r="E44" i="1"/>
  <c r="G45" i="1"/>
  <c r="F46" i="1"/>
  <c r="E46" i="1"/>
  <c r="G47" i="1"/>
  <c r="F48" i="1"/>
  <c r="E48" i="1"/>
  <c r="G49" i="1"/>
  <c r="F50" i="1"/>
  <c r="E50" i="1"/>
  <c r="G51" i="1"/>
  <c r="F52" i="1"/>
  <c r="E52" i="1"/>
  <c r="G53" i="1"/>
  <c r="F54" i="1"/>
  <c r="E54" i="1"/>
  <c r="G55" i="1"/>
  <c r="F56" i="1"/>
  <c r="E56" i="1"/>
  <c r="G57" i="1"/>
  <c r="F58" i="1"/>
  <c r="E58" i="1"/>
  <c r="D58" i="1"/>
  <c r="G59" i="1"/>
  <c r="F62" i="1"/>
  <c r="E62" i="1"/>
  <c r="D62" i="1"/>
  <c r="G63" i="1"/>
  <c r="F66" i="1"/>
  <c r="E66" i="1"/>
  <c r="D66" i="1"/>
  <c r="G67" i="1"/>
  <c r="F70" i="1"/>
  <c r="E70" i="1"/>
  <c r="D70" i="1"/>
  <c r="G71" i="1"/>
  <c r="I74" i="1"/>
  <c r="G33" i="1"/>
  <c r="G37" i="1"/>
  <c r="L38" i="1"/>
  <c r="I40" i="1"/>
  <c r="I42" i="1"/>
  <c r="I44" i="1"/>
  <c r="I46" i="1"/>
  <c r="I48" i="1"/>
  <c r="I50" i="1"/>
  <c r="I52" i="1"/>
  <c r="I54" i="1"/>
  <c r="I56" i="1"/>
  <c r="F61" i="1"/>
  <c r="E61" i="1"/>
  <c r="D61" i="1"/>
  <c r="F65" i="1"/>
  <c r="E65" i="1"/>
  <c r="D65" i="1"/>
  <c r="F69" i="1"/>
  <c r="E69" i="1"/>
  <c r="D69" i="1"/>
  <c r="H74" i="1"/>
  <c r="L74" i="1"/>
  <c r="L76" i="1"/>
  <c r="L78" i="1"/>
  <c r="L80" i="1"/>
  <c r="L82" i="1"/>
  <c r="L88" i="1"/>
  <c r="I90" i="1"/>
  <c r="L96" i="1"/>
  <c r="H100" i="1"/>
  <c r="H104" i="1"/>
  <c r="H108" i="1"/>
  <c r="H112" i="1"/>
  <c r="L115" i="1"/>
  <c r="L116" i="1"/>
  <c r="L123" i="1"/>
  <c r="L124" i="1"/>
  <c r="J73" i="1"/>
  <c r="K73" i="1" s="1"/>
  <c r="M73" i="1" s="1"/>
  <c r="N73" i="1" s="1"/>
  <c r="J75" i="1"/>
  <c r="H76" i="1"/>
  <c r="J77" i="1"/>
  <c r="H78" i="1"/>
  <c r="K78" i="1" s="1"/>
  <c r="J79" i="1"/>
  <c r="K79" i="1" s="1"/>
  <c r="M79" i="1" s="1"/>
  <c r="N79" i="1" s="1"/>
  <c r="H80" i="1"/>
  <c r="K80" i="1" s="1"/>
  <c r="M80" i="1" s="1"/>
  <c r="N80" i="1" s="1"/>
  <c r="J81" i="1"/>
  <c r="K81" i="1" s="1"/>
  <c r="H82" i="1"/>
  <c r="J83" i="1"/>
  <c r="I84" i="1"/>
  <c r="I85" i="1"/>
  <c r="J90" i="1"/>
  <c r="H91" i="1"/>
  <c r="J91" i="1"/>
  <c r="I92" i="1"/>
  <c r="I93" i="1"/>
  <c r="H94" i="1"/>
  <c r="L97" i="1"/>
  <c r="L101" i="1"/>
  <c r="L105" i="1"/>
  <c r="L109" i="1"/>
  <c r="L113" i="1"/>
  <c r="L114" i="1"/>
  <c r="I117" i="1"/>
  <c r="L121" i="1"/>
  <c r="L122" i="1"/>
  <c r="J84" i="1"/>
  <c r="H85" i="1"/>
  <c r="J85" i="1"/>
  <c r="I87" i="1"/>
  <c r="K87" i="1" s="1"/>
  <c r="M87" i="1" s="1"/>
  <c r="N87" i="1" s="1"/>
  <c r="H88" i="1"/>
  <c r="K88" i="1" s="1"/>
  <c r="M88" i="1" s="1"/>
  <c r="N88" i="1" s="1"/>
  <c r="J92" i="1"/>
  <c r="H93" i="1"/>
  <c r="J93" i="1"/>
  <c r="I95" i="1"/>
  <c r="H96" i="1"/>
  <c r="H99" i="1"/>
  <c r="J99" i="1"/>
  <c r="J100" i="1"/>
  <c r="K100" i="1" s="1"/>
  <c r="M100" i="1" s="1"/>
  <c r="N100" i="1" s="1"/>
  <c r="H103" i="1"/>
  <c r="J103" i="1"/>
  <c r="K103" i="1" s="1"/>
  <c r="M103" i="1" s="1"/>
  <c r="N103" i="1" s="1"/>
  <c r="J104" i="1"/>
  <c r="K104" i="1" s="1"/>
  <c r="M104" i="1" s="1"/>
  <c r="N104" i="1" s="1"/>
  <c r="H107" i="1"/>
  <c r="J107" i="1"/>
  <c r="K107" i="1" s="1"/>
  <c r="J108" i="1"/>
  <c r="K108" i="1" s="1"/>
  <c r="H111" i="1"/>
  <c r="J111" i="1"/>
  <c r="K111" i="1" s="1"/>
  <c r="J112" i="1"/>
  <c r="I115" i="1"/>
  <c r="J116" i="1"/>
  <c r="L119" i="1"/>
  <c r="L120" i="1"/>
  <c r="K122" i="1"/>
  <c r="I123" i="1"/>
  <c r="J124" i="1"/>
  <c r="K124" i="1" s="1"/>
  <c r="K126" i="1"/>
  <c r="K128" i="1"/>
  <c r="K102" i="1"/>
  <c r="M102" i="1" s="1"/>
  <c r="N102" i="1" s="1"/>
  <c r="I125" i="1"/>
  <c r="L126" i="1"/>
  <c r="I127" i="1"/>
  <c r="L128" i="1"/>
  <c r="I129" i="1"/>
  <c r="H136" i="1"/>
  <c r="H137" i="1"/>
  <c r="K137" i="1" s="1"/>
  <c r="D140" i="1"/>
  <c r="G140" i="1"/>
  <c r="F140" i="1"/>
  <c r="E140" i="1"/>
  <c r="J113" i="1"/>
  <c r="J115" i="1"/>
  <c r="J117" i="1"/>
  <c r="J119" i="1"/>
  <c r="J121" i="1"/>
  <c r="J123" i="1"/>
  <c r="J125" i="1"/>
  <c r="J127" i="1"/>
  <c r="J129" i="1"/>
  <c r="L130" i="1"/>
  <c r="L131" i="1"/>
  <c r="L132" i="1"/>
  <c r="L133" i="1"/>
  <c r="L134" i="1"/>
  <c r="L135" i="1"/>
  <c r="L136" i="1"/>
  <c r="L137" i="1"/>
  <c r="D144" i="1"/>
  <c r="G144" i="1"/>
  <c r="F144" i="1"/>
  <c r="E144" i="1"/>
  <c r="K161" i="1"/>
  <c r="K177" i="1"/>
  <c r="L179" i="1"/>
  <c r="J179" i="1"/>
  <c r="F139" i="1"/>
  <c r="L139" i="1" s="1"/>
  <c r="F143" i="1"/>
  <c r="L143" i="1" s="1"/>
  <c r="F147" i="1"/>
  <c r="J147" i="1" s="1"/>
  <c r="E148" i="1"/>
  <c r="I148" i="1" s="1"/>
  <c r="F151" i="1"/>
  <c r="J151" i="1" s="1"/>
  <c r="E152" i="1"/>
  <c r="I152" i="1" s="1"/>
  <c r="F155" i="1"/>
  <c r="J155" i="1" s="1"/>
  <c r="E156" i="1"/>
  <c r="I156" i="1" s="1"/>
  <c r="I160" i="1"/>
  <c r="L162" i="1"/>
  <c r="I164" i="1"/>
  <c r="L166" i="1"/>
  <c r="I168" i="1"/>
  <c r="L170" i="1"/>
  <c r="L174" i="1"/>
  <c r="L178" i="1"/>
  <c r="L180" i="1"/>
  <c r="J180" i="1"/>
  <c r="I181" i="1"/>
  <c r="H181" i="1"/>
  <c r="H138" i="1"/>
  <c r="I138" i="1"/>
  <c r="G139" i="1"/>
  <c r="E141" i="1"/>
  <c r="H141" i="1" s="1"/>
  <c r="H142" i="1"/>
  <c r="I142" i="1"/>
  <c r="G143" i="1"/>
  <c r="E145" i="1"/>
  <c r="H145" i="1" s="1"/>
  <c r="H146" i="1"/>
  <c r="I146" i="1"/>
  <c r="G147" i="1"/>
  <c r="F148" i="1"/>
  <c r="E149" i="1"/>
  <c r="H149" i="1" s="1"/>
  <c r="H150" i="1"/>
  <c r="I150" i="1"/>
  <c r="G151" i="1"/>
  <c r="F152" i="1"/>
  <c r="E153" i="1"/>
  <c r="I153" i="1" s="1"/>
  <c r="H154" i="1"/>
  <c r="I154" i="1"/>
  <c r="G155" i="1"/>
  <c r="F156" i="1"/>
  <c r="E157" i="1"/>
  <c r="H158" i="1"/>
  <c r="I158" i="1"/>
  <c r="H160" i="1"/>
  <c r="L161" i="1"/>
  <c r="H164" i="1"/>
  <c r="L165" i="1"/>
  <c r="H168" i="1"/>
  <c r="L169" i="1"/>
  <c r="H172" i="1"/>
  <c r="K172" i="1" s="1"/>
  <c r="L173" i="1"/>
  <c r="H176" i="1"/>
  <c r="L177" i="1"/>
  <c r="L181" i="1"/>
  <c r="J138" i="1"/>
  <c r="I139" i="1"/>
  <c r="L142" i="1"/>
  <c r="J142" i="1"/>
  <c r="H143" i="1"/>
  <c r="I143" i="1"/>
  <c r="L146" i="1"/>
  <c r="J146" i="1"/>
  <c r="I147" i="1"/>
  <c r="G148" i="1"/>
  <c r="L150" i="1"/>
  <c r="J150" i="1"/>
  <c r="H151" i="1"/>
  <c r="I151" i="1"/>
  <c r="G152" i="1"/>
  <c r="L154" i="1"/>
  <c r="J154" i="1"/>
  <c r="H155" i="1"/>
  <c r="I155" i="1"/>
  <c r="G156" i="1"/>
  <c r="L158" i="1"/>
  <c r="J158" i="1"/>
  <c r="H159" i="1"/>
  <c r="J159" i="1"/>
  <c r="L160" i="1"/>
  <c r="I162" i="1"/>
  <c r="H163" i="1"/>
  <c r="J163" i="1"/>
  <c r="L164" i="1"/>
  <c r="I166" i="1"/>
  <c r="H167" i="1"/>
  <c r="J167" i="1"/>
  <c r="L168" i="1"/>
  <c r="I170" i="1"/>
  <c r="K170" i="1" s="1"/>
  <c r="M170" i="1" s="1"/>
  <c r="H171" i="1"/>
  <c r="J171" i="1"/>
  <c r="L172" i="1"/>
  <c r="I174" i="1"/>
  <c r="H175" i="1"/>
  <c r="J175" i="1"/>
  <c r="L176" i="1"/>
  <c r="I178" i="1"/>
  <c r="H179" i="1"/>
  <c r="I180" i="1"/>
  <c r="J181" i="1"/>
  <c r="D184" i="1"/>
  <c r="L194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N170" i="1" s="1"/>
  <c r="G171" i="1"/>
  <c r="G172" i="1"/>
  <c r="G173" i="1"/>
  <c r="G174" i="1"/>
  <c r="G175" i="1"/>
  <c r="G176" i="1"/>
  <c r="G177" i="1"/>
  <c r="G178" i="1"/>
  <c r="G179" i="1"/>
  <c r="G180" i="1"/>
  <c r="G181" i="1"/>
  <c r="L183" i="1"/>
  <c r="E184" i="1"/>
  <c r="D185" i="1"/>
  <c r="I193" i="1"/>
  <c r="J199" i="1"/>
  <c r="D182" i="1"/>
  <c r="H183" i="1"/>
  <c r="G184" i="1"/>
  <c r="E185" i="1"/>
  <c r="D186" i="1"/>
  <c r="I187" i="1"/>
  <c r="I191" i="1"/>
  <c r="H194" i="1"/>
  <c r="J195" i="1"/>
  <c r="J197" i="1"/>
  <c r="K197" i="1" s="1"/>
  <c r="M197" i="1" s="1"/>
  <c r="N197" i="1" s="1"/>
  <c r="I199" i="1"/>
  <c r="I195" i="1"/>
  <c r="J201" i="1"/>
  <c r="J203" i="1"/>
  <c r="J205" i="1"/>
  <c r="K205" i="1" s="1"/>
  <c r="M205" i="1" s="1"/>
  <c r="N205" i="1" s="1"/>
  <c r="J207" i="1"/>
  <c r="J209" i="1"/>
  <c r="J211" i="1"/>
  <c r="J213" i="1"/>
  <c r="K213" i="1" s="1"/>
  <c r="M213" i="1" s="1"/>
  <c r="N213" i="1" s="1"/>
  <c r="J215" i="1"/>
  <c r="J217" i="1"/>
  <c r="J219" i="1"/>
  <c r="J221" i="1"/>
  <c r="K221" i="1" s="1"/>
  <c r="M221" i="1" s="1"/>
  <c r="N221" i="1" s="1"/>
  <c r="J223" i="1"/>
  <c r="J225" i="1"/>
  <c r="J227" i="1"/>
  <c r="F187" i="1"/>
  <c r="L187" i="1" s="1"/>
  <c r="F188" i="1"/>
  <c r="L188" i="1" s="1"/>
  <c r="F189" i="1"/>
  <c r="H189" i="1" s="1"/>
  <c r="F190" i="1"/>
  <c r="J190" i="1" s="1"/>
  <c r="F191" i="1"/>
  <c r="H191" i="1" s="1"/>
  <c r="F192" i="1"/>
  <c r="L192" i="1" s="1"/>
  <c r="H193" i="1"/>
  <c r="J194" i="1"/>
  <c r="H195" i="1"/>
  <c r="J196" i="1"/>
  <c r="H197" i="1"/>
  <c r="J198" i="1"/>
  <c r="K198" i="1" s="1"/>
  <c r="M198" i="1" s="1"/>
  <c r="N198" i="1" s="1"/>
  <c r="H199" i="1"/>
  <c r="J200" i="1"/>
  <c r="H201" i="1"/>
  <c r="J202" i="1"/>
  <c r="H203" i="1"/>
  <c r="J204" i="1"/>
  <c r="H205" i="1"/>
  <c r="J206" i="1"/>
  <c r="K206" i="1" s="1"/>
  <c r="M206" i="1" s="1"/>
  <c r="N206" i="1" s="1"/>
  <c r="H207" i="1"/>
  <c r="J208" i="1"/>
  <c r="H209" i="1"/>
  <c r="J210" i="1"/>
  <c r="H211" i="1"/>
  <c r="J212" i="1"/>
  <c r="H213" i="1"/>
  <c r="J214" i="1"/>
  <c r="K214" i="1" s="1"/>
  <c r="M214" i="1" s="1"/>
  <c r="N214" i="1" s="1"/>
  <c r="H215" i="1"/>
  <c r="J216" i="1"/>
  <c r="H217" i="1"/>
  <c r="J218" i="1"/>
  <c r="H219" i="1"/>
  <c r="J220" i="1"/>
  <c r="H221" i="1"/>
  <c r="J222" i="1"/>
  <c r="K222" i="1" s="1"/>
  <c r="M222" i="1" s="1"/>
  <c r="N222" i="1" s="1"/>
  <c r="H223" i="1"/>
  <c r="J224" i="1"/>
  <c r="H225" i="1"/>
  <c r="J226" i="1"/>
  <c r="H227" i="1"/>
  <c r="H228" i="1"/>
  <c r="L228" i="1"/>
  <c r="H229" i="1"/>
  <c r="L229" i="1"/>
  <c r="H230" i="1"/>
  <c r="L230" i="1"/>
  <c r="H231" i="1"/>
  <c r="L231" i="1"/>
  <c r="H232" i="1"/>
  <c r="L232" i="1"/>
  <c r="H233" i="1"/>
  <c r="L233" i="1"/>
  <c r="H234" i="1"/>
  <c r="L234" i="1"/>
  <c r="I232" i="2" l="1"/>
  <c r="K232" i="2" s="1"/>
  <c r="H232" i="2"/>
  <c r="I226" i="2"/>
  <c r="K226" i="2" s="1"/>
  <c r="H226" i="2"/>
  <c r="L226" i="2" s="1"/>
  <c r="M226" i="2" s="1"/>
  <c r="I222" i="2"/>
  <c r="H222" i="2"/>
  <c r="H217" i="2"/>
  <c r="L217" i="2" s="1"/>
  <c r="M217" i="2" s="1"/>
  <c r="M212" i="2"/>
  <c r="I225" i="2"/>
  <c r="K225" i="2" s="1"/>
  <c r="J208" i="2"/>
  <c r="J209" i="2"/>
  <c r="H209" i="2"/>
  <c r="L209" i="2" s="1"/>
  <c r="M209" i="2" s="1"/>
  <c r="M197" i="2"/>
  <c r="J206" i="2"/>
  <c r="K201" i="2"/>
  <c r="M184" i="2"/>
  <c r="J193" i="2"/>
  <c r="L196" i="2"/>
  <c r="M196" i="2" s="1"/>
  <c r="I179" i="2"/>
  <c r="H175" i="2"/>
  <c r="I175" i="2"/>
  <c r="K175" i="2" s="1"/>
  <c r="I165" i="2"/>
  <c r="K165" i="2" s="1"/>
  <c r="K163" i="2"/>
  <c r="H163" i="2"/>
  <c r="L163" i="2" s="1"/>
  <c r="M163" i="2" s="1"/>
  <c r="L142" i="2"/>
  <c r="M142" i="2" s="1"/>
  <c r="L129" i="2"/>
  <c r="M129" i="2" s="1"/>
  <c r="J150" i="2"/>
  <c r="I146" i="2"/>
  <c r="K146" i="2" s="1"/>
  <c r="H143" i="2"/>
  <c r="L143" i="2" s="1"/>
  <c r="M143" i="2" s="1"/>
  <c r="K126" i="2"/>
  <c r="I100" i="2"/>
  <c r="K100" i="2" s="1"/>
  <c r="H100" i="2"/>
  <c r="H134" i="2"/>
  <c r="L124" i="2"/>
  <c r="M124" i="2" s="1"/>
  <c r="I98" i="2"/>
  <c r="K98" i="2" s="1"/>
  <c r="K102" i="2"/>
  <c r="H151" i="2"/>
  <c r="L151" i="2" s="1"/>
  <c r="M151" i="2" s="1"/>
  <c r="J96" i="2"/>
  <c r="H94" i="2"/>
  <c r="I79" i="2"/>
  <c r="K79" i="2" s="1"/>
  <c r="H79" i="2"/>
  <c r="L79" i="2" s="1"/>
  <c r="I56" i="2"/>
  <c r="K56" i="2" s="1"/>
  <c r="H56" i="2"/>
  <c r="J88" i="2"/>
  <c r="H86" i="2"/>
  <c r="J83" i="2"/>
  <c r="H68" i="2"/>
  <c r="L68" i="2" s="1"/>
  <c r="M68" i="2" s="1"/>
  <c r="I68" i="2"/>
  <c r="K68" i="2" s="1"/>
  <c r="I55" i="2"/>
  <c r="K55" i="2" s="1"/>
  <c r="I46" i="2"/>
  <c r="K46" i="2" s="1"/>
  <c r="H75" i="2"/>
  <c r="H64" i="2"/>
  <c r="M28" i="2"/>
  <c r="M12" i="2"/>
  <c r="M4" i="2"/>
  <c r="I52" i="2"/>
  <c r="K52" i="2" s="1"/>
  <c r="I43" i="2"/>
  <c r="H43" i="2"/>
  <c r="H39" i="2"/>
  <c r="L39" i="2" s="1"/>
  <c r="J25" i="2"/>
  <c r="J37" i="2"/>
  <c r="J15" i="2"/>
  <c r="K15" i="2" s="1"/>
  <c r="L15" i="2" s="1"/>
  <c r="M15" i="2" s="1"/>
  <c r="I5" i="2"/>
  <c r="K5" i="2" s="1"/>
  <c r="H5" i="2"/>
  <c r="I29" i="2"/>
  <c r="K29" i="2" s="1"/>
  <c r="H29" i="2"/>
  <c r="L29" i="2" s="1"/>
  <c r="M29" i="2" s="1"/>
  <c r="J23" i="2"/>
  <c r="K23" i="2" s="1"/>
  <c r="L23" i="2" s="1"/>
  <c r="M23" i="2" s="1"/>
  <c r="L8" i="2"/>
  <c r="H33" i="2"/>
  <c r="L33" i="2" s="1"/>
  <c r="M33" i="2" s="1"/>
  <c r="J7" i="2"/>
  <c r="I230" i="2"/>
  <c r="K230" i="2" s="1"/>
  <c r="H230" i="2"/>
  <c r="L230" i="2" s="1"/>
  <c r="H224" i="2"/>
  <c r="L224" i="2" s="1"/>
  <c r="M224" i="2" s="1"/>
  <c r="I224" i="2"/>
  <c r="K224" i="2" s="1"/>
  <c r="L227" i="2"/>
  <c r="M227" i="2" s="1"/>
  <c r="J216" i="2"/>
  <c r="J229" i="2"/>
  <c r="L225" i="2"/>
  <c r="I210" i="2"/>
  <c r="K210" i="2" s="1"/>
  <c r="H210" i="2"/>
  <c r="H208" i="2"/>
  <c r="I208" i="2"/>
  <c r="K208" i="2" s="1"/>
  <c r="L213" i="2"/>
  <c r="I206" i="2"/>
  <c r="K206" i="2" s="1"/>
  <c r="J210" i="2"/>
  <c r="L205" i="2"/>
  <c r="I194" i="2"/>
  <c r="H194" i="2"/>
  <c r="I190" i="2"/>
  <c r="I180" i="2"/>
  <c r="K180" i="2" s="1"/>
  <c r="H180" i="2"/>
  <c r="L180" i="2" s="1"/>
  <c r="M180" i="2" s="1"/>
  <c r="H176" i="2"/>
  <c r="I176" i="2"/>
  <c r="K176" i="2" s="1"/>
  <c r="H191" i="2"/>
  <c r="I153" i="2"/>
  <c r="K153" i="2" s="1"/>
  <c r="H153" i="2"/>
  <c r="L153" i="2" s="1"/>
  <c r="M153" i="2" s="1"/>
  <c r="I145" i="2"/>
  <c r="K145" i="2" s="1"/>
  <c r="H145" i="2"/>
  <c r="L141" i="2"/>
  <c r="M141" i="2" s="1"/>
  <c r="I150" i="2"/>
  <c r="K150" i="2" s="1"/>
  <c r="H150" i="2"/>
  <c r="K119" i="2"/>
  <c r="L105" i="2"/>
  <c r="M105" i="2" s="1"/>
  <c r="J157" i="2"/>
  <c r="K157" i="2" s="1"/>
  <c r="J155" i="2"/>
  <c r="K155" i="2" s="1"/>
  <c r="L155" i="2" s="1"/>
  <c r="M155" i="2" s="1"/>
  <c r="L106" i="2"/>
  <c r="M106" i="2" s="1"/>
  <c r="I84" i="2"/>
  <c r="K84" i="2" s="1"/>
  <c r="H84" i="2"/>
  <c r="L84" i="2" s="1"/>
  <c r="M84" i="2" s="1"/>
  <c r="K134" i="2"/>
  <c r="H98" i="2"/>
  <c r="L98" i="2" s="1"/>
  <c r="I91" i="2"/>
  <c r="K91" i="2" s="1"/>
  <c r="K107" i="2"/>
  <c r="L107" i="2" s="1"/>
  <c r="M107" i="2" s="1"/>
  <c r="H96" i="2"/>
  <c r="M71" i="2"/>
  <c r="H127" i="2"/>
  <c r="H109" i="2"/>
  <c r="I109" i="2"/>
  <c r="K109" i="2" s="1"/>
  <c r="M79" i="2"/>
  <c r="H78" i="2"/>
  <c r="I78" i="2"/>
  <c r="K78" i="2" s="1"/>
  <c r="H70" i="2"/>
  <c r="L70" i="2" s="1"/>
  <c r="M70" i="2" s="1"/>
  <c r="I70" i="2"/>
  <c r="K70" i="2" s="1"/>
  <c r="L55" i="2"/>
  <c r="M55" i="2" s="1"/>
  <c r="J87" i="2"/>
  <c r="H88" i="2"/>
  <c r="L88" i="2" s="1"/>
  <c r="I86" i="2"/>
  <c r="K86" i="2" s="1"/>
  <c r="I54" i="2"/>
  <c r="K54" i="2" s="1"/>
  <c r="H46" i="2"/>
  <c r="L46" i="2" s="1"/>
  <c r="M46" i="2" s="1"/>
  <c r="L73" i="2"/>
  <c r="M73" i="2" s="1"/>
  <c r="J64" i="2"/>
  <c r="K64" i="2" s="1"/>
  <c r="I60" i="2"/>
  <c r="K60" i="2" s="1"/>
  <c r="H60" i="2"/>
  <c r="L45" i="2"/>
  <c r="M45" i="2" s="1"/>
  <c r="H58" i="2"/>
  <c r="L58" i="2" s="1"/>
  <c r="M58" i="2" s="1"/>
  <c r="L41" i="2"/>
  <c r="M41" i="2" s="1"/>
  <c r="I21" i="2"/>
  <c r="K21" i="2" s="1"/>
  <c r="H21" i="2"/>
  <c r="L21" i="2" s="1"/>
  <c r="M21" i="2" s="1"/>
  <c r="H19" i="2"/>
  <c r="L19" i="2" s="1"/>
  <c r="I13" i="2"/>
  <c r="H13" i="2"/>
  <c r="I51" i="2"/>
  <c r="K51" i="2" s="1"/>
  <c r="H51" i="2"/>
  <c r="I17" i="2"/>
  <c r="H17" i="2"/>
  <c r="H27" i="2"/>
  <c r="K229" i="2"/>
  <c r="L229" i="2" s="1"/>
  <c r="M229" i="2" s="1"/>
  <c r="H220" i="2"/>
  <c r="I220" i="2"/>
  <c r="K220" i="2" s="1"/>
  <c r="I202" i="2"/>
  <c r="K202" i="2" s="1"/>
  <c r="H202" i="2"/>
  <c r="L206" i="2"/>
  <c r="H204" i="2"/>
  <c r="I204" i="2"/>
  <c r="H193" i="2"/>
  <c r="L193" i="2" s="1"/>
  <c r="M193" i="2" s="1"/>
  <c r="I193" i="2"/>
  <c r="K193" i="2" s="1"/>
  <c r="H187" i="2"/>
  <c r="L187" i="2" s="1"/>
  <c r="M187" i="2" s="1"/>
  <c r="K191" i="2"/>
  <c r="H189" i="2"/>
  <c r="L189" i="2" s="1"/>
  <c r="M189" i="2" s="1"/>
  <c r="I189" i="2"/>
  <c r="K189" i="2" s="1"/>
  <c r="I172" i="2"/>
  <c r="K172" i="2" s="1"/>
  <c r="H172" i="2"/>
  <c r="J190" i="2"/>
  <c r="I181" i="2"/>
  <c r="K181" i="2" s="1"/>
  <c r="H181" i="2"/>
  <c r="L165" i="2"/>
  <c r="M165" i="2" s="1"/>
  <c r="H173" i="2"/>
  <c r="H171" i="2"/>
  <c r="L171" i="2" s="1"/>
  <c r="M171" i="2" s="1"/>
  <c r="I171" i="2"/>
  <c r="K171" i="2" s="1"/>
  <c r="L140" i="2"/>
  <c r="M140" i="2" s="1"/>
  <c r="I156" i="2"/>
  <c r="K156" i="2" s="1"/>
  <c r="H156" i="2"/>
  <c r="L156" i="2" s="1"/>
  <c r="M156" i="2" s="1"/>
  <c r="I154" i="2"/>
  <c r="K154" i="2" s="1"/>
  <c r="I92" i="2"/>
  <c r="K92" i="2" s="1"/>
  <c r="H92" i="2"/>
  <c r="K96" i="2"/>
  <c r="I90" i="2"/>
  <c r="K90" i="2" s="1"/>
  <c r="H119" i="2"/>
  <c r="L119" i="2" s="1"/>
  <c r="M119" i="2" s="1"/>
  <c r="H111" i="2"/>
  <c r="I111" i="2"/>
  <c r="K111" i="2" s="1"/>
  <c r="I95" i="2"/>
  <c r="K95" i="2" s="1"/>
  <c r="H95" i="2"/>
  <c r="H117" i="2"/>
  <c r="L117" i="2" s="1"/>
  <c r="M117" i="2" s="1"/>
  <c r="I117" i="2"/>
  <c r="K117" i="2" s="1"/>
  <c r="H102" i="2"/>
  <c r="L102" i="2" s="1"/>
  <c r="H72" i="2"/>
  <c r="L72" i="2" s="1"/>
  <c r="M72" i="2" s="1"/>
  <c r="I72" i="2"/>
  <c r="K72" i="2" s="1"/>
  <c r="M19" i="2"/>
  <c r="I87" i="2"/>
  <c r="K87" i="2" s="1"/>
  <c r="H87" i="2"/>
  <c r="J82" i="2"/>
  <c r="J66" i="2"/>
  <c r="H54" i="2"/>
  <c r="L54" i="2" s="1"/>
  <c r="M54" i="2" s="1"/>
  <c r="I59" i="2"/>
  <c r="K59" i="2" s="1"/>
  <c r="H59" i="2"/>
  <c r="L59" i="2" s="1"/>
  <c r="M40" i="2"/>
  <c r="M32" i="2"/>
  <c r="M24" i="2"/>
  <c r="M16" i="2"/>
  <c r="M8" i="2"/>
  <c r="H50" i="2"/>
  <c r="I50" i="2"/>
  <c r="K50" i="2" s="1"/>
  <c r="H25" i="2"/>
  <c r="J3" i="2"/>
  <c r="K3" i="2" s="1"/>
  <c r="L3" i="2" s="1"/>
  <c r="M3" i="2" s="1"/>
  <c r="K27" i="2"/>
  <c r="J13" i="2"/>
  <c r="J75" i="2"/>
  <c r="K75" i="2" s="1"/>
  <c r="H44" i="2"/>
  <c r="L44" i="2" s="1"/>
  <c r="M44" i="2" s="1"/>
  <c r="J33" i="2"/>
  <c r="J17" i="2"/>
  <c r="H11" i="2"/>
  <c r="L11" i="2" s="1"/>
  <c r="M11" i="2" s="1"/>
  <c r="M230" i="2"/>
  <c r="M205" i="2"/>
  <c r="H234" i="2"/>
  <c r="L234" i="2" s="1"/>
  <c r="M234" i="2" s="1"/>
  <c r="M225" i="2"/>
  <c r="L228" i="2"/>
  <c r="M228" i="2" s="1"/>
  <c r="I234" i="2"/>
  <c r="K234" i="2" s="1"/>
  <c r="K218" i="2"/>
  <c r="H218" i="2"/>
  <c r="M213" i="2"/>
  <c r="H233" i="2"/>
  <c r="L233" i="2" s="1"/>
  <c r="M233" i="2" s="1"/>
  <c r="J222" i="2"/>
  <c r="I216" i="2"/>
  <c r="K216" i="2" s="1"/>
  <c r="L216" i="2" s="1"/>
  <c r="M216" i="2" s="1"/>
  <c r="H221" i="2"/>
  <c r="L221" i="2" s="1"/>
  <c r="M221" i="2" s="1"/>
  <c r="I221" i="2"/>
  <c r="K221" i="2" s="1"/>
  <c r="J204" i="2"/>
  <c r="M198" i="2"/>
  <c r="M206" i="2"/>
  <c r="H201" i="2"/>
  <c r="L201" i="2" s="1"/>
  <c r="M201" i="2" s="1"/>
  <c r="M185" i="2"/>
  <c r="I195" i="2"/>
  <c r="K195" i="2" s="1"/>
  <c r="L195" i="2" s="1"/>
  <c r="M195" i="2" s="1"/>
  <c r="J194" i="2"/>
  <c r="J187" i="2"/>
  <c r="I186" i="2"/>
  <c r="K186" i="2" s="1"/>
  <c r="H186" i="2"/>
  <c r="J179" i="2"/>
  <c r="L167" i="2"/>
  <c r="M167" i="2" s="1"/>
  <c r="I164" i="2"/>
  <c r="K164" i="2" s="1"/>
  <c r="H164" i="2"/>
  <c r="L164" i="2" s="1"/>
  <c r="M164" i="2" s="1"/>
  <c r="J173" i="2"/>
  <c r="K173" i="2" s="1"/>
  <c r="J165" i="2"/>
  <c r="I149" i="2"/>
  <c r="K149" i="2" s="1"/>
  <c r="H149" i="2"/>
  <c r="L149" i="2" s="1"/>
  <c r="M149" i="2" s="1"/>
  <c r="K133" i="2"/>
  <c r="L133" i="2" s="1"/>
  <c r="M133" i="2" s="1"/>
  <c r="K147" i="2"/>
  <c r="L147" i="2" s="1"/>
  <c r="M147" i="2" s="1"/>
  <c r="L154" i="2"/>
  <c r="M154" i="2" s="1"/>
  <c r="L146" i="2"/>
  <c r="M146" i="2" s="1"/>
  <c r="H157" i="2"/>
  <c r="J154" i="2"/>
  <c r="J147" i="2"/>
  <c r="H135" i="2"/>
  <c r="L135" i="2" s="1"/>
  <c r="M135" i="2" s="1"/>
  <c r="H126" i="2"/>
  <c r="L126" i="2" s="1"/>
  <c r="M126" i="2" s="1"/>
  <c r="L122" i="2"/>
  <c r="M122" i="2" s="1"/>
  <c r="M102" i="2"/>
  <c r="L91" i="2"/>
  <c r="M91" i="2" s="1"/>
  <c r="I127" i="2"/>
  <c r="K127" i="2" s="1"/>
  <c r="I118" i="2"/>
  <c r="K118" i="2" s="1"/>
  <c r="L118" i="2" s="1"/>
  <c r="M118" i="2" s="1"/>
  <c r="I110" i="2"/>
  <c r="K110" i="2" s="1"/>
  <c r="L110" i="2" s="1"/>
  <c r="M110" i="2" s="1"/>
  <c r="I99" i="2"/>
  <c r="K99" i="2" s="1"/>
  <c r="L99" i="2" s="1"/>
  <c r="M99" i="2" s="1"/>
  <c r="H90" i="2"/>
  <c r="L90" i="2" s="1"/>
  <c r="M90" i="2" s="1"/>
  <c r="H103" i="2"/>
  <c r="I103" i="2"/>
  <c r="K103" i="2" s="1"/>
  <c r="M98" i="2"/>
  <c r="J94" i="2"/>
  <c r="K94" i="2" s="1"/>
  <c r="L89" i="2"/>
  <c r="M89" i="2" s="1"/>
  <c r="M63" i="2"/>
  <c r="M59" i="2"/>
  <c r="I48" i="2"/>
  <c r="K48" i="2" s="1"/>
  <c r="H48" i="2"/>
  <c r="L48" i="2" s="1"/>
  <c r="M48" i="2" s="1"/>
  <c r="I76" i="2"/>
  <c r="K76" i="2" s="1"/>
  <c r="H76" i="2"/>
  <c r="H74" i="2"/>
  <c r="M88" i="2"/>
  <c r="I83" i="2"/>
  <c r="K83" i="2" s="1"/>
  <c r="H83" i="2"/>
  <c r="H82" i="2"/>
  <c r="L82" i="2" s="1"/>
  <c r="M82" i="2" s="1"/>
  <c r="I82" i="2"/>
  <c r="K82" i="2" s="1"/>
  <c r="H66" i="2"/>
  <c r="L66" i="2" s="1"/>
  <c r="M66" i="2" s="1"/>
  <c r="I47" i="2"/>
  <c r="K47" i="2" s="1"/>
  <c r="L47" i="2" s="1"/>
  <c r="M47" i="2" s="1"/>
  <c r="M39" i="2"/>
  <c r="H62" i="2"/>
  <c r="L62" i="2" s="1"/>
  <c r="M62" i="2" s="1"/>
  <c r="I62" i="2"/>
  <c r="K62" i="2" s="1"/>
  <c r="I80" i="2"/>
  <c r="K80" i="2" s="1"/>
  <c r="L80" i="2" s="1"/>
  <c r="M80" i="2" s="1"/>
  <c r="L52" i="2"/>
  <c r="M52" i="2" s="1"/>
  <c r="J43" i="2"/>
  <c r="J35" i="2"/>
  <c r="K35" i="2" s="1"/>
  <c r="L35" i="2" s="1"/>
  <c r="M35" i="2" s="1"/>
  <c r="K25" i="2"/>
  <c r="I37" i="2"/>
  <c r="K37" i="2" s="1"/>
  <c r="H37" i="2"/>
  <c r="H31" i="2"/>
  <c r="L31" i="2" s="1"/>
  <c r="M31" i="2" s="1"/>
  <c r="K7" i="2"/>
  <c r="L7" i="2" s="1"/>
  <c r="M7" i="2" s="1"/>
  <c r="J74" i="2"/>
  <c r="K74" i="2" s="1"/>
  <c r="K224" i="1"/>
  <c r="K233" i="1"/>
  <c r="M233" i="1" s="1"/>
  <c r="N233" i="1" s="1"/>
  <c r="K229" i="1"/>
  <c r="M229" i="1" s="1"/>
  <c r="N229" i="1" s="1"/>
  <c r="K211" i="1"/>
  <c r="K183" i="1"/>
  <c r="M183" i="1" s="1"/>
  <c r="N183" i="1" s="1"/>
  <c r="K113" i="1"/>
  <c r="M113" i="1" s="1"/>
  <c r="N113" i="1" s="1"/>
  <c r="M107" i="1"/>
  <c r="N107" i="1" s="1"/>
  <c r="K94" i="1"/>
  <c r="I216" i="1"/>
  <c r="K216" i="1" s="1"/>
  <c r="M216" i="1" s="1"/>
  <c r="N216" i="1" s="1"/>
  <c r="H216" i="1"/>
  <c r="J234" i="1"/>
  <c r="J230" i="1"/>
  <c r="L212" i="1"/>
  <c r="I204" i="1"/>
  <c r="H204" i="1"/>
  <c r="L224" i="1"/>
  <c r="L216" i="1"/>
  <c r="I194" i="1"/>
  <c r="I183" i="1"/>
  <c r="I167" i="1"/>
  <c r="J131" i="1"/>
  <c r="H166" i="1"/>
  <c r="K120" i="1"/>
  <c r="M120" i="1" s="1"/>
  <c r="N120" i="1" s="1"/>
  <c r="H105" i="1"/>
  <c r="I105" i="1"/>
  <c r="J101" i="1"/>
  <c r="I101" i="1"/>
  <c r="L108" i="1"/>
  <c r="M108" i="1" s="1"/>
  <c r="N108" i="1" s="1"/>
  <c r="L29" i="1"/>
  <c r="L12" i="1"/>
  <c r="L83" i="1"/>
  <c r="H116" i="1"/>
  <c r="L30" i="1"/>
  <c r="I35" i="1"/>
  <c r="L90" i="1"/>
  <c r="H90" i="1"/>
  <c r="J31" i="1"/>
  <c r="L94" i="1"/>
  <c r="K230" i="1"/>
  <c r="M230" i="1" s="1"/>
  <c r="N230" i="1" s="1"/>
  <c r="K220" i="1"/>
  <c r="M220" i="1" s="1"/>
  <c r="N220" i="1" s="1"/>
  <c r="K194" i="1"/>
  <c r="M194" i="1" s="1"/>
  <c r="N194" i="1" s="1"/>
  <c r="K227" i="1"/>
  <c r="K203" i="1"/>
  <c r="K180" i="1"/>
  <c r="M180" i="1" s="1"/>
  <c r="N180" i="1" s="1"/>
  <c r="K171" i="1"/>
  <c r="M171" i="1" s="1"/>
  <c r="K167" i="1"/>
  <c r="M167" i="1" s="1"/>
  <c r="K163" i="1"/>
  <c r="M163" i="1" s="1"/>
  <c r="K159" i="1"/>
  <c r="M159" i="1" s="1"/>
  <c r="H147" i="1"/>
  <c r="H139" i="1"/>
  <c r="K176" i="1"/>
  <c r="M176" i="1" s="1"/>
  <c r="K119" i="1"/>
  <c r="M119" i="1" s="1"/>
  <c r="N119" i="1" s="1"/>
  <c r="M137" i="1"/>
  <c r="N137" i="1" s="1"/>
  <c r="M122" i="1"/>
  <c r="N122" i="1" s="1"/>
  <c r="M78" i="1"/>
  <c r="N78" i="1" s="1"/>
  <c r="K10" i="1"/>
  <c r="M10" i="1" s="1"/>
  <c r="N10" i="1" s="1"/>
  <c r="J233" i="1"/>
  <c r="J229" i="1"/>
  <c r="L211" i="1"/>
  <c r="I234" i="1"/>
  <c r="K234" i="1" s="1"/>
  <c r="M234" i="1" s="1"/>
  <c r="N234" i="1" s="1"/>
  <c r="I230" i="1"/>
  <c r="L226" i="1"/>
  <c r="I212" i="1"/>
  <c r="H212" i="1"/>
  <c r="I203" i="1"/>
  <c r="L223" i="1"/>
  <c r="L215" i="1"/>
  <c r="L207" i="1"/>
  <c r="L175" i="1"/>
  <c r="J132" i="1"/>
  <c r="H132" i="1"/>
  <c r="K132" i="1" s="1"/>
  <c r="M132" i="1" s="1"/>
  <c r="N132" i="1" s="1"/>
  <c r="H121" i="1"/>
  <c r="K121" i="1" s="1"/>
  <c r="M121" i="1" s="1"/>
  <c r="N121" i="1" s="1"/>
  <c r="I121" i="1"/>
  <c r="J174" i="1"/>
  <c r="J164" i="1"/>
  <c r="J173" i="1"/>
  <c r="L195" i="1"/>
  <c r="I188" i="1"/>
  <c r="J160" i="1"/>
  <c r="K131" i="1"/>
  <c r="M131" i="1" s="1"/>
  <c r="N131" i="1" s="1"/>
  <c r="J110" i="1"/>
  <c r="L110" i="1"/>
  <c r="I96" i="1"/>
  <c r="K96" i="1" s="1"/>
  <c r="M96" i="1" s="1"/>
  <c r="N96" i="1" s="1"/>
  <c r="I110" i="1"/>
  <c r="K110" i="1" s="1"/>
  <c r="M110" i="1" s="1"/>
  <c r="N110" i="1" s="1"/>
  <c r="H110" i="1"/>
  <c r="J118" i="1"/>
  <c r="K118" i="1" s="1"/>
  <c r="M118" i="1" s="1"/>
  <c r="N118" i="1" s="1"/>
  <c r="L112" i="1"/>
  <c r="L99" i="1"/>
  <c r="H97" i="1"/>
  <c r="I97" i="1"/>
  <c r="L81" i="1"/>
  <c r="M81" i="1" s="1"/>
  <c r="N81" i="1" s="1"/>
  <c r="L75" i="1"/>
  <c r="I86" i="1"/>
  <c r="I109" i="1"/>
  <c r="K212" i="1"/>
  <c r="M212" i="1" s="1"/>
  <c r="N212" i="1" s="1"/>
  <c r="K204" i="1"/>
  <c r="M204" i="1" s="1"/>
  <c r="N204" i="1" s="1"/>
  <c r="K223" i="1"/>
  <c r="M223" i="1" s="1"/>
  <c r="N223" i="1" s="1"/>
  <c r="K215" i="1"/>
  <c r="K207" i="1"/>
  <c r="M165" i="1"/>
  <c r="K158" i="1"/>
  <c r="M158" i="1" s="1"/>
  <c r="N158" i="1" s="1"/>
  <c r="K95" i="1"/>
  <c r="M95" i="1" s="1"/>
  <c r="N95" i="1" s="1"/>
  <c r="K35" i="1"/>
  <c r="M35" i="1" s="1"/>
  <c r="N35" i="1" s="1"/>
  <c r="H23" i="1"/>
  <c r="I200" i="1"/>
  <c r="K200" i="1" s="1"/>
  <c r="M200" i="1" s="1"/>
  <c r="N200" i="1" s="1"/>
  <c r="H200" i="1"/>
  <c r="J232" i="1"/>
  <c r="J228" i="1"/>
  <c r="I220" i="1"/>
  <c r="H220" i="1"/>
  <c r="I226" i="1"/>
  <c r="K226" i="1" s="1"/>
  <c r="M226" i="1" s="1"/>
  <c r="N226" i="1" s="1"/>
  <c r="I218" i="1"/>
  <c r="K218" i="1" s="1"/>
  <c r="M218" i="1" s="1"/>
  <c r="N218" i="1" s="1"/>
  <c r="I210" i="1"/>
  <c r="K210" i="1" s="1"/>
  <c r="M210" i="1" s="1"/>
  <c r="N210" i="1" s="1"/>
  <c r="I202" i="1"/>
  <c r="K202" i="1" s="1"/>
  <c r="M202" i="1" s="1"/>
  <c r="N202" i="1" s="1"/>
  <c r="H169" i="1"/>
  <c r="I169" i="1"/>
  <c r="I196" i="1"/>
  <c r="H196" i="1"/>
  <c r="K196" i="1" s="1"/>
  <c r="M196" i="1" s="1"/>
  <c r="N196" i="1" s="1"/>
  <c r="H173" i="1"/>
  <c r="I173" i="1"/>
  <c r="J135" i="1"/>
  <c r="K135" i="1" s="1"/>
  <c r="M135" i="1" s="1"/>
  <c r="N135" i="1" s="1"/>
  <c r="K134" i="1"/>
  <c r="M134" i="1" s="1"/>
  <c r="N134" i="1" s="1"/>
  <c r="I106" i="1"/>
  <c r="K106" i="1" s="1"/>
  <c r="M106" i="1" s="1"/>
  <c r="N106" i="1" s="1"/>
  <c r="H106" i="1"/>
  <c r="L95" i="1"/>
  <c r="J95" i="1"/>
  <c r="J114" i="1"/>
  <c r="K114" i="1" s="1"/>
  <c r="M114" i="1" s="1"/>
  <c r="N114" i="1" s="1"/>
  <c r="J86" i="1"/>
  <c r="L86" i="1"/>
  <c r="H9" i="1"/>
  <c r="K9" i="1" s="1"/>
  <c r="M9" i="1" s="1"/>
  <c r="N9" i="1" s="1"/>
  <c r="H28" i="1"/>
  <c r="K28" i="1" s="1"/>
  <c r="M28" i="1" s="1"/>
  <c r="N28" i="1" s="1"/>
  <c r="L106" i="1"/>
  <c r="H92" i="1"/>
  <c r="H89" i="1"/>
  <c r="K89" i="1" s="1"/>
  <c r="M89" i="1" s="1"/>
  <c r="N89" i="1" s="1"/>
  <c r="I77" i="1"/>
  <c r="K77" i="1" s="1"/>
  <c r="M77" i="1" s="1"/>
  <c r="N77" i="1" s="1"/>
  <c r="H77" i="1"/>
  <c r="L27" i="1"/>
  <c r="H75" i="1"/>
  <c r="K75" i="1" s="1"/>
  <c r="M75" i="1" s="1"/>
  <c r="N75" i="1" s="1"/>
  <c r="K232" i="1"/>
  <c r="M232" i="1" s="1"/>
  <c r="N232" i="1" s="1"/>
  <c r="K178" i="1"/>
  <c r="M178" i="1" s="1"/>
  <c r="N178" i="1" s="1"/>
  <c r="K166" i="1"/>
  <c r="M166" i="1" s="1"/>
  <c r="N166" i="1" s="1"/>
  <c r="K162" i="1"/>
  <c r="M162" i="1" s="1"/>
  <c r="N162" i="1" s="1"/>
  <c r="M172" i="1"/>
  <c r="K154" i="1"/>
  <c r="K179" i="1"/>
  <c r="M179" i="1" s="1"/>
  <c r="M124" i="1"/>
  <c r="N124" i="1" s="1"/>
  <c r="K112" i="1"/>
  <c r="M112" i="1" s="1"/>
  <c r="N112" i="1" s="1"/>
  <c r="K99" i="1"/>
  <c r="K91" i="1"/>
  <c r="M91" i="1" s="1"/>
  <c r="N91" i="1" s="1"/>
  <c r="K76" i="1"/>
  <c r="M76" i="1" s="1"/>
  <c r="N76" i="1" s="1"/>
  <c r="H54" i="1"/>
  <c r="H46" i="1"/>
  <c r="I208" i="1"/>
  <c r="K208" i="1" s="1"/>
  <c r="M208" i="1" s="1"/>
  <c r="N208" i="1" s="1"/>
  <c r="H208" i="1"/>
  <c r="J231" i="1"/>
  <c r="K231" i="1" s="1"/>
  <c r="M231" i="1" s="1"/>
  <c r="N231" i="1" s="1"/>
  <c r="L227" i="1"/>
  <c r="L219" i="1"/>
  <c r="L203" i="1"/>
  <c r="I232" i="1"/>
  <c r="I228" i="1"/>
  <c r="K228" i="1" s="1"/>
  <c r="M228" i="1" s="1"/>
  <c r="N228" i="1" s="1"/>
  <c r="I219" i="1"/>
  <c r="K219" i="1" s="1"/>
  <c r="M219" i="1" s="1"/>
  <c r="N219" i="1" s="1"/>
  <c r="I225" i="1"/>
  <c r="K225" i="1" s="1"/>
  <c r="M225" i="1" s="1"/>
  <c r="N225" i="1" s="1"/>
  <c r="I217" i="1"/>
  <c r="K217" i="1" s="1"/>
  <c r="M217" i="1" s="1"/>
  <c r="N217" i="1" s="1"/>
  <c r="I209" i="1"/>
  <c r="K209" i="1" s="1"/>
  <c r="M209" i="1" s="1"/>
  <c r="N209" i="1" s="1"/>
  <c r="I201" i="1"/>
  <c r="K201" i="1" s="1"/>
  <c r="M201" i="1" s="1"/>
  <c r="N201" i="1" s="1"/>
  <c r="I175" i="1"/>
  <c r="K175" i="1" s="1"/>
  <c r="M175" i="1" s="1"/>
  <c r="N175" i="1" s="1"/>
  <c r="I133" i="1"/>
  <c r="H133" i="1"/>
  <c r="L193" i="1"/>
  <c r="H174" i="1"/>
  <c r="K174" i="1" s="1"/>
  <c r="M174" i="1" s="1"/>
  <c r="N174" i="1" s="1"/>
  <c r="L196" i="1"/>
  <c r="J166" i="1"/>
  <c r="I136" i="1"/>
  <c r="K136" i="1" s="1"/>
  <c r="M136" i="1" s="1"/>
  <c r="N136" i="1" s="1"/>
  <c r="K130" i="1"/>
  <c r="M130" i="1" s="1"/>
  <c r="N130" i="1" s="1"/>
  <c r="J98" i="1"/>
  <c r="K98" i="1" s="1"/>
  <c r="M98" i="1" s="1"/>
  <c r="N98" i="1" s="1"/>
  <c r="L98" i="1"/>
  <c r="I83" i="1"/>
  <c r="K83" i="1" s="1"/>
  <c r="M83" i="1" s="1"/>
  <c r="N83" i="1" s="1"/>
  <c r="H83" i="1"/>
  <c r="L84" i="1"/>
  <c r="L117" i="1"/>
  <c r="H109" i="1"/>
  <c r="I116" i="1"/>
  <c r="K116" i="1" s="1"/>
  <c r="M116" i="1" s="1"/>
  <c r="N116" i="1" s="1"/>
  <c r="H98" i="1"/>
  <c r="L26" i="1"/>
  <c r="L16" i="1"/>
  <c r="H101" i="1"/>
  <c r="I82" i="1"/>
  <c r="K82" i="1" s="1"/>
  <c r="M82" i="1" s="1"/>
  <c r="N82" i="1" s="1"/>
  <c r="H10" i="1"/>
  <c r="L111" i="1"/>
  <c r="M111" i="1" s="1"/>
  <c r="N111" i="1" s="1"/>
  <c r="K199" i="1"/>
  <c r="M199" i="1" s="1"/>
  <c r="N199" i="1" s="1"/>
  <c r="H190" i="1"/>
  <c r="K190" i="1" s="1"/>
  <c r="I186" i="1"/>
  <c r="K186" i="1" s="1"/>
  <c r="H186" i="1"/>
  <c r="N179" i="1"/>
  <c r="N171" i="1"/>
  <c r="N167" i="1"/>
  <c r="N163" i="1"/>
  <c r="N159" i="1"/>
  <c r="J191" i="1"/>
  <c r="H188" i="1"/>
  <c r="H184" i="1"/>
  <c r="I184" i="1"/>
  <c r="H192" i="1"/>
  <c r="K151" i="1"/>
  <c r="L157" i="1"/>
  <c r="J157" i="1"/>
  <c r="K150" i="1"/>
  <c r="M150" i="1" s="1"/>
  <c r="N150" i="1" s="1"/>
  <c r="L189" i="1"/>
  <c r="I157" i="1"/>
  <c r="I149" i="1"/>
  <c r="I145" i="1"/>
  <c r="M161" i="1"/>
  <c r="L155" i="1"/>
  <c r="L151" i="1"/>
  <c r="L147" i="1"/>
  <c r="K129" i="1"/>
  <c r="M129" i="1" s="1"/>
  <c r="N129" i="1" s="1"/>
  <c r="K125" i="1"/>
  <c r="M125" i="1" s="1"/>
  <c r="N125" i="1" s="1"/>
  <c r="M128" i="1"/>
  <c r="N128" i="1" s="1"/>
  <c r="K117" i="1"/>
  <c r="M117" i="1" s="1"/>
  <c r="N117" i="1" s="1"/>
  <c r="K84" i="1"/>
  <c r="M84" i="1" s="1"/>
  <c r="N84" i="1" s="1"/>
  <c r="K90" i="1"/>
  <c r="M90" i="1" s="1"/>
  <c r="N90" i="1" s="1"/>
  <c r="I69" i="1"/>
  <c r="H69" i="1"/>
  <c r="I65" i="1"/>
  <c r="H65" i="1"/>
  <c r="I61" i="1"/>
  <c r="H61" i="1"/>
  <c r="I70" i="1"/>
  <c r="H70" i="1"/>
  <c r="I66" i="1"/>
  <c r="H66" i="1"/>
  <c r="I62" i="1"/>
  <c r="H62" i="1"/>
  <c r="I58" i="1"/>
  <c r="H58" i="1"/>
  <c r="J56" i="1"/>
  <c r="L56" i="1"/>
  <c r="J48" i="1"/>
  <c r="L48" i="1"/>
  <c r="J40" i="1"/>
  <c r="K40" i="1" s="1"/>
  <c r="L40" i="1"/>
  <c r="J37" i="1"/>
  <c r="L37" i="1"/>
  <c r="J33" i="1"/>
  <c r="L33" i="1"/>
  <c r="J6" i="1"/>
  <c r="L6" i="1"/>
  <c r="I71" i="1"/>
  <c r="H71" i="1"/>
  <c r="I67" i="1"/>
  <c r="H67" i="1"/>
  <c r="I63" i="1"/>
  <c r="H63" i="1"/>
  <c r="I59" i="1"/>
  <c r="H59" i="1"/>
  <c r="I55" i="1"/>
  <c r="H55" i="1"/>
  <c r="I47" i="1"/>
  <c r="H47" i="1"/>
  <c r="I39" i="1"/>
  <c r="H39" i="1"/>
  <c r="J22" i="1"/>
  <c r="L22" i="1"/>
  <c r="J7" i="1"/>
  <c r="L7" i="1"/>
  <c r="K29" i="1"/>
  <c r="M29" i="1" s="1"/>
  <c r="N29" i="1" s="1"/>
  <c r="H22" i="1"/>
  <c r="J57" i="1"/>
  <c r="L57" i="1"/>
  <c r="J49" i="1"/>
  <c r="L49" i="1"/>
  <c r="J41" i="1"/>
  <c r="L41" i="1"/>
  <c r="H8" i="1"/>
  <c r="K8" i="1"/>
  <c r="H56" i="1"/>
  <c r="H48" i="1"/>
  <c r="K48" i="1" s="1"/>
  <c r="M48" i="1" s="1"/>
  <c r="N48" i="1" s="1"/>
  <c r="H40" i="1"/>
  <c r="K12" i="1"/>
  <c r="M12" i="1" s="1"/>
  <c r="K14" i="1"/>
  <c r="M14" i="1" s="1"/>
  <c r="N14" i="1" s="1"/>
  <c r="I182" i="1"/>
  <c r="K182" i="1" s="1"/>
  <c r="M182" i="1" s="1"/>
  <c r="N182" i="1" s="1"/>
  <c r="H182" i="1"/>
  <c r="K195" i="1"/>
  <c r="M195" i="1" s="1"/>
  <c r="N195" i="1" s="1"/>
  <c r="J188" i="1"/>
  <c r="K188" i="1" s="1"/>
  <c r="M188" i="1" s="1"/>
  <c r="N188" i="1" s="1"/>
  <c r="J189" i="1"/>
  <c r="K189" i="1" s="1"/>
  <c r="M189" i="1" s="1"/>
  <c r="N189" i="1" s="1"/>
  <c r="J185" i="1"/>
  <c r="L185" i="1"/>
  <c r="K193" i="1"/>
  <c r="M193" i="1" s="1"/>
  <c r="N193" i="1" s="1"/>
  <c r="H187" i="1"/>
  <c r="K187" i="1" s="1"/>
  <c r="M187" i="1" s="1"/>
  <c r="N187" i="1" s="1"/>
  <c r="L190" i="1"/>
  <c r="J187" i="1"/>
  <c r="L182" i="1"/>
  <c r="L191" i="1"/>
  <c r="K147" i="1"/>
  <c r="L153" i="1"/>
  <c r="J153" i="1"/>
  <c r="K153" i="1" s="1"/>
  <c r="K146" i="1"/>
  <c r="M146" i="1" s="1"/>
  <c r="N146" i="1" s="1"/>
  <c r="K142" i="1"/>
  <c r="M142" i="1" s="1"/>
  <c r="N142" i="1" s="1"/>
  <c r="K138" i="1"/>
  <c r="M138" i="1" s="1"/>
  <c r="N138" i="1" s="1"/>
  <c r="K164" i="1"/>
  <c r="M164" i="1" s="1"/>
  <c r="H157" i="1"/>
  <c r="H153" i="1"/>
  <c r="J143" i="1"/>
  <c r="K143" i="1" s="1"/>
  <c r="M143" i="1" s="1"/>
  <c r="N143" i="1" s="1"/>
  <c r="H140" i="1"/>
  <c r="I140" i="1"/>
  <c r="M126" i="1"/>
  <c r="N126" i="1" s="1"/>
  <c r="K115" i="1"/>
  <c r="M115" i="1" s="1"/>
  <c r="N115" i="1" s="1"/>
  <c r="J69" i="1"/>
  <c r="L69" i="1"/>
  <c r="J65" i="1"/>
  <c r="L65" i="1"/>
  <c r="J61" i="1"/>
  <c r="L61" i="1"/>
  <c r="J70" i="1"/>
  <c r="L70" i="1"/>
  <c r="J66" i="1"/>
  <c r="L66" i="1"/>
  <c r="J62" i="1"/>
  <c r="L62" i="1"/>
  <c r="J58" i="1"/>
  <c r="L58" i="1"/>
  <c r="J50" i="1"/>
  <c r="L50" i="1"/>
  <c r="J42" i="1"/>
  <c r="L42" i="1"/>
  <c r="J4" i="1"/>
  <c r="L4" i="1"/>
  <c r="J71" i="1"/>
  <c r="L71" i="1"/>
  <c r="J67" i="1"/>
  <c r="L67" i="1"/>
  <c r="J63" i="1"/>
  <c r="L63" i="1"/>
  <c r="J59" i="1"/>
  <c r="L59" i="1"/>
  <c r="I53" i="1"/>
  <c r="H53" i="1"/>
  <c r="I45" i="1"/>
  <c r="H45" i="1"/>
  <c r="I37" i="1"/>
  <c r="H37" i="1"/>
  <c r="H33" i="1"/>
  <c r="I33" i="1"/>
  <c r="K33" i="1" s="1"/>
  <c r="J25" i="1"/>
  <c r="K25" i="1" s="1"/>
  <c r="L25" i="1"/>
  <c r="J21" i="1"/>
  <c r="L21" i="1"/>
  <c r="J5" i="1"/>
  <c r="L5" i="1"/>
  <c r="I7" i="1"/>
  <c r="K7" i="1" s="1"/>
  <c r="H7" i="1"/>
  <c r="I72" i="1"/>
  <c r="H72" i="1"/>
  <c r="I68" i="1"/>
  <c r="H68" i="1"/>
  <c r="I64" i="1"/>
  <c r="H64" i="1"/>
  <c r="I60" i="1"/>
  <c r="H60" i="1"/>
  <c r="J51" i="1"/>
  <c r="L51" i="1"/>
  <c r="J43" i="1"/>
  <c r="L43" i="1"/>
  <c r="H24" i="1"/>
  <c r="I6" i="1"/>
  <c r="H6" i="1"/>
  <c r="K16" i="1"/>
  <c r="M16" i="1" s="1"/>
  <c r="N16" i="1" s="1"/>
  <c r="K31" i="1"/>
  <c r="K17" i="1"/>
  <c r="M17" i="1" s="1"/>
  <c r="N17" i="1" s="1"/>
  <c r="I23" i="1"/>
  <c r="K18" i="1"/>
  <c r="M18" i="1" s="1"/>
  <c r="N18" i="1" s="1"/>
  <c r="K19" i="1"/>
  <c r="J192" i="1"/>
  <c r="K191" i="1"/>
  <c r="I185" i="1"/>
  <c r="K185" i="1" s="1"/>
  <c r="M185" i="1" s="1"/>
  <c r="N185" i="1" s="1"/>
  <c r="H185" i="1"/>
  <c r="N165" i="1"/>
  <c r="N161" i="1"/>
  <c r="L186" i="1"/>
  <c r="L149" i="1"/>
  <c r="J149" i="1"/>
  <c r="L156" i="1"/>
  <c r="J156" i="1"/>
  <c r="L152" i="1"/>
  <c r="J152" i="1"/>
  <c r="L148" i="1"/>
  <c r="J148" i="1"/>
  <c r="M177" i="1"/>
  <c r="N177" i="1" s="1"/>
  <c r="H156" i="1"/>
  <c r="H152" i="1"/>
  <c r="H148" i="1"/>
  <c r="H144" i="1"/>
  <c r="I144" i="1"/>
  <c r="L140" i="1"/>
  <c r="J140" i="1"/>
  <c r="K127" i="1"/>
  <c r="M127" i="1" s="1"/>
  <c r="N127" i="1" s="1"/>
  <c r="K93" i="1"/>
  <c r="M93" i="1" s="1"/>
  <c r="N93" i="1" s="1"/>
  <c r="K74" i="1"/>
  <c r="M74" i="1" s="1"/>
  <c r="N74" i="1" s="1"/>
  <c r="J52" i="1"/>
  <c r="L52" i="1"/>
  <c r="J44" i="1"/>
  <c r="K44" i="1" s="1"/>
  <c r="M44" i="1" s="1"/>
  <c r="N44" i="1" s="1"/>
  <c r="L44" i="1"/>
  <c r="K36" i="1"/>
  <c r="I5" i="1"/>
  <c r="H5" i="1"/>
  <c r="I51" i="1"/>
  <c r="H51" i="1"/>
  <c r="I43" i="1"/>
  <c r="H43" i="1"/>
  <c r="J36" i="1"/>
  <c r="L36" i="1"/>
  <c r="J32" i="1"/>
  <c r="L32" i="1"/>
  <c r="J24" i="1"/>
  <c r="L24" i="1"/>
  <c r="I20" i="1"/>
  <c r="H20" i="1"/>
  <c r="N12" i="1"/>
  <c r="J3" i="1"/>
  <c r="L3" i="1"/>
  <c r="K27" i="1"/>
  <c r="M27" i="1" s="1"/>
  <c r="N27" i="1" s="1"/>
  <c r="I3" i="1"/>
  <c r="K3" i="1" s="1"/>
  <c r="H3" i="1"/>
  <c r="J72" i="1"/>
  <c r="L72" i="1"/>
  <c r="J68" i="1"/>
  <c r="L68" i="1"/>
  <c r="J64" i="1"/>
  <c r="L64" i="1"/>
  <c r="J60" i="1"/>
  <c r="L60" i="1"/>
  <c r="J53" i="1"/>
  <c r="L53" i="1"/>
  <c r="J45" i="1"/>
  <c r="L45" i="1"/>
  <c r="H4" i="1"/>
  <c r="I4" i="1"/>
  <c r="H52" i="1"/>
  <c r="K52" i="1" s="1"/>
  <c r="M52" i="1" s="1"/>
  <c r="N52" i="1" s="1"/>
  <c r="H44" i="1"/>
  <c r="I22" i="1"/>
  <c r="K22" i="1" s="1"/>
  <c r="M22" i="1" s="1"/>
  <c r="N22" i="1" s="1"/>
  <c r="I21" i="1"/>
  <c r="J184" i="1"/>
  <c r="L184" i="1"/>
  <c r="N176" i="1"/>
  <c r="N172" i="1"/>
  <c r="N164" i="1"/>
  <c r="K155" i="1"/>
  <c r="M155" i="1" s="1"/>
  <c r="N155" i="1" s="1"/>
  <c r="M154" i="1"/>
  <c r="N154" i="1" s="1"/>
  <c r="L145" i="1"/>
  <c r="J145" i="1"/>
  <c r="L141" i="1"/>
  <c r="J141" i="1"/>
  <c r="K181" i="1"/>
  <c r="M181" i="1" s="1"/>
  <c r="N181" i="1" s="1"/>
  <c r="K168" i="1"/>
  <c r="M168" i="1" s="1"/>
  <c r="N168" i="1" s="1"/>
  <c r="K160" i="1"/>
  <c r="M160" i="1" s="1"/>
  <c r="N160" i="1" s="1"/>
  <c r="I141" i="1"/>
  <c r="K141" i="1" s="1"/>
  <c r="L144" i="1"/>
  <c r="J144" i="1"/>
  <c r="J139" i="1"/>
  <c r="K139" i="1" s="1"/>
  <c r="M139" i="1" s="1"/>
  <c r="N139" i="1" s="1"/>
  <c r="K123" i="1"/>
  <c r="M123" i="1" s="1"/>
  <c r="N123" i="1" s="1"/>
  <c r="K92" i="1"/>
  <c r="M92" i="1" s="1"/>
  <c r="N92" i="1" s="1"/>
  <c r="K85" i="1"/>
  <c r="M85" i="1" s="1"/>
  <c r="N85" i="1" s="1"/>
  <c r="J54" i="1"/>
  <c r="K54" i="1" s="1"/>
  <c r="L54" i="1"/>
  <c r="J46" i="1"/>
  <c r="K46" i="1" s="1"/>
  <c r="M46" i="1" s="1"/>
  <c r="N46" i="1" s="1"/>
  <c r="L46" i="1"/>
  <c r="I38" i="1"/>
  <c r="H38" i="1"/>
  <c r="I34" i="1"/>
  <c r="H34" i="1"/>
  <c r="L34" i="1"/>
  <c r="J20" i="1"/>
  <c r="L20" i="1"/>
  <c r="I57" i="1"/>
  <c r="H57" i="1"/>
  <c r="I49" i="1"/>
  <c r="H49" i="1"/>
  <c r="I41" i="1"/>
  <c r="H41" i="1"/>
  <c r="J23" i="1"/>
  <c r="L23" i="1"/>
  <c r="J8" i="1"/>
  <c r="I8" i="1"/>
  <c r="L8" i="1"/>
  <c r="K30" i="1"/>
  <c r="K26" i="1"/>
  <c r="M26" i="1" s="1"/>
  <c r="N26" i="1" s="1"/>
  <c r="J55" i="1"/>
  <c r="L55" i="1"/>
  <c r="J47" i="1"/>
  <c r="L47" i="1"/>
  <c r="J39" i="1"/>
  <c r="L39" i="1"/>
  <c r="I32" i="1"/>
  <c r="H21" i="1"/>
  <c r="H50" i="1"/>
  <c r="K50" i="1" s="1"/>
  <c r="M50" i="1" s="1"/>
  <c r="N50" i="1" s="1"/>
  <c r="H42" i="1"/>
  <c r="K42" i="1" s="1"/>
  <c r="M42" i="1" s="1"/>
  <c r="N42" i="1" s="1"/>
  <c r="H32" i="1"/>
  <c r="K13" i="1"/>
  <c r="M13" i="1" s="1"/>
  <c r="N13" i="1" s="1"/>
  <c r="K15" i="1"/>
  <c r="M15" i="1" s="1"/>
  <c r="N15" i="1" s="1"/>
  <c r="L50" i="2" l="1"/>
  <c r="M50" i="2" s="1"/>
  <c r="L78" i="2"/>
  <c r="M78" i="2" s="1"/>
  <c r="L109" i="2"/>
  <c r="M109" i="2" s="1"/>
  <c r="L96" i="2"/>
  <c r="M96" i="2" s="1"/>
  <c r="L176" i="2"/>
  <c r="M176" i="2" s="1"/>
  <c r="L86" i="2"/>
  <c r="M86" i="2" s="1"/>
  <c r="L134" i="2"/>
  <c r="M134" i="2" s="1"/>
  <c r="L37" i="2"/>
  <c r="M37" i="2" s="1"/>
  <c r="L83" i="2"/>
  <c r="M83" i="2" s="1"/>
  <c r="L74" i="2"/>
  <c r="M74" i="2" s="1"/>
  <c r="L103" i="2"/>
  <c r="M103" i="2" s="1"/>
  <c r="L186" i="2"/>
  <c r="M186" i="2" s="1"/>
  <c r="L25" i="2"/>
  <c r="M25" i="2" s="1"/>
  <c r="L95" i="2"/>
  <c r="M95" i="2" s="1"/>
  <c r="L111" i="2"/>
  <c r="M111" i="2" s="1"/>
  <c r="L92" i="2"/>
  <c r="M92" i="2" s="1"/>
  <c r="L172" i="2"/>
  <c r="M172" i="2" s="1"/>
  <c r="L220" i="2"/>
  <c r="M220" i="2" s="1"/>
  <c r="K17" i="2"/>
  <c r="L17" i="2" s="1"/>
  <c r="M17" i="2" s="1"/>
  <c r="K13" i="2"/>
  <c r="L13" i="2" s="1"/>
  <c r="M13" i="2" s="1"/>
  <c r="L127" i="2"/>
  <c r="M127" i="2" s="1"/>
  <c r="K194" i="2"/>
  <c r="L194" i="2" s="1"/>
  <c r="M194" i="2" s="1"/>
  <c r="L208" i="2"/>
  <c r="M208" i="2" s="1"/>
  <c r="L5" i="2"/>
  <c r="M5" i="2" s="1"/>
  <c r="K43" i="2"/>
  <c r="L43" i="2" s="1"/>
  <c r="M43" i="2" s="1"/>
  <c r="L64" i="2"/>
  <c r="M64" i="2" s="1"/>
  <c r="L56" i="2"/>
  <c r="M56" i="2" s="1"/>
  <c r="L175" i="2"/>
  <c r="M175" i="2" s="1"/>
  <c r="L76" i="2"/>
  <c r="M76" i="2" s="1"/>
  <c r="L87" i="2"/>
  <c r="M87" i="2" s="1"/>
  <c r="L181" i="2"/>
  <c r="M181" i="2" s="1"/>
  <c r="L202" i="2"/>
  <c r="M202" i="2" s="1"/>
  <c r="L51" i="2"/>
  <c r="M51" i="2" s="1"/>
  <c r="L60" i="2"/>
  <c r="M60" i="2" s="1"/>
  <c r="L150" i="2"/>
  <c r="M150" i="2" s="1"/>
  <c r="L145" i="2"/>
  <c r="M145" i="2" s="1"/>
  <c r="L191" i="2"/>
  <c r="M191" i="2" s="1"/>
  <c r="L210" i="2"/>
  <c r="M210" i="2" s="1"/>
  <c r="L75" i="2"/>
  <c r="M75" i="2" s="1"/>
  <c r="L94" i="2"/>
  <c r="M94" i="2" s="1"/>
  <c r="L100" i="2"/>
  <c r="M100" i="2" s="1"/>
  <c r="K179" i="2"/>
  <c r="L179" i="2" s="1"/>
  <c r="M179" i="2" s="1"/>
  <c r="L232" i="2"/>
  <c r="M232" i="2" s="1"/>
  <c r="L157" i="2"/>
  <c r="M157" i="2" s="1"/>
  <c r="L218" i="2"/>
  <c r="M218" i="2" s="1"/>
  <c r="L173" i="2"/>
  <c r="M173" i="2" s="1"/>
  <c r="K204" i="2"/>
  <c r="L204" i="2" s="1"/>
  <c r="M204" i="2" s="1"/>
  <c r="L27" i="2"/>
  <c r="M27" i="2" s="1"/>
  <c r="K190" i="2"/>
  <c r="L190" i="2" s="1"/>
  <c r="M190" i="2" s="1"/>
  <c r="K222" i="2"/>
  <c r="L222" i="2" s="1"/>
  <c r="M222" i="2" s="1"/>
  <c r="K43" i="1"/>
  <c r="M43" i="1" s="1"/>
  <c r="N43" i="1" s="1"/>
  <c r="K5" i="1"/>
  <c r="M5" i="1" s="1"/>
  <c r="N5" i="1" s="1"/>
  <c r="K152" i="1"/>
  <c r="M152" i="1" s="1"/>
  <c r="N152" i="1" s="1"/>
  <c r="K37" i="1"/>
  <c r="M37" i="1" s="1"/>
  <c r="N37" i="1" s="1"/>
  <c r="M153" i="1"/>
  <c r="N153" i="1" s="1"/>
  <c r="M40" i="1"/>
  <c r="N40" i="1" s="1"/>
  <c r="K56" i="1"/>
  <c r="M56" i="1" s="1"/>
  <c r="N56" i="1" s="1"/>
  <c r="M203" i="1"/>
  <c r="N203" i="1" s="1"/>
  <c r="K101" i="1"/>
  <c r="M101" i="1" s="1"/>
  <c r="N101" i="1" s="1"/>
  <c r="M211" i="1"/>
  <c r="N211" i="1" s="1"/>
  <c r="K38" i="1"/>
  <c r="M38" i="1" s="1"/>
  <c r="N38" i="1" s="1"/>
  <c r="M99" i="1"/>
  <c r="N99" i="1" s="1"/>
  <c r="M207" i="1"/>
  <c r="N207" i="1" s="1"/>
  <c r="K109" i="1"/>
  <c r="M109" i="1" s="1"/>
  <c r="N109" i="1" s="1"/>
  <c r="K97" i="1"/>
  <c r="M97" i="1" s="1"/>
  <c r="N97" i="1" s="1"/>
  <c r="M54" i="1"/>
  <c r="N54" i="1" s="1"/>
  <c r="M3" i="1"/>
  <c r="N3" i="1" s="1"/>
  <c r="M191" i="1"/>
  <c r="N191" i="1" s="1"/>
  <c r="M7" i="1"/>
  <c r="N7" i="1" s="1"/>
  <c r="M33" i="1"/>
  <c r="N33" i="1" s="1"/>
  <c r="K32" i="1"/>
  <c r="M32" i="1" s="1"/>
  <c r="N32" i="1" s="1"/>
  <c r="K41" i="1"/>
  <c r="M41" i="1" s="1"/>
  <c r="N41" i="1" s="1"/>
  <c r="K57" i="1"/>
  <c r="M57" i="1" s="1"/>
  <c r="N57" i="1" s="1"/>
  <c r="M141" i="1"/>
  <c r="N141" i="1" s="1"/>
  <c r="K4" i="1"/>
  <c r="M4" i="1" s="1"/>
  <c r="N4" i="1" s="1"/>
  <c r="K24" i="1"/>
  <c r="M24" i="1" s="1"/>
  <c r="N24" i="1" s="1"/>
  <c r="K148" i="1"/>
  <c r="M148" i="1" s="1"/>
  <c r="N148" i="1" s="1"/>
  <c r="K156" i="1"/>
  <c r="M156" i="1" s="1"/>
  <c r="N156" i="1" s="1"/>
  <c r="K192" i="1"/>
  <c r="M192" i="1" s="1"/>
  <c r="N192" i="1" s="1"/>
  <c r="K6" i="1"/>
  <c r="M6" i="1" s="1"/>
  <c r="N6" i="1" s="1"/>
  <c r="M147" i="1"/>
  <c r="N147" i="1" s="1"/>
  <c r="M190" i="1"/>
  <c r="N190" i="1" s="1"/>
  <c r="K133" i="1"/>
  <c r="M133" i="1" s="1"/>
  <c r="N133" i="1" s="1"/>
  <c r="K173" i="1"/>
  <c r="M173" i="1" s="1"/>
  <c r="N173" i="1" s="1"/>
  <c r="K169" i="1"/>
  <c r="M169" i="1" s="1"/>
  <c r="N169" i="1" s="1"/>
  <c r="M215" i="1"/>
  <c r="N215" i="1" s="1"/>
  <c r="K86" i="1"/>
  <c r="M86" i="1" s="1"/>
  <c r="N86" i="1" s="1"/>
  <c r="M227" i="1"/>
  <c r="N227" i="1" s="1"/>
  <c r="K105" i="1"/>
  <c r="M105" i="1" s="1"/>
  <c r="N105" i="1" s="1"/>
  <c r="M94" i="1"/>
  <c r="N94" i="1" s="1"/>
  <c r="M224" i="1"/>
  <c r="N224" i="1" s="1"/>
  <c r="K21" i="1"/>
  <c r="M21" i="1" s="1"/>
  <c r="N21" i="1" s="1"/>
  <c r="M36" i="1"/>
  <c r="N36" i="1" s="1"/>
  <c r="K144" i="1"/>
  <c r="M144" i="1" s="1"/>
  <c r="N144" i="1" s="1"/>
  <c r="K53" i="1"/>
  <c r="M53" i="1" s="1"/>
  <c r="N53" i="1" s="1"/>
  <c r="K65" i="1"/>
  <c r="M65" i="1" s="1"/>
  <c r="N65" i="1" s="1"/>
  <c r="K157" i="1"/>
  <c r="M157" i="1" s="1"/>
  <c r="N157" i="1" s="1"/>
  <c r="K51" i="1"/>
  <c r="M51" i="1" s="1"/>
  <c r="N51" i="1" s="1"/>
  <c r="K64" i="1"/>
  <c r="M64" i="1" s="1"/>
  <c r="N64" i="1" s="1"/>
  <c r="K72" i="1"/>
  <c r="M72" i="1" s="1"/>
  <c r="N72" i="1" s="1"/>
  <c r="K140" i="1"/>
  <c r="M140" i="1" s="1"/>
  <c r="N140" i="1" s="1"/>
  <c r="K47" i="1"/>
  <c r="M47" i="1" s="1"/>
  <c r="N47" i="1" s="1"/>
  <c r="K59" i="1"/>
  <c r="M59" i="1" s="1"/>
  <c r="N59" i="1" s="1"/>
  <c r="K67" i="1"/>
  <c r="M67" i="1" s="1"/>
  <c r="N67" i="1" s="1"/>
  <c r="K62" i="1"/>
  <c r="M62" i="1" s="1"/>
  <c r="N62" i="1" s="1"/>
  <c r="K70" i="1"/>
  <c r="M70" i="1" s="1"/>
  <c r="N70" i="1" s="1"/>
  <c r="M151" i="1"/>
  <c r="N151" i="1" s="1"/>
  <c r="K34" i="1"/>
  <c r="M34" i="1" s="1"/>
  <c r="N34" i="1" s="1"/>
  <c r="K49" i="1"/>
  <c r="M49" i="1" s="1"/>
  <c r="N49" i="1" s="1"/>
  <c r="K45" i="1"/>
  <c r="M45" i="1" s="1"/>
  <c r="N45" i="1" s="1"/>
  <c r="K61" i="1"/>
  <c r="M61" i="1" s="1"/>
  <c r="N61" i="1" s="1"/>
  <c r="K69" i="1"/>
  <c r="M69" i="1" s="1"/>
  <c r="N69" i="1" s="1"/>
  <c r="K145" i="1"/>
  <c r="M145" i="1" s="1"/>
  <c r="N145" i="1" s="1"/>
  <c r="M186" i="1"/>
  <c r="N186" i="1" s="1"/>
  <c r="K20" i="1"/>
  <c r="K23" i="1"/>
  <c r="M23" i="1" s="1"/>
  <c r="N23" i="1" s="1"/>
  <c r="K60" i="1"/>
  <c r="M60" i="1" s="1"/>
  <c r="N60" i="1" s="1"/>
  <c r="K68" i="1"/>
  <c r="M68" i="1" s="1"/>
  <c r="N68" i="1" s="1"/>
  <c r="K39" i="1"/>
  <c r="M39" i="1" s="1"/>
  <c r="N39" i="1" s="1"/>
  <c r="K55" i="1"/>
  <c r="M55" i="1" s="1"/>
  <c r="N55" i="1" s="1"/>
  <c r="K63" i="1"/>
  <c r="M63" i="1" s="1"/>
  <c r="N63" i="1" s="1"/>
  <c r="K71" i="1"/>
  <c r="M71" i="1" s="1"/>
  <c r="N71" i="1" s="1"/>
  <c r="K58" i="1"/>
  <c r="M58" i="1" s="1"/>
  <c r="N58" i="1" s="1"/>
  <c r="K66" i="1"/>
  <c r="M66" i="1" s="1"/>
  <c r="N66" i="1" s="1"/>
  <c r="K149" i="1"/>
  <c r="M149" i="1" s="1"/>
  <c r="N149" i="1" s="1"/>
  <c r="K184" i="1"/>
  <c r="M184" i="1" s="1"/>
  <c r="N184" i="1" s="1"/>
</calcChain>
</file>

<file path=xl/sharedStrings.xml><?xml version="1.0" encoding="utf-8"?>
<sst xmlns="http://schemas.openxmlformats.org/spreadsheetml/2006/main" count="958" uniqueCount="53">
  <si>
    <t>Historical data, targets and bands for %</t>
  </si>
  <si>
    <t>Tolerance calculated for percentage</t>
  </si>
  <si>
    <t>KEY</t>
  </si>
  <si>
    <t>University</t>
  </si>
  <si>
    <t>Metric</t>
  </si>
  <si>
    <t>2016–17 Historical data</t>
  </si>
  <si>
    <t>2017–18 Historical data</t>
  </si>
  <si>
    <t>2018–19 Historical data</t>
  </si>
  <si>
    <t>2020–21
Allowable
performance
target</t>
  </si>
  <si>
    <t>Average (calculated)</t>
  </si>
  <si>
    <t>ABS 2016-17 to 2017-18 (calculated)</t>
  </si>
  <si>
    <t>ABS 2017-18 to 2018-19 (calculated)</t>
  </si>
  <si>
    <t>2020–21 Target (calculated)</t>
  </si>
  <si>
    <t>Band of Tolerance (calculated)</t>
  </si>
  <si>
    <t>Target Floor % (calculated)</t>
  </si>
  <si>
    <t xml:space="preserve">Compare Allowable Target to Calculation </t>
  </si>
  <si>
    <t>Institution A</t>
  </si>
  <si>
    <t>Example: Graduation rate</t>
  </si>
  <si>
    <t>Algoma University</t>
  </si>
  <si>
    <t>01. Graduate employment rate in a related field</t>
  </si>
  <si>
    <t>02. Institutional strength and focus</t>
  </si>
  <si>
    <t>03. Graduation rate</t>
  </si>
  <si>
    <t>04. Community and local impact of student enrolment</t>
  </si>
  <si>
    <t>05. Economic impact (institution-specific)</t>
  </si>
  <si>
    <t>06. Research funding and capacity: federal tri-agency funding secured</t>
  </si>
  <si>
    <t>07. Experiential learning</t>
  </si>
  <si>
    <t>08. Research revenue attracted from private sector sources</t>
  </si>
  <si>
    <t>09. Graduate employment earnings</t>
  </si>
  <si>
    <t>10. Skills and competencies</t>
  </si>
  <si>
    <t>Tri-agency research funding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</si>
  <si>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</si>
  <si>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</si>
  <si>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</si>
  <si>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</si>
  <si>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</si>
  <si>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</si>
  <si>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OCADu</t>
  </si>
  <si>
    <t>Queen's University</t>
  </si>
  <si>
    <t>Ryerson University</t>
  </si>
  <si>
    <t>Trent University</t>
  </si>
  <si>
    <t>Université de Hearst</t>
  </si>
  <si>
    <t>University of Guelph</t>
  </si>
  <si>
    <t>University of Ottawa</t>
  </si>
  <si>
    <t>University of Toronto</t>
  </si>
  <si>
    <t>University of Waterloo</t>
  </si>
  <si>
    <t>University of Windsor</t>
  </si>
  <si>
    <t>OTU (UOIT)</t>
  </si>
  <si>
    <t>Western University</t>
  </si>
  <si>
    <t>Wilfrid Laurier University</t>
  </si>
  <si>
    <t>York University</t>
  </si>
  <si>
    <t>Historical data, targets and bands for $</t>
  </si>
  <si>
    <t>Tolerance calculated for funds</t>
  </si>
  <si>
    <t>Target Floor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</si>
</sst>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[$$-1009]* #,##0_-;\-[$$-1009]* #,##0_-;_-[$$-1009]* &quot;-&quot;??_-;_-@_-"/>
    <numFmt numFmtId="167" formatCode="_-&quot;$&quot;* #,##0.0_-;\-&quot;$&quot;* #,##0.0_-;_-&quot;$&quot;* &quot;-&quot;??_-;_-@_-"/>
    <numFmt numFmtId="168" formatCode="0.0%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0" fontId="3" fillId="0" borderId="0" xfId="2" applyNumberFormat="1" applyFont="1" applyAlignment="1">
      <alignment wrapText="1"/>
    </xf>
    <xf numFmtId="10" fontId="0" fillId="0" borderId="0" xfId="2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9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4" fontId="0" fillId="0" borderId="0" xfId="1" applyFont="1"/>
    <xf numFmtId="9" fontId="0" fillId="0" borderId="0" xfId="2" applyFont="1"/>
    <xf numFmtId="166" fontId="0" fillId="0" borderId="0" xfId="0" applyNumberFormat="1"/>
    <xf numFmtId="167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3" fillId="0" borderId="0" xfId="1" applyNumberFormat="1" applyFont="1" applyAlignment="1">
      <alignment wrapText="1"/>
    </xf>
    <xf numFmtId="164" fontId="0" fillId="0" borderId="0" xfId="1" applyFont="1" applyAlignment="1">
      <alignment wrapText="1"/>
    </xf>
    <xf numFmtId="164" fontId="3" fillId="0" borderId="0" xfId="1" applyFont="1" applyAlignment="1">
      <alignment wrapText="1"/>
    </xf>
    <xf numFmtId="9" fontId="0" fillId="0" borderId="0" xfId="1" applyNumberFormat="1" applyFont="1"/>
    <xf numFmtId="165" fontId="3" fillId="0" borderId="0" xfId="2" applyNumberFormat="1" applyFont="1" applyAlignment="1">
      <alignment wrapText="1"/>
    </xf>
    <xf numFmtId="164" fontId="0" fillId="0" borderId="0" xfId="0" applyNumberFormat="1"/>
    <xf numFmtId="165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9">
    <dxf>
      <numFmt numFmtId="164" formatCode="_-&quot;$&quot;* #,##0.00_-;\-&quot;$&quot;* #,##0.00_-;_-&quot;$&quot;* &quot;-&quot;??_-;_-@_-"/>
    </dxf>
    <dxf>
      <numFmt numFmtId="165" formatCode="_-&quot;$&quot;* #,##0_-;\-&quot;$&quot;* #,##0_-;_-&quot;$&quot;* &quot;-&quot;??_-;_-@_-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border outline="0">
        <left style="thin">
          <color rgb="FF8EA9DB"/>
        </left>
      </border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border outline="0">
        <left style="thin">
          <color rgb="FF8EA9DB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cku-my.sharepoint.com/personal/mclare_brocku_ca/Documents/Ontario%20SMAs/SMA3/SMA3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onal Annual Allocation"/>
      <sheetName val="Institutional Weighting %"/>
      <sheetName val="PivotWeight"/>
      <sheetName val="Institutional Weighting % (2)"/>
      <sheetName val="Institutional Weighting $"/>
      <sheetName val="Institutional Weighting $ (2)"/>
      <sheetName val="Strength and focus"/>
      <sheetName val="Economic Impact"/>
      <sheetName val="Midpoint"/>
      <sheetName val="Funded-Enrolments"/>
      <sheetName val="International-Enrolments"/>
      <sheetName val="Historical Data &amp; Targets"/>
      <sheetName val="Data &amp; Targets &amp; Bands (%)"/>
      <sheetName val="Data &amp; Targets &amp; Bands ($)"/>
      <sheetName val="URLs"/>
      <sheetName val="Colle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A8A13-F11D-294F-8F2B-8BEB0BF83330}" name="TargetsPercent23" displayName="TargetsPercent23" ref="A2:M234" totalsRowShown="0" tableBorderDxfId="8">
  <autoFilter ref="A2:M234" xr:uid="{6DA1FB8C-2B4A-47EA-850A-B1E59792A037}"/>
  <tableColumns count="13">
    <tableColumn id="19" xr3:uid="{ABBEAB0C-2A94-B341-8154-4DDA32E7D4F8}" name="KEY" dataDxfId="7">
      <calculatedColumnFormula>_xlfn.CONCAT(TargetsPercent23[[#This Row],[University]],":",TargetsPercent23[[#This Row],[Metric]])</calculatedColumnFormula>
    </tableColumn>
    <tableColumn id="1" xr3:uid="{7AD605A3-EBEC-9541-894E-31E9381AACDA}" name="University" dataDxfId="6"/>
    <tableColumn id="2" xr3:uid="{4EDC2223-1ADA-D048-96AD-15EFFD037C61}" name="Metric" dataCellStyle="Normal"/>
    <tableColumn id="3" xr3:uid="{DBEF11DB-5165-0A43-8301-AEDCB8B6468B}" name="2016–17 Historical data" dataCellStyle="Percent">
      <calculatedColumnFormula>VLOOKUP(TargetsPercent23[[#This Row],[KEY]],[1]!HistoricalData[#Data],4,FALSE)</calculatedColumnFormula>
    </tableColumn>
    <tableColumn id="4" xr3:uid="{F0D6BDF3-BCF5-2C46-9949-C6906634F6F9}" name="2017–18 Historical data" dataCellStyle="Percent">
      <calculatedColumnFormula>VLOOKUP(TargetsPercent23[[#This Row],[KEY]],[1]!HistoricalData[#Data],5,FALSE)</calculatedColumnFormula>
    </tableColumn>
    <tableColumn id="5" xr3:uid="{5334633E-6270-614D-B62C-6B7FD182EE7C}" name="2018–19 Historical data" dataCellStyle="Percent">
      <calculatedColumnFormula>VLOOKUP(TargetsPercent23[[#This Row],[KEY]],[1]!HistoricalData[#Data],6,FALSE)</calculatedColumnFormula>
    </tableColumn>
    <tableColumn id="6" xr3:uid="{6F4B5640-3B60-B741-8F52-16BD44636346}" name="2020–21_x000a_Allowable_x000a_performance_x000a_target" dataCellStyle="Percent">
      <calculatedColumnFormula>VLOOKUP(TargetsPercent23[[#This Row],[KEY]],[1]!HistoricalData[#Data],7,FALSE)</calculatedColumnFormula>
    </tableColumn>
    <tableColumn id="10" xr3:uid="{70B87615-E615-8F4A-A751-F9FD19B0E273}" name="Average (calculated)" dataDxfId="5">
      <calculatedColumnFormula>AVERAGE(TargetsPercent23[[#This Row],[2016–17 Historical data]],TargetsPercent23[[#This Row],[2017–18 Historical data]],TargetsPercent23[[#This Row],[2018–19 Historical data]])</calculatedColumnFormula>
    </tableColumn>
    <tableColumn id="12" xr3:uid="{F3F72223-8CE2-594C-9FF5-41C0A0FCB305}" name="ABS 2016-17 to 2017-18 (calculated)" dataDxfId="4">
      <calculatedColumnFormula>ABS(TargetsPercent23[[#This Row],[2016–17 Historical data]]-TargetsPercent23[[#This Row],[2017–18 Historical data]])</calculatedColumnFormula>
    </tableColumn>
    <tableColumn id="11" xr3:uid="{E152535C-5278-A240-92D2-65CB94A60131}" name="ABS 2017-18 to 2018-19 (calculated)" dataDxfId="3">
      <calculatedColumnFormula>ABS(TargetsPercent23[[#This Row],[2017–18 Historical data]]-TargetsPercent23[[#This Row],[2018–19 Historical data]])</calculatedColumnFormula>
    </tableColumn>
    <tableColumn id="7" xr3:uid="{9EA76939-7550-3246-B087-1BB932CE6901}" name="Band of Tolerance (calculated)" dataDxfId="2" dataCellStyle="Percent">
      <calculatedColumnFormula>IF(MIN(TargetsPercent23[[#This Row],[ABS 2016-17 to 2017-18 (calculated)]:[ABS 2017-18 to 2018-19 (calculated)]])&lt;0.01,0.01,MIN(TargetsPercent23[[#This Row],[ABS 2016-17 to 2017-18 (calculated)]:[ABS 2017-18 to 2018-19 (calculated)]]))</calculatedColumnFormula>
    </tableColumn>
    <tableColumn id="14" xr3:uid="{80A5E49A-10D4-2B40-859D-91F42614F725}" name="Target Floor (calculated)" dataDxfId="1">
      <calculatedColumnFormula>TargetsPercent23[[#This Row],[Average (calculated)]]-TargetsPercent23[[#This Row],[Band of Tolerance (calculated)]]</calculatedColumnFormula>
    </tableColumn>
    <tableColumn id="20" xr3:uid="{579CBD7C-3E81-9643-8903-BCA35ED3310E}" name="Compare Allowable Target to Calculation " dataDxfId="0">
      <calculatedColumnFormula>TargetsPercent23[[#This Row],[2020–21
Allowable
performance
target]]-TargetsPercent23[[#This Row],[Target Floor (calculated)]]</calculatedColumn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C0534-085B-CD45-9676-4DE78754177A}" name="TargetsPercent" displayName="TargetsPercent" ref="A2:N234" totalsRowShown="0" tableBorderDxfId="18">
  <autoFilter ref="A2:N234" xr:uid="{6DA1FB8C-2B4A-47EA-850A-B1E59792A037}"/>
  <tableColumns count="14">
    <tableColumn id="19" xr3:uid="{28EB1E03-E4F0-0B42-BDBA-40B7530B734D}" name="KEY" dataDxfId="17">
      <calculatedColumnFormula>_xlfn.CONCAT(TargetsPercent[[#This Row],[University]],":",TargetsPercent[[#This Row],[Metric]])</calculatedColumnFormula>
    </tableColumn>
    <tableColumn id="1" xr3:uid="{E36201F9-6CFA-7249-8EF5-E65C0AF62C9F}" name="University" dataDxfId="16"/>
    <tableColumn id="2" xr3:uid="{2B9A7085-55DD-E64B-A5AC-24D9B755AF70}" name="Metric" dataCellStyle="Normal"/>
    <tableColumn id="3" xr3:uid="{3FA8982E-0D63-2049-BFEF-4A4071FE32BB}" name="2016–17 Historical data" dataCellStyle="Percent">
      <calculatedColumnFormula>VLOOKUP(TargetsPercent[[#This Row],[KEY]],[1]!HistoricalData[#Data],4,FALSE)</calculatedColumnFormula>
    </tableColumn>
    <tableColumn id="4" xr3:uid="{F2FD5C11-A9D9-5C48-A2DB-F8D45E5FBBCA}" name="2017–18 Historical data" dataCellStyle="Percent">
      <calculatedColumnFormula>VLOOKUP(TargetsPercent[[#This Row],[KEY]],[1]!HistoricalData[#Data],5,FALSE)</calculatedColumnFormula>
    </tableColumn>
    <tableColumn id="5" xr3:uid="{37A97938-0FC9-0F41-98C5-B8E17BB60551}" name="2018–19 Historical data" dataCellStyle="Percent">
      <calculatedColumnFormula>VLOOKUP(TargetsPercent[[#This Row],[KEY]],[1]!HistoricalData[#Data],6,FALSE)</calculatedColumnFormula>
    </tableColumn>
    <tableColumn id="6" xr3:uid="{8EF21C81-21F0-F246-84B3-5CE4296A8D6A}" name="2020–21_x000a_Allowable_x000a_performance_x000a_target" dataCellStyle="Percent">
      <calculatedColumnFormula>VLOOKUP(TargetsPercent[[#This Row],[KEY]],[1]!HistoricalData[#Data],7,FALSE)</calculatedColumnFormula>
    </tableColumn>
    <tableColumn id="10" xr3:uid="{637DC0B2-CA5F-4940-88E5-7809C1AE74D2}" name="Average (calculated)" dataDxfId="15">
      <calculatedColumnFormula>AVERAGE(TargetsPercent[[#This Row],[2016–17 Historical data]],TargetsPercent[[#This Row],[2017–18 Historical data]],TargetsPercent[[#This Row],[2018–19 Historical data]])</calculatedColumnFormula>
    </tableColumn>
    <tableColumn id="12" xr3:uid="{E9713C5C-D2FC-4E4C-B489-9248C1AFDA8B}" name="ABS 2016-17 to 2017-18 (calculated)" dataDxfId="14">
      <calculatedColumnFormula>ABS(TargetsPercent[[#This Row],[2016–17 Historical data]]-TargetsPercent[[#This Row],[2017–18 Historical data]])</calculatedColumnFormula>
    </tableColumn>
    <tableColumn id="11" xr3:uid="{122AB40B-DEF9-9242-BFCF-C0EFBA4E0143}" name="ABS 2017-18 to 2018-19 (calculated)" dataDxfId="13">
      <calculatedColumnFormula>ABS(TargetsPercent[[#This Row],[2017–18 Historical data]]-TargetsPercent[[#This Row],[2018–19 Historical data]])</calculatedColumnFormula>
    </tableColumn>
    <tableColumn id="9" xr3:uid="{857FDF8C-D530-2243-8397-F21F7556D24B}" name="2020–21 Target (calculated)" dataDxfId="12">
      <calculatedColumnFormula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calculatedColumnFormula>
    </tableColumn>
    <tableColumn id="7" xr3:uid="{C1EA7C48-56E0-6048-BAD5-2587644C3FCA}" name="Band of Tolerance (calculated)" dataDxfId="11" dataCellStyle="Percent">
      <calculatedColumnFormula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calculatedColumnFormula>
    </tableColumn>
    <tableColumn id="14" xr3:uid="{A32C18A1-D30F-D74D-8B4F-897AED6AEAFE}" name="Target Floor % (calculated)" dataDxfId="10">
      <calculatedColumnFormula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calculatedColumnFormula>
    </tableColumn>
    <tableColumn id="20" xr3:uid="{483D4DE3-E281-E84C-89CA-47FDB87351C6}" name="Compare Allowable Target to Calculation " dataDxfId="9">
      <calculatedColumnFormula>ABS(TargetsPercent[[#This Row],[2020–21
Allowable
performance
target]]-TargetsPercent[[#This Row],[Target Floor % (calculated)]])</calculatedColumnFormula>
    </tableColumn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18BB-4D6A-CB4B-8908-1714BD7B24D9}">
  <dimension ref="A1:M234"/>
  <sheetViews>
    <sheetView tabSelected="1" workbookViewId="0">
      <selection activeCell="G44" sqref="G44"/>
    </sheetView>
  </sheetViews>
  <sheetFormatPr baseColWidth="10" defaultColWidth="8.83203125" defaultRowHeight="15" x14ac:dyDescent="0.2"/>
  <cols>
    <col min="1" max="1" width="9" customWidth="1"/>
    <col min="2" max="2" width="25.33203125" customWidth="1"/>
    <col min="3" max="3" width="56.1640625" bestFit="1" customWidth="1"/>
    <col min="4" max="4" width="19.1640625" customWidth="1"/>
    <col min="5" max="6" width="16.6640625" bestFit="1" customWidth="1"/>
    <col min="7" max="7" width="17.33203125" bestFit="1" customWidth="1"/>
    <col min="8" max="8" width="17" bestFit="1" customWidth="1"/>
    <col min="9" max="10" width="14.1640625" customWidth="1"/>
    <col min="11" max="11" width="14.1640625" style="2" customWidth="1"/>
    <col min="12" max="12" width="14.1640625" customWidth="1"/>
    <col min="13" max="13" width="15.33203125" style="11" bestFit="1" customWidth="1"/>
  </cols>
  <sheetData>
    <row r="1" spans="1:13" ht="24" x14ac:dyDescent="0.3">
      <c r="B1" s="1" t="s">
        <v>50</v>
      </c>
      <c r="D1" t="s">
        <v>51</v>
      </c>
    </row>
    <row r="2" spans="1:13" ht="64" x14ac:dyDescent="0.2">
      <c r="A2" t="s">
        <v>2</v>
      </c>
      <c r="B2" t="s">
        <v>3</v>
      </c>
      <c r="C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5" t="s">
        <v>13</v>
      </c>
      <c r="L2" s="4" t="s">
        <v>52</v>
      </c>
      <c r="M2" s="18" t="s">
        <v>15</v>
      </c>
    </row>
    <row r="3" spans="1:13" x14ac:dyDescent="0.2">
      <c r="A3" t="str">
        <f>_xlfn.CONCAT(TargetsPercent23[[#This Row],[University]],":",TargetsPercent23[[#This Row],[Metric]])</f>
        <v>Institution A:Example: Graduation rate</v>
      </c>
      <c r="B3" t="s">
        <v>16</v>
      </c>
      <c r="C3" t="s">
        <v>17</v>
      </c>
      <c r="D3" s="6">
        <f>VLOOKUP(TargetsPercent23[[#This Row],[KEY]],[1]!HistoricalData[#Data],4,FALSE)</f>
        <v>0.76</v>
      </c>
      <c r="E3" s="6">
        <f>VLOOKUP(TargetsPercent23[[#This Row],[KEY]],[1]!HistoricalData[#Data],5,FALSE)</f>
        <v>0.79</v>
      </c>
      <c r="F3" s="6">
        <f>VLOOKUP(TargetsPercent23[[#This Row],[KEY]],[1]!HistoricalData[#Data],6,FALSE)</f>
        <v>0.77</v>
      </c>
      <c r="G3" s="5">
        <f>VLOOKUP(TargetsPercent23[[#This Row],[KEY]],[1]!HistoricalData[#Data],7,FALSE)</f>
        <v>0.79300000000000004</v>
      </c>
      <c r="H3" s="7">
        <f>AVERAGE(TargetsPercent23[[#This Row],[2016–17 Historical data]],TargetsPercent23[[#This Row],[2017–18 Historical data]],TargetsPercent23[[#This Row],[2018–19 Historical data]])</f>
        <v>0.77333333333333343</v>
      </c>
      <c r="I3" s="7">
        <f>ABS(TargetsPercent23[[#This Row],[2016–17 Historical data]]-TargetsPercent23[[#This Row],[2017–18 Historical data]])</f>
        <v>3.0000000000000027E-2</v>
      </c>
      <c r="J3" s="7">
        <f>ABS(TargetsPercent23[[#This Row],[2017–18 Historical data]]-TargetsPercent23[[#This Row],[2018–19 Historical data]])</f>
        <v>2.0000000000000018E-2</v>
      </c>
      <c r="K3" s="5">
        <f>IF(MIN(TargetsPercent23[[#This Row],[ABS 2016-17 to 2017-18 (calculated)]:[ABS 2017-18 to 2018-19 (calculated)]])&lt;0.01,0.01,MIN(TargetsPercent23[[#This Row],[ABS 2016-17 to 2017-18 (calculated)]:[ABS 2017-18 to 2018-19 (calculated)]]))</f>
        <v>2.0000000000000018E-2</v>
      </c>
      <c r="L3" s="21">
        <f>TargetsPercent23[[#This Row],[Average (calculated)]]-TargetsPercent23[[#This Row],[Band of Tolerance (calculated)]]</f>
        <v>0.75333333333333341</v>
      </c>
      <c r="M3" s="22">
        <f>TargetsPercent23[[#This Row],[2020–21
Allowable
performance
target]]-TargetsPercent23[[#This Row],[Target Floor (calculated)]]</f>
        <v>3.9666666666666628E-2</v>
      </c>
    </row>
    <row r="4" spans="1:13" x14ac:dyDescent="0.2">
      <c r="A4" t="str">
        <f>_xlfn.CONCAT(TargetsPercent23[[#This Row],[University]],":",TargetsPercent23[[#This Row],[Metric]])</f>
        <v>Algoma University:01. Graduate employment rate in a related field</v>
      </c>
      <c r="B4" t="s">
        <v>18</v>
      </c>
      <c r="C4" t="s">
        <v>19</v>
      </c>
      <c r="D4" s="6">
        <f>VLOOKUP(TargetsPercent23[[#This Row],[KEY]],[1]!HistoricalData[#Data],4,FALSE)</f>
        <v>0.87880000000000003</v>
      </c>
      <c r="E4" s="6">
        <f>VLOOKUP(TargetsPercent23[[#This Row],[KEY]],[1]!HistoricalData[#Data],5,FALSE)</f>
        <v>0.8871</v>
      </c>
      <c r="F4" s="6">
        <f>VLOOKUP(TargetsPercent23[[#This Row],[KEY]],[1]!HistoricalData[#Data],6,FALSE)</f>
        <v>0.8448</v>
      </c>
      <c r="G4" s="5">
        <f>VLOOKUP(TargetsPercent23[[#This Row],[KEY]],[1]!HistoricalData[#Data],7,FALSE)</f>
        <v>0.85350000000000004</v>
      </c>
      <c r="H4" s="2">
        <f>AVERAGE(TargetsPercent23[[#This Row],[2016–17 Historical data]],TargetsPercent23[[#This Row],[2017–18 Historical data]],TargetsPercent23[[#This Row],[2018–19 Historical data]])</f>
        <v>0.8702333333333333</v>
      </c>
      <c r="I4" s="2">
        <f>ABS(TargetsPercent23[[#This Row],[2016–17 Historical data]]-TargetsPercent23[[#This Row],[2017–18 Historical data]])</f>
        <v>8.2999999999999741E-3</v>
      </c>
      <c r="J4" s="2">
        <f>ABS(TargetsPercent23[[#This Row],[2017–18 Historical data]]-TargetsPercent23[[#This Row],[2018–19 Historical data]])</f>
        <v>4.2300000000000004E-2</v>
      </c>
      <c r="K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" s="23">
        <f>TargetsPercent23[[#This Row],[Average (calculated)]]-TargetsPercent23[[#This Row],[Band of Tolerance (calculated)]]</f>
        <v>0.86023333333333329</v>
      </c>
      <c r="M4" s="22">
        <f>TargetsPercent23[[#This Row],[2020–21
Allowable
performance
target]]-TargetsPercent23[[#This Row],[Target Floor (calculated)]]</f>
        <v>-6.7333333333332579E-3</v>
      </c>
    </row>
    <row r="5" spans="1:13" x14ac:dyDescent="0.2">
      <c r="A5" t="str">
        <f>_xlfn.CONCAT(TargetsPercent23[[#This Row],[University]],":",TargetsPercent23[[#This Row],[Metric]])</f>
        <v>Algoma University:02. Institutional strength and focus</v>
      </c>
      <c r="B5" t="s">
        <v>18</v>
      </c>
      <c r="C5" t="s">
        <v>20</v>
      </c>
      <c r="D5" s="6">
        <f>VLOOKUP(TargetsPercent23[[#This Row],[KEY]],[1]!HistoricalData[#Data],4,FALSE)</f>
        <v>0.375</v>
      </c>
      <c r="E5" s="6">
        <f>VLOOKUP(TargetsPercent23[[#This Row],[KEY]],[1]!HistoricalData[#Data],5,FALSE)</f>
        <v>0.38240000000000002</v>
      </c>
      <c r="F5" s="6">
        <f>VLOOKUP(TargetsPercent23[[#This Row],[KEY]],[1]!HistoricalData[#Data],6,FALSE)</f>
        <v>0.34949999999999998</v>
      </c>
      <c r="G5" s="5">
        <f>VLOOKUP(TargetsPercent23[[#This Row],[KEY]],[1]!HistoricalData[#Data],7,FALSE)</f>
        <v>0.33040000000000003</v>
      </c>
      <c r="H5" s="2">
        <f>AVERAGE(TargetsPercent23[[#This Row],[2016–17 Historical data]],TargetsPercent23[[#This Row],[2017–18 Historical data]],TargetsPercent23[[#This Row],[2018–19 Historical data]])</f>
        <v>0.36896666666666667</v>
      </c>
      <c r="I5" s="2">
        <f>ABS(TargetsPercent23[[#This Row],[2016–17 Historical data]]-TargetsPercent23[[#This Row],[2017–18 Historical data]])</f>
        <v>7.4000000000000177E-3</v>
      </c>
      <c r="J5" s="2">
        <f>ABS(TargetsPercent23[[#This Row],[2017–18 Historical data]]-TargetsPercent23[[#This Row],[2018–19 Historical data]])</f>
        <v>3.290000000000004E-2</v>
      </c>
      <c r="K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" s="23">
        <f>TargetsPercent23[[#This Row],[Average (calculated)]]-TargetsPercent23[[#This Row],[Band of Tolerance (calculated)]]</f>
        <v>0.35896666666666666</v>
      </c>
      <c r="M5" s="22">
        <f>TargetsPercent23[[#This Row],[2020–21
Allowable
performance
target]]-TargetsPercent23[[#This Row],[Target Floor (calculated)]]</f>
        <v>-2.8566666666666629E-2</v>
      </c>
    </row>
    <row r="6" spans="1:13" x14ac:dyDescent="0.2">
      <c r="A6" t="str">
        <f>_xlfn.CONCAT(TargetsPercent23[[#This Row],[University]],":",TargetsPercent23[[#This Row],[Metric]])</f>
        <v>Algoma University:03. Graduation rate</v>
      </c>
      <c r="B6" t="s">
        <v>18</v>
      </c>
      <c r="C6" t="s">
        <v>21</v>
      </c>
      <c r="D6" s="6">
        <f>VLOOKUP(TargetsPercent23[[#This Row],[KEY]],[1]!HistoricalData[#Data],4,FALSE)</f>
        <v>0.54190000000000005</v>
      </c>
      <c r="E6" s="6">
        <f>VLOOKUP(TargetsPercent23[[#This Row],[KEY]],[1]!HistoricalData[#Data],5,FALSE)</f>
        <v>0.57789999999999997</v>
      </c>
      <c r="F6" s="6">
        <f>VLOOKUP(TargetsPercent23[[#This Row],[KEY]],[1]!HistoricalData[#Data],6,FALSE)</f>
        <v>0.55430000000000001</v>
      </c>
      <c r="G6" s="5">
        <f>VLOOKUP(TargetsPercent23[[#This Row],[KEY]],[1]!HistoricalData[#Data],7,FALSE)</f>
        <v>0.5504</v>
      </c>
      <c r="H6" s="2">
        <f>AVERAGE(TargetsPercent23[[#This Row],[2016–17 Historical data]],TargetsPercent23[[#This Row],[2017–18 Historical data]],TargetsPercent23[[#This Row],[2018–19 Historical data]])</f>
        <v>0.55803333333333338</v>
      </c>
      <c r="I6" s="2">
        <f>ABS(TargetsPercent23[[#This Row],[2016–17 Historical data]]-TargetsPercent23[[#This Row],[2017–18 Historical data]])</f>
        <v>3.5999999999999921E-2</v>
      </c>
      <c r="J6" s="2">
        <f>ABS(TargetsPercent23[[#This Row],[2017–18 Historical data]]-TargetsPercent23[[#This Row],[2018–19 Historical data]])</f>
        <v>2.3599999999999954E-2</v>
      </c>
      <c r="K6" s="2">
        <f>IF(MIN(TargetsPercent23[[#This Row],[ABS 2016-17 to 2017-18 (calculated)]:[ABS 2017-18 to 2018-19 (calculated)]])&lt;0.01,0.01,MIN(TargetsPercent23[[#This Row],[ABS 2016-17 to 2017-18 (calculated)]:[ABS 2017-18 to 2018-19 (calculated)]]))</f>
        <v>2.3599999999999954E-2</v>
      </c>
      <c r="L6" s="23">
        <f>TargetsPercent23[[#This Row],[Average (calculated)]]-TargetsPercent23[[#This Row],[Band of Tolerance (calculated)]]</f>
        <v>0.53443333333333343</v>
      </c>
      <c r="M6" s="22">
        <f>TargetsPercent23[[#This Row],[2020–21
Allowable
performance
target]]-TargetsPercent23[[#This Row],[Target Floor (calculated)]]</f>
        <v>1.5966666666666574E-2</v>
      </c>
    </row>
    <row r="7" spans="1:13" x14ac:dyDescent="0.2">
      <c r="A7" t="str">
        <f>_xlfn.CONCAT(TargetsPercent23[[#This Row],[University]],":",TargetsPercent23[[#This Row],[Metric]])</f>
        <v>Algoma University:04. Community and local impact of student enrolment</v>
      </c>
      <c r="B7" t="s">
        <v>18</v>
      </c>
      <c r="C7" t="s">
        <v>22</v>
      </c>
      <c r="D7" s="6">
        <f>VLOOKUP(TargetsPercent23[[#This Row],[KEY]],[1]!HistoricalData[#Data],4,FALSE)</f>
        <v>2.3E-2</v>
      </c>
      <c r="E7" s="6">
        <f>VLOOKUP(TargetsPercent23[[#This Row],[KEY]],[1]!HistoricalData[#Data],5,FALSE)</f>
        <v>2.0899999999999998E-2</v>
      </c>
      <c r="F7" s="6">
        <f>VLOOKUP(TargetsPercent23[[#This Row],[KEY]],[1]!HistoricalData[#Data],6,FALSE)</f>
        <v>1.7600000000000001E-2</v>
      </c>
      <c r="G7" s="5">
        <f>VLOOKUP(TargetsPercent23[[#This Row],[KEY]],[1]!HistoricalData[#Data],7,FALSE)</f>
        <v>1.9800000000000002E-2</v>
      </c>
      <c r="H7" s="2">
        <f>AVERAGE(TargetsPercent23[[#This Row],[2016–17 Historical data]],TargetsPercent23[[#This Row],[2017–18 Historical data]],TargetsPercent23[[#This Row],[2018–19 Historical data]])</f>
        <v>2.0500000000000001E-2</v>
      </c>
      <c r="I7" s="2">
        <f>ABS(TargetsPercent23[[#This Row],[2016–17 Historical data]]-TargetsPercent23[[#This Row],[2017–18 Historical data]])</f>
        <v>2.1000000000000012E-3</v>
      </c>
      <c r="J7" s="2">
        <f>ABS(TargetsPercent23[[#This Row],[2017–18 Historical data]]-TargetsPercent23[[#This Row],[2018–19 Historical data]])</f>
        <v>3.2999999999999974E-3</v>
      </c>
      <c r="K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" s="24">
        <f>TargetsPercent23[[#This Row],[Average (calculated)]]-TargetsPercent23[[#This Row],[Band of Tolerance (calculated)]]</f>
        <v>1.0500000000000001E-2</v>
      </c>
      <c r="M7" s="25">
        <f>TargetsPercent23[[#This Row],[2020–21
Allowable
performance
target]]-TargetsPercent23[[#This Row],[Target Floor (calculated)]]</f>
        <v>9.300000000000001E-3</v>
      </c>
    </row>
    <row r="8" spans="1:13" x14ac:dyDescent="0.2">
      <c r="A8" t="str">
        <f>_xlfn.CONCAT(TargetsPercent23[[#This Row],[University]],":",TargetsPercent23[[#This Row],[Metric]])</f>
        <v>Algoma University:05. Economic impact (institution-specific)</v>
      </c>
      <c r="B8" t="s">
        <v>18</v>
      </c>
      <c r="C8" t="s">
        <v>23</v>
      </c>
      <c r="D8" s="18">
        <f>VLOOKUP(TargetsPercent23[[#This Row],[KEY]],[1]!HistoricalData[#Data],4,FALSE)</f>
        <v>13098880</v>
      </c>
      <c r="E8" s="18">
        <f>VLOOKUP(TargetsPercent23[[#This Row],[KEY]],[1]!HistoricalData[#Data],5,FALSE)</f>
        <v>10514800</v>
      </c>
      <c r="F8" s="18">
        <f>VLOOKUP(TargetsPercent23[[#This Row],[KEY]],[1]!HistoricalData[#Data],6,FALSE)</f>
        <v>13997100</v>
      </c>
      <c r="G8" s="19">
        <f>VLOOKUP(TargetsPercent23[[#This Row],[KEY]],[1]!HistoricalData[#Data],7,FALSE)</f>
        <v>11125616</v>
      </c>
      <c r="H8" s="11">
        <f>AVERAGE(TargetsPercent23[[#This Row],[2016–17 Historical data]],TargetsPercent23[[#This Row],[2017–18 Historical data]],TargetsPercent23[[#This Row],[2018–19 Historical data]])</f>
        <v>12536926.666666666</v>
      </c>
      <c r="I8" s="2">
        <f>ABS((TargetsPercent23[[#This Row],[2017–18 Historical data]]-TargetsPercent23[[#This Row],[2016–17 Historical data]])/TargetsPercent23[[#This Row],[2016–17 Historical data]])</f>
        <v>0.19727488151658767</v>
      </c>
      <c r="J8" s="2">
        <f>ABS((TargetsPercent23[[#This Row],[2018–19 Historical data]]-TargetsPercent23[[#This Row],[2017–18 Historical data]])/TargetsPercent23[[#This Row],[2017–18 Historical data]])</f>
        <v>0.33118081180811809</v>
      </c>
      <c r="K8" s="2">
        <f>IF(MIN(TargetsPercent23[[#This Row],[ABS 2016-17 to 2017-18 (calculated)]:[ABS 2017-18 to 2018-19 (calculated)]])&lt;0.01,0.01,MIN(TargetsPercent23[[#This Row],[ABS 2016-17 to 2017-18 (calculated)]:[ABS 2017-18 to 2018-19 (calculated)]]))</f>
        <v>0.19727488151658767</v>
      </c>
      <c r="L8" s="10">
        <f>TargetsPercent23[[#This Row],[Average (calculated)]]-TargetsPercent23[[#This Row],[Band of Tolerance (calculated)]]</f>
        <v>12536926.469391784</v>
      </c>
      <c r="M8" s="11">
        <f>TargetsPercent23[[#This Row],[2020–21
Allowable
performance
target]]-TargetsPercent23[[#This Row],[Target Floor (calculated)]]</f>
        <v>-1411310.4693917837</v>
      </c>
    </row>
    <row r="9" spans="1:13" x14ac:dyDescent="0.2">
      <c r="A9" t="str">
        <f>_xlfn.CONCAT(TargetsPercent23[[#This Row],[University]],":",TargetsPercent23[[#This Row],[Metric]])</f>
        <v>Algoma University:06. Research funding and capacity: federal tri-agency funding secured</v>
      </c>
      <c r="B9" t="s">
        <v>18</v>
      </c>
      <c r="C9" t="s">
        <v>24</v>
      </c>
      <c r="D9" s="18">
        <f>VLOOKUP(TargetsPercent23[[#This Row],[KEY]],[1]!HistoricalData[#Data],4,FALSE)</f>
        <v>5.0000000000000001E-4</v>
      </c>
      <c r="E9" s="18">
        <f>VLOOKUP(TargetsPercent23[[#This Row],[KEY]],[1]!HistoricalData[#Data],5,FALSE)</f>
        <v>4.0000000000000002E-4</v>
      </c>
      <c r="F9" s="18">
        <f>VLOOKUP(TargetsPercent23[[#This Row],[KEY]],[1]!HistoricalData[#Data],6,FALSE)</f>
        <v>4.0000000000000002E-4</v>
      </c>
      <c r="G9" s="19">
        <f>VLOOKUP(TargetsPercent23[[#This Row],[KEY]],[1]!HistoricalData[#Data],7,FALSE)</f>
        <v>4.0000000000000002E-4</v>
      </c>
      <c r="H9" s="11">
        <f>AVERAGE(TargetsPercent23[[#This Row],[2016–17 Historical data]],TargetsPercent23[[#This Row],[2017–18 Historical data]],TargetsPercent23[[#This Row],[2018–19 Historical data]])</f>
        <v>4.3333333333333331E-4</v>
      </c>
      <c r="I9" s="2">
        <f>ABS((TargetsPercent23[[#This Row],[2017–18 Historical data]]-TargetsPercent23[[#This Row],[2016–17 Historical data]])/TargetsPercent23[[#This Row],[2016–17 Historical data]])</f>
        <v>0.19999999999999998</v>
      </c>
      <c r="J9" s="2">
        <f>ABS((TargetsPercent23[[#This Row],[2018–19 Historical data]]-TargetsPercent23[[#This Row],[2017–18 Historical data]])/TargetsPercent23[[#This Row],[2017–18 Historical data]])</f>
        <v>0</v>
      </c>
      <c r="K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" s="10">
        <f>TargetsPercent23[[#This Row],[Average (calculated)]]-TargetsPercent23[[#This Row],[Band of Tolerance (calculated)]]</f>
        <v>-9.5666666666666678E-3</v>
      </c>
      <c r="M9" s="11">
        <f>TargetsPercent23[[#This Row],[2020–21
Allowable
performance
target]]-TargetsPercent23[[#This Row],[Target Floor (calculated)]]</f>
        <v>9.9666666666666671E-3</v>
      </c>
    </row>
    <row r="10" spans="1:13" x14ac:dyDescent="0.2">
      <c r="A10" t="str">
        <f>_xlfn.CONCAT(TargetsPercent23[[#This Row],[University]],":",TargetsPercent23[[#This Row],[Metric]])</f>
        <v>Algoma University:07. Experiential learning</v>
      </c>
      <c r="B10" t="s">
        <v>18</v>
      </c>
      <c r="C10" t="s">
        <v>25</v>
      </c>
      <c r="D10" s="6">
        <f>VLOOKUP(TargetsPercent23[[#This Row],[KEY]],[1]!HistoricalData[#Data],4,FALSE)</f>
        <v>0</v>
      </c>
      <c r="E10" s="6">
        <f>VLOOKUP(TargetsPercent23[[#This Row],[KEY]],[1]!HistoricalData[#Data],5,FALSE)</f>
        <v>0</v>
      </c>
      <c r="F10" s="6">
        <f>VLOOKUP(TargetsPercent23[[#This Row],[KEY]],[1]!HistoricalData[#Data],6,FALSE)</f>
        <v>0</v>
      </c>
      <c r="G10" s="5">
        <f>VLOOKUP(TargetsPercent23[[#This Row],[KEY]],[1]!HistoricalData[#Data],7,FALSE)</f>
        <v>0</v>
      </c>
      <c r="H10" s="8">
        <f>AVERAGE(TargetsPercent23[[#This Row],[2016–17 Historical data]],TargetsPercent23[[#This Row],[2017–18 Historical data]],TargetsPercent23[[#This Row],[2018–19 Historical data]])</f>
        <v>0</v>
      </c>
      <c r="I10" s="8">
        <f>ABS(TargetsPercent23[[#This Row],[2016–17 Historical data]]-TargetsPercent23[[#This Row],[2017–18 Historical data]])</f>
        <v>0</v>
      </c>
      <c r="J10" s="12">
        <f>ABS(TargetsPercent23[[#This Row],[2017–18 Historical data]]-TargetsPercent23[[#This Row],[2018–19 Historical data]])</f>
        <v>0</v>
      </c>
      <c r="K1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" s="26">
        <f>TargetsPercent23[[#This Row],[Average (calculated)]]-TargetsPercent23[[#This Row],[Band of Tolerance (calculated)]]</f>
        <v>-0.01</v>
      </c>
      <c r="M10" s="22">
        <f>TargetsPercent23[[#This Row],[2020–21
Allowable
performance
target]]-TargetsPercent23[[#This Row],[Target Floor (calculated)]]</f>
        <v>0.01</v>
      </c>
    </row>
    <row r="11" spans="1:13" x14ac:dyDescent="0.2">
      <c r="A11" t="str">
        <f>_xlfn.CONCAT(TargetsPercent23[[#This Row],[University]],":",TargetsPercent23[[#This Row],[Metric]])</f>
        <v>Algoma University:08. Research revenue attracted from private sector sources</v>
      </c>
      <c r="B11" t="s">
        <v>18</v>
      </c>
      <c r="C11" t="s">
        <v>26</v>
      </c>
      <c r="D11" s="18">
        <f>VLOOKUP(TargetsPercent23[[#This Row],[KEY]],[1]!HistoricalData[#Data],4,FALSE)</f>
        <v>0</v>
      </c>
      <c r="E11" s="18">
        <f>VLOOKUP(TargetsPercent23[[#This Row],[KEY]],[1]!HistoricalData[#Data],5,FALSE)</f>
        <v>0</v>
      </c>
      <c r="F11" s="18">
        <f>VLOOKUP(TargetsPercent23[[#This Row],[KEY]],[1]!HistoricalData[#Data],6,FALSE)</f>
        <v>0</v>
      </c>
      <c r="G11" s="19">
        <f>VLOOKUP(TargetsPercent23[[#This Row],[KEY]],[1]!HistoricalData[#Data],7,FALSE)</f>
        <v>0</v>
      </c>
      <c r="H11" s="11">
        <f>AVERAGE(TargetsPercent23[[#This Row],[2016–17 Historical data]],TargetsPercent23[[#This Row],[2017–18 Historical data]],TargetsPercent23[[#This Row],[2018–19 Historical data]])</f>
        <v>0</v>
      </c>
      <c r="I11" s="2" t="e">
        <f>ABS((TargetsPercent23[[#This Row],[2017–18 Historical data]]-TargetsPercent23[[#This Row],[2016–17 Historical data]])/TargetsPercent23[[#This Row],[2016–17 Historical data]])</f>
        <v>#DIV/0!</v>
      </c>
      <c r="J11" s="2" t="e">
        <f>ABS((TargetsPercent23[[#This Row],[2018–19 Historical data]]-TargetsPercent23[[#This Row],[2017–18 Historical data]])/TargetsPercent23[[#This Row],[2017–18 Historical data]])</f>
        <v>#DIV/0!</v>
      </c>
      <c r="K11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1" s="10" t="e">
        <f>TargetsPercent23[[#This Row],[Average (calculated)]]-TargetsPercent23[[#This Row],[Band of Tolerance (calculated)]]</f>
        <v>#DIV/0!</v>
      </c>
      <c r="M11" s="11" t="e">
        <f>TargetsPercent23[[#This Row],[2020–21
Allowable
performance
target]]-TargetsPercent23[[#This Row],[Target Floor (calculated)]]</f>
        <v>#DIV/0!</v>
      </c>
    </row>
    <row r="12" spans="1:13" x14ac:dyDescent="0.2">
      <c r="A12" t="str">
        <f>_xlfn.CONCAT(TargetsPercent23[[#This Row],[University]],":",TargetsPercent23[[#This Row],[Metric]])</f>
        <v>Algoma University:09. Graduate employment earnings</v>
      </c>
      <c r="B12" t="s">
        <v>18</v>
      </c>
      <c r="C12" t="s">
        <v>27</v>
      </c>
      <c r="D12" s="6">
        <f>VLOOKUP(TargetsPercent23[[#This Row],[KEY]],[1]!HistoricalData[#Data],4,FALSE)</f>
        <v>0</v>
      </c>
      <c r="E12" s="6">
        <f>VLOOKUP(TargetsPercent23[[#This Row],[KEY]],[1]!HistoricalData[#Data],5,FALSE)</f>
        <v>0</v>
      </c>
      <c r="F12" s="6">
        <f>VLOOKUP(TargetsPercent23[[#This Row],[KEY]],[1]!HistoricalData[#Data],6,FALSE)</f>
        <v>0</v>
      </c>
      <c r="G12" s="5">
        <f>VLOOKUP(TargetsPercent23[[#This Row],[KEY]],[1]!HistoricalData[#Data],7,FALSE)</f>
        <v>0</v>
      </c>
      <c r="H12" s="11">
        <f>AVERAGE(TargetsPercent23[[#This Row],[2016–17 Historical data]],TargetsPercent23[[#This Row],[2017–18 Historical data]],TargetsPercent23[[#This Row],[2018–19 Historical data]])</f>
        <v>0</v>
      </c>
      <c r="I12" s="11">
        <f>ABS(TargetsPercent23[[#This Row],[2016–17 Historical data]]-TargetsPercent23[[#This Row],[2017–18 Historical data]])</f>
        <v>0</v>
      </c>
      <c r="J12" s="11">
        <f>ABS(TargetsPercent23[[#This Row],[2017–18 Historical data]]-TargetsPercent23[[#This Row],[2018–19 Historical data]])</f>
        <v>0</v>
      </c>
      <c r="K1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" s="11">
        <f>TargetsPercent23[[#This Row],[Average (calculated)]]-TargetsPercent23[[#This Row],[Band of Tolerance (calculated)]]</f>
        <v>-0.01</v>
      </c>
      <c r="M12" s="22">
        <f>TargetsPercent23[[#This Row],[2020–21
Allowable
performance
target]]-TargetsPercent23[[#This Row],[Target Floor (calculated)]]</f>
        <v>0.01</v>
      </c>
    </row>
    <row r="13" spans="1:13" x14ac:dyDescent="0.2">
      <c r="A13" t="str">
        <f>_xlfn.CONCAT(TargetsPercent23[[#This Row],[University]],":",TargetsPercent23[[#This Row],[Metric]])</f>
        <v>Algoma University:10. Skills and competencies</v>
      </c>
      <c r="B13" t="s">
        <v>18</v>
      </c>
      <c r="C13" t="s">
        <v>28</v>
      </c>
      <c r="D13" s="6">
        <f>VLOOKUP(TargetsPercent23[[#This Row],[KEY]],[1]!HistoricalData[#Data],4,FALSE)</f>
        <v>0</v>
      </c>
      <c r="E13" s="6">
        <f>VLOOKUP(TargetsPercent23[[#This Row],[KEY]],[1]!HistoricalData[#Data],5,FALSE)</f>
        <v>0</v>
      </c>
      <c r="F13" s="6">
        <f>VLOOKUP(TargetsPercent23[[#This Row],[KEY]],[1]!HistoricalData[#Data],6,FALSE)</f>
        <v>0</v>
      </c>
      <c r="G13" s="5">
        <f>VLOOKUP(TargetsPercent23[[#This Row],[KEY]],[1]!HistoricalData[#Data],7,FALSE)</f>
        <v>0</v>
      </c>
      <c r="H13" s="8">
        <f>AVERAGE(TargetsPercent23[[#This Row],[2016–17 Historical data]],TargetsPercent23[[#This Row],[2017–18 Historical data]],TargetsPercent23[[#This Row],[2018–19 Historical data]])</f>
        <v>0</v>
      </c>
      <c r="I13" s="8">
        <f>ABS(TargetsPercent23[[#This Row],[2016–17 Historical data]]-TargetsPercent23[[#This Row],[2017–18 Historical data]])</f>
        <v>0</v>
      </c>
      <c r="J13" s="12">
        <f>ABS(TargetsPercent23[[#This Row],[2017–18 Historical data]]-TargetsPercent23[[#This Row],[2018–19 Historical data]])</f>
        <v>0</v>
      </c>
      <c r="K1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" s="26">
        <f>TargetsPercent23[[#This Row],[Average (calculated)]]-TargetsPercent23[[#This Row],[Band of Tolerance (calculated)]]</f>
        <v>-0.01</v>
      </c>
      <c r="M13" s="22">
        <f>TargetsPercent23[[#This Row],[2020–21
Allowable
performance
target]]-TargetsPercent23[[#This Row],[Target Floor (calculated)]]</f>
        <v>0.01</v>
      </c>
    </row>
    <row r="14" spans="1:13" x14ac:dyDescent="0.2">
      <c r="A14" t="str">
        <f>_xlfn.CONCAT(TargetsPercent23[[#This Row],[University]],":",TargetsPercent23[[#This Row],[Metric]])</f>
        <v>Algoma University:Tri-agency research funding</v>
      </c>
      <c r="B14" t="s">
        <v>18</v>
      </c>
      <c r="C14" t="s">
        <v>29</v>
      </c>
      <c r="D14" s="18">
        <f>VLOOKUP(TargetsPercent23[[#This Row],[KEY]],[1]!HistoricalData[#Data],4,FALSE)</f>
        <v>289297</v>
      </c>
      <c r="E14" s="18">
        <f>VLOOKUP(TargetsPercent23[[#This Row],[KEY]],[1]!HistoricalData[#Data],5,FALSE)</f>
        <v>273208</v>
      </c>
      <c r="F14" s="18">
        <f>VLOOKUP(TargetsPercent23[[#This Row],[KEY]],[1]!HistoricalData[#Data],6,FALSE)</f>
        <v>272161</v>
      </c>
      <c r="G14" s="19">
        <f>VLOOKUP(TargetsPercent23[[#This Row],[KEY]],[1]!HistoricalData[#Data],7,FALSE)</f>
        <v>0</v>
      </c>
      <c r="H14" s="11">
        <f>AVERAGE(TargetsPercent23[[#This Row],[2016–17 Historical data]],TargetsPercent23[[#This Row],[2017–18 Historical data]],TargetsPercent23[[#This Row],[2018–19 Historical data]])</f>
        <v>278222</v>
      </c>
      <c r="I14" s="2">
        <f>ABS((TargetsPercent23[[#This Row],[2017–18 Historical data]]-TargetsPercent23[[#This Row],[2016–17 Historical data]])/TargetsPercent23[[#This Row],[2016–17 Historical data]])</f>
        <v>5.5614126658762447E-2</v>
      </c>
      <c r="J14" s="2">
        <f>ABS((TargetsPercent23[[#This Row],[2018–19 Historical data]]-TargetsPercent23[[#This Row],[2017–18 Historical data]])/TargetsPercent23[[#This Row],[2017–18 Historical data]])</f>
        <v>3.8322450294281281E-3</v>
      </c>
      <c r="K1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" s="10">
        <f>TargetsPercent23[[#This Row],[Average (calculated)]]-TargetsPercent23[[#This Row],[Band of Tolerance (calculated)]]</f>
        <v>278221.99</v>
      </c>
      <c r="M14" s="11">
        <f>TargetsPercent23[[#This Row],[2020–21
Allowable
performance
target]]-TargetsPercent23[[#This Row],[Target Floor (calculated)]]</f>
        <v>-278221.99</v>
      </c>
    </row>
    <row r="15" spans="1:13" x14ac:dyDescent="0.2">
      <c r="A15" t="str">
        <f>_xlfn.CONCAT(TargetsPercent23[[#This Row],[University]],":",TargetsPercent23[[#This Row],[Metric]])</f>
        <v>Brock University:01. Graduate employment rate in a related field</v>
      </c>
      <c r="B15" t="s">
        <v>30</v>
      </c>
      <c r="C15" t="s">
        <v>19</v>
      </c>
      <c r="D15" s="6">
        <f>VLOOKUP(TargetsPercent23[[#This Row],[KEY]],[1]!HistoricalData[#Data],4,FALSE)</f>
        <v>0.87270000000000003</v>
      </c>
      <c r="E15" s="6">
        <f>VLOOKUP(TargetsPercent23[[#This Row],[KEY]],[1]!HistoricalData[#Data],5,FALSE)</f>
        <v>0.89229999999999998</v>
      </c>
      <c r="F15" s="6">
        <f>VLOOKUP(TargetsPercent23[[#This Row],[KEY]],[1]!HistoricalData[#Data],6,FALSE)</f>
        <v>0.88519999999999999</v>
      </c>
      <c r="G15" s="5">
        <f>VLOOKUP(TargetsPercent23[[#This Row],[KEY]],[1]!HistoricalData[#Data],7,FALSE)</f>
        <v>0.877</v>
      </c>
      <c r="H15" s="2">
        <f>AVERAGE(TargetsPercent23[[#This Row],[2016–17 Historical data]],TargetsPercent23[[#This Row],[2017–18 Historical data]],TargetsPercent23[[#This Row],[2018–19 Historical data]])</f>
        <v>0.88339999999999996</v>
      </c>
      <c r="I15" s="2">
        <f>ABS(TargetsPercent23[[#This Row],[2016–17 Historical data]]-TargetsPercent23[[#This Row],[2017–18 Historical data]])</f>
        <v>1.9599999999999951E-2</v>
      </c>
      <c r="J15" s="2">
        <f>ABS(TargetsPercent23[[#This Row],[2017–18 Historical data]]-TargetsPercent23[[#This Row],[2018–19 Historical data]])</f>
        <v>7.0999999999999952E-3</v>
      </c>
      <c r="K1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" s="23">
        <f>TargetsPercent23[[#This Row],[Average (calculated)]]-TargetsPercent23[[#This Row],[Band of Tolerance (calculated)]]</f>
        <v>0.87339999999999995</v>
      </c>
      <c r="M15" s="22">
        <f>TargetsPercent23[[#This Row],[2020–21
Allowable
performance
target]]-TargetsPercent23[[#This Row],[Target Floor (calculated)]]</f>
        <v>3.6000000000000476E-3</v>
      </c>
    </row>
    <row r="16" spans="1:13" x14ac:dyDescent="0.2">
      <c r="A16" t="str">
        <f>_xlfn.CONCAT(TargetsPercent23[[#This Row],[University]],":",TargetsPercent23[[#This Row],[Metric]])</f>
        <v>Brock University:02. Institutional strength and focus</v>
      </c>
      <c r="B16" t="s">
        <v>30</v>
      </c>
      <c r="C16" t="s">
        <v>20</v>
      </c>
      <c r="D16" s="6">
        <f>VLOOKUP(TargetsPercent23[[#This Row],[KEY]],[1]!HistoricalData[#Data],4,FALSE)</f>
        <v>0.4703</v>
      </c>
      <c r="E16" s="6">
        <f>VLOOKUP(TargetsPercent23[[#This Row],[KEY]],[1]!HistoricalData[#Data],5,FALSE)</f>
        <v>0.48699999999999999</v>
      </c>
      <c r="F16" s="6">
        <f>VLOOKUP(TargetsPercent23[[#This Row],[KEY]],[1]!HistoricalData[#Data],6,FALSE)</f>
        <v>0.505</v>
      </c>
      <c r="G16" s="5">
        <f>VLOOKUP(TargetsPercent23[[#This Row],[KEY]],[1]!HistoricalData[#Data],7,FALSE)</f>
        <v>0.49180000000000001</v>
      </c>
      <c r="H16" s="2">
        <f>AVERAGE(TargetsPercent23[[#This Row],[2016–17 Historical data]],TargetsPercent23[[#This Row],[2017–18 Historical data]],TargetsPercent23[[#This Row],[2018–19 Historical data]])</f>
        <v>0.48743333333333333</v>
      </c>
      <c r="I16" s="2">
        <f>ABS(TargetsPercent23[[#This Row],[2016–17 Historical data]]-TargetsPercent23[[#This Row],[2017–18 Historical data]])</f>
        <v>1.6699999999999993E-2</v>
      </c>
      <c r="J16" s="2">
        <f>ABS(TargetsPercent23[[#This Row],[2017–18 Historical data]]-TargetsPercent23[[#This Row],[2018–19 Historical data]])</f>
        <v>1.8000000000000016E-2</v>
      </c>
      <c r="K16" s="2">
        <f>IF(MIN(TargetsPercent23[[#This Row],[ABS 2016-17 to 2017-18 (calculated)]:[ABS 2017-18 to 2018-19 (calculated)]])&lt;0.01,0.01,MIN(TargetsPercent23[[#This Row],[ABS 2016-17 to 2017-18 (calculated)]:[ABS 2017-18 to 2018-19 (calculated)]]))</f>
        <v>1.6699999999999993E-2</v>
      </c>
      <c r="L16" s="23">
        <f>TargetsPercent23[[#This Row],[Average (calculated)]]-TargetsPercent23[[#This Row],[Band of Tolerance (calculated)]]</f>
        <v>0.47073333333333334</v>
      </c>
      <c r="M16" s="22">
        <f>TargetsPercent23[[#This Row],[2020–21
Allowable
performance
target]]-TargetsPercent23[[#This Row],[Target Floor (calculated)]]</f>
        <v>2.1066666666666678E-2</v>
      </c>
    </row>
    <row r="17" spans="1:13" x14ac:dyDescent="0.2">
      <c r="A17" t="str">
        <f>_xlfn.CONCAT(TargetsPercent23[[#This Row],[University]],":",TargetsPercent23[[#This Row],[Metric]])</f>
        <v>Brock University:03. Graduation rate</v>
      </c>
      <c r="B17" t="s">
        <v>30</v>
      </c>
      <c r="C17" t="s">
        <v>21</v>
      </c>
      <c r="D17" s="6">
        <f>VLOOKUP(TargetsPercent23[[#This Row],[KEY]],[1]!HistoricalData[#Data],4,FALSE)</f>
        <v>0.73870000000000002</v>
      </c>
      <c r="E17" s="6">
        <f>VLOOKUP(TargetsPercent23[[#This Row],[KEY]],[1]!HistoricalData[#Data],5,FALSE)</f>
        <v>0.74780000000000002</v>
      </c>
      <c r="F17" s="6">
        <f>VLOOKUP(TargetsPercent23[[#This Row],[KEY]],[1]!HistoricalData[#Data],6,FALSE)</f>
        <v>0.75760000000000005</v>
      </c>
      <c r="G17" s="5">
        <f>VLOOKUP(TargetsPercent23[[#This Row],[KEY]],[1]!HistoricalData[#Data],7,FALSE)</f>
        <v>0.74750000000000005</v>
      </c>
      <c r="H17" s="2">
        <f>AVERAGE(TargetsPercent23[[#This Row],[2016–17 Historical data]],TargetsPercent23[[#This Row],[2017–18 Historical data]],TargetsPercent23[[#This Row],[2018–19 Historical data]])</f>
        <v>0.74803333333333333</v>
      </c>
      <c r="I17" s="2">
        <f>ABS(TargetsPercent23[[#This Row],[2016–17 Historical data]]-TargetsPercent23[[#This Row],[2017–18 Historical data]])</f>
        <v>9.099999999999997E-3</v>
      </c>
      <c r="J17" s="2">
        <f>ABS(TargetsPercent23[[#This Row],[2017–18 Historical data]]-TargetsPercent23[[#This Row],[2018–19 Historical data]])</f>
        <v>9.8000000000000309E-3</v>
      </c>
      <c r="K1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" s="23">
        <f>TargetsPercent23[[#This Row],[Average (calculated)]]-TargetsPercent23[[#This Row],[Band of Tolerance (calculated)]]</f>
        <v>0.73803333333333332</v>
      </c>
      <c r="M17" s="22">
        <f>TargetsPercent23[[#This Row],[2020–21
Allowable
performance
target]]-TargetsPercent23[[#This Row],[Target Floor (calculated)]]</f>
        <v>9.4666666666667343E-3</v>
      </c>
    </row>
    <row r="18" spans="1:13" x14ac:dyDescent="0.2">
      <c r="A18" t="str">
        <f>_xlfn.CONCAT(TargetsPercent23[[#This Row],[University]],":",TargetsPercent23[[#This Row],[Metric]])</f>
        <v>Brock University:04. Community and local impact of student enrolment</v>
      </c>
      <c r="B18" t="s">
        <v>30</v>
      </c>
      <c r="C18" t="s">
        <v>22</v>
      </c>
      <c r="D18" s="6">
        <f>VLOOKUP(TargetsPercent23[[#This Row],[KEY]],[1]!HistoricalData[#Data],4,FALSE)</f>
        <v>0.2024</v>
      </c>
      <c r="E18" s="6">
        <f>VLOOKUP(TargetsPercent23[[#This Row],[KEY]],[1]!HistoricalData[#Data],5,FALSE)</f>
        <v>0.20399999999999999</v>
      </c>
      <c r="F18" s="6">
        <f>VLOOKUP(TargetsPercent23[[#This Row],[KEY]],[1]!HistoricalData[#Data],6,FALSE)</f>
        <v>0.20660000000000001</v>
      </c>
      <c r="G18" s="5">
        <f>VLOOKUP(TargetsPercent23[[#This Row],[KEY]],[1]!HistoricalData[#Data],7,FALSE)</f>
        <v>0.20380000000000001</v>
      </c>
      <c r="H18" s="2">
        <f>AVERAGE(TargetsPercent23[[#This Row],[2016–17 Historical data]],TargetsPercent23[[#This Row],[2017–18 Historical data]],TargetsPercent23[[#This Row],[2018–19 Historical data]])</f>
        <v>0.20433333333333334</v>
      </c>
      <c r="I18" s="2">
        <f>ABS(TargetsPercent23[[#This Row],[2016–17 Historical data]]-TargetsPercent23[[#This Row],[2017–18 Historical data]])</f>
        <v>1.5999999999999903E-3</v>
      </c>
      <c r="J18" s="2">
        <f>ABS(TargetsPercent23[[#This Row],[2017–18 Historical data]]-TargetsPercent23[[#This Row],[2018–19 Historical data]])</f>
        <v>2.600000000000019E-3</v>
      </c>
      <c r="K1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" s="24">
        <f>TargetsPercent23[[#This Row],[Average (calculated)]]-TargetsPercent23[[#This Row],[Band of Tolerance (calculated)]]</f>
        <v>0.19433333333333333</v>
      </c>
      <c r="M18" s="25">
        <f>TargetsPercent23[[#This Row],[2020–21
Allowable
performance
target]]-TargetsPercent23[[#This Row],[Target Floor (calculated)]]</f>
        <v>9.4666666666666788E-3</v>
      </c>
    </row>
    <row r="19" spans="1:13" x14ac:dyDescent="0.2">
      <c r="A19" t="str">
        <f>_xlfn.CONCAT(TargetsPercent23[[#This Row],[University]],":",TargetsPercent23[[#This Row],[Metric]])</f>
        <v>Brock University:05. Economic impact (institution-specific)</v>
      </c>
      <c r="B19" t="s">
        <v>30</v>
      </c>
      <c r="C19" t="s">
        <v>23</v>
      </c>
      <c r="D19" s="18">
        <f>VLOOKUP(TargetsPercent23[[#This Row],[KEY]],[1]!HistoricalData[#Data],4,FALSE)</f>
        <v>1614</v>
      </c>
      <c r="E19" s="18">
        <f>VLOOKUP(TargetsPercent23[[#This Row],[KEY]],[1]!HistoricalData[#Data],5,FALSE)</f>
        <v>1577</v>
      </c>
      <c r="F19" s="18">
        <f>VLOOKUP(TargetsPercent23[[#This Row],[KEY]],[1]!HistoricalData[#Data],6,FALSE)</f>
        <v>1637</v>
      </c>
      <c r="G19" s="19">
        <f>VLOOKUP(TargetsPercent23[[#This Row],[KEY]],[1]!HistoricalData[#Data],7,FALSE)</f>
        <v>1596</v>
      </c>
      <c r="H19" s="11">
        <f>AVERAGE(TargetsPercent23[[#This Row],[2016–17 Historical data]],TargetsPercent23[[#This Row],[2017–18 Historical data]],TargetsPercent23[[#This Row],[2018–19 Historical data]])</f>
        <v>1609.3333333333333</v>
      </c>
      <c r="I19" s="2">
        <f>ABS((TargetsPercent23[[#This Row],[2017–18 Historical data]]-TargetsPercent23[[#This Row],[2016–17 Historical data]])/TargetsPercent23[[#This Row],[2016–17 Historical data]])</f>
        <v>2.292441140024783E-2</v>
      </c>
      <c r="J19" s="2">
        <f>ABS((TargetsPercent23[[#This Row],[2018–19 Historical data]]-TargetsPercent23[[#This Row],[2017–18 Historical data]])/TargetsPercent23[[#This Row],[2017–18 Historical data]])</f>
        <v>3.8046924540266328E-2</v>
      </c>
      <c r="K19" s="2">
        <f>IF(MIN(TargetsPercent23[[#This Row],[ABS 2016-17 to 2017-18 (calculated)]:[ABS 2017-18 to 2018-19 (calculated)]])&lt;0.01,0.01,MIN(TargetsPercent23[[#This Row],[ABS 2016-17 to 2017-18 (calculated)]:[ABS 2017-18 to 2018-19 (calculated)]]))</f>
        <v>2.292441140024783E-2</v>
      </c>
      <c r="L19" s="10">
        <f>TargetsPercent23[[#This Row],[Average (calculated)]]-TargetsPercent23[[#This Row],[Band of Tolerance (calculated)]]</f>
        <v>1609.310408921933</v>
      </c>
      <c r="M19" s="11">
        <f>TargetsPercent23[[#This Row],[2020–21
Allowable
performance
target]]-TargetsPercent23[[#This Row],[Target Floor (calculated)]]</f>
        <v>-13.310408921933004</v>
      </c>
    </row>
    <row r="20" spans="1:13" x14ac:dyDescent="0.2">
      <c r="A20" t="str">
        <f>_xlfn.CONCAT(TargetsPercent23[[#This Row],[University]],":",TargetsPercent23[[#This Row],[Metric]])</f>
        <v>Brock University:06. Research funding and capacity: federal tri-agency funding secured</v>
      </c>
      <c r="B20" t="s">
        <v>30</v>
      </c>
      <c r="C20" t="s">
        <v>24</v>
      </c>
      <c r="D20" s="18">
        <f>VLOOKUP(TargetsPercent23[[#This Row],[KEY]],[1]!HistoricalData[#Data],4,FALSE)</f>
        <v>6.7999999999999996E-3</v>
      </c>
      <c r="E20" s="18">
        <f>VLOOKUP(TargetsPercent23[[#This Row],[KEY]],[1]!HistoricalData[#Data],5,FALSE)</f>
        <v>7.3000000000000001E-3</v>
      </c>
      <c r="F20" s="18">
        <f>VLOOKUP(TargetsPercent23[[#This Row],[KEY]],[1]!HistoricalData[#Data],6,FALSE)</f>
        <v>7.1999999999999998E-3</v>
      </c>
      <c r="G20" s="19">
        <f>VLOOKUP(TargetsPercent23[[#This Row],[KEY]],[1]!HistoricalData[#Data],7,FALSE)</f>
        <v>6.8999999999999999E-3</v>
      </c>
      <c r="H20" s="11">
        <f>AVERAGE(TargetsPercent23[[#This Row],[2016–17 Historical data]],TargetsPercent23[[#This Row],[2017–18 Historical data]],TargetsPercent23[[#This Row],[2018–19 Historical data]])</f>
        <v>7.0999999999999995E-3</v>
      </c>
      <c r="I20" s="2">
        <f>ABS((TargetsPercent23[[#This Row],[2017–18 Historical data]]-TargetsPercent23[[#This Row],[2016–17 Historical data]])/TargetsPercent23[[#This Row],[2016–17 Historical data]])</f>
        <v>7.3529411764705954E-2</v>
      </c>
      <c r="J20" s="2">
        <f>ABS((TargetsPercent23[[#This Row],[2018–19 Historical data]]-TargetsPercent23[[#This Row],[2017–18 Historical data]])/TargetsPercent23[[#This Row],[2017–18 Historical data]])</f>
        <v>1.3698630136986337E-2</v>
      </c>
      <c r="K20" s="2">
        <f>IF(MIN(TargetsPercent23[[#This Row],[ABS 2016-17 to 2017-18 (calculated)]:[ABS 2017-18 to 2018-19 (calculated)]])&lt;0.01,0.01,MIN(TargetsPercent23[[#This Row],[ABS 2016-17 to 2017-18 (calculated)]:[ABS 2017-18 to 2018-19 (calculated)]]))</f>
        <v>1.3698630136986337E-2</v>
      </c>
      <c r="L20" s="10">
        <f>TargetsPercent23[[#This Row],[Average (calculated)]]-TargetsPercent23[[#This Row],[Band of Tolerance (calculated)]]</f>
        <v>-6.5986301369863375E-3</v>
      </c>
      <c r="M20" s="11">
        <f>TargetsPercent23[[#This Row],[2020–21
Allowable
performance
target]]-TargetsPercent23[[#This Row],[Target Floor (calculated)]]</f>
        <v>1.3498630136986337E-2</v>
      </c>
    </row>
    <row r="21" spans="1:13" x14ac:dyDescent="0.2">
      <c r="A21" t="str">
        <f>_xlfn.CONCAT(TargetsPercent23[[#This Row],[University]],":",TargetsPercent23[[#This Row],[Metric]])</f>
        <v>Brock University:07. Experiential learning</v>
      </c>
      <c r="B21" t="s">
        <v>30</v>
      </c>
      <c r="C21" t="s">
        <v>25</v>
      </c>
      <c r="D21" s="6">
        <f>VLOOKUP(TargetsPercent23[[#This Row],[KEY]],[1]!HistoricalData[#Data],4,FALSE)</f>
        <v>0</v>
      </c>
      <c r="E21" s="6">
        <f>VLOOKUP(TargetsPercent23[[#This Row],[KEY]],[1]!HistoricalData[#Data],5,FALSE)</f>
        <v>0</v>
      </c>
      <c r="F21" s="6">
        <f>VLOOKUP(TargetsPercent23[[#This Row],[KEY]],[1]!HistoricalData[#Data],6,FALSE)</f>
        <v>0</v>
      </c>
      <c r="G21" s="5">
        <f>VLOOKUP(TargetsPercent23[[#This Row],[KEY]],[1]!HistoricalData[#Data],7,FALSE)</f>
        <v>0</v>
      </c>
      <c r="H21" s="9">
        <f>AVERAGE(TargetsPercent23[[#This Row],[2016–17 Historical data]],TargetsPercent23[[#This Row],[2017–18 Historical data]],TargetsPercent23[[#This Row],[2018–19 Historical data]])</f>
        <v>0</v>
      </c>
      <c r="I21" s="9">
        <f>ABS(TargetsPercent23[[#This Row],[2016–17 Historical data]]-TargetsPercent23[[#This Row],[2017–18 Historical data]])</f>
        <v>0</v>
      </c>
      <c r="J21" s="2">
        <f>ABS(TargetsPercent23[[#This Row],[2017–18 Historical data]]-TargetsPercent23[[#This Row],[2018–19 Historical data]])</f>
        <v>0</v>
      </c>
      <c r="K2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" s="26">
        <f>TargetsPercent23[[#This Row],[Average (calculated)]]-TargetsPercent23[[#This Row],[Band of Tolerance (calculated)]]</f>
        <v>-0.01</v>
      </c>
      <c r="M21" s="22">
        <f>TargetsPercent23[[#This Row],[2020–21
Allowable
performance
target]]-TargetsPercent23[[#This Row],[Target Floor (calculated)]]</f>
        <v>0.01</v>
      </c>
    </row>
    <row r="22" spans="1:13" x14ac:dyDescent="0.2">
      <c r="A22" t="str">
        <f>_xlfn.CONCAT(TargetsPercent23[[#This Row],[University]],":",TargetsPercent23[[#This Row],[Metric]])</f>
        <v>Brock University:08. Research revenue attracted from private sector sources</v>
      </c>
      <c r="B22" t="s">
        <v>30</v>
      </c>
      <c r="C22" t="s">
        <v>26</v>
      </c>
      <c r="D22" s="18">
        <f>VLOOKUP(TargetsPercent23[[#This Row],[KEY]],[1]!HistoricalData[#Data],4,FALSE)</f>
        <v>0</v>
      </c>
      <c r="E22" s="18">
        <f>VLOOKUP(TargetsPercent23[[#This Row],[KEY]],[1]!HistoricalData[#Data],5,FALSE)</f>
        <v>0</v>
      </c>
      <c r="F22" s="18">
        <f>VLOOKUP(TargetsPercent23[[#This Row],[KEY]],[1]!HistoricalData[#Data],6,FALSE)</f>
        <v>0</v>
      </c>
      <c r="G22" s="19">
        <f>VLOOKUP(TargetsPercent23[[#This Row],[KEY]],[1]!HistoricalData[#Data],7,FALSE)</f>
        <v>0</v>
      </c>
      <c r="H22" s="11">
        <f>AVERAGE(TargetsPercent23[[#This Row],[2016–17 Historical data]],TargetsPercent23[[#This Row],[2017–18 Historical data]],TargetsPercent23[[#This Row],[2018–19 Historical data]])</f>
        <v>0</v>
      </c>
      <c r="I22" s="2" t="e">
        <f>ABS((TargetsPercent23[[#This Row],[2017–18 Historical data]]-TargetsPercent23[[#This Row],[2016–17 Historical data]])/TargetsPercent23[[#This Row],[2016–17 Historical data]])</f>
        <v>#DIV/0!</v>
      </c>
      <c r="J22" s="2" t="e">
        <f>ABS((TargetsPercent23[[#This Row],[2018–19 Historical data]]-TargetsPercent23[[#This Row],[2017–18 Historical data]])/TargetsPercent23[[#This Row],[2017–18 Historical data]])</f>
        <v>#DIV/0!</v>
      </c>
      <c r="K22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22" s="10" t="e">
        <f>TargetsPercent23[[#This Row],[Average (calculated)]]-TargetsPercent23[[#This Row],[Band of Tolerance (calculated)]]</f>
        <v>#DIV/0!</v>
      </c>
      <c r="M22" s="11" t="e">
        <f>TargetsPercent23[[#This Row],[2020–21
Allowable
performance
target]]-TargetsPercent23[[#This Row],[Target Floor (calculated)]]</f>
        <v>#DIV/0!</v>
      </c>
    </row>
    <row r="23" spans="1:13" x14ac:dyDescent="0.2">
      <c r="A23" t="str">
        <f>_xlfn.CONCAT(TargetsPercent23[[#This Row],[University]],":",TargetsPercent23[[#This Row],[Metric]])</f>
        <v>Brock University:09. Graduate employment earnings</v>
      </c>
      <c r="B23" t="s">
        <v>30</v>
      </c>
      <c r="C23" t="s">
        <v>27</v>
      </c>
      <c r="D23" s="6">
        <f>VLOOKUP(TargetsPercent23[[#This Row],[KEY]],[1]!HistoricalData[#Data],4,FALSE)</f>
        <v>0</v>
      </c>
      <c r="E23" s="6">
        <f>VLOOKUP(TargetsPercent23[[#This Row],[KEY]],[1]!HistoricalData[#Data],5,FALSE)</f>
        <v>0</v>
      </c>
      <c r="F23" s="6">
        <f>VLOOKUP(TargetsPercent23[[#This Row],[KEY]],[1]!HistoricalData[#Data],6,FALSE)</f>
        <v>0</v>
      </c>
      <c r="G23" s="5">
        <f>VLOOKUP(TargetsPercent23[[#This Row],[KEY]],[1]!HistoricalData[#Data],7,FALSE)</f>
        <v>0</v>
      </c>
      <c r="H23" s="9">
        <f>AVERAGE(TargetsPercent23[[#This Row],[2016–17 Historical data]],TargetsPercent23[[#This Row],[2017–18 Historical data]],TargetsPercent23[[#This Row],[2018–19 Historical data]])</f>
        <v>0</v>
      </c>
      <c r="I23" s="9">
        <f>ABS(TargetsPercent23[[#This Row],[2016–17 Historical data]]-TargetsPercent23[[#This Row],[2017–18 Historical data]])</f>
        <v>0</v>
      </c>
      <c r="J23" s="2">
        <f>ABS(TargetsPercent23[[#This Row],[2017–18 Historical data]]-TargetsPercent23[[#This Row],[2018–19 Historical data]])</f>
        <v>0</v>
      </c>
      <c r="K2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3" s="26">
        <f>TargetsPercent23[[#This Row],[Average (calculated)]]-TargetsPercent23[[#This Row],[Band of Tolerance (calculated)]]</f>
        <v>-0.01</v>
      </c>
      <c r="M23" s="22">
        <f>TargetsPercent23[[#This Row],[2020–21
Allowable
performance
target]]-TargetsPercent23[[#This Row],[Target Floor (calculated)]]</f>
        <v>0.01</v>
      </c>
    </row>
    <row r="24" spans="1:13" x14ac:dyDescent="0.2">
      <c r="A24" t="str">
        <f>_xlfn.CONCAT(TargetsPercent23[[#This Row],[University]],":",TargetsPercent23[[#This Row],[Metric]])</f>
        <v>Brock University:10. Skills and competencies</v>
      </c>
      <c r="B24" t="s">
        <v>30</v>
      </c>
      <c r="C24" t="s">
        <v>28</v>
      </c>
      <c r="D24" s="6">
        <f>VLOOKUP(TargetsPercent23[[#This Row],[KEY]],[1]!HistoricalData[#Data],4,FALSE)</f>
        <v>0</v>
      </c>
      <c r="E24" s="6">
        <f>VLOOKUP(TargetsPercent23[[#This Row],[KEY]],[1]!HistoricalData[#Data],5,FALSE)</f>
        <v>0</v>
      </c>
      <c r="F24" s="6">
        <f>VLOOKUP(TargetsPercent23[[#This Row],[KEY]],[1]!HistoricalData[#Data],6,FALSE)</f>
        <v>0</v>
      </c>
      <c r="G24" s="5">
        <f>VLOOKUP(TargetsPercent23[[#This Row],[KEY]],[1]!HistoricalData[#Data],7,FALSE)</f>
        <v>0</v>
      </c>
      <c r="H24" s="9">
        <f>AVERAGE(TargetsPercent23[[#This Row],[2016–17 Historical data]],TargetsPercent23[[#This Row],[2017–18 Historical data]],TargetsPercent23[[#This Row],[2018–19 Historical data]])</f>
        <v>0</v>
      </c>
      <c r="I24" s="9">
        <f>ABS(TargetsPercent23[[#This Row],[2016–17 Historical data]]-TargetsPercent23[[#This Row],[2017–18 Historical data]])</f>
        <v>0</v>
      </c>
      <c r="J24" s="2">
        <f>ABS(TargetsPercent23[[#This Row],[2017–18 Historical data]]-TargetsPercent23[[#This Row],[2018–19 Historical data]])</f>
        <v>0</v>
      </c>
      <c r="K2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4" s="26">
        <f>TargetsPercent23[[#This Row],[Average (calculated)]]-TargetsPercent23[[#This Row],[Band of Tolerance (calculated)]]</f>
        <v>-0.01</v>
      </c>
      <c r="M24" s="22">
        <f>TargetsPercent23[[#This Row],[2020–21
Allowable
performance
target]]-TargetsPercent23[[#This Row],[Target Floor (calculated)]]</f>
        <v>0.01</v>
      </c>
    </row>
    <row r="25" spans="1:13" x14ac:dyDescent="0.2">
      <c r="A25" t="str">
        <f>_xlfn.CONCAT(TargetsPercent23[[#This Row],[University]],":",TargetsPercent23[[#This Row],[Metric]])</f>
        <v>Brock University:Tri-agency research funding</v>
      </c>
      <c r="B25" t="s">
        <v>30</v>
      </c>
      <c r="C25" t="s">
        <v>29</v>
      </c>
      <c r="D25" s="18">
        <f>VLOOKUP(TargetsPercent23[[#This Row],[KEY]],[1]!HistoricalData[#Data],4,FALSE)</f>
        <v>4346768</v>
      </c>
      <c r="E25" s="18">
        <f>VLOOKUP(TargetsPercent23[[#This Row],[KEY]],[1]!HistoricalData[#Data],5,FALSE)</f>
        <v>4842015</v>
      </c>
      <c r="F25" s="18">
        <f>VLOOKUP(TargetsPercent23[[#This Row],[KEY]],[1]!HistoricalData[#Data],6,FALSE)</f>
        <v>4908478</v>
      </c>
      <c r="G25" s="19">
        <f>VLOOKUP(TargetsPercent23[[#This Row],[KEY]],[1]!HistoricalData[#Data],7,FALSE)</f>
        <v>0</v>
      </c>
      <c r="H25" s="11">
        <f>AVERAGE(TargetsPercent23[[#This Row],[2016–17 Historical data]],TargetsPercent23[[#This Row],[2017–18 Historical data]],TargetsPercent23[[#This Row],[2018–19 Historical data]])</f>
        <v>4699087</v>
      </c>
      <c r="I25" s="2">
        <f>ABS((TargetsPercent23[[#This Row],[2017–18 Historical data]]-TargetsPercent23[[#This Row],[2016–17 Historical data]])/TargetsPercent23[[#This Row],[2016–17 Historical data]])</f>
        <v>0.11393453710895084</v>
      </c>
      <c r="J25" s="2">
        <f>ABS((TargetsPercent23[[#This Row],[2018–19 Historical data]]-TargetsPercent23[[#This Row],[2017–18 Historical data]])/TargetsPercent23[[#This Row],[2017–18 Historical data]])</f>
        <v>1.3726310224152547E-2</v>
      </c>
      <c r="K25" s="2">
        <f>IF(MIN(TargetsPercent23[[#This Row],[ABS 2016-17 to 2017-18 (calculated)]:[ABS 2017-18 to 2018-19 (calculated)]])&lt;0.01,0.01,MIN(TargetsPercent23[[#This Row],[ABS 2016-17 to 2017-18 (calculated)]:[ABS 2017-18 to 2018-19 (calculated)]]))</f>
        <v>1.3726310224152547E-2</v>
      </c>
      <c r="L25" s="10">
        <f>TargetsPercent23[[#This Row],[Average (calculated)]]-TargetsPercent23[[#This Row],[Band of Tolerance (calculated)]]</f>
        <v>4699086.9862736901</v>
      </c>
      <c r="M25" s="11">
        <f>TargetsPercent23[[#This Row],[2020–21
Allowable
performance
target]]-TargetsPercent23[[#This Row],[Target Floor (calculated)]]</f>
        <v>-4699086.9862736901</v>
      </c>
    </row>
    <row r="26" spans="1:13" x14ac:dyDescent="0.2">
      <c r="A26" t="str">
        <f>_xlfn.CONCAT(TargetsPercent23[[#This Row],[University]],":",TargetsPercent23[[#This Row],[Metric]])</f>
        <v>Carleton University:01. Graduate employment rate in a related field</v>
      </c>
      <c r="B26" t="s">
        <v>31</v>
      </c>
      <c r="C26" t="s">
        <v>19</v>
      </c>
      <c r="D26" s="6">
        <f>VLOOKUP(TargetsPercent23[[#This Row],[KEY]],[1]!HistoricalData[#Data],4,FALSE)</f>
        <v>0.84560000000000002</v>
      </c>
      <c r="E26" s="6">
        <f>VLOOKUP(TargetsPercent23[[#This Row],[KEY]],[1]!HistoricalData[#Data],5,FALSE)</f>
        <v>0.85550000000000004</v>
      </c>
      <c r="F26" s="6">
        <f>VLOOKUP(TargetsPercent23[[#This Row],[KEY]],[1]!HistoricalData[#Data],6,FALSE)</f>
        <v>0.83189999999999997</v>
      </c>
      <c r="G26" s="5">
        <f>VLOOKUP(TargetsPercent23[[#This Row],[KEY]],[1]!HistoricalData[#Data],7,FALSE)</f>
        <v>0.83750000000000002</v>
      </c>
      <c r="H26" s="2">
        <f>AVERAGE(TargetsPercent23[[#This Row],[2016–17 Historical data]],TargetsPercent23[[#This Row],[2017–18 Historical data]],TargetsPercent23[[#This Row],[2018–19 Historical data]])</f>
        <v>0.84433333333333327</v>
      </c>
      <c r="I26" s="2">
        <f>ABS(TargetsPercent23[[#This Row],[2016–17 Historical data]]-TargetsPercent23[[#This Row],[2017–18 Historical data]])</f>
        <v>9.9000000000000199E-3</v>
      </c>
      <c r="J26" s="2">
        <f>ABS(TargetsPercent23[[#This Row],[2017–18 Historical data]]-TargetsPercent23[[#This Row],[2018–19 Historical data]])</f>
        <v>2.3600000000000065E-2</v>
      </c>
      <c r="K2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6" s="23">
        <f>TargetsPercent23[[#This Row],[Average (calculated)]]-TargetsPercent23[[#This Row],[Band of Tolerance (calculated)]]</f>
        <v>0.83433333333333326</v>
      </c>
      <c r="M26" s="22">
        <f>TargetsPercent23[[#This Row],[2020–21
Allowable
performance
target]]-TargetsPercent23[[#This Row],[Target Floor (calculated)]]</f>
        <v>3.166666666666762E-3</v>
      </c>
    </row>
    <row r="27" spans="1:13" x14ac:dyDescent="0.2">
      <c r="A27" t="str">
        <f>_xlfn.CONCAT(TargetsPercent23[[#This Row],[University]],":",TargetsPercent23[[#This Row],[Metric]])</f>
        <v>Carleton University:02. Institutional strength and focus</v>
      </c>
      <c r="B27" t="s">
        <v>31</v>
      </c>
      <c r="C27" t="s">
        <v>20</v>
      </c>
      <c r="D27" s="6">
        <f>VLOOKUP(TargetsPercent23[[#This Row],[KEY]],[1]!HistoricalData[#Data],4,FALSE)</f>
        <v>0.44140000000000001</v>
      </c>
      <c r="E27" s="6">
        <f>VLOOKUP(TargetsPercent23[[#This Row],[KEY]],[1]!HistoricalData[#Data],5,FALSE)</f>
        <v>0.4501</v>
      </c>
      <c r="F27" s="6">
        <f>VLOOKUP(TargetsPercent23[[#This Row],[KEY]],[1]!HistoricalData[#Data],6,FALSE)</f>
        <v>0.45610000000000001</v>
      </c>
      <c r="G27" s="5">
        <f>VLOOKUP(TargetsPercent23[[#This Row],[KEY]],[1]!HistoricalData[#Data],7,FALSE)</f>
        <v>0.4521</v>
      </c>
      <c r="H27" s="2">
        <f>AVERAGE(TargetsPercent23[[#This Row],[2016–17 Historical data]],TargetsPercent23[[#This Row],[2017–18 Historical data]],TargetsPercent23[[#This Row],[2018–19 Historical data]])</f>
        <v>0.44919999999999999</v>
      </c>
      <c r="I27" s="2">
        <f>ABS(TargetsPercent23[[#This Row],[2016–17 Historical data]]-TargetsPercent23[[#This Row],[2017–18 Historical data]])</f>
        <v>8.6999999999999855E-3</v>
      </c>
      <c r="J27" s="2">
        <f>ABS(TargetsPercent23[[#This Row],[2017–18 Historical data]]-TargetsPercent23[[#This Row],[2018–19 Historical data]])</f>
        <v>6.0000000000000053E-3</v>
      </c>
      <c r="K2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7" s="23">
        <f>TargetsPercent23[[#This Row],[Average (calculated)]]-TargetsPercent23[[#This Row],[Band of Tolerance (calculated)]]</f>
        <v>0.43919999999999998</v>
      </c>
      <c r="M27" s="22">
        <f>TargetsPercent23[[#This Row],[2020–21
Allowable
performance
target]]-TargetsPercent23[[#This Row],[Target Floor (calculated)]]</f>
        <v>1.2900000000000023E-2</v>
      </c>
    </row>
    <row r="28" spans="1:13" x14ac:dyDescent="0.2">
      <c r="A28" t="str">
        <f>_xlfn.CONCAT(TargetsPercent23[[#This Row],[University]],":",TargetsPercent23[[#This Row],[Metric]])</f>
        <v>Carleton University:03. Graduation rate</v>
      </c>
      <c r="B28" t="s">
        <v>31</v>
      </c>
      <c r="C28" t="s">
        <v>21</v>
      </c>
      <c r="D28" s="6">
        <f>VLOOKUP(TargetsPercent23[[#This Row],[KEY]],[1]!HistoricalData[#Data],4,FALSE)</f>
        <v>0.6764</v>
      </c>
      <c r="E28" s="6">
        <f>VLOOKUP(TargetsPercent23[[#This Row],[KEY]],[1]!HistoricalData[#Data],5,FALSE)</f>
        <v>0.67679999999999996</v>
      </c>
      <c r="F28" s="6">
        <f>VLOOKUP(TargetsPercent23[[#This Row],[KEY]],[1]!HistoricalData[#Data],6,FALSE)</f>
        <v>0.68510000000000004</v>
      </c>
      <c r="G28" s="5">
        <f>VLOOKUP(TargetsPercent23[[#This Row],[KEY]],[1]!HistoricalData[#Data],7,FALSE)</f>
        <v>0.67300000000000004</v>
      </c>
      <c r="H28" s="2">
        <f>AVERAGE(TargetsPercent23[[#This Row],[2016–17 Historical data]],TargetsPercent23[[#This Row],[2017–18 Historical data]],TargetsPercent23[[#This Row],[2018–19 Historical data]])</f>
        <v>0.67943333333333333</v>
      </c>
      <c r="I28" s="2">
        <f>ABS(TargetsPercent23[[#This Row],[2016–17 Historical data]]-TargetsPercent23[[#This Row],[2017–18 Historical data]])</f>
        <v>3.9999999999995595E-4</v>
      </c>
      <c r="J28" s="2">
        <f>ABS(TargetsPercent23[[#This Row],[2017–18 Historical data]]-TargetsPercent23[[#This Row],[2018–19 Historical data]])</f>
        <v>8.3000000000000851E-3</v>
      </c>
      <c r="K2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8" s="23">
        <f>TargetsPercent23[[#This Row],[Average (calculated)]]-TargetsPercent23[[#This Row],[Band of Tolerance (calculated)]]</f>
        <v>0.66943333333333332</v>
      </c>
      <c r="M28" s="22">
        <f>TargetsPercent23[[#This Row],[2020–21
Allowable
performance
target]]-TargetsPercent23[[#This Row],[Target Floor (calculated)]]</f>
        <v>3.5666666666667179E-3</v>
      </c>
    </row>
    <row r="29" spans="1:13" x14ac:dyDescent="0.2">
      <c r="A29" t="str">
        <f>_xlfn.CONCAT(TargetsPercent23[[#This Row],[University]],":",TargetsPercent23[[#This Row],[Metric]])</f>
        <v>Carleton University:04. Community and local impact of student enrolment</v>
      </c>
      <c r="B29" t="s">
        <v>31</v>
      </c>
      <c r="C29" t="s">
        <v>22</v>
      </c>
      <c r="D29" s="6">
        <f>VLOOKUP(TargetsPercent23[[#This Row],[KEY]],[1]!HistoricalData[#Data],4,FALSE)</f>
        <v>4.7300000000000002E-2</v>
      </c>
      <c r="E29" s="6">
        <f>VLOOKUP(TargetsPercent23[[#This Row],[KEY]],[1]!HistoricalData[#Data],5,FALSE)</f>
        <v>4.87E-2</v>
      </c>
      <c r="F29" s="6">
        <f>VLOOKUP(TargetsPercent23[[#This Row],[KEY]],[1]!HistoricalData[#Data],6,FALSE)</f>
        <v>4.9299999999999997E-2</v>
      </c>
      <c r="G29" s="5">
        <f>VLOOKUP(TargetsPercent23[[#This Row],[KEY]],[1]!HistoricalData[#Data],7,FALSE)</f>
        <v>4.8000000000000001E-2</v>
      </c>
      <c r="H29" s="2">
        <f>AVERAGE(TargetsPercent23[[#This Row],[2016–17 Historical data]],TargetsPercent23[[#This Row],[2017–18 Historical data]],TargetsPercent23[[#This Row],[2018–19 Historical data]])</f>
        <v>4.8433333333333328E-2</v>
      </c>
      <c r="I29" s="2">
        <f>ABS(TargetsPercent23[[#This Row],[2016–17 Historical data]]-TargetsPercent23[[#This Row],[2017–18 Historical data]])</f>
        <v>1.3999999999999985E-3</v>
      </c>
      <c r="J29" s="2">
        <f>ABS(TargetsPercent23[[#This Row],[2017–18 Historical data]]-TargetsPercent23[[#This Row],[2018–19 Historical data]])</f>
        <v>5.9999999999999637E-4</v>
      </c>
      <c r="K2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9" s="24">
        <f>TargetsPercent23[[#This Row],[Average (calculated)]]-TargetsPercent23[[#This Row],[Band of Tolerance (calculated)]]</f>
        <v>3.8433333333333326E-2</v>
      </c>
      <c r="M29" s="25">
        <f>TargetsPercent23[[#This Row],[2020–21
Allowable
performance
target]]-TargetsPercent23[[#This Row],[Target Floor (calculated)]]</f>
        <v>9.5666666666666747E-3</v>
      </c>
    </row>
    <row r="30" spans="1:13" x14ac:dyDescent="0.2">
      <c r="A30" t="str">
        <f>_xlfn.CONCAT(TargetsPercent23[[#This Row],[University]],":",TargetsPercent23[[#This Row],[Metric]])</f>
        <v>Carleton University:05. Economic impact (institution-specific)</v>
      </c>
      <c r="B30" t="s">
        <v>31</v>
      </c>
      <c r="C30" t="s">
        <v>23</v>
      </c>
      <c r="D30" s="18">
        <f>VLOOKUP(TargetsPercent23[[#This Row],[KEY]],[1]!HistoricalData[#Data],4,FALSE)</f>
        <v>25</v>
      </c>
      <c r="E30" s="18">
        <f>VLOOKUP(TargetsPercent23[[#This Row],[KEY]],[1]!HistoricalData[#Data],5,FALSE)</f>
        <v>29</v>
      </c>
      <c r="F30" s="18">
        <f>VLOOKUP(TargetsPercent23[[#This Row],[KEY]],[1]!HistoricalData[#Data],6,FALSE)</f>
        <v>22</v>
      </c>
      <c r="G30" s="19">
        <f>VLOOKUP(TargetsPercent23[[#This Row],[KEY]],[1]!HistoricalData[#Data],7,FALSE)</f>
        <v>23.45</v>
      </c>
      <c r="H30" s="11">
        <f>AVERAGE(TargetsPercent23[[#This Row],[2016–17 Historical data]],TargetsPercent23[[#This Row],[2017–18 Historical data]],TargetsPercent23[[#This Row],[2018–19 Historical data]])</f>
        <v>25.333333333333332</v>
      </c>
      <c r="I30" s="2">
        <f>ABS((TargetsPercent23[[#This Row],[2017–18 Historical data]]-TargetsPercent23[[#This Row],[2016–17 Historical data]])/TargetsPercent23[[#This Row],[2016–17 Historical data]])</f>
        <v>0.16</v>
      </c>
      <c r="J30" s="2">
        <f>ABS((TargetsPercent23[[#This Row],[2018–19 Historical data]]-TargetsPercent23[[#This Row],[2017–18 Historical data]])/TargetsPercent23[[#This Row],[2017–18 Historical data]])</f>
        <v>0.2413793103448276</v>
      </c>
      <c r="K30" s="2">
        <f>IF(MIN(TargetsPercent23[[#This Row],[ABS 2016-17 to 2017-18 (calculated)]:[ABS 2017-18 to 2018-19 (calculated)]])&lt;0.01,0.01,MIN(TargetsPercent23[[#This Row],[ABS 2016-17 to 2017-18 (calculated)]:[ABS 2017-18 to 2018-19 (calculated)]]))</f>
        <v>0.16</v>
      </c>
      <c r="L30" s="10">
        <f>TargetsPercent23[[#This Row],[Average (calculated)]]-TargetsPercent23[[#This Row],[Band of Tolerance (calculated)]]</f>
        <v>25.173333333333332</v>
      </c>
      <c r="M30" s="11">
        <f>TargetsPercent23[[#This Row],[2020–21
Allowable
performance
target]]-TargetsPercent23[[#This Row],[Target Floor (calculated)]]</f>
        <v>-1.7233333333333327</v>
      </c>
    </row>
    <row r="31" spans="1:13" x14ac:dyDescent="0.2">
      <c r="A31" t="str">
        <f>_xlfn.CONCAT(TargetsPercent23[[#This Row],[University]],":",TargetsPercent23[[#This Row],[Metric]])</f>
        <v>Carleton University:06. Research funding and capacity: federal tri-agency funding secured</v>
      </c>
      <c r="B31" t="s">
        <v>31</v>
      </c>
      <c r="C31" t="s">
        <v>24</v>
      </c>
      <c r="D31" s="18">
        <f>VLOOKUP(TargetsPercent23[[#This Row],[KEY]],[1]!HistoricalData[#Data],4,FALSE)</f>
        <v>2.4799999999999999E-2</v>
      </c>
      <c r="E31" s="18">
        <f>VLOOKUP(TargetsPercent23[[#This Row],[KEY]],[1]!HistoricalData[#Data],5,FALSE)</f>
        <v>2.5100000000000001E-2</v>
      </c>
      <c r="F31" s="18">
        <f>VLOOKUP(TargetsPercent23[[#This Row],[KEY]],[1]!HistoricalData[#Data],6,FALSE)</f>
        <v>2.6200000000000001E-2</v>
      </c>
      <c r="G31" s="19">
        <f>VLOOKUP(TargetsPercent23[[#This Row],[KEY]],[1]!HistoricalData[#Data],7,FALSE)</f>
        <v>2.47E-2</v>
      </c>
      <c r="H31" s="11">
        <f>AVERAGE(TargetsPercent23[[#This Row],[2016–17 Historical data]],TargetsPercent23[[#This Row],[2017–18 Historical data]],TargetsPercent23[[#This Row],[2018–19 Historical data]])</f>
        <v>2.5366666666666666E-2</v>
      </c>
      <c r="I31" s="2">
        <f>ABS((TargetsPercent23[[#This Row],[2017–18 Historical data]]-TargetsPercent23[[#This Row],[2016–17 Historical data]])/TargetsPercent23[[#This Row],[2016–17 Historical data]])</f>
        <v>1.2096774193548454E-2</v>
      </c>
      <c r="J31" s="2">
        <f>ABS((TargetsPercent23[[#This Row],[2018–19 Historical data]]-TargetsPercent23[[#This Row],[2017–18 Historical data]])/TargetsPercent23[[#This Row],[2017–18 Historical data]])</f>
        <v>4.3824701195219133E-2</v>
      </c>
      <c r="K31" s="2">
        <f>IF(MIN(TargetsPercent23[[#This Row],[ABS 2016-17 to 2017-18 (calculated)]:[ABS 2017-18 to 2018-19 (calculated)]])&lt;0.01,0.01,MIN(TargetsPercent23[[#This Row],[ABS 2016-17 to 2017-18 (calculated)]:[ABS 2017-18 to 2018-19 (calculated)]]))</f>
        <v>1.2096774193548454E-2</v>
      </c>
      <c r="L31" s="10">
        <f>TargetsPercent23[[#This Row],[Average (calculated)]]-TargetsPercent23[[#This Row],[Band of Tolerance (calculated)]]</f>
        <v>1.3269892473118211E-2</v>
      </c>
      <c r="M31" s="11">
        <f>TargetsPercent23[[#This Row],[2020–21
Allowable
performance
target]]-TargetsPercent23[[#This Row],[Target Floor (calculated)]]</f>
        <v>1.1430107526881788E-2</v>
      </c>
    </row>
    <row r="32" spans="1:13" x14ac:dyDescent="0.2">
      <c r="A32" t="str">
        <f>_xlfn.CONCAT(TargetsPercent23[[#This Row],[University]],":",TargetsPercent23[[#This Row],[Metric]])</f>
        <v>Carleton University:07. Experiential learning</v>
      </c>
      <c r="B32" t="s">
        <v>31</v>
      </c>
      <c r="C32" t="s">
        <v>25</v>
      </c>
      <c r="D32" s="6">
        <f>VLOOKUP(TargetsPercent23[[#This Row],[KEY]],[1]!HistoricalData[#Data],4,FALSE)</f>
        <v>0</v>
      </c>
      <c r="E32" s="6">
        <f>VLOOKUP(TargetsPercent23[[#This Row],[KEY]],[1]!HistoricalData[#Data],5,FALSE)</f>
        <v>0</v>
      </c>
      <c r="F32" s="6">
        <f>VLOOKUP(TargetsPercent23[[#This Row],[KEY]],[1]!HistoricalData[#Data],6,FALSE)</f>
        <v>0</v>
      </c>
      <c r="G32" s="5">
        <f>VLOOKUP(TargetsPercent23[[#This Row],[KEY]],[1]!HistoricalData[#Data],7,FALSE)</f>
        <v>0</v>
      </c>
      <c r="H32" s="8">
        <f>AVERAGE(TargetsPercent23[[#This Row],[2016–17 Historical data]],TargetsPercent23[[#This Row],[2017–18 Historical data]],TargetsPercent23[[#This Row],[2018–19 Historical data]])</f>
        <v>0</v>
      </c>
      <c r="I32" s="8">
        <f>ABS(TargetsPercent23[[#This Row],[2016–17 Historical data]]-TargetsPercent23[[#This Row],[2017–18 Historical data]])</f>
        <v>0</v>
      </c>
      <c r="J32" s="12">
        <f>ABS(TargetsPercent23[[#This Row],[2017–18 Historical data]]-TargetsPercent23[[#This Row],[2018–19 Historical data]])</f>
        <v>0</v>
      </c>
      <c r="K3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32" s="26">
        <f>TargetsPercent23[[#This Row],[Average (calculated)]]-TargetsPercent23[[#This Row],[Band of Tolerance (calculated)]]</f>
        <v>-0.01</v>
      </c>
      <c r="M32" s="22">
        <f>TargetsPercent23[[#This Row],[2020–21
Allowable
performance
target]]-TargetsPercent23[[#This Row],[Target Floor (calculated)]]</f>
        <v>0.01</v>
      </c>
    </row>
    <row r="33" spans="1:13" x14ac:dyDescent="0.2">
      <c r="A33" t="str">
        <f>_xlfn.CONCAT(TargetsPercent23[[#This Row],[University]],":",TargetsPercent23[[#This Row],[Metric]])</f>
        <v>Carleton University:08. Research revenue attracted from private sector sources</v>
      </c>
      <c r="B33" t="s">
        <v>31</v>
      </c>
      <c r="C33" t="s">
        <v>26</v>
      </c>
      <c r="D33" s="18">
        <f>VLOOKUP(TargetsPercent23[[#This Row],[KEY]],[1]!HistoricalData[#Data],4,FALSE)</f>
        <v>0</v>
      </c>
      <c r="E33" s="18">
        <f>VLOOKUP(TargetsPercent23[[#This Row],[KEY]],[1]!HistoricalData[#Data],5,FALSE)</f>
        <v>0</v>
      </c>
      <c r="F33" s="18">
        <f>VLOOKUP(TargetsPercent23[[#This Row],[KEY]],[1]!HistoricalData[#Data],6,FALSE)</f>
        <v>0</v>
      </c>
      <c r="G33" s="19">
        <f>VLOOKUP(TargetsPercent23[[#This Row],[KEY]],[1]!HistoricalData[#Data],7,FALSE)</f>
        <v>0</v>
      </c>
      <c r="H33" s="11">
        <f>AVERAGE(TargetsPercent23[[#This Row],[2016–17 Historical data]],TargetsPercent23[[#This Row],[2017–18 Historical data]],TargetsPercent23[[#This Row],[2018–19 Historical data]])</f>
        <v>0</v>
      </c>
      <c r="I33" s="2" t="e">
        <f>ABS((TargetsPercent23[[#This Row],[2017–18 Historical data]]-TargetsPercent23[[#This Row],[2016–17 Historical data]])/TargetsPercent23[[#This Row],[2016–17 Historical data]])</f>
        <v>#DIV/0!</v>
      </c>
      <c r="J33" s="2" t="e">
        <f>ABS((TargetsPercent23[[#This Row],[2018–19 Historical data]]-TargetsPercent23[[#This Row],[2017–18 Historical data]])/TargetsPercent23[[#This Row],[2017–18 Historical data]])</f>
        <v>#DIV/0!</v>
      </c>
      <c r="K33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33" s="10" t="e">
        <f>TargetsPercent23[[#This Row],[Average (calculated)]]-TargetsPercent23[[#This Row],[Band of Tolerance (calculated)]]</f>
        <v>#DIV/0!</v>
      </c>
      <c r="M33" s="11" t="e">
        <f>TargetsPercent23[[#This Row],[2020–21
Allowable
performance
target]]-TargetsPercent23[[#This Row],[Target Floor (calculated)]]</f>
        <v>#DIV/0!</v>
      </c>
    </row>
    <row r="34" spans="1:13" x14ac:dyDescent="0.2">
      <c r="A34" t="str">
        <f>_xlfn.CONCAT(TargetsPercent23[[#This Row],[University]],":",TargetsPercent23[[#This Row],[Metric]])</f>
        <v>Carleton University:09. Graduate employment earnings</v>
      </c>
      <c r="B34" t="s">
        <v>31</v>
      </c>
      <c r="C34" t="s">
        <v>27</v>
      </c>
      <c r="D34" s="6">
        <f>VLOOKUP(TargetsPercent23[[#This Row],[KEY]],[1]!HistoricalData[#Data],4,FALSE)</f>
        <v>0</v>
      </c>
      <c r="E34" s="6">
        <f>VLOOKUP(TargetsPercent23[[#This Row],[KEY]],[1]!HistoricalData[#Data],5,FALSE)</f>
        <v>0</v>
      </c>
      <c r="F34" s="6">
        <f>VLOOKUP(TargetsPercent23[[#This Row],[KEY]],[1]!HistoricalData[#Data],6,FALSE)</f>
        <v>0</v>
      </c>
      <c r="G34" s="5">
        <f>VLOOKUP(TargetsPercent23[[#This Row],[KEY]],[1]!HistoricalData[#Data],7,FALSE)</f>
        <v>0</v>
      </c>
      <c r="H34" s="8">
        <f>AVERAGE(TargetsPercent23[[#This Row],[2016–17 Historical data]],TargetsPercent23[[#This Row],[2017–18 Historical data]],TargetsPercent23[[#This Row],[2018–19 Historical data]])</f>
        <v>0</v>
      </c>
      <c r="I34" s="8">
        <f>ABS(TargetsPercent23[[#This Row],[2016–17 Historical data]]-TargetsPercent23[[#This Row],[2017–18 Historical data]])</f>
        <v>0</v>
      </c>
      <c r="J34" s="12">
        <f>ABS(TargetsPercent23[[#This Row],[2017–18 Historical data]]-TargetsPercent23[[#This Row],[2018–19 Historical data]])</f>
        <v>0</v>
      </c>
      <c r="K3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34" s="26">
        <f>TargetsPercent23[[#This Row],[Average (calculated)]]-TargetsPercent23[[#This Row],[Band of Tolerance (calculated)]]</f>
        <v>-0.01</v>
      </c>
      <c r="M34" s="22">
        <f>TargetsPercent23[[#This Row],[2020–21
Allowable
performance
target]]-TargetsPercent23[[#This Row],[Target Floor (calculated)]]</f>
        <v>0.01</v>
      </c>
    </row>
    <row r="35" spans="1:13" x14ac:dyDescent="0.2">
      <c r="A35" t="str">
        <f>_xlfn.CONCAT(TargetsPercent23[[#This Row],[University]],":",TargetsPercent23[[#This Row],[Metric]])</f>
        <v>Carleton University:10. Skills and competencies</v>
      </c>
      <c r="B35" t="s">
        <v>31</v>
      </c>
      <c r="C35" t="s">
        <v>28</v>
      </c>
      <c r="D35" s="6">
        <f>VLOOKUP(TargetsPercent23[[#This Row],[KEY]],[1]!HistoricalData[#Data],4,FALSE)</f>
        <v>0</v>
      </c>
      <c r="E35" s="6">
        <f>VLOOKUP(TargetsPercent23[[#This Row],[KEY]],[1]!HistoricalData[#Data],5,FALSE)</f>
        <v>0</v>
      </c>
      <c r="F35" s="6">
        <f>VLOOKUP(TargetsPercent23[[#This Row],[KEY]],[1]!HistoricalData[#Data],6,FALSE)</f>
        <v>0</v>
      </c>
      <c r="G35" s="5">
        <f>VLOOKUP(TargetsPercent23[[#This Row],[KEY]],[1]!HistoricalData[#Data],7,FALSE)</f>
        <v>0</v>
      </c>
      <c r="H35" s="8">
        <f>AVERAGE(TargetsPercent23[[#This Row],[2016–17 Historical data]],TargetsPercent23[[#This Row],[2017–18 Historical data]],TargetsPercent23[[#This Row],[2018–19 Historical data]])</f>
        <v>0</v>
      </c>
      <c r="I35" s="8">
        <f>ABS(TargetsPercent23[[#This Row],[2016–17 Historical data]]-TargetsPercent23[[#This Row],[2017–18 Historical data]])</f>
        <v>0</v>
      </c>
      <c r="J35" s="12">
        <f>ABS(TargetsPercent23[[#This Row],[2017–18 Historical data]]-TargetsPercent23[[#This Row],[2018–19 Historical data]])</f>
        <v>0</v>
      </c>
      <c r="K3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35" s="26">
        <f>TargetsPercent23[[#This Row],[Average (calculated)]]-TargetsPercent23[[#This Row],[Band of Tolerance (calculated)]]</f>
        <v>-0.01</v>
      </c>
      <c r="M35" s="22">
        <f>TargetsPercent23[[#This Row],[2020–21
Allowable
performance
target]]-TargetsPercent23[[#This Row],[Target Floor (calculated)]]</f>
        <v>0.01</v>
      </c>
    </row>
    <row r="36" spans="1:13" x14ac:dyDescent="0.2">
      <c r="A36" t="str">
        <f>_xlfn.CONCAT(TargetsPercent23[[#This Row],[University]],":",TargetsPercent23[[#This Row],[Metric]])</f>
        <v>Carleton University:Tri-agency research funding</v>
      </c>
      <c r="B36" t="s">
        <v>31</v>
      </c>
      <c r="C36" t="s">
        <v>29</v>
      </c>
      <c r="D36" s="18">
        <f>VLOOKUP(TargetsPercent23[[#This Row],[KEY]],[1]!HistoricalData[#Data],4,FALSE)</f>
        <v>15796236</v>
      </c>
      <c r="E36" s="18">
        <f>VLOOKUP(TargetsPercent23[[#This Row],[KEY]],[1]!HistoricalData[#Data],5,FALSE)</f>
        <v>16702350</v>
      </c>
      <c r="F36" s="18">
        <f>VLOOKUP(TargetsPercent23[[#This Row],[KEY]],[1]!HistoricalData[#Data],6,FALSE)</f>
        <v>17791861</v>
      </c>
      <c r="G36" s="19">
        <f>VLOOKUP(TargetsPercent23[[#This Row],[KEY]],[1]!HistoricalData[#Data],7,FALSE)</f>
        <v>0</v>
      </c>
      <c r="H36" s="11">
        <f>AVERAGE(TargetsPercent23[[#This Row],[2016–17 Historical data]],TargetsPercent23[[#This Row],[2017–18 Historical data]],TargetsPercent23[[#This Row],[2018–19 Historical data]])</f>
        <v>16763482.333333334</v>
      </c>
      <c r="I36" s="2">
        <f>ABS((TargetsPercent23[[#This Row],[2017–18 Historical data]]-TargetsPercent23[[#This Row],[2016–17 Historical data]])/TargetsPercent23[[#This Row],[2016–17 Historical data]])</f>
        <v>5.7362652723091753E-2</v>
      </c>
      <c r="J36" s="2">
        <f>ABS((TargetsPercent23[[#This Row],[2018–19 Historical data]]-TargetsPercent23[[#This Row],[2017–18 Historical data]])/TargetsPercent23[[#This Row],[2017–18 Historical data]])</f>
        <v>6.5231000428083469E-2</v>
      </c>
      <c r="K36" s="2">
        <f>IF(MIN(TargetsPercent23[[#This Row],[ABS 2016-17 to 2017-18 (calculated)]:[ABS 2017-18 to 2018-19 (calculated)]])&lt;0.01,0.01,MIN(TargetsPercent23[[#This Row],[ABS 2016-17 to 2017-18 (calculated)]:[ABS 2017-18 to 2018-19 (calculated)]]))</f>
        <v>5.7362652723091753E-2</v>
      </c>
      <c r="L36" s="10">
        <f>TargetsPercent23[[#This Row],[Average (calculated)]]-TargetsPercent23[[#This Row],[Band of Tolerance (calculated)]]</f>
        <v>16763482.275970681</v>
      </c>
      <c r="M36" s="11">
        <f>TargetsPercent23[[#This Row],[2020–21
Allowable
performance
target]]-TargetsPercent23[[#This Row],[Target Floor (calculated)]]</f>
        <v>-16763482.275970681</v>
      </c>
    </row>
    <row r="37" spans="1:13" x14ac:dyDescent="0.2">
      <c r="A37" t="str">
        <f>_xlfn.CONCAT(TargetsPercent23[[#This Row],[University]],":",TargetsPercent23[[#This Row],[Metric]])</f>
        <v>Lakehead University:01. Graduate employment rate in a related field</v>
      </c>
      <c r="B37" t="s">
        <v>32</v>
      </c>
      <c r="C37" t="s">
        <v>19</v>
      </c>
      <c r="D37" s="6">
        <f>VLOOKUP(TargetsPercent23[[#This Row],[KEY]],[1]!HistoricalData[#Data],4,FALSE)</f>
        <v>0.90339999999999998</v>
      </c>
      <c r="E37" s="6">
        <f>VLOOKUP(TargetsPercent23[[#This Row],[KEY]],[1]!HistoricalData[#Data],5,FALSE)</f>
        <v>0.88770000000000004</v>
      </c>
      <c r="F37" s="6">
        <f>VLOOKUP(TargetsPercent23[[#This Row],[KEY]],[1]!HistoricalData[#Data],6,FALSE)</f>
        <v>92.04</v>
      </c>
      <c r="G37" s="5">
        <f>VLOOKUP(TargetsPercent23[[#This Row],[KEY]],[1]!HistoricalData[#Data],7,FALSE)</f>
        <v>0.89459999999999995</v>
      </c>
      <c r="H37" s="2">
        <f>AVERAGE(TargetsPercent23[[#This Row],[2016–17 Historical data]],TargetsPercent23[[#This Row],[2017–18 Historical data]],TargetsPercent23[[#This Row],[2018–19 Historical data]])</f>
        <v>31.277033333333335</v>
      </c>
      <c r="I37" s="2">
        <f>ABS(TargetsPercent23[[#This Row],[2016–17 Historical data]]-TargetsPercent23[[#This Row],[2017–18 Historical data]])</f>
        <v>1.5699999999999936E-2</v>
      </c>
      <c r="J37" s="2">
        <f>ABS(TargetsPercent23[[#This Row],[2017–18 Historical data]]-TargetsPercent23[[#This Row],[2018–19 Historical data]])</f>
        <v>91.152300000000011</v>
      </c>
      <c r="K37" s="2">
        <f>IF(MIN(TargetsPercent23[[#This Row],[ABS 2016-17 to 2017-18 (calculated)]:[ABS 2017-18 to 2018-19 (calculated)]])&lt;0.01,0.01,MIN(TargetsPercent23[[#This Row],[ABS 2016-17 to 2017-18 (calculated)]:[ABS 2017-18 to 2018-19 (calculated)]]))</f>
        <v>1.5699999999999936E-2</v>
      </c>
      <c r="L37" s="23">
        <f>TargetsPercent23[[#This Row],[Average (calculated)]]-TargetsPercent23[[#This Row],[Band of Tolerance (calculated)]]</f>
        <v>31.261333333333337</v>
      </c>
      <c r="M37" s="22">
        <f>TargetsPercent23[[#This Row],[2020–21
Allowable
performance
target]]-TargetsPercent23[[#This Row],[Target Floor (calculated)]]</f>
        <v>-30.366733333333336</v>
      </c>
    </row>
    <row r="38" spans="1:13" x14ac:dyDescent="0.2">
      <c r="A38" t="str">
        <f>_xlfn.CONCAT(TargetsPercent23[[#This Row],[University]],":",TargetsPercent23[[#This Row],[Metric]])</f>
        <v>Lakehead University:02. Institutional strength and focus</v>
      </c>
      <c r="B38" t="s">
        <v>32</v>
      </c>
      <c r="C38" t="s">
        <v>20</v>
      </c>
      <c r="D38" s="6">
        <f>VLOOKUP(TargetsPercent23[[#This Row],[KEY]],[1]!HistoricalData[#Data],4,FALSE)</f>
        <v>0.26229999999999998</v>
      </c>
      <c r="E38" s="6">
        <f>VLOOKUP(TargetsPercent23[[#This Row],[KEY]],[1]!HistoricalData[#Data],5,FALSE)</f>
        <v>0.25269999999999998</v>
      </c>
      <c r="F38" s="6">
        <f>VLOOKUP(TargetsPercent23[[#This Row],[KEY]],[1]!HistoricalData[#Data],6,FALSE)</f>
        <v>0.2555</v>
      </c>
      <c r="G38" s="5">
        <f>VLOOKUP(TargetsPercent23[[#This Row],[KEY]],[1]!HistoricalData[#Data],7,FALSE)</f>
        <v>0.26090000000000002</v>
      </c>
      <c r="H38" s="2">
        <f>AVERAGE(TargetsPercent23[[#This Row],[2016–17 Historical data]],TargetsPercent23[[#This Row],[2017–18 Historical data]],TargetsPercent23[[#This Row],[2018–19 Historical data]])</f>
        <v>0.2568333333333333</v>
      </c>
      <c r="I38" s="2">
        <f>ABS(TargetsPercent23[[#This Row],[2016–17 Historical data]]-TargetsPercent23[[#This Row],[2017–18 Historical data]])</f>
        <v>9.5999999999999974E-3</v>
      </c>
      <c r="J38" s="2">
        <f>ABS(TargetsPercent23[[#This Row],[2017–18 Historical data]]-TargetsPercent23[[#This Row],[2018–19 Historical data]])</f>
        <v>2.8000000000000247E-3</v>
      </c>
      <c r="K3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38" s="23">
        <f>TargetsPercent23[[#This Row],[Average (calculated)]]-TargetsPercent23[[#This Row],[Band of Tolerance (calculated)]]</f>
        <v>0.24683333333333329</v>
      </c>
      <c r="M38" s="22">
        <f>TargetsPercent23[[#This Row],[2020–21
Allowable
performance
target]]-TargetsPercent23[[#This Row],[Target Floor (calculated)]]</f>
        <v>1.4066666666666727E-2</v>
      </c>
    </row>
    <row r="39" spans="1:13" x14ac:dyDescent="0.2">
      <c r="A39" t="str">
        <f>_xlfn.CONCAT(TargetsPercent23[[#This Row],[University]],":",TargetsPercent23[[#This Row],[Metric]])</f>
        <v>Lakehead University:03. Graduation rate</v>
      </c>
      <c r="B39" t="s">
        <v>32</v>
      </c>
      <c r="C39" t="s">
        <v>21</v>
      </c>
      <c r="D39" s="6">
        <f>VLOOKUP(TargetsPercent23[[#This Row],[KEY]],[1]!HistoricalData[#Data],4,FALSE)</f>
        <v>0.81</v>
      </c>
      <c r="E39" s="6">
        <f>VLOOKUP(TargetsPercent23[[#This Row],[KEY]],[1]!HistoricalData[#Data],5,FALSE)</f>
        <v>0.76729999999999998</v>
      </c>
      <c r="F39" s="6">
        <f>VLOOKUP(TargetsPercent23[[#This Row],[KEY]],[1]!HistoricalData[#Data],6,FALSE)</f>
        <v>0.74429999999999996</v>
      </c>
      <c r="G39" s="5">
        <f>VLOOKUP(TargetsPercent23[[#This Row],[KEY]],[1]!HistoricalData[#Data],7,FALSE)</f>
        <v>0.76390000000000002</v>
      </c>
      <c r="H39" s="2">
        <f>AVERAGE(TargetsPercent23[[#This Row],[2016–17 Historical data]],TargetsPercent23[[#This Row],[2017–18 Historical data]],TargetsPercent23[[#This Row],[2018–19 Historical data]])</f>
        <v>0.7738666666666667</v>
      </c>
      <c r="I39" s="2">
        <f>ABS(TargetsPercent23[[#This Row],[2016–17 Historical data]]-TargetsPercent23[[#This Row],[2017–18 Historical data]])</f>
        <v>4.2700000000000071E-2</v>
      </c>
      <c r="J39" s="2">
        <f>ABS(TargetsPercent23[[#This Row],[2017–18 Historical data]]-TargetsPercent23[[#This Row],[2018–19 Historical data]])</f>
        <v>2.300000000000002E-2</v>
      </c>
      <c r="K39" s="2">
        <f>IF(MIN(TargetsPercent23[[#This Row],[ABS 2016-17 to 2017-18 (calculated)]:[ABS 2017-18 to 2018-19 (calculated)]])&lt;0.01,0.01,MIN(TargetsPercent23[[#This Row],[ABS 2016-17 to 2017-18 (calculated)]:[ABS 2017-18 to 2018-19 (calculated)]]))</f>
        <v>2.300000000000002E-2</v>
      </c>
      <c r="L39" s="23">
        <f>TargetsPercent23[[#This Row],[Average (calculated)]]-TargetsPercent23[[#This Row],[Band of Tolerance (calculated)]]</f>
        <v>0.75086666666666668</v>
      </c>
      <c r="M39" s="22">
        <f>TargetsPercent23[[#This Row],[2020–21
Allowable
performance
target]]-TargetsPercent23[[#This Row],[Target Floor (calculated)]]</f>
        <v>1.3033333333333341E-2</v>
      </c>
    </row>
    <row r="40" spans="1:13" x14ac:dyDescent="0.2">
      <c r="A40" t="str">
        <f>_xlfn.CONCAT(TargetsPercent23[[#This Row],[University]],":",TargetsPercent23[[#This Row],[Metric]])</f>
        <v>Lakehead University:04. Community and local impact of student enrolment</v>
      </c>
      <c r="B40" t="s">
        <v>32</v>
      </c>
      <c r="C40" t="s">
        <v>22</v>
      </c>
      <c r="D40" s="6">
        <f>VLOOKUP(TargetsPercent23[[#This Row],[KEY]],[1]!HistoricalData[#Data],4,FALSE)</f>
        <v>8.43E-2</v>
      </c>
      <c r="E40" s="6">
        <f>VLOOKUP(TargetsPercent23[[#This Row],[KEY]],[1]!HistoricalData[#Data],5,FALSE)</f>
        <v>8.2799999999999999E-2</v>
      </c>
      <c r="F40" s="6">
        <f>VLOOKUP(TargetsPercent23[[#This Row],[KEY]],[1]!HistoricalData[#Data],6,FALSE)</f>
        <v>8.43E-2</v>
      </c>
      <c r="G40" s="5">
        <f>VLOOKUP(TargetsPercent23[[#This Row],[KEY]],[1]!HistoricalData[#Data],7,FALSE)</f>
        <v>8.3799999999999999E-2</v>
      </c>
      <c r="H40" s="2">
        <f>AVERAGE(TargetsPercent23[[#This Row],[2016–17 Historical data]],TargetsPercent23[[#This Row],[2017–18 Historical data]],TargetsPercent23[[#This Row],[2018–19 Historical data]])</f>
        <v>8.3799999999999999E-2</v>
      </c>
      <c r="I40" s="2">
        <f>ABS(TargetsPercent23[[#This Row],[2016–17 Historical data]]-TargetsPercent23[[#This Row],[2017–18 Historical data]])</f>
        <v>1.5000000000000013E-3</v>
      </c>
      <c r="J40" s="2">
        <f>ABS(TargetsPercent23[[#This Row],[2017–18 Historical data]]-TargetsPercent23[[#This Row],[2018–19 Historical data]])</f>
        <v>1.5000000000000013E-3</v>
      </c>
      <c r="K4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0" s="24">
        <f>TargetsPercent23[[#This Row],[Average (calculated)]]-TargetsPercent23[[#This Row],[Band of Tolerance (calculated)]]</f>
        <v>7.3800000000000004E-2</v>
      </c>
      <c r="M40" s="25">
        <f>TargetsPercent23[[#This Row],[2020–21
Allowable
performance
target]]-TargetsPercent23[[#This Row],[Target Floor (calculated)]]</f>
        <v>9.999999999999995E-3</v>
      </c>
    </row>
    <row r="41" spans="1:13" x14ac:dyDescent="0.2">
      <c r="A41" t="str">
        <f>_xlfn.CONCAT(TargetsPercent23[[#This Row],[University]],":",TargetsPercent23[[#This Row],[Metric]])</f>
        <v>Lakehead University:05. Economic impact (institution-specific)</v>
      </c>
      <c r="B41" t="s">
        <v>32</v>
      </c>
      <c r="C41" t="s">
        <v>23</v>
      </c>
      <c r="D41" s="18">
        <f>VLOOKUP(TargetsPercent23[[#This Row],[KEY]],[1]!HistoricalData[#Data],4,FALSE)</f>
        <v>1425000000</v>
      </c>
      <c r="E41" s="18">
        <f>VLOOKUP(TargetsPercent23[[#This Row],[KEY]],[1]!HistoricalData[#Data],5,FALSE)</f>
        <v>1469500000</v>
      </c>
      <c r="F41" s="18">
        <f>VLOOKUP(TargetsPercent23[[#This Row],[KEY]],[1]!HistoricalData[#Data],6,FALSE)</f>
        <v>1545100000</v>
      </c>
      <c r="G41" s="19">
        <f>VLOOKUP(TargetsPercent23[[#This Row],[KEY]],[1]!HistoricalData[#Data],7,FALSE)</f>
        <v>1461353815</v>
      </c>
      <c r="H41" s="11">
        <f>AVERAGE(TargetsPercent23[[#This Row],[2016–17 Historical data]],TargetsPercent23[[#This Row],[2017–18 Historical data]],TargetsPercent23[[#This Row],[2018–19 Historical data]])</f>
        <v>1479866666.6666667</v>
      </c>
      <c r="I41" s="2">
        <f>ABS((TargetsPercent23[[#This Row],[2017–18 Historical data]]-TargetsPercent23[[#This Row],[2016–17 Historical data]])/TargetsPercent23[[#This Row],[2016–17 Historical data]])</f>
        <v>3.1228070175438598E-2</v>
      </c>
      <c r="J41" s="2">
        <f>ABS((TargetsPercent23[[#This Row],[2018–19 Historical data]]-TargetsPercent23[[#This Row],[2017–18 Historical data]])/TargetsPercent23[[#This Row],[2017–18 Historical data]])</f>
        <v>5.1446070091867982E-2</v>
      </c>
      <c r="K41" s="2">
        <f>IF(MIN(TargetsPercent23[[#This Row],[ABS 2016-17 to 2017-18 (calculated)]:[ABS 2017-18 to 2018-19 (calculated)]])&lt;0.01,0.01,MIN(TargetsPercent23[[#This Row],[ABS 2016-17 to 2017-18 (calculated)]:[ABS 2017-18 to 2018-19 (calculated)]]))</f>
        <v>3.1228070175438598E-2</v>
      </c>
      <c r="L41" s="10">
        <f>TargetsPercent23[[#This Row],[Average (calculated)]]-TargetsPercent23[[#This Row],[Band of Tolerance (calculated)]]</f>
        <v>1479866666.6354387</v>
      </c>
      <c r="M41" s="11">
        <f>TargetsPercent23[[#This Row],[2020–21
Allowable
performance
target]]-TargetsPercent23[[#This Row],[Target Floor (calculated)]]</f>
        <v>-18512851.635438681</v>
      </c>
    </row>
    <row r="42" spans="1:13" x14ac:dyDescent="0.2">
      <c r="A42" t="str">
        <f>_xlfn.CONCAT(TargetsPercent23[[#This Row],[University]],":",TargetsPercent23[[#This Row],[Metric]])</f>
        <v>Lakehead University:06. Research funding and capacity: federal tri-agency funding secured</v>
      </c>
      <c r="B42" t="s">
        <v>32</v>
      </c>
      <c r="C42" t="s">
        <v>24</v>
      </c>
      <c r="D42" s="18">
        <f>VLOOKUP(TargetsPercent23[[#This Row],[KEY]],[1]!HistoricalData[#Data],4,FALSE)</f>
        <v>7.1999999999999998E-3</v>
      </c>
      <c r="E42" s="18">
        <f>VLOOKUP(TargetsPercent23[[#This Row],[KEY]],[1]!HistoricalData[#Data],5,FALSE)</f>
        <v>6.7000000000000002E-3</v>
      </c>
      <c r="F42" s="18">
        <f>VLOOKUP(TargetsPercent23[[#This Row],[KEY]],[1]!HistoricalData[#Data],6,FALSE)</f>
        <v>6.4999999999999997E-3</v>
      </c>
      <c r="G42" s="19">
        <f>VLOOKUP(TargetsPercent23[[#This Row],[KEY]],[1]!HistoricalData[#Data],7,FALSE)</f>
        <v>6.7000000000000002E-3</v>
      </c>
      <c r="H42" s="11">
        <f>AVERAGE(TargetsPercent23[[#This Row],[2016–17 Historical data]],TargetsPercent23[[#This Row],[2017–18 Historical data]],TargetsPercent23[[#This Row],[2018–19 Historical data]])</f>
        <v>6.7999999999999996E-3</v>
      </c>
      <c r="I42" s="2">
        <f>ABS((TargetsPercent23[[#This Row],[2017–18 Historical data]]-TargetsPercent23[[#This Row],[2016–17 Historical data]])/TargetsPercent23[[#This Row],[2016–17 Historical data]])</f>
        <v>6.9444444444444392E-2</v>
      </c>
      <c r="J42" s="2">
        <f>ABS((TargetsPercent23[[#This Row],[2018–19 Historical data]]-TargetsPercent23[[#This Row],[2017–18 Historical data]])/TargetsPercent23[[#This Row],[2017–18 Historical data]])</f>
        <v>2.9850746268656792E-2</v>
      </c>
      <c r="K42" s="2">
        <f>IF(MIN(TargetsPercent23[[#This Row],[ABS 2016-17 to 2017-18 (calculated)]:[ABS 2017-18 to 2018-19 (calculated)]])&lt;0.01,0.01,MIN(TargetsPercent23[[#This Row],[ABS 2016-17 to 2017-18 (calculated)]:[ABS 2017-18 to 2018-19 (calculated)]]))</f>
        <v>2.9850746268656792E-2</v>
      </c>
      <c r="L42" s="10">
        <f>TargetsPercent23[[#This Row],[Average (calculated)]]-TargetsPercent23[[#This Row],[Band of Tolerance (calculated)]]</f>
        <v>-2.3050746268656792E-2</v>
      </c>
      <c r="M42" s="11">
        <f>TargetsPercent23[[#This Row],[2020–21
Allowable
performance
target]]-TargetsPercent23[[#This Row],[Target Floor (calculated)]]</f>
        <v>2.9750746268656793E-2</v>
      </c>
    </row>
    <row r="43" spans="1:13" x14ac:dyDescent="0.2">
      <c r="A43" t="str">
        <f>_xlfn.CONCAT(TargetsPercent23[[#This Row],[University]],":",TargetsPercent23[[#This Row],[Metric]])</f>
        <v>Lakehead University:07. Experiential learning</v>
      </c>
      <c r="B43" t="s">
        <v>32</v>
      </c>
      <c r="C43" t="s">
        <v>25</v>
      </c>
      <c r="D43" s="6">
        <f>VLOOKUP(TargetsPercent23[[#This Row],[KEY]],[1]!HistoricalData[#Data],4,FALSE)</f>
        <v>0</v>
      </c>
      <c r="E43" s="6">
        <f>VLOOKUP(TargetsPercent23[[#This Row],[KEY]],[1]!HistoricalData[#Data],5,FALSE)</f>
        <v>0</v>
      </c>
      <c r="F43" s="6">
        <f>VLOOKUP(TargetsPercent23[[#This Row],[KEY]],[1]!HistoricalData[#Data],6,FALSE)</f>
        <v>0</v>
      </c>
      <c r="G43" s="5">
        <f>VLOOKUP(TargetsPercent23[[#This Row],[KEY]],[1]!HistoricalData[#Data],7,FALSE)</f>
        <v>0</v>
      </c>
      <c r="H43" s="9">
        <f>AVERAGE(TargetsPercent23[[#This Row],[2016–17 Historical data]],TargetsPercent23[[#This Row],[2017–18 Historical data]],TargetsPercent23[[#This Row],[2018–19 Historical data]])</f>
        <v>0</v>
      </c>
      <c r="I43" s="9">
        <f>ABS(TargetsPercent23[[#This Row],[2016–17 Historical data]]-TargetsPercent23[[#This Row],[2017–18 Historical data]])</f>
        <v>0</v>
      </c>
      <c r="J43" s="2">
        <f>ABS(TargetsPercent23[[#This Row],[2017–18 Historical data]]-TargetsPercent23[[#This Row],[2018–19 Historical data]])</f>
        <v>0</v>
      </c>
      <c r="K4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3" s="26">
        <f>TargetsPercent23[[#This Row],[Average (calculated)]]-TargetsPercent23[[#This Row],[Band of Tolerance (calculated)]]</f>
        <v>-0.01</v>
      </c>
      <c r="M43" s="22">
        <f>TargetsPercent23[[#This Row],[2020–21
Allowable
performance
target]]-TargetsPercent23[[#This Row],[Target Floor (calculated)]]</f>
        <v>0.01</v>
      </c>
    </row>
    <row r="44" spans="1:13" x14ac:dyDescent="0.2">
      <c r="A44" t="str">
        <f>_xlfn.CONCAT(TargetsPercent23[[#This Row],[University]],":",TargetsPercent23[[#This Row],[Metric]])</f>
        <v>Lakehead University:08. Research revenue attracted from private sector sources</v>
      </c>
      <c r="B44" t="s">
        <v>32</v>
      </c>
      <c r="C44" t="s">
        <v>26</v>
      </c>
      <c r="D44" s="18">
        <f>VLOOKUP(TargetsPercent23[[#This Row],[KEY]],[1]!HistoricalData[#Data],4,FALSE)</f>
        <v>0</v>
      </c>
      <c r="E44" s="18">
        <f>VLOOKUP(TargetsPercent23[[#This Row],[KEY]],[1]!HistoricalData[#Data],5,FALSE)</f>
        <v>0</v>
      </c>
      <c r="F44" s="18">
        <f>VLOOKUP(TargetsPercent23[[#This Row],[KEY]],[1]!HistoricalData[#Data],6,FALSE)</f>
        <v>0</v>
      </c>
      <c r="G44" s="19">
        <f>VLOOKUP(TargetsPercent23[[#This Row],[KEY]],[1]!HistoricalData[#Data],7,FALSE)</f>
        <v>0</v>
      </c>
      <c r="H44" s="11">
        <f>AVERAGE(TargetsPercent23[[#This Row],[2016–17 Historical data]],TargetsPercent23[[#This Row],[2017–18 Historical data]],TargetsPercent23[[#This Row],[2018–19 Historical data]])</f>
        <v>0</v>
      </c>
      <c r="I44" s="2" t="e">
        <f>ABS((TargetsPercent23[[#This Row],[2017–18 Historical data]]-TargetsPercent23[[#This Row],[2016–17 Historical data]])/TargetsPercent23[[#This Row],[2016–17 Historical data]])</f>
        <v>#DIV/0!</v>
      </c>
      <c r="J44" s="2" t="e">
        <f>ABS((TargetsPercent23[[#This Row],[2018–19 Historical data]]-TargetsPercent23[[#This Row],[2017–18 Historical data]])/TargetsPercent23[[#This Row],[2017–18 Historical data]])</f>
        <v>#DIV/0!</v>
      </c>
      <c r="K44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44" s="10" t="e">
        <f>TargetsPercent23[[#This Row],[Average (calculated)]]-TargetsPercent23[[#This Row],[Band of Tolerance (calculated)]]</f>
        <v>#DIV/0!</v>
      </c>
      <c r="M44" s="11" t="e">
        <f>TargetsPercent23[[#This Row],[2020–21
Allowable
performance
target]]-TargetsPercent23[[#This Row],[Target Floor (calculated)]]</f>
        <v>#DIV/0!</v>
      </c>
    </row>
    <row r="45" spans="1:13" x14ac:dyDescent="0.2">
      <c r="A45" t="str">
        <f>_xlfn.CONCAT(TargetsPercent23[[#This Row],[University]],":",TargetsPercent23[[#This Row],[Metric]])</f>
        <v>Lakehead University:09. Graduate employment earnings</v>
      </c>
      <c r="B45" t="s">
        <v>32</v>
      </c>
      <c r="C45" t="s">
        <v>27</v>
      </c>
      <c r="D45" s="6">
        <f>VLOOKUP(TargetsPercent23[[#This Row],[KEY]],[1]!HistoricalData[#Data],4,FALSE)</f>
        <v>0</v>
      </c>
      <c r="E45" s="6">
        <f>VLOOKUP(TargetsPercent23[[#This Row],[KEY]],[1]!HistoricalData[#Data],5,FALSE)</f>
        <v>0</v>
      </c>
      <c r="F45" s="6">
        <f>VLOOKUP(TargetsPercent23[[#This Row],[KEY]],[1]!HistoricalData[#Data],6,FALSE)</f>
        <v>0</v>
      </c>
      <c r="G45" s="5">
        <f>VLOOKUP(TargetsPercent23[[#This Row],[KEY]],[1]!HistoricalData[#Data],7,FALSE)</f>
        <v>0</v>
      </c>
      <c r="H45" s="9">
        <f>AVERAGE(TargetsPercent23[[#This Row],[2016–17 Historical data]],TargetsPercent23[[#This Row],[2017–18 Historical data]],TargetsPercent23[[#This Row],[2018–19 Historical data]])</f>
        <v>0</v>
      </c>
      <c r="I45" s="9">
        <f>ABS(TargetsPercent23[[#This Row],[2016–17 Historical data]]-TargetsPercent23[[#This Row],[2017–18 Historical data]])</f>
        <v>0</v>
      </c>
      <c r="J45" s="2">
        <f>ABS(TargetsPercent23[[#This Row],[2017–18 Historical data]]-TargetsPercent23[[#This Row],[2018–19 Historical data]])</f>
        <v>0</v>
      </c>
      <c r="K4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5" s="26">
        <f>TargetsPercent23[[#This Row],[Average (calculated)]]-TargetsPercent23[[#This Row],[Band of Tolerance (calculated)]]</f>
        <v>-0.01</v>
      </c>
      <c r="M45" s="22">
        <f>TargetsPercent23[[#This Row],[2020–21
Allowable
performance
target]]-TargetsPercent23[[#This Row],[Target Floor (calculated)]]</f>
        <v>0.01</v>
      </c>
    </row>
    <row r="46" spans="1:13" x14ac:dyDescent="0.2">
      <c r="A46" t="str">
        <f>_xlfn.CONCAT(TargetsPercent23[[#This Row],[University]],":",TargetsPercent23[[#This Row],[Metric]])</f>
        <v>Lakehead University:10. Skills and competencies</v>
      </c>
      <c r="B46" t="s">
        <v>32</v>
      </c>
      <c r="C46" t="s">
        <v>28</v>
      </c>
      <c r="D46" s="6">
        <f>VLOOKUP(TargetsPercent23[[#This Row],[KEY]],[1]!HistoricalData[#Data],4,FALSE)</f>
        <v>0</v>
      </c>
      <c r="E46" s="6">
        <f>VLOOKUP(TargetsPercent23[[#This Row],[KEY]],[1]!HistoricalData[#Data],5,FALSE)</f>
        <v>0</v>
      </c>
      <c r="F46" s="6">
        <f>VLOOKUP(TargetsPercent23[[#This Row],[KEY]],[1]!HistoricalData[#Data],6,FALSE)</f>
        <v>0</v>
      </c>
      <c r="G46" s="5">
        <f>VLOOKUP(TargetsPercent23[[#This Row],[KEY]],[1]!HistoricalData[#Data],7,FALSE)</f>
        <v>0</v>
      </c>
      <c r="H46" s="9">
        <f>AVERAGE(TargetsPercent23[[#This Row],[2016–17 Historical data]],TargetsPercent23[[#This Row],[2017–18 Historical data]],TargetsPercent23[[#This Row],[2018–19 Historical data]])</f>
        <v>0</v>
      </c>
      <c r="I46" s="9">
        <f>ABS(TargetsPercent23[[#This Row],[2016–17 Historical data]]-TargetsPercent23[[#This Row],[2017–18 Historical data]])</f>
        <v>0</v>
      </c>
      <c r="J46" s="2">
        <f>ABS(TargetsPercent23[[#This Row],[2017–18 Historical data]]-TargetsPercent23[[#This Row],[2018–19 Historical data]])</f>
        <v>0</v>
      </c>
      <c r="K4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6" s="26">
        <f>TargetsPercent23[[#This Row],[Average (calculated)]]-TargetsPercent23[[#This Row],[Band of Tolerance (calculated)]]</f>
        <v>-0.01</v>
      </c>
      <c r="M46" s="22">
        <f>TargetsPercent23[[#This Row],[2020–21
Allowable
performance
target]]-TargetsPercent23[[#This Row],[Target Floor (calculated)]]</f>
        <v>0.01</v>
      </c>
    </row>
    <row r="47" spans="1:13" x14ac:dyDescent="0.2">
      <c r="A47" t="str">
        <f>_xlfn.CONCAT(TargetsPercent23[[#This Row],[University]],":",TargetsPercent23[[#This Row],[Metric]])</f>
        <v>Lakehead University:Tri-agency research funding</v>
      </c>
      <c r="B47" t="s">
        <v>32</v>
      </c>
      <c r="C47" t="s">
        <v>29</v>
      </c>
      <c r="D47" s="18">
        <f>VLOOKUP(TargetsPercent23[[#This Row],[KEY]],[1]!HistoricalData[#Data],4,FALSE)</f>
        <v>4559027</v>
      </c>
      <c r="E47" s="18">
        <f>VLOOKUP(TargetsPercent23[[#This Row],[KEY]],[1]!HistoricalData[#Data],5,FALSE)</f>
        <v>4479774</v>
      </c>
      <c r="F47" s="18">
        <f>VLOOKUP(TargetsPercent23[[#This Row],[KEY]],[1]!HistoricalData[#Data],6,FALSE)</f>
        <v>4439049</v>
      </c>
      <c r="G47" s="19">
        <f>VLOOKUP(TargetsPercent23[[#This Row],[KEY]],[1]!HistoricalData[#Data],7,FALSE)</f>
        <v>0</v>
      </c>
      <c r="H47" s="11">
        <f>AVERAGE(TargetsPercent23[[#This Row],[2016–17 Historical data]],TargetsPercent23[[#This Row],[2017–18 Historical data]],TargetsPercent23[[#This Row],[2018–19 Historical data]])</f>
        <v>4492616.666666667</v>
      </c>
      <c r="I47" s="2">
        <f>ABS((TargetsPercent23[[#This Row],[2017–18 Historical data]]-TargetsPercent23[[#This Row],[2016–17 Historical data]])/TargetsPercent23[[#This Row],[2016–17 Historical data]])</f>
        <v>1.7383753156101071E-2</v>
      </c>
      <c r="J47" s="2">
        <f>ABS((TargetsPercent23[[#This Row],[2018–19 Historical data]]-TargetsPercent23[[#This Row],[2017–18 Historical data]])/TargetsPercent23[[#This Row],[2017–18 Historical data]])</f>
        <v>9.0908603871534596E-3</v>
      </c>
      <c r="K4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7" s="10">
        <f>TargetsPercent23[[#This Row],[Average (calculated)]]-TargetsPercent23[[#This Row],[Band of Tolerance (calculated)]]</f>
        <v>4492616.6566666672</v>
      </c>
      <c r="M47" s="11">
        <f>TargetsPercent23[[#This Row],[2020–21
Allowable
performance
target]]-TargetsPercent23[[#This Row],[Target Floor (calculated)]]</f>
        <v>-4492616.6566666672</v>
      </c>
    </row>
    <row r="48" spans="1:13" x14ac:dyDescent="0.2">
      <c r="A48" t="str">
        <f>_xlfn.CONCAT(TargetsPercent23[[#This Row],[University]],":",TargetsPercent23[[#This Row],[Metric]])</f>
        <v>Laurentian University:01. Graduate employment rate in a related field</v>
      </c>
      <c r="B48" t="s">
        <v>33</v>
      </c>
      <c r="C48" t="s">
        <v>19</v>
      </c>
      <c r="D48" s="6">
        <f>VLOOKUP(TargetsPercent23[[#This Row],[KEY]],[1]!HistoricalData[#Data],4,FALSE)</f>
        <v>0.91759999999999997</v>
      </c>
      <c r="E48" s="6">
        <f>VLOOKUP(TargetsPercent23[[#This Row],[KEY]],[1]!HistoricalData[#Data],5,FALSE)</f>
        <v>0.91359999999999997</v>
      </c>
      <c r="F48" s="6">
        <f>VLOOKUP(TargetsPercent23[[#This Row],[KEY]],[1]!HistoricalData[#Data],6,FALSE)</f>
        <v>0.94330000000000003</v>
      </c>
      <c r="G48" s="5">
        <f>VLOOKUP(TargetsPercent23[[#This Row],[KEY]],[1]!HistoricalData[#Data],7,FALSE)</f>
        <v>0.90780000000000005</v>
      </c>
      <c r="H48" s="2">
        <f>AVERAGE(TargetsPercent23[[#This Row],[2016–17 Historical data]],TargetsPercent23[[#This Row],[2017–18 Historical data]],TargetsPercent23[[#This Row],[2018–19 Historical data]])</f>
        <v>0.92483333333333329</v>
      </c>
      <c r="I48" s="2">
        <f>ABS(TargetsPercent23[[#This Row],[2016–17 Historical data]]-TargetsPercent23[[#This Row],[2017–18 Historical data]])</f>
        <v>4.0000000000000036E-3</v>
      </c>
      <c r="J48" s="2">
        <f>ABS(TargetsPercent23[[#This Row],[2017–18 Historical data]]-TargetsPercent23[[#This Row],[2018–19 Historical data]])</f>
        <v>2.970000000000006E-2</v>
      </c>
      <c r="K4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48" s="23">
        <f>TargetsPercent23[[#This Row],[Average (calculated)]]-TargetsPercent23[[#This Row],[Band of Tolerance (calculated)]]</f>
        <v>0.91483333333333328</v>
      </c>
      <c r="M48" s="22">
        <f>TargetsPercent23[[#This Row],[2020–21
Allowable
performance
target]]-TargetsPercent23[[#This Row],[Target Floor (calculated)]]</f>
        <v>-7.0333333333332249E-3</v>
      </c>
    </row>
    <row r="49" spans="1:13" x14ac:dyDescent="0.2">
      <c r="A49" t="str">
        <f>_xlfn.CONCAT(TargetsPercent23[[#This Row],[University]],":",TargetsPercent23[[#This Row],[Metric]])</f>
        <v>Laurentian University:02. Institutional strength and focus</v>
      </c>
      <c r="B49" t="s">
        <v>33</v>
      </c>
      <c r="C49" t="s">
        <v>20</v>
      </c>
      <c r="D49" s="6">
        <f>VLOOKUP(TargetsPercent23[[#This Row],[KEY]],[1]!HistoricalData[#Data],4,FALSE)</f>
        <v>0.4657</v>
      </c>
      <c r="E49" s="6">
        <f>VLOOKUP(TargetsPercent23[[#This Row],[KEY]],[1]!HistoricalData[#Data],5,FALSE)</f>
        <v>0.4864</v>
      </c>
      <c r="F49" s="6">
        <f>VLOOKUP(TargetsPercent23[[#This Row],[KEY]],[1]!HistoricalData[#Data],6,FALSE)</f>
        <v>0.50619999999999998</v>
      </c>
      <c r="G49" s="5">
        <f>VLOOKUP(TargetsPercent23[[#This Row],[KEY]],[1]!HistoricalData[#Data],7,FALSE)</f>
        <v>0.50680000000000003</v>
      </c>
      <c r="H49" s="2">
        <f>AVERAGE(TargetsPercent23[[#This Row],[2016–17 Historical data]],TargetsPercent23[[#This Row],[2017–18 Historical data]],TargetsPercent23[[#This Row],[2018–19 Historical data]])</f>
        <v>0.48609999999999998</v>
      </c>
      <c r="I49" s="2">
        <f>ABS(TargetsPercent23[[#This Row],[2016–17 Historical data]]-TargetsPercent23[[#This Row],[2017–18 Historical data]])</f>
        <v>2.0699999999999996E-2</v>
      </c>
      <c r="J49" s="2">
        <f>ABS(TargetsPercent23[[#This Row],[2017–18 Historical data]]-TargetsPercent23[[#This Row],[2018–19 Historical data]])</f>
        <v>1.9799999999999984E-2</v>
      </c>
      <c r="K49" s="2">
        <f>IF(MIN(TargetsPercent23[[#This Row],[ABS 2016-17 to 2017-18 (calculated)]:[ABS 2017-18 to 2018-19 (calculated)]])&lt;0.01,0.01,MIN(TargetsPercent23[[#This Row],[ABS 2016-17 to 2017-18 (calculated)]:[ABS 2017-18 to 2018-19 (calculated)]]))</f>
        <v>1.9799999999999984E-2</v>
      </c>
      <c r="L49" s="23">
        <f>TargetsPercent23[[#This Row],[Average (calculated)]]-TargetsPercent23[[#This Row],[Band of Tolerance (calculated)]]</f>
        <v>0.46629999999999999</v>
      </c>
      <c r="M49" s="22">
        <f>TargetsPercent23[[#This Row],[2020–21
Allowable
performance
target]]-TargetsPercent23[[#This Row],[Target Floor (calculated)]]</f>
        <v>4.0500000000000036E-2</v>
      </c>
    </row>
    <row r="50" spans="1:13" x14ac:dyDescent="0.2">
      <c r="A50" t="str">
        <f>_xlfn.CONCAT(TargetsPercent23[[#This Row],[University]],":",TargetsPercent23[[#This Row],[Metric]])</f>
        <v>Laurentian University:03. Graduation rate</v>
      </c>
      <c r="B50" t="s">
        <v>33</v>
      </c>
      <c r="C50" t="s">
        <v>21</v>
      </c>
      <c r="D50" s="6">
        <f>VLOOKUP(TargetsPercent23[[#This Row],[KEY]],[1]!HistoricalData[#Data],4,FALSE)</f>
        <v>0.72</v>
      </c>
      <c r="E50" s="6">
        <f>VLOOKUP(TargetsPercent23[[#This Row],[KEY]],[1]!HistoricalData[#Data],5,FALSE)</f>
        <v>0.71640000000000004</v>
      </c>
      <c r="F50" s="6">
        <f>VLOOKUP(TargetsPercent23[[#This Row],[KEY]],[1]!HistoricalData[#Data],6,FALSE)</f>
        <v>0.68340000000000001</v>
      </c>
      <c r="G50" s="5">
        <f>VLOOKUP(TargetsPercent23[[#This Row],[KEY]],[1]!HistoricalData[#Data],7,FALSE)</f>
        <v>0.69199999999999995</v>
      </c>
      <c r="H50" s="2">
        <f>AVERAGE(TargetsPercent23[[#This Row],[2016–17 Historical data]],TargetsPercent23[[#This Row],[2017–18 Historical data]],TargetsPercent23[[#This Row],[2018–19 Historical data]])</f>
        <v>0.70659999999999989</v>
      </c>
      <c r="I50" s="2">
        <f>ABS(TargetsPercent23[[#This Row],[2016–17 Historical data]]-TargetsPercent23[[#This Row],[2017–18 Historical data]])</f>
        <v>3.5999999999999366E-3</v>
      </c>
      <c r="J50" s="2">
        <f>ABS(TargetsPercent23[[#This Row],[2017–18 Historical data]]-TargetsPercent23[[#This Row],[2018–19 Historical data]])</f>
        <v>3.3000000000000029E-2</v>
      </c>
      <c r="K5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0" s="23">
        <f>TargetsPercent23[[#This Row],[Average (calculated)]]-TargetsPercent23[[#This Row],[Band of Tolerance (calculated)]]</f>
        <v>0.69659999999999989</v>
      </c>
      <c r="M50" s="22">
        <f>TargetsPercent23[[#This Row],[2020–21
Allowable
performance
target]]-TargetsPercent23[[#This Row],[Target Floor (calculated)]]</f>
        <v>-4.5999999999999375E-3</v>
      </c>
    </row>
    <row r="51" spans="1:13" x14ac:dyDescent="0.2">
      <c r="A51" t="str">
        <f>_xlfn.CONCAT(TargetsPercent23[[#This Row],[University]],":",TargetsPercent23[[#This Row],[Metric]])</f>
        <v>Laurentian University:04. Community and local impact of student enrolment</v>
      </c>
      <c r="B51" t="s">
        <v>33</v>
      </c>
      <c r="C51" t="s">
        <v>22</v>
      </c>
      <c r="D51" s="6">
        <f>VLOOKUP(TargetsPercent23[[#This Row],[KEY]],[1]!HistoricalData[#Data],4,FALSE)</f>
        <v>8.6400000000000005E-2</v>
      </c>
      <c r="E51" s="6">
        <f>VLOOKUP(TargetsPercent23[[#This Row],[KEY]],[1]!HistoricalData[#Data],5,FALSE)</f>
        <v>8.4099999999999994E-2</v>
      </c>
      <c r="F51" s="6">
        <f>VLOOKUP(TargetsPercent23[[#This Row],[KEY]],[1]!HistoricalData[#Data],6,FALSE)</f>
        <v>8.2600000000000007E-2</v>
      </c>
      <c r="G51" s="5">
        <f>VLOOKUP(TargetsPercent23[[#This Row],[KEY]],[1]!HistoricalData[#Data],7,FALSE)</f>
        <v>8.3900000000000002E-2</v>
      </c>
      <c r="H51" s="2">
        <f>AVERAGE(TargetsPercent23[[#This Row],[2016–17 Historical data]],TargetsPercent23[[#This Row],[2017–18 Historical data]],TargetsPercent23[[#This Row],[2018–19 Historical data]])</f>
        <v>8.4366666666666659E-2</v>
      </c>
      <c r="I51" s="2">
        <f>ABS(TargetsPercent23[[#This Row],[2016–17 Historical data]]-TargetsPercent23[[#This Row],[2017–18 Historical data]])</f>
        <v>2.3000000000000104E-3</v>
      </c>
      <c r="J51" s="2">
        <f>ABS(TargetsPercent23[[#This Row],[2017–18 Historical data]]-TargetsPercent23[[#This Row],[2018–19 Historical data]])</f>
        <v>1.4999999999999875E-3</v>
      </c>
      <c r="K5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1" s="24">
        <f>TargetsPercent23[[#This Row],[Average (calculated)]]-TargetsPercent23[[#This Row],[Band of Tolerance (calculated)]]</f>
        <v>7.4366666666666664E-2</v>
      </c>
      <c r="M51" s="25">
        <f>TargetsPercent23[[#This Row],[2020–21
Allowable
performance
target]]-TargetsPercent23[[#This Row],[Target Floor (calculated)]]</f>
        <v>9.5333333333333381E-3</v>
      </c>
    </row>
    <row r="52" spans="1:13" x14ac:dyDescent="0.2">
      <c r="A52" t="str">
        <f>_xlfn.CONCAT(TargetsPercent23[[#This Row],[University]],":",TargetsPercent23[[#This Row],[Metric]])</f>
        <v>Laurentian University:05. Economic impact (institution-specific)</v>
      </c>
      <c r="B52" t="s">
        <v>33</v>
      </c>
      <c r="C52" t="s">
        <v>23</v>
      </c>
      <c r="D52" s="18">
        <f>VLOOKUP(TargetsPercent23[[#This Row],[KEY]],[1]!HistoricalData[#Data],4,FALSE)</f>
        <v>1381</v>
      </c>
      <c r="E52" s="18">
        <f>VLOOKUP(TargetsPercent23[[#This Row],[KEY]],[1]!HistoricalData[#Data],5,FALSE)</f>
        <v>1567</v>
      </c>
      <c r="F52" s="18">
        <f>VLOOKUP(TargetsPercent23[[#This Row],[KEY]],[1]!HistoricalData[#Data],6,FALSE)</f>
        <v>1729</v>
      </c>
      <c r="G52" s="19">
        <f>VLOOKUP(TargetsPercent23[[#This Row],[KEY]],[1]!HistoricalData[#Data],7,FALSE)</f>
        <v>1516.14</v>
      </c>
      <c r="H52" s="11">
        <f>AVERAGE(TargetsPercent23[[#This Row],[2016–17 Historical data]],TargetsPercent23[[#This Row],[2017–18 Historical data]],TargetsPercent23[[#This Row],[2018–19 Historical data]])</f>
        <v>1559</v>
      </c>
      <c r="I52" s="2">
        <f>ABS((TargetsPercent23[[#This Row],[2017–18 Historical data]]-TargetsPercent23[[#This Row],[2016–17 Historical data]])/TargetsPercent23[[#This Row],[2016–17 Historical data]])</f>
        <v>0.13468501086169443</v>
      </c>
      <c r="J52" s="2">
        <f>ABS((TargetsPercent23[[#This Row],[2018–19 Historical data]]-TargetsPercent23[[#This Row],[2017–18 Historical data]])/TargetsPercent23[[#This Row],[2017–18 Historical data]])</f>
        <v>0.10338225909380983</v>
      </c>
      <c r="K52" s="2">
        <f>IF(MIN(TargetsPercent23[[#This Row],[ABS 2016-17 to 2017-18 (calculated)]:[ABS 2017-18 to 2018-19 (calculated)]])&lt;0.01,0.01,MIN(TargetsPercent23[[#This Row],[ABS 2016-17 to 2017-18 (calculated)]:[ABS 2017-18 to 2018-19 (calculated)]]))</f>
        <v>0.10338225909380983</v>
      </c>
      <c r="L52" s="10">
        <f>TargetsPercent23[[#This Row],[Average (calculated)]]-TargetsPercent23[[#This Row],[Band of Tolerance (calculated)]]</f>
        <v>1558.8966177409061</v>
      </c>
      <c r="M52" s="11">
        <f>TargetsPercent23[[#This Row],[2020–21
Allowable
performance
target]]-TargetsPercent23[[#This Row],[Target Floor (calculated)]]</f>
        <v>-42.756617740905995</v>
      </c>
    </row>
    <row r="53" spans="1:13" x14ac:dyDescent="0.2">
      <c r="A53" t="str">
        <f>_xlfn.CONCAT(TargetsPercent23[[#This Row],[University]],":",TargetsPercent23[[#This Row],[Metric]])</f>
        <v>Laurentian University:06. Research funding and capacity: federal tri-agency funding secured</v>
      </c>
      <c r="B53" t="s">
        <v>33</v>
      </c>
      <c r="C53" t="s">
        <v>24</v>
      </c>
      <c r="D53" s="18">
        <f>VLOOKUP(TargetsPercent23[[#This Row],[KEY]],[1]!HistoricalData[#Data],4,FALSE)</f>
        <v>6.8999999999999999E-3</v>
      </c>
      <c r="E53" s="18">
        <f>VLOOKUP(TargetsPercent23[[#This Row],[KEY]],[1]!HistoricalData[#Data],5,FALSE)</f>
        <v>7.1999999999999998E-3</v>
      </c>
      <c r="F53" s="18">
        <f>VLOOKUP(TargetsPercent23[[#This Row],[KEY]],[1]!HistoricalData[#Data],6,FALSE)</f>
        <v>7.7000000000000002E-3</v>
      </c>
      <c r="G53" s="19">
        <f>VLOOKUP(TargetsPercent23[[#This Row],[KEY]],[1]!HistoricalData[#Data],7,FALSE)</f>
        <v>7.1000000000000004E-3</v>
      </c>
      <c r="H53" s="11">
        <f>AVERAGE(TargetsPercent23[[#This Row],[2016–17 Historical data]],TargetsPercent23[[#This Row],[2017–18 Historical data]],TargetsPercent23[[#This Row],[2018–19 Historical data]])</f>
        <v>7.2666666666666669E-3</v>
      </c>
      <c r="I53" s="2">
        <f>ABS((TargetsPercent23[[#This Row],[2017–18 Historical data]]-TargetsPercent23[[#This Row],[2016–17 Historical data]])/TargetsPercent23[[#This Row],[2016–17 Historical data]])</f>
        <v>4.3478260869565209E-2</v>
      </c>
      <c r="J53" s="2">
        <f>ABS((TargetsPercent23[[#This Row],[2018–19 Historical data]]-TargetsPercent23[[#This Row],[2017–18 Historical data]])/TargetsPercent23[[#This Row],[2017–18 Historical data]])</f>
        <v>6.9444444444444503E-2</v>
      </c>
      <c r="K53" s="2">
        <f>IF(MIN(TargetsPercent23[[#This Row],[ABS 2016-17 to 2017-18 (calculated)]:[ABS 2017-18 to 2018-19 (calculated)]])&lt;0.01,0.01,MIN(TargetsPercent23[[#This Row],[ABS 2016-17 to 2017-18 (calculated)]:[ABS 2017-18 to 2018-19 (calculated)]]))</f>
        <v>4.3478260869565209E-2</v>
      </c>
      <c r="L53" s="10">
        <f>TargetsPercent23[[#This Row],[Average (calculated)]]-TargetsPercent23[[#This Row],[Band of Tolerance (calculated)]]</f>
        <v>-3.6211594202898545E-2</v>
      </c>
      <c r="M53" s="11">
        <f>TargetsPercent23[[#This Row],[2020–21
Allowable
performance
target]]-TargetsPercent23[[#This Row],[Target Floor (calculated)]]</f>
        <v>4.3311594202898547E-2</v>
      </c>
    </row>
    <row r="54" spans="1:13" x14ac:dyDescent="0.2">
      <c r="A54" t="str">
        <f>_xlfn.CONCAT(TargetsPercent23[[#This Row],[University]],":",TargetsPercent23[[#This Row],[Metric]])</f>
        <v>Laurentian University:07. Experiential learning</v>
      </c>
      <c r="B54" t="s">
        <v>33</v>
      </c>
      <c r="C54" t="s">
        <v>25</v>
      </c>
      <c r="D54" s="6">
        <f>VLOOKUP(TargetsPercent23[[#This Row],[KEY]],[1]!HistoricalData[#Data],4,FALSE)</f>
        <v>0</v>
      </c>
      <c r="E54" s="6">
        <f>VLOOKUP(TargetsPercent23[[#This Row],[KEY]],[1]!HistoricalData[#Data],5,FALSE)</f>
        <v>0</v>
      </c>
      <c r="F54" s="6">
        <f>VLOOKUP(TargetsPercent23[[#This Row],[KEY]],[1]!HistoricalData[#Data],6,FALSE)</f>
        <v>0</v>
      </c>
      <c r="G54" s="5">
        <f>VLOOKUP(TargetsPercent23[[#This Row],[KEY]],[1]!HistoricalData[#Data],7,FALSE)</f>
        <v>0</v>
      </c>
      <c r="H54" s="9">
        <f>AVERAGE(TargetsPercent23[[#This Row],[2016–17 Historical data]],TargetsPercent23[[#This Row],[2017–18 Historical data]],TargetsPercent23[[#This Row],[2018–19 Historical data]])</f>
        <v>0</v>
      </c>
      <c r="I54" s="9">
        <f>ABS(TargetsPercent23[[#This Row],[2016–17 Historical data]]-TargetsPercent23[[#This Row],[2017–18 Historical data]])</f>
        <v>0</v>
      </c>
      <c r="J54" s="2">
        <f>ABS(TargetsPercent23[[#This Row],[2017–18 Historical data]]-TargetsPercent23[[#This Row],[2018–19 Historical data]])</f>
        <v>0</v>
      </c>
      <c r="K5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4" s="26">
        <f>TargetsPercent23[[#This Row],[Average (calculated)]]-TargetsPercent23[[#This Row],[Band of Tolerance (calculated)]]</f>
        <v>-0.01</v>
      </c>
      <c r="M54" s="22">
        <f>TargetsPercent23[[#This Row],[2020–21
Allowable
performance
target]]-TargetsPercent23[[#This Row],[Target Floor (calculated)]]</f>
        <v>0.01</v>
      </c>
    </row>
    <row r="55" spans="1:13" x14ac:dyDescent="0.2">
      <c r="A55" t="str">
        <f>_xlfn.CONCAT(TargetsPercent23[[#This Row],[University]],":",TargetsPercent23[[#This Row],[Metric]])</f>
        <v>Laurentian University:08. Research revenue attracted from private sector sources</v>
      </c>
      <c r="B55" t="s">
        <v>33</v>
      </c>
      <c r="C55" t="s">
        <v>26</v>
      </c>
      <c r="D55" s="18">
        <f>VLOOKUP(TargetsPercent23[[#This Row],[KEY]],[1]!HistoricalData[#Data],4,FALSE)</f>
        <v>0</v>
      </c>
      <c r="E55" s="18">
        <f>VLOOKUP(TargetsPercent23[[#This Row],[KEY]],[1]!HistoricalData[#Data],5,FALSE)</f>
        <v>0</v>
      </c>
      <c r="F55" s="18">
        <f>VLOOKUP(TargetsPercent23[[#This Row],[KEY]],[1]!HistoricalData[#Data],6,FALSE)</f>
        <v>0</v>
      </c>
      <c r="G55" s="19">
        <f>VLOOKUP(TargetsPercent23[[#This Row],[KEY]],[1]!HistoricalData[#Data],7,FALSE)</f>
        <v>0</v>
      </c>
      <c r="H55" s="11">
        <f>AVERAGE(TargetsPercent23[[#This Row],[2016–17 Historical data]],TargetsPercent23[[#This Row],[2017–18 Historical data]],TargetsPercent23[[#This Row],[2018–19 Historical data]])</f>
        <v>0</v>
      </c>
      <c r="I55" s="2" t="e">
        <f>ABS((TargetsPercent23[[#This Row],[2017–18 Historical data]]-TargetsPercent23[[#This Row],[2016–17 Historical data]])/TargetsPercent23[[#This Row],[2016–17 Historical data]])</f>
        <v>#DIV/0!</v>
      </c>
      <c r="J55" s="2" t="e">
        <f>ABS((TargetsPercent23[[#This Row],[2018–19 Historical data]]-TargetsPercent23[[#This Row],[2017–18 Historical data]])/TargetsPercent23[[#This Row],[2017–18 Historical data]])</f>
        <v>#DIV/0!</v>
      </c>
      <c r="K55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55" s="10" t="e">
        <f>TargetsPercent23[[#This Row],[Average (calculated)]]-TargetsPercent23[[#This Row],[Band of Tolerance (calculated)]]</f>
        <v>#DIV/0!</v>
      </c>
      <c r="M55" s="11" t="e">
        <f>TargetsPercent23[[#This Row],[2020–21
Allowable
performance
target]]-TargetsPercent23[[#This Row],[Target Floor (calculated)]]</f>
        <v>#DIV/0!</v>
      </c>
    </row>
    <row r="56" spans="1:13" x14ac:dyDescent="0.2">
      <c r="A56" t="str">
        <f>_xlfn.CONCAT(TargetsPercent23[[#This Row],[University]],":",TargetsPercent23[[#This Row],[Metric]])</f>
        <v>Laurentian University:09. Graduate employment earnings</v>
      </c>
      <c r="B56" t="s">
        <v>33</v>
      </c>
      <c r="C56" t="s">
        <v>27</v>
      </c>
      <c r="D56" s="6">
        <f>VLOOKUP(TargetsPercent23[[#This Row],[KEY]],[1]!HistoricalData[#Data],4,FALSE)</f>
        <v>0</v>
      </c>
      <c r="E56" s="6">
        <f>VLOOKUP(TargetsPercent23[[#This Row],[KEY]],[1]!HistoricalData[#Data],5,FALSE)</f>
        <v>0</v>
      </c>
      <c r="F56" s="6">
        <f>VLOOKUP(TargetsPercent23[[#This Row],[KEY]],[1]!HistoricalData[#Data],6,FALSE)</f>
        <v>0</v>
      </c>
      <c r="G56" s="5">
        <f>VLOOKUP(TargetsPercent23[[#This Row],[KEY]],[1]!HistoricalData[#Data],7,FALSE)</f>
        <v>0</v>
      </c>
      <c r="H56" s="9">
        <f>AVERAGE(TargetsPercent23[[#This Row],[2016–17 Historical data]],TargetsPercent23[[#This Row],[2017–18 Historical data]],TargetsPercent23[[#This Row],[2018–19 Historical data]])</f>
        <v>0</v>
      </c>
      <c r="I56" s="9">
        <f>ABS(TargetsPercent23[[#This Row],[2016–17 Historical data]]-TargetsPercent23[[#This Row],[2017–18 Historical data]])</f>
        <v>0</v>
      </c>
      <c r="J56" s="2">
        <f>ABS(TargetsPercent23[[#This Row],[2017–18 Historical data]]-TargetsPercent23[[#This Row],[2018–19 Historical data]])</f>
        <v>0</v>
      </c>
      <c r="K5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6" s="26">
        <f>TargetsPercent23[[#This Row],[Average (calculated)]]-TargetsPercent23[[#This Row],[Band of Tolerance (calculated)]]</f>
        <v>-0.01</v>
      </c>
      <c r="M56" s="22">
        <f>TargetsPercent23[[#This Row],[2020–21
Allowable
performance
target]]-TargetsPercent23[[#This Row],[Target Floor (calculated)]]</f>
        <v>0.01</v>
      </c>
    </row>
    <row r="57" spans="1:13" x14ac:dyDescent="0.2">
      <c r="A57" t="str">
        <f>_xlfn.CONCAT(TargetsPercent23[[#This Row],[University]],":",TargetsPercent23[[#This Row],[Metric]])</f>
        <v>Laurentian University:10. Skills and competencies</v>
      </c>
      <c r="B57" t="s">
        <v>33</v>
      </c>
      <c r="C57" t="s">
        <v>28</v>
      </c>
      <c r="D57" s="6">
        <f>VLOOKUP(TargetsPercent23[[#This Row],[KEY]],[1]!HistoricalData[#Data],4,FALSE)</f>
        <v>0</v>
      </c>
      <c r="E57" s="6">
        <f>VLOOKUP(TargetsPercent23[[#This Row],[KEY]],[1]!HistoricalData[#Data],5,FALSE)</f>
        <v>0</v>
      </c>
      <c r="F57" s="6">
        <f>VLOOKUP(TargetsPercent23[[#This Row],[KEY]],[1]!HistoricalData[#Data],6,FALSE)</f>
        <v>0</v>
      </c>
      <c r="G57" s="5">
        <f>VLOOKUP(TargetsPercent23[[#This Row],[KEY]],[1]!HistoricalData[#Data],7,FALSE)</f>
        <v>0</v>
      </c>
      <c r="H57" s="9">
        <f>AVERAGE(TargetsPercent23[[#This Row],[2016–17 Historical data]],TargetsPercent23[[#This Row],[2017–18 Historical data]],TargetsPercent23[[#This Row],[2018–19 Historical data]])</f>
        <v>0</v>
      </c>
      <c r="I57" s="9">
        <f>ABS(TargetsPercent23[[#This Row],[2016–17 Historical data]]-TargetsPercent23[[#This Row],[2017–18 Historical data]])</f>
        <v>0</v>
      </c>
      <c r="J57" s="2">
        <f>ABS(TargetsPercent23[[#This Row],[2017–18 Historical data]]-TargetsPercent23[[#This Row],[2018–19 Historical data]])</f>
        <v>0</v>
      </c>
      <c r="K5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7" s="26">
        <f>TargetsPercent23[[#This Row],[Average (calculated)]]-TargetsPercent23[[#This Row],[Band of Tolerance (calculated)]]</f>
        <v>-0.01</v>
      </c>
      <c r="M57" s="22">
        <f>TargetsPercent23[[#This Row],[2020–21
Allowable
performance
target]]-TargetsPercent23[[#This Row],[Target Floor (calculated)]]</f>
        <v>0.01</v>
      </c>
    </row>
    <row r="58" spans="1:13" x14ac:dyDescent="0.2">
      <c r="A58" t="str">
        <f>_xlfn.CONCAT(TargetsPercent23[[#This Row],[University]],":",TargetsPercent23[[#This Row],[Metric]])</f>
        <v>Laurentian University:Tri-agency research funding</v>
      </c>
      <c r="B58" t="s">
        <v>33</v>
      </c>
      <c r="C58" t="s">
        <v>29</v>
      </c>
      <c r="D58" s="18">
        <f>VLOOKUP(TargetsPercent23[[#This Row],[KEY]],[1]!HistoricalData[#Data],4,FALSE)</f>
        <v>4407741</v>
      </c>
      <c r="E58" s="18">
        <f>VLOOKUP(TargetsPercent23[[#This Row],[KEY]],[1]!HistoricalData[#Data],5,FALSE)</f>
        <v>4787361</v>
      </c>
      <c r="F58" s="18">
        <f>VLOOKUP(TargetsPercent23[[#This Row],[KEY]],[1]!HistoricalData[#Data],6,FALSE)</f>
        <v>5220886</v>
      </c>
      <c r="G58" s="19">
        <f>VLOOKUP(TargetsPercent23[[#This Row],[KEY]],[1]!HistoricalData[#Data],7,FALSE)</f>
        <v>0</v>
      </c>
      <c r="H58" s="11">
        <f>AVERAGE(TargetsPercent23[[#This Row],[2016–17 Historical data]],TargetsPercent23[[#This Row],[2017–18 Historical data]],TargetsPercent23[[#This Row],[2018–19 Historical data]])</f>
        <v>4805329.333333333</v>
      </c>
      <c r="I58" s="2">
        <f>ABS((TargetsPercent23[[#This Row],[2017–18 Historical data]]-TargetsPercent23[[#This Row],[2016–17 Historical data]])/TargetsPercent23[[#This Row],[2016–17 Historical data]])</f>
        <v>8.6125750129147791E-2</v>
      </c>
      <c r="J58" s="2">
        <f>ABS((TargetsPercent23[[#This Row],[2018–19 Historical data]]-TargetsPercent23[[#This Row],[2017–18 Historical data]])/TargetsPercent23[[#This Row],[2017–18 Historical data]])</f>
        <v>9.0556154006351308E-2</v>
      </c>
      <c r="K58" s="2">
        <f>IF(MIN(TargetsPercent23[[#This Row],[ABS 2016-17 to 2017-18 (calculated)]:[ABS 2017-18 to 2018-19 (calculated)]])&lt;0.01,0.01,MIN(TargetsPercent23[[#This Row],[ABS 2016-17 to 2017-18 (calculated)]:[ABS 2017-18 to 2018-19 (calculated)]]))</f>
        <v>8.6125750129147791E-2</v>
      </c>
      <c r="L58" s="10">
        <f>TargetsPercent23[[#This Row],[Average (calculated)]]-TargetsPercent23[[#This Row],[Band of Tolerance (calculated)]]</f>
        <v>4805329.2472075829</v>
      </c>
      <c r="M58" s="11">
        <f>TargetsPercent23[[#This Row],[2020–21
Allowable
performance
target]]-TargetsPercent23[[#This Row],[Target Floor (calculated)]]</f>
        <v>-4805329.2472075829</v>
      </c>
    </row>
    <row r="59" spans="1:13" x14ac:dyDescent="0.2">
      <c r="A59" t="str">
        <f>_xlfn.CONCAT(TargetsPercent23[[#This Row],[University]],":",TargetsPercent23[[#This Row],[Metric]])</f>
        <v>McMaster University:01. Graduate employment rate in a related field</v>
      </c>
      <c r="B59" t="s">
        <v>34</v>
      </c>
      <c r="C59" t="s">
        <v>19</v>
      </c>
      <c r="D59" s="6">
        <f>VLOOKUP(TargetsPercent23[[#This Row],[KEY]],[1]!HistoricalData[#Data],4,FALSE)</f>
        <v>0.91349999999999998</v>
      </c>
      <c r="E59" s="6">
        <f>VLOOKUP(TargetsPercent23[[#This Row],[KEY]],[1]!HistoricalData[#Data],5,FALSE)</f>
        <v>0.91069999999999995</v>
      </c>
      <c r="F59" s="6">
        <f>VLOOKUP(TargetsPercent23[[#This Row],[KEY]],[1]!HistoricalData[#Data],6,FALSE)</f>
        <v>0.9093</v>
      </c>
      <c r="G59" s="5">
        <f>VLOOKUP(TargetsPercent23[[#This Row],[KEY]],[1]!HistoricalData[#Data],7,FALSE)</f>
        <v>0.90210000000000001</v>
      </c>
      <c r="H59" s="2">
        <f>AVERAGE(TargetsPercent23[[#This Row],[2016–17 Historical data]],TargetsPercent23[[#This Row],[2017–18 Historical data]],TargetsPercent23[[#This Row],[2018–19 Historical data]])</f>
        <v>0.91116666666666657</v>
      </c>
      <c r="I59" s="2">
        <f>ABS(TargetsPercent23[[#This Row],[2016–17 Historical data]]-TargetsPercent23[[#This Row],[2017–18 Historical data]])</f>
        <v>2.8000000000000247E-3</v>
      </c>
      <c r="J59" s="2">
        <f>ABS(TargetsPercent23[[#This Row],[2017–18 Historical data]]-TargetsPercent23[[#This Row],[2018–19 Historical data]])</f>
        <v>1.3999999999999568E-3</v>
      </c>
      <c r="K5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59" s="23">
        <f>TargetsPercent23[[#This Row],[Average (calculated)]]-TargetsPercent23[[#This Row],[Band of Tolerance (calculated)]]</f>
        <v>0.90116666666666656</v>
      </c>
      <c r="M59" s="22">
        <f>TargetsPercent23[[#This Row],[2020–21
Allowable
performance
target]]-TargetsPercent23[[#This Row],[Target Floor (calculated)]]</f>
        <v>9.3333333333345259E-4</v>
      </c>
    </row>
    <row r="60" spans="1:13" x14ac:dyDescent="0.2">
      <c r="A60" t="str">
        <f>_xlfn.CONCAT(TargetsPercent23[[#This Row],[University]],":",TargetsPercent23[[#This Row],[Metric]])</f>
        <v>McMaster University:02. Institutional strength and focus</v>
      </c>
      <c r="B60" t="s">
        <v>34</v>
      </c>
      <c r="C60" t="s">
        <v>20</v>
      </c>
      <c r="D60" s="6">
        <f>VLOOKUP(TargetsPercent23[[#This Row],[KEY]],[1]!HistoricalData[#Data],4,FALSE)</f>
        <v>0.51459999999999995</v>
      </c>
      <c r="E60" s="6">
        <f>VLOOKUP(TargetsPercent23[[#This Row],[KEY]],[1]!HistoricalData[#Data],5,FALSE)</f>
        <v>0.51219999999999999</v>
      </c>
      <c r="F60" s="6">
        <f>VLOOKUP(TargetsPercent23[[#This Row],[KEY]],[1]!HistoricalData[#Data],6,FALSE)</f>
        <v>0.52039999999999997</v>
      </c>
      <c r="G60" s="5">
        <f>VLOOKUP(TargetsPercent23[[#This Row],[KEY]],[1]!HistoricalData[#Data],7,FALSE)</f>
        <v>0.50419999999999998</v>
      </c>
      <c r="H60" s="2">
        <f>AVERAGE(TargetsPercent23[[#This Row],[2016–17 Historical data]],TargetsPercent23[[#This Row],[2017–18 Historical data]],TargetsPercent23[[#This Row],[2018–19 Historical data]])</f>
        <v>0.51573333333333327</v>
      </c>
      <c r="I60" s="2">
        <f>ABS(TargetsPercent23[[#This Row],[2016–17 Historical data]]-TargetsPercent23[[#This Row],[2017–18 Historical data]])</f>
        <v>2.3999999999999577E-3</v>
      </c>
      <c r="J60" s="2">
        <f>ABS(TargetsPercent23[[#This Row],[2017–18 Historical data]]-TargetsPercent23[[#This Row],[2018–19 Historical data]])</f>
        <v>8.1999999999999851E-3</v>
      </c>
      <c r="K6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0" s="23">
        <f>TargetsPercent23[[#This Row],[Average (calculated)]]-TargetsPercent23[[#This Row],[Band of Tolerance (calculated)]]</f>
        <v>0.50573333333333326</v>
      </c>
      <c r="M60" s="22">
        <f>TargetsPercent23[[#This Row],[2020–21
Allowable
performance
target]]-TargetsPercent23[[#This Row],[Target Floor (calculated)]]</f>
        <v>-1.5333333333332755E-3</v>
      </c>
    </row>
    <row r="61" spans="1:13" x14ac:dyDescent="0.2">
      <c r="A61" t="str">
        <f>_xlfn.CONCAT(TargetsPercent23[[#This Row],[University]],":",TargetsPercent23[[#This Row],[Metric]])</f>
        <v>McMaster University:03. Graduation rate</v>
      </c>
      <c r="B61" t="s">
        <v>34</v>
      </c>
      <c r="C61" t="s">
        <v>21</v>
      </c>
      <c r="D61" s="6">
        <f>VLOOKUP(TargetsPercent23[[#This Row],[KEY]],[1]!HistoricalData[#Data],4,FALSE)</f>
        <v>0.8085</v>
      </c>
      <c r="E61" s="6">
        <f>VLOOKUP(TargetsPercent23[[#This Row],[KEY]],[1]!HistoricalData[#Data],5,FALSE)</f>
        <v>0.7883</v>
      </c>
      <c r="F61" s="6">
        <f>VLOOKUP(TargetsPercent23[[#This Row],[KEY]],[1]!HistoricalData[#Data],6,FALSE)</f>
        <v>0.80779999999999996</v>
      </c>
      <c r="G61" s="5">
        <f>VLOOKUP(TargetsPercent23[[#This Row],[KEY]],[1]!HistoricalData[#Data],7,FALSE)</f>
        <v>0.80059999999999998</v>
      </c>
      <c r="H61" s="2">
        <f>AVERAGE(TargetsPercent23[[#This Row],[2016–17 Historical data]],TargetsPercent23[[#This Row],[2017–18 Historical data]],TargetsPercent23[[#This Row],[2018–19 Historical data]])</f>
        <v>0.80153333333333332</v>
      </c>
      <c r="I61" s="2">
        <f>ABS(TargetsPercent23[[#This Row],[2016–17 Historical data]]-TargetsPercent23[[#This Row],[2017–18 Historical data]])</f>
        <v>2.0199999999999996E-2</v>
      </c>
      <c r="J61" s="2">
        <f>ABS(TargetsPercent23[[#This Row],[2017–18 Historical data]]-TargetsPercent23[[#This Row],[2018–19 Historical data]])</f>
        <v>1.9499999999999962E-2</v>
      </c>
      <c r="K61" s="2">
        <f>IF(MIN(TargetsPercent23[[#This Row],[ABS 2016-17 to 2017-18 (calculated)]:[ABS 2017-18 to 2018-19 (calculated)]])&lt;0.01,0.01,MIN(TargetsPercent23[[#This Row],[ABS 2016-17 to 2017-18 (calculated)]:[ABS 2017-18 to 2018-19 (calculated)]]))</f>
        <v>1.9499999999999962E-2</v>
      </c>
      <c r="L61" s="23">
        <f>TargetsPercent23[[#This Row],[Average (calculated)]]-TargetsPercent23[[#This Row],[Band of Tolerance (calculated)]]</f>
        <v>0.78203333333333336</v>
      </c>
      <c r="M61" s="22">
        <f>TargetsPercent23[[#This Row],[2020–21
Allowable
performance
target]]-TargetsPercent23[[#This Row],[Target Floor (calculated)]]</f>
        <v>1.856666666666662E-2</v>
      </c>
    </row>
    <row r="62" spans="1:13" x14ac:dyDescent="0.2">
      <c r="A62" t="str">
        <f>_xlfn.CONCAT(TargetsPercent23[[#This Row],[University]],":",TargetsPercent23[[#This Row],[Metric]])</f>
        <v>McMaster University:04. Community and local impact of student enrolment</v>
      </c>
      <c r="B62" t="s">
        <v>34</v>
      </c>
      <c r="C62" t="s">
        <v>22</v>
      </c>
      <c r="D62" s="6">
        <f>VLOOKUP(TargetsPercent23[[#This Row],[KEY]],[1]!HistoricalData[#Data],4,FALSE)</f>
        <v>8.2100000000000006E-2</v>
      </c>
      <c r="E62" s="6">
        <f>VLOOKUP(TargetsPercent23[[#This Row],[KEY]],[1]!HistoricalData[#Data],5,FALSE)</f>
        <v>8.4099999999999994E-2</v>
      </c>
      <c r="F62" s="6">
        <f>VLOOKUP(TargetsPercent23[[#This Row],[KEY]],[1]!HistoricalData[#Data],6,FALSE)</f>
        <v>8.7599999999999997E-2</v>
      </c>
      <c r="G62" s="5">
        <f>VLOOKUP(TargetsPercent23[[#This Row],[KEY]],[1]!HistoricalData[#Data],7,FALSE)</f>
        <v>8.3799999999999999E-2</v>
      </c>
      <c r="H62" s="2">
        <f>AVERAGE(TargetsPercent23[[#This Row],[2016–17 Historical data]],TargetsPercent23[[#This Row],[2017–18 Historical data]],TargetsPercent23[[#This Row],[2018–19 Historical data]])</f>
        <v>8.4600000000000009E-2</v>
      </c>
      <c r="I62" s="2">
        <f>ABS(TargetsPercent23[[#This Row],[2016–17 Historical data]]-TargetsPercent23[[#This Row],[2017–18 Historical data]])</f>
        <v>1.9999999999999879E-3</v>
      </c>
      <c r="J62" s="2">
        <f>ABS(TargetsPercent23[[#This Row],[2017–18 Historical data]]-TargetsPercent23[[#This Row],[2018–19 Historical data]])</f>
        <v>3.5000000000000031E-3</v>
      </c>
      <c r="K6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2" s="24">
        <f>TargetsPercent23[[#This Row],[Average (calculated)]]-TargetsPercent23[[#This Row],[Band of Tolerance (calculated)]]</f>
        <v>7.4600000000000014E-2</v>
      </c>
      <c r="M62" s="25">
        <f>TargetsPercent23[[#This Row],[2020–21
Allowable
performance
target]]-TargetsPercent23[[#This Row],[Target Floor (calculated)]]</f>
        <v>9.199999999999986E-3</v>
      </c>
    </row>
    <row r="63" spans="1:13" x14ac:dyDescent="0.2">
      <c r="A63" t="str">
        <f>_xlfn.CONCAT(TargetsPercent23[[#This Row],[University]],":",TargetsPercent23[[#This Row],[Metric]])</f>
        <v>McMaster University:05. Economic impact (institution-specific)</v>
      </c>
      <c r="B63" t="s">
        <v>34</v>
      </c>
      <c r="C63" t="s">
        <v>23</v>
      </c>
      <c r="D63" s="18">
        <f>VLOOKUP(TargetsPercent23[[#This Row],[KEY]],[1]!HistoricalData[#Data],4,FALSE)</f>
        <v>81</v>
      </c>
      <c r="E63" s="18">
        <f>VLOOKUP(TargetsPercent23[[#This Row],[KEY]],[1]!HistoricalData[#Data],5,FALSE)</f>
        <v>81</v>
      </c>
      <c r="F63" s="18">
        <f>VLOOKUP(TargetsPercent23[[#This Row],[KEY]],[1]!HistoricalData[#Data],6,FALSE)</f>
        <v>94</v>
      </c>
      <c r="G63" s="19">
        <f>VLOOKUP(TargetsPercent23[[#This Row],[KEY]],[1]!HistoricalData[#Data],7,FALSE)</f>
        <v>78</v>
      </c>
      <c r="H63" s="11">
        <f>AVERAGE(TargetsPercent23[[#This Row],[2016–17 Historical data]],TargetsPercent23[[#This Row],[2017–18 Historical data]],TargetsPercent23[[#This Row],[2018–19 Historical data]])</f>
        <v>85.333333333333329</v>
      </c>
      <c r="I63" s="2">
        <f>ABS((TargetsPercent23[[#This Row],[2017–18 Historical data]]-TargetsPercent23[[#This Row],[2016–17 Historical data]])/TargetsPercent23[[#This Row],[2016–17 Historical data]])</f>
        <v>0</v>
      </c>
      <c r="J63" s="2">
        <f>ABS((TargetsPercent23[[#This Row],[2018–19 Historical data]]-TargetsPercent23[[#This Row],[2017–18 Historical data]])/TargetsPercent23[[#This Row],[2017–18 Historical data]])</f>
        <v>0.16049382716049382</v>
      </c>
      <c r="K6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3" s="10">
        <f>TargetsPercent23[[#This Row],[Average (calculated)]]-TargetsPercent23[[#This Row],[Band of Tolerance (calculated)]]</f>
        <v>85.323333333333323</v>
      </c>
      <c r="M63" s="11">
        <f>TargetsPercent23[[#This Row],[2020–21
Allowable
performance
target]]-TargetsPercent23[[#This Row],[Target Floor (calculated)]]</f>
        <v>-7.3233333333333235</v>
      </c>
    </row>
    <row r="64" spans="1:13" x14ac:dyDescent="0.2">
      <c r="A64" t="str">
        <f>_xlfn.CONCAT(TargetsPercent23[[#This Row],[University]],":",TargetsPercent23[[#This Row],[Metric]])</f>
        <v>McMaster University:06. Research funding and capacity: federal tri-agency funding secured</v>
      </c>
      <c r="B64" t="s">
        <v>34</v>
      </c>
      <c r="C64" t="s">
        <v>24</v>
      </c>
      <c r="D64" s="18">
        <f>VLOOKUP(TargetsPercent23[[#This Row],[KEY]],[1]!HistoricalData[#Data],4,FALSE)</f>
        <v>0.105</v>
      </c>
      <c r="E64" s="18">
        <f>VLOOKUP(TargetsPercent23[[#This Row],[KEY]],[1]!HistoricalData[#Data],5,FALSE)</f>
        <v>0.10539999999999999</v>
      </c>
      <c r="F64" s="18">
        <f>VLOOKUP(TargetsPercent23[[#This Row],[KEY]],[1]!HistoricalData[#Data],6,FALSE)</f>
        <v>0.1038</v>
      </c>
      <c r="G64" s="19">
        <f>VLOOKUP(TargetsPercent23[[#This Row],[KEY]],[1]!HistoricalData[#Data],7,FALSE)</f>
        <v>0.10059999999999999</v>
      </c>
      <c r="H64" s="11">
        <f>AVERAGE(TargetsPercent23[[#This Row],[2016–17 Historical data]],TargetsPercent23[[#This Row],[2017–18 Historical data]],TargetsPercent23[[#This Row],[2018–19 Historical data]])</f>
        <v>0.10473333333333333</v>
      </c>
      <c r="I64" s="2">
        <f>ABS((TargetsPercent23[[#This Row],[2017–18 Historical data]]-TargetsPercent23[[#This Row],[2016–17 Historical data]])/TargetsPercent23[[#This Row],[2016–17 Historical data]])</f>
        <v>3.8095238095237865E-3</v>
      </c>
      <c r="J64" s="2">
        <f>ABS((TargetsPercent23[[#This Row],[2018–19 Historical data]]-TargetsPercent23[[#This Row],[2017–18 Historical data]])/TargetsPercent23[[#This Row],[2017–18 Historical data]])</f>
        <v>1.5180265654648865E-2</v>
      </c>
      <c r="K6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4" s="10">
        <f>TargetsPercent23[[#This Row],[Average (calculated)]]-TargetsPercent23[[#This Row],[Band of Tolerance (calculated)]]</f>
        <v>9.4733333333333336E-2</v>
      </c>
      <c r="M64" s="11">
        <f>TargetsPercent23[[#This Row],[2020–21
Allowable
performance
target]]-TargetsPercent23[[#This Row],[Target Floor (calculated)]]</f>
        <v>5.8666666666666589E-3</v>
      </c>
    </row>
    <row r="65" spans="1:13" x14ac:dyDescent="0.2">
      <c r="A65" t="str">
        <f>_xlfn.CONCAT(TargetsPercent23[[#This Row],[University]],":",TargetsPercent23[[#This Row],[Metric]])</f>
        <v>McMaster University:07. Experiential learning</v>
      </c>
      <c r="B65" t="s">
        <v>34</v>
      </c>
      <c r="C65" t="s">
        <v>25</v>
      </c>
      <c r="D65" s="6">
        <f>VLOOKUP(TargetsPercent23[[#This Row],[KEY]],[1]!HistoricalData[#Data],4,FALSE)</f>
        <v>0</v>
      </c>
      <c r="E65" s="6">
        <f>VLOOKUP(TargetsPercent23[[#This Row],[KEY]],[1]!HistoricalData[#Data],5,FALSE)</f>
        <v>0</v>
      </c>
      <c r="F65" s="6">
        <f>VLOOKUP(TargetsPercent23[[#This Row],[KEY]],[1]!HistoricalData[#Data],6,FALSE)</f>
        <v>0</v>
      </c>
      <c r="G65" s="5">
        <f>VLOOKUP(TargetsPercent23[[#This Row],[KEY]],[1]!HistoricalData[#Data],7,FALSE)</f>
        <v>0</v>
      </c>
      <c r="H65" s="9">
        <f>AVERAGE(TargetsPercent23[[#This Row],[2016–17 Historical data]],TargetsPercent23[[#This Row],[2017–18 Historical data]],TargetsPercent23[[#This Row],[2018–19 Historical data]])</f>
        <v>0</v>
      </c>
      <c r="I65" s="9">
        <f>ABS(TargetsPercent23[[#This Row],[2016–17 Historical data]]-TargetsPercent23[[#This Row],[2017–18 Historical data]])</f>
        <v>0</v>
      </c>
      <c r="J65" s="2">
        <f>ABS(TargetsPercent23[[#This Row],[2017–18 Historical data]]-TargetsPercent23[[#This Row],[2018–19 Historical data]])</f>
        <v>0</v>
      </c>
      <c r="K6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5" s="26">
        <f>TargetsPercent23[[#This Row],[Average (calculated)]]-TargetsPercent23[[#This Row],[Band of Tolerance (calculated)]]</f>
        <v>-0.01</v>
      </c>
      <c r="M65" s="22">
        <f>TargetsPercent23[[#This Row],[2020–21
Allowable
performance
target]]-TargetsPercent23[[#This Row],[Target Floor (calculated)]]</f>
        <v>0.01</v>
      </c>
    </row>
    <row r="66" spans="1:13" x14ac:dyDescent="0.2">
      <c r="A66" t="str">
        <f>_xlfn.CONCAT(TargetsPercent23[[#This Row],[University]],":",TargetsPercent23[[#This Row],[Metric]])</f>
        <v>McMaster University:08. Research revenue attracted from private sector sources</v>
      </c>
      <c r="B66" t="s">
        <v>34</v>
      </c>
      <c r="C66" t="s">
        <v>26</v>
      </c>
      <c r="D66" s="18">
        <f>VLOOKUP(TargetsPercent23[[#This Row],[KEY]],[1]!HistoricalData[#Data],4,FALSE)</f>
        <v>0</v>
      </c>
      <c r="E66" s="18">
        <f>VLOOKUP(TargetsPercent23[[#This Row],[KEY]],[1]!HistoricalData[#Data],5,FALSE)</f>
        <v>0</v>
      </c>
      <c r="F66" s="18">
        <f>VLOOKUP(TargetsPercent23[[#This Row],[KEY]],[1]!HistoricalData[#Data],6,FALSE)</f>
        <v>0</v>
      </c>
      <c r="G66" s="19">
        <f>VLOOKUP(TargetsPercent23[[#This Row],[KEY]],[1]!HistoricalData[#Data],7,FALSE)</f>
        <v>0</v>
      </c>
      <c r="H66" s="11">
        <f>AVERAGE(TargetsPercent23[[#This Row],[2016–17 Historical data]],TargetsPercent23[[#This Row],[2017–18 Historical data]],TargetsPercent23[[#This Row],[2018–19 Historical data]])</f>
        <v>0</v>
      </c>
      <c r="I66" s="2" t="e">
        <f>ABS((TargetsPercent23[[#This Row],[2017–18 Historical data]]-TargetsPercent23[[#This Row],[2016–17 Historical data]])/TargetsPercent23[[#This Row],[2016–17 Historical data]])</f>
        <v>#DIV/0!</v>
      </c>
      <c r="J66" s="2" t="e">
        <f>ABS((TargetsPercent23[[#This Row],[2018–19 Historical data]]-TargetsPercent23[[#This Row],[2017–18 Historical data]])/TargetsPercent23[[#This Row],[2017–18 Historical data]])</f>
        <v>#DIV/0!</v>
      </c>
      <c r="K66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66" s="10" t="e">
        <f>TargetsPercent23[[#This Row],[Average (calculated)]]-TargetsPercent23[[#This Row],[Band of Tolerance (calculated)]]</f>
        <v>#DIV/0!</v>
      </c>
      <c r="M66" s="11" t="e">
        <f>TargetsPercent23[[#This Row],[2020–21
Allowable
performance
target]]-TargetsPercent23[[#This Row],[Target Floor (calculated)]]</f>
        <v>#DIV/0!</v>
      </c>
    </row>
    <row r="67" spans="1:13" x14ac:dyDescent="0.2">
      <c r="A67" t="str">
        <f>_xlfn.CONCAT(TargetsPercent23[[#This Row],[University]],":",TargetsPercent23[[#This Row],[Metric]])</f>
        <v>McMaster University:09. Graduate employment earnings</v>
      </c>
      <c r="B67" t="s">
        <v>34</v>
      </c>
      <c r="C67" t="s">
        <v>27</v>
      </c>
      <c r="D67" s="6">
        <f>VLOOKUP(TargetsPercent23[[#This Row],[KEY]],[1]!HistoricalData[#Data],4,FALSE)</f>
        <v>0</v>
      </c>
      <c r="E67" s="6">
        <f>VLOOKUP(TargetsPercent23[[#This Row],[KEY]],[1]!HistoricalData[#Data],5,FALSE)</f>
        <v>0</v>
      </c>
      <c r="F67" s="6">
        <f>VLOOKUP(TargetsPercent23[[#This Row],[KEY]],[1]!HistoricalData[#Data],6,FALSE)</f>
        <v>0</v>
      </c>
      <c r="G67" s="5">
        <f>VLOOKUP(TargetsPercent23[[#This Row],[KEY]],[1]!HistoricalData[#Data],7,FALSE)</f>
        <v>0</v>
      </c>
      <c r="H67" s="9">
        <f>AVERAGE(TargetsPercent23[[#This Row],[2016–17 Historical data]],TargetsPercent23[[#This Row],[2017–18 Historical data]],TargetsPercent23[[#This Row],[2018–19 Historical data]])</f>
        <v>0</v>
      </c>
      <c r="I67" s="9">
        <f>ABS(TargetsPercent23[[#This Row],[2016–17 Historical data]]-TargetsPercent23[[#This Row],[2017–18 Historical data]])</f>
        <v>0</v>
      </c>
      <c r="J67" s="2">
        <f>ABS(TargetsPercent23[[#This Row],[2017–18 Historical data]]-TargetsPercent23[[#This Row],[2018–19 Historical data]])</f>
        <v>0</v>
      </c>
      <c r="K6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7" s="26">
        <f>TargetsPercent23[[#This Row],[Average (calculated)]]-TargetsPercent23[[#This Row],[Band of Tolerance (calculated)]]</f>
        <v>-0.01</v>
      </c>
      <c r="M67" s="22">
        <f>TargetsPercent23[[#This Row],[2020–21
Allowable
performance
target]]-TargetsPercent23[[#This Row],[Target Floor (calculated)]]</f>
        <v>0.01</v>
      </c>
    </row>
    <row r="68" spans="1:13" x14ac:dyDescent="0.2">
      <c r="A68" t="str">
        <f>_xlfn.CONCAT(TargetsPercent23[[#This Row],[University]],":",TargetsPercent23[[#This Row],[Metric]])</f>
        <v>McMaster University:10. Skills and competencies</v>
      </c>
      <c r="B68" t="s">
        <v>34</v>
      </c>
      <c r="C68" t="s">
        <v>28</v>
      </c>
      <c r="D68" s="6">
        <f>VLOOKUP(TargetsPercent23[[#This Row],[KEY]],[1]!HistoricalData[#Data],4,FALSE)</f>
        <v>0</v>
      </c>
      <c r="E68" s="6">
        <f>VLOOKUP(TargetsPercent23[[#This Row],[KEY]],[1]!HistoricalData[#Data],5,FALSE)</f>
        <v>0</v>
      </c>
      <c r="F68" s="6">
        <f>VLOOKUP(TargetsPercent23[[#This Row],[KEY]],[1]!HistoricalData[#Data],6,FALSE)</f>
        <v>0</v>
      </c>
      <c r="G68" s="5">
        <f>VLOOKUP(TargetsPercent23[[#This Row],[KEY]],[1]!HistoricalData[#Data],7,FALSE)</f>
        <v>0</v>
      </c>
      <c r="H68" s="9">
        <f>AVERAGE(TargetsPercent23[[#This Row],[2016–17 Historical data]],TargetsPercent23[[#This Row],[2017–18 Historical data]],TargetsPercent23[[#This Row],[2018–19 Historical data]])</f>
        <v>0</v>
      </c>
      <c r="I68" s="9">
        <f>ABS(TargetsPercent23[[#This Row],[2016–17 Historical data]]-TargetsPercent23[[#This Row],[2017–18 Historical data]])</f>
        <v>0</v>
      </c>
      <c r="J68" s="2">
        <f>ABS(TargetsPercent23[[#This Row],[2017–18 Historical data]]-TargetsPercent23[[#This Row],[2018–19 Historical data]])</f>
        <v>0</v>
      </c>
      <c r="K6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8" s="26">
        <f>TargetsPercent23[[#This Row],[Average (calculated)]]-TargetsPercent23[[#This Row],[Band of Tolerance (calculated)]]</f>
        <v>-0.01</v>
      </c>
      <c r="M68" s="22">
        <f>TargetsPercent23[[#This Row],[2020–21
Allowable
performance
target]]-TargetsPercent23[[#This Row],[Target Floor (calculated)]]</f>
        <v>0.01</v>
      </c>
    </row>
    <row r="69" spans="1:13" x14ac:dyDescent="0.2">
      <c r="A69" t="str">
        <f>_xlfn.CONCAT(TargetsPercent23[[#This Row],[University]],":",TargetsPercent23[[#This Row],[Metric]])</f>
        <v>McMaster University:Tri-agency research funding</v>
      </c>
      <c r="B69" t="s">
        <v>34</v>
      </c>
      <c r="C69" t="s">
        <v>29</v>
      </c>
      <c r="D69" s="18">
        <f>VLOOKUP(TargetsPercent23[[#This Row],[KEY]],[1]!HistoricalData[#Data],4,FALSE)</f>
        <v>66947518</v>
      </c>
      <c r="E69" s="18">
        <f>VLOOKUP(TargetsPercent23[[#This Row],[KEY]],[1]!HistoricalData[#Data],5,FALSE)</f>
        <v>70167132</v>
      </c>
      <c r="F69" s="18">
        <f>VLOOKUP(TargetsPercent23[[#This Row],[KEY]],[1]!HistoricalData[#Data],6,FALSE)</f>
        <v>70469233</v>
      </c>
      <c r="G69" s="19">
        <f>VLOOKUP(TargetsPercent23[[#This Row],[KEY]],[1]!HistoricalData[#Data],7,FALSE)</f>
        <v>0</v>
      </c>
      <c r="H69" s="11">
        <f>AVERAGE(TargetsPercent23[[#This Row],[2016–17 Historical data]],TargetsPercent23[[#This Row],[2017–18 Historical data]],TargetsPercent23[[#This Row],[2018–19 Historical data]])</f>
        <v>69194627.666666672</v>
      </c>
      <c r="I69" s="2">
        <f>ABS((TargetsPercent23[[#This Row],[2017–18 Historical data]]-TargetsPercent23[[#This Row],[2016–17 Historical data]])/TargetsPercent23[[#This Row],[2016–17 Historical data]])</f>
        <v>4.8091611103491541E-2</v>
      </c>
      <c r="J69" s="2">
        <f>ABS((TargetsPercent23[[#This Row],[2018–19 Historical data]]-TargetsPercent23[[#This Row],[2017–18 Historical data]])/TargetsPercent23[[#This Row],[2017–18 Historical data]])</f>
        <v>4.3054488816786753E-3</v>
      </c>
      <c r="K6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69" s="10">
        <f>TargetsPercent23[[#This Row],[Average (calculated)]]-TargetsPercent23[[#This Row],[Band of Tolerance (calculated)]]</f>
        <v>69194627.656666666</v>
      </c>
      <c r="M69" s="11">
        <f>TargetsPercent23[[#This Row],[2020–21
Allowable
performance
target]]-TargetsPercent23[[#This Row],[Target Floor (calculated)]]</f>
        <v>-69194627.656666666</v>
      </c>
    </row>
    <row r="70" spans="1:13" x14ac:dyDescent="0.2">
      <c r="A70" t="str">
        <f>_xlfn.CONCAT(TargetsPercent23[[#This Row],[University]],":",TargetsPercent23[[#This Row],[Metric]])</f>
        <v>Nipissing University:01. Graduate employment rate in a related field</v>
      </c>
      <c r="B70" t="s">
        <v>35</v>
      </c>
      <c r="C70" t="s">
        <v>19</v>
      </c>
      <c r="D70" s="6">
        <f>VLOOKUP(TargetsPercent23[[#This Row],[KEY]],[1]!HistoricalData[#Data],4,FALSE)</f>
        <v>0.89910000000000001</v>
      </c>
      <c r="E70" s="6">
        <f>VLOOKUP(TargetsPercent23[[#This Row],[KEY]],[1]!HistoricalData[#Data],5,FALSE)</f>
        <v>0.89980000000000004</v>
      </c>
      <c r="F70" s="6">
        <f>VLOOKUP(TargetsPercent23[[#This Row],[KEY]],[1]!HistoricalData[#Data],6,FALSE)</f>
        <v>0.94389999999999996</v>
      </c>
      <c r="G70" s="5">
        <f>VLOOKUP(TargetsPercent23[[#This Row],[KEY]],[1]!HistoricalData[#Data],7,FALSE)</f>
        <v>0.89219999999999999</v>
      </c>
      <c r="H70" s="2">
        <f>AVERAGE(TargetsPercent23[[#This Row],[2016–17 Historical data]],TargetsPercent23[[#This Row],[2017–18 Historical data]],TargetsPercent23[[#This Row],[2018–19 Historical data]])</f>
        <v>0.91426666666666667</v>
      </c>
      <c r="I70" s="2">
        <f>ABS(TargetsPercent23[[#This Row],[2016–17 Historical data]]-TargetsPercent23[[#This Row],[2017–18 Historical data]])</f>
        <v>7.0000000000003393E-4</v>
      </c>
      <c r="J70" s="2">
        <f>ABS(TargetsPercent23[[#This Row],[2017–18 Historical data]]-TargetsPercent23[[#This Row],[2018–19 Historical data]])</f>
        <v>4.4099999999999917E-2</v>
      </c>
      <c r="K7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0" s="23">
        <f>TargetsPercent23[[#This Row],[Average (calculated)]]-TargetsPercent23[[#This Row],[Band of Tolerance (calculated)]]</f>
        <v>0.90426666666666666</v>
      </c>
      <c r="M70" s="22">
        <f>TargetsPercent23[[#This Row],[2020–21
Allowable
performance
target]]-TargetsPercent23[[#This Row],[Target Floor (calculated)]]</f>
        <v>-1.206666666666667E-2</v>
      </c>
    </row>
    <row r="71" spans="1:13" x14ac:dyDescent="0.2">
      <c r="A71" t="str">
        <f>_xlfn.CONCAT(TargetsPercent23[[#This Row],[University]],":",TargetsPercent23[[#This Row],[Metric]])</f>
        <v>Nipissing University:02. Institutional strength and focus</v>
      </c>
      <c r="B71" t="s">
        <v>35</v>
      </c>
      <c r="C71" t="s">
        <v>20</v>
      </c>
      <c r="D71" s="6">
        <f>VLOOKUP(TargetsPercent23[[#This Row],[KEY]],[1]!HistoricalData[#Data],4,FALSE)</f>
        <v>0.18579999999999999</v>
      </c>
      <c r="E71" s="6">
        <f>VLOOKUP(TargetsPercent23[[#This Row],[KEY]],[1]!HistoricalData[#Data],5,FALSE)</f>
        <v>0.17230000000000001</v>
      </c>
      <c r="F71" s="6">
        <f>VLOOKUP(TargetsPercent23[[#This Row],[KEY]],[1]!HistoricalData[#Data],6,FALSE)</f>
        <v>0.16880000000000001</v>
      </c>
      <c r="G71" s="5">
        <f>VLOOKUP(TargetsPercent23[[#This Row],[KEY]],[1]!HistoricalData[#Data],7,FALSE)</f>
        <v>0.1983</v>
      </c>
      <c r="H71" s="2">
        <f>AVERAGE(TargetsPercent23[[#This Row],[2016–17 Historical data]],TargetsPercent23[[#This Row],[2017–18 Historical data]],TargetsPercent23[[#This Row],[2018–19 Historical data]])</f>
        <v>0.17563333333333331</v>
      </c>
      <c r="I71" s="2">
        <f>ABS(TargetsPercent23[[#This Row],[2016–17 Historical data]]-TargetsPercent23[[#This Row],[2017–18 Historical data]])</f>
        <v>1.3499999999999984E-2</v>
      </c>
      <c r="J71" s="2">
        <f>ABS(TargetsPercent23[[#This Row],[2017–18 Historical data]]-TargetsPercent23[[#This Row],[2018–19 Historical data]])</f>
        <v>3.5000000000000031E-3</v>
      </c>
      <c r="K7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1" s="23">
        <f>TargetsPercent23[[#This Row],[Average (calculated)]]-TargetsPercent23[[#This Row],[Band of Tolerance (calculated)]]</f>
        <v>0.1656333333333333</v>
      </c>
      <c r="M71" s="22">
        <f>TargetsPercent23[[#This Row],[2020–21
Allowable
performance
target]]-TargetsPercent23[[#This Row],[Target Floor (calculated)]]</f>
        <v>3.2666666666666705E-2</v>
      </c>
    </row>
    <row r="72" spans="1:13" x14ac:dyDescent="0.2">
      <c r="A72" t="str">
        <f>_xlfn.CONCAT(TargetsPercent23[[#This Row],[University]],":",TargetsPercent23[[#This Row],[Metric]])</f>
        <v>Nipissing University:03. Graduation rate</v>
      </c>
      <c r="B72" t="s">
        <v>35</v>
      </c>
      <c r="C72" t="s">
        <v>21</v>
      </c>
      <c r="D72" s="6">
        <f>VLOOKUP(TargetsPercent23[[#This Row],[KEY]],[1]!HistoricalData[#Data],4,FALSE)</f>
        <v>0.86250000000000004</v>
      </c>
      <c r="E72" s="6">
        <f>VLOOKUP(TargetsPercent23[[#This Row],[KEY]],[1]!HistoricalData[#Data],5,FALSE)</f>
        <v>0.83799999999999997</v>
      </c>
      <c r="F72" s="6">
        <f>VLOOKUP(TargetsPercent23[[#This Row],[KEY]],[1]!HistoricalData[#Data],6,FALSE)</f>
        <v>0.83289999999999997</v>
      </c>
      <c r="G72" s="5">
        <f>VLOOKUP(TargetsPercent23[[#This Row],[KEY]],[1]!HistoricalData[#Data],7,FALSE)</f>
        <v>0.82989999999999997</v>
      </c>
      <c r="H72" s="2">
        <f>AVERAGE(TargetsPercent23[[#This Row],[2016–17 Historical data]],TargetsPercent23[[#This Row],[2017–18 Historical data]],TargetsPercent23[[#This Row],[2018–19 Historical data]])</f>
        <v>0.84446666666666659</v>
      </c>
      <c r="I72" s="2">
        <f>ABS(TargetsPercent23[[#This Row],[2016–17 Historical data]]-TargetsPercent23[[#This Row],[2017–18 Historical data]])</f>
        <v>2.4500000000000077E-2</v>
      </c>
      <c r="J72" s="2">
        <f>ABS(TargetsPercent23[[#This Row],[2017–18 Historical data]]-TargetsPercent23[[#This Row],[2018–19 Historical data]])</f>
        <v>5.0999999999999934E-3</v>
      </c>
      <c r="K7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2" s="23">
        <f>TargetsPercent23[[#This Row],[Average (calculated)]]-TargetsPercent23[[#This Row],[Band of Tolerance (calculated)]]</f>
        <v>0.83446666666666658</v>
      </c>
      <c r="M72" s="22">
        <f>TargetsPercent23[[#This Row],[2020–21
Allowable
performance
target]]-TargetsPercent23[[#This Row],[Target Floor (calculated)]]</f>
        <v>-4.5666666666666078E-3</v>
      </c>
    </row>
    <row r="73" spans="1:13" x14ac:dyDescent="0.2">
      <c r="A73" t="str">
        <f>_xlfn.CONCAT(TargetsPercent23[[#This Row],[University]],":",TargetsPercent23[[#This Row],[Metric]])</f>
        <v>Nipissing University:04. Community and local impact of student enrolment</v>
      </c>
      <c r="B73" t="s">
        <v>35</v>
      </c>
      <c r="C73" t="s">
        <v>22</v>
      </c>
      <c r="D73" s="6">
        <f>VLOOKUP(TargetsPercent23[[#This Row],[KEY]],[1]!HistoricalData[#Data],4,FALSE)</f>
        <v>0.13300000000000001</v>
      </c>
      <c r="E73" s="6">
        <f>VLOOKUP(TargetsPercent23[[#This Row],[KEY]],[1]!HistoricalData[#Data],5,FALSE)</f>
        <v>0.13850000000000001</v>
      </c>
      <c r="F73" s="6">
        <f>VLOOKUP(TargetsPercent23[[#This Row],[KEY]],[1]!HistoricalData[#Data],6,FALSE)</f>
        <v>0.1444</v>
      </c>
      <c r="G73" s="5">
        <f>VLOOKUP(TargetsPercent23[[#This Row],[KEY]],[1]!HistoricalData[#Data],7,FALSE)</f>
        <v>0.13800000000000001</v>
      </c>
      <c r="H73" s="2">
        <f>AVERAGE(TargetsPercent23[[#This Row],[2016–17 Historical data]],TargetsPercent23[[#This Row],[2017–18 Historical data]],TargetsPercent23[[#This Row],[2018–19 Historical data]])</f>
        <v>0.13863333333333336</v>
      </c>
      <c r="I73" s="2">
        <f>ABS(TargetsPercent23[[#This Row],[2016–17 Historical data]]-TargetsPercent23[[#This Row],[2017–18 Historical data]])</f>
        <v>5.5000000000000049E-3</v>
      </c>
      <c r="J73" s="2">
        <f>ABS(TargetsPercent23[[#This Row],[2017–18 Historical data]]-TargetsPercent23[[#This Row],[2018–19 Historical data]])</f>
        <v>5.8999999999999886E-3</v>
      </c>
      <c r="K7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3" s="24">
        <f>TargetsPercent23[[#This Row],[Average (calculated)]]-TargetsPercent23[[#This Row],[Band of Tolerance (calculated)]]</f>
        <v>0.12863333333333335</v>
      </c>
      <c r="M73" s="25">
        <f>TargetsPercent23[[#This Row],[2020–21
Allowable
performance
target]]-TargetsPercent23[[#This Row],[Target Floor (calculated)]]</f>
        <v>9.366666666666662E-3</v>
      </c>
    </row>
    <row r="74" spans="1:13" x14ac:dyDescent="0.2">
      <c r="A74" t="str">
        <f>_xlfn.CONCAT(TargetsPercent23[[#This Row],[University]],":",TargetsPercent23[[#This Row],[Metric]])</f>
        <v>Nipissing University:05. Economic impact (institution-specific)</v>
      </c>
      <c r="B74" t="s">
        <v>35</v>
      </c>
      <c r="C74" t="s">
        <v>23</v>
      </c>
      <c r="D74" s="18">
        <f>VLOOKUP(TargetsPercent23[[#This Row],[KEY]],[1]!HistoricalData[#Data],4,FALSE)</f>
        <v>35985642</v>
      </c>
      <c r="E74" s="18">
        <f>VLOOKUP(TargetsPercent23[[#This Row],[KEY]],[1]!HistoricalData[#Data],5,FALSE)</f>
        <v>36400293</v>
      </c>
      <c r="F74" s="18">
        <f>VLOOKUP(TargetsPercent23[[#This Row],[KEY]],[1]!HistoricalData[#Data],6,FALSE)</f>
        <v>36341889</v>
      </c>
      <c r="G74" s="19">
        <f>VLOOKUP(TargetsPercent23[[#This Row],[KEY]],[1]!HistoricalData[#Data],7,FALSE)</f>
        <v>35938002</v>
      </c>
      <c r="H74" s="11">
        <f>AVERAGE(TargetsPercent23[[#This Row],[2016–17 Historical data]],TargetsPercent23[[#This Row],[2017–18 Historical data]],TargetsPercent23[[#This Row],[2018–19 Historical data]])</f>
        <v>36242608</v>
      </c>
      <c r="I74" s="2">
        <f>ABS((TargetsPercent23[[#This Row],[2017–18 Historical data]]-TargetsPercent23[[#This Row],[2016–17 Historical data]])/TargetsPercent23[[#This Row],[2016–17 Historical data]])</f>
        <v>1.1522678961792595E-2</v>
      </c>
      <c r="J74" s="2">
        <f>ABS((TargetsPercent23[[#This Row],[2018–19 Historical data]]-TargetsPercent23[[#This Row],[2017–18 Historical data]])/TargetsPercent23[[#This Row],[2017–18 Historical data]])</f>
        <v>1.604492579221821E-3</v>
      </c>
      <c r="K7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4" s="10">
        <f>TargetsPercent23[[#This Row],[Average (calculated)]]-TargetsPercent23[[#This Row],[Band of Tolerance (calculated)]]</f>
        <v>36242607.990000002</v>
      </c>
      <c r="M74" s="11">
        <f>TargetsPercent23[[#This Row],[2020–21
Allowable
performance
target]]-TargetsPercent23[[#This Row],[Target Floor (calculated)]]</f>
        <v>-304605.99000000209</v>
      </c>
    </row>
    <row r="75" spans="1:13" x14ac:dyDescent="0.2">
      <c r="A75" t="str">
        <f>_xlfn.CONCAT(TargetsPercent23[[#This Row],[University]],":",TargetsPercent23[[#This Row],[Metric]])</f>
        <v>Nipissing University:06. Research funding and capacity: federal tri-agency funding secured</v>
      </c>
      <c r="B75" t="s">
        <v>35</v>
      </c>
      <c r="C75" t="s">
        <v>24</v>
      </c>
      <c r="D75" s="18">
        <f>VLOOKUP(TargetsPercent23[[#This Row],[KEY]],[1]!HistoricalData[#Data],4,FALSE)</f>
        <v>1.1999999999999999E-3</v>
      </c>
      <c r="E75" s="18">
        <f>VLOOKUP(TargetsPercent23[[#This Row],[KEY]],[1]!HistoricalData[#Data],5,FALSE)</f>
        <v>1.1999999999999999E-3</v>
      </c>
      <c r="F75" s="18">
        <f>VLOOKUP(TargetsPercent23[[#This Row],[KEY]],[1]!HistoricalData[#Data],6,FALSE)</f>
        <v>1.2999999999999999E-3</v>
      </c>
      <c r="G75" s="19">
        <f>VLOOKUP(TargetsPercent23[[#This Row],[KEY]],[1]!HistoricalData[#Data],7,FALSE)</f>
        <v>1.1999999999999999E-3</v>
      </c>
      <c r="H75" s="11">
        <f>AVERAGE(TargetsPercent23[[#This Row],[2016–17 Historical data]],TargetsPercent23[[#This Row],[2017–18 Historical data]],TargetsPercent23[[#This Row],[2018–19 Historical data]])</f>
        <v>1.2333333333333332E-3</v>
      </c>
      <c r="I75" s="2">
        <f>ABS((TargetsPercent23[[#This Row],[2017–18 Historical data]]-TargetsPercent23[[#This Row],[2016–17 Historical data]])/TargetsPercent23[[#This Row],[2016–17 Historical data]])</f>
        <v>0</v>
      </c>
      <c r="J75" s="2">
        <f>ABS((TargetsPercent23[[#This Row],[2018–19 Historical data]]-TargetsPercent23[[#This Row],[2017–18 Historical data]])/TargetsPercent23[[#This Row],[2017–18 Historical data]])</f>
        <v>8.3333333333333384E-2</v>
      </c>
      <c r="K7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5" s="10">
        <f>TargetsPercent23[[#This Row],[Average (calculated)]]-TargetsPercent23[[#This Row],[Band of Tolerance (calculated)]]</f>
        <v>-8.7666666666666674E-3</v>
      </c>
      <c r="M75" s="11">
        <f>TargetsPercent23[[#This Row],[2020–21
Allowable
performance
target]]-TargetsPercent23[[#This Row],[Target Floor (calculated)]]</f>
        <v>9.9666666666666671E-3</v>
      </c>
    </row>
    <row r="76" spans="1:13" x14ac:dyDescent="0.2">
      <c r="A76" t="str">
        <f>_xlfn.CONCAT(TargetsPercent23[[#This Row],[University]],":",TargetsPercent23[[#This Row],[Metric]])</f>
        <v>Nipissing University:07. Experiential learning</v>
      </c>
      <c r="B76" t="s">
        <v>35</v>
      </c>
      <c r="C76" t="s">
        <v>25</v>
      </c>
      <c r="D76" s="6">
        <f>VLOOKUP(TargetsPercent23[[#This Row],[KEY]],[1]!HistoricalData[#Data],4,FALSE)</f>
        <v>0</v>
      </c>
      <c r="E76" s="6">
        <f>VLOOKUP(TargetsPercent23[[#This Row],[KEY]],[1]!HistoricalData[#Data],5,FALSE)</f>
        <v>0</v>
      </c>
      <c r="F76" s="6">
        <f>VLOOKUP(TargetsPercent23[[#This Row],[KEY]],[1]!HistoricalData[#Data],6,FALSE)</f>
        <v>0</v>
      </c>
      <c r="G76" s="5">
        <f>VLOOKUP(TargetsPercent23[[#This Row],[KEY]],[1]!HistoricalData[#Data],7,FALSE)</f>
        <v>0</v>
      </c>
      <c r="H76" s="8">
        <f>AVERAGE(TargetsPercent23[[#This Row],[2016–17 Historical data]],TargetsPercent23[[#This Row],[2017–18 Historical data]],TargetsPercent23[[#This Row],[2018–19 Historical data]])</f>
        <v>0</v>
      </c>
      <c r="I76" s="8">
        <f>ABS(TargetsPercent23[[#This Row],[2016–17 Historical data]]-TargetsPercent23[[#This Row],[2017–18 Historical data]])</f>
        <v>0</v>
      </c>
      <c r="J76" s="12">
        <f>ABS(TargetsPercent23[[#This Row],[2017–18 Historical data]]-TargetsPercent23[[#This Row],[2018–19 Historical data]])</f>
        <v>0</v>
      </c>
      <c r="K7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6" s="26">
        <f>TargetsPercent23[[#This Row],[Average (calculated)]]-TargetsPercent23[[#This Row],[Band of Tolerance (calculated)]]</f>
        <v>-0.01</v>
      </c>
      <c r="M76" s="22">
        <f>TargetsPercent23[[#This Row],[2020–21
Allowable
performance
target]]-TargetsPercent23[[#This Row],[Target Floor (calculated)]]</f>
        <v>0.01</v>
      </c>
    </row>
    <row r="77" spans="1:13" x14ac:dyDescent="0.2">
      <c r="A77" t="str">
        <f>_xlfn.CONCAT(TargetsPercent23[[#This Row],[University]],":",TargetsPercent23[[#This Row],[Metric]])</f>
        <v>Nipissing University:08. Research revenue attracted from private sector sources</v>
      </c>
      <c r="B77" t="s">
        <v>35</v>
      </c>
      <c r="C77" t="s">
        <v>26</v>
      </c>
      <c r="D77" s="18">
        <f>VLOOKUP(TargetsPercent23[[#This Row],[KEY]],[1]!HistoricalData[#Data],4,FALSE)</f>
        <v>0</v>
      </c>
      <c r="E77" s="18">
        <f>VLOOKUP(TargetsPercent23[[#This Row],[KEY]],[1]!HistoricalData[#Data],5,FALSE)</f>
        <v>0</v>
      </c>
      <c r="F77" s="18">
        <f>VLOOKUP(TargetsPercent23[[#This Row],[KEY]],[1]!HistoricalData[#Data],6,FALSE)</f>
        <v>0</v>
      </c>
      <c r="G77" s="19">
        <f>VLOOKUP(TargetsPercent23[[#This Row],[KEY]],[1]!HistoricalData[#Data],7,FALSE)</f>
        <v>0</v>
      </c>
      <c r="H77" s="11">
        <f>AVERAGE(TargetsPercent23[[#This Row],[2016–17 Historical data]],TargetsPercent23[[#This Row],[2017–18 Historical data]],TargetsPercent23[[#This Row],[2018–19 Historical data]])</f>
        <v>0</v>
      </c>
      <c r="I77" s="2" t="e">
        <f>ABS((TargetsPercent23[[#This Row],[2017–18 Historical data]]-TargetsPercent23[[#This Row],[2016–17 Historical data]])/TargetsPercent23[[#This Row],[2016–17 Historical data]])</f>
        <v>#DIV/0!</v>
      </c>
      <c r="J77" s="2" t="e">
        <f>ABS((TargetsPercent23[[#This Row],[2018–19 Historical data]]-TargetsPercent23[[#This Row],[2017–18 Historical data]])/TargetsPercent23[[#This Row],[2017–18 Historical data]])</f>
        <v>#DIV/0!</v>
      </c>
      <c r="K77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77" s="10" t="e">
        <f>TargetsPercent23[[#This Row],[Average (calculated)]]-TargetsPercent23[[#This Row],[Band of Tolerance (calculated)]]</f>
        <v>#DIV/0!</v>
      </c>
      <c r="M77" s="11" t="e">
        <f>TargetsPercent23[[#This Row],[2020–21
Allowable
performance
target]]-TargetsPercent23[[#This Row],[Target Floor (calculated)]]</f>
        <v>#DIV/0!</v>
      </c>
    </row>
    <row r="78" spans="1:13" x14ac:dyDescent="0.2">
      <c r="A78" t="str">
        <f>_xlfn.CONCAT(TargetsPercent23[[#This Row],[University]],":",TargetsPercent23[[#This Row],[Metric]])</f>
        <v>Nipissing University:09. Graduate employment earnings</v>
      </c>
      <c r="B78" t="s">
        <v>35</v>
      </c>
      <c r="C78" t="s">
        <v>27</v>
      </c>
      <c r="D78" s="6">
        <f>VLOOKUP(TargetsPercent23[[#This Row],[KEY]],[1]!HistoricalData[#Data],4,FALSE)</f>
        <v>0</v>
      </c>
      <c r="E78" s="6">
        <f>VLOOKUP(TargetsPercent23[[#This Row],[KEY]],[1]!HistoricalData[#Data],5,FALSE)</f>
        <v>0</v>
      </c>
      <c r="F78" s="6">
        <f>VLOOKUP(TargetsPercent23[[#This Row],[KEY]],[1]!HistoricalData[#Data],6,FALSE)</f>
        <v>0</v>
      </c>
      <c r="G78" s="5">
        <f>VLOOKUP(TargetsPercent23[[#This Row],[KEY]],[1]!HistoricalData[#Data],7,FALSE)</f>
        <v>0</v>
      </c>
      <c r="H78" s="8">
        <f>AVERAGE(TargetsPercent23[[#This Row],[2016–17 Historical data]],TargetsPercent23[[#This Row],[2017–18 Historical data]],TargetsPercent23[[#This Row],[2018–19 Historical data]])</f>
        <v>0</v>
      </c>
      <c r="I78" s="8">
        <f>ABS(TargetsPercent23[[#This Row],[2016–17 Historical data]]-TargetsPercent23[[#This Row],[2017–18 Historical data]])</f>
        <v>0</v>
      </c>
      <c r="J78" s="12">
        <f>ABS(TargetsPercent23[[#This Row],[2017–18 Historical data]]-TargetsPercent23[[#This Row],[2018–19 Historical data]])</f>
        <v>0</v>
      </c>
      <c r="K7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8" s="26">
        <f>TargetsPercent23[[#This Row],[Average (calculated)]]-TargetsPercent23[[#This Row],[Band of Tolerance (calculated)]]</f>
        <v>-0.01</v>
      </c>
      <c r="M78" s="22">
        <f>TargetsPercent23[[#This Row],[2020–21
Allowable
performance
target]]-TargetsPercent23[[#This Row],[Target Floor (calculated)]]</f>
        <v>0.01</v>
      </c>
    </row>
    <row r="79" spans="1:13" x14ac:dyDescent="0.2">
      <c r="A79" t="str">
        <f>_xlfn.CONCAT(TargetsPercent23[[#This Row],[University]],":",TargetsPercent23[[#This Row],[Metric]])</f>
        <v>Nipissing University:10. Skills and competencies</v>
      </c>
      <c r="B79" t="s">
        <v>35</v>
      </c>
      <c r="C79" t="s">
        <v>28</v>
      </c>
      <c r="D79" s="6">
        <f>VLOOKUP(TargetsPercent23[[#This Row],[KEY]],[1]!HistoricalData[#Data],4,FALSE)</f>
        <v>0</v>
      </c>
      <c r="E79" s="6">
        <f>VLOOKUP(TargetsPercent23[[#This Row],[KEY]],[1]!HistoricalData[#Data],5,FALSE)</f>
        <v>0</v>
      </c>
      <c r="F79" s="6">
        <f>VLOOKUP(TargetsPercent23[[#This Row],[KEY]],[1]!HistoricalData[#Data],6,FALSE)</f>
        <v>0</v>
      </c>
      <c r="G79" s="5">
        <f>VLOOKUP(TargetsPercent23[[#This Row],[KEY]],[1]!HistoricalData[#Data],7,FALSE)</f>
        <v>0</v>
      </c>
      <c r="H79" s="8">
        <f>AVERAGE(TargetsPercent23[[#This Row],[2016–17 Historical data]],TargetsPercent23[[#This Row],[2017–18 Historical data]],TargetsPercent23[[#This Row],[2018–19 Historical data]])</f>
        <v>0</v>
      </c>
      <c r="I79" s="8">
        <f>ABS(TargetsPercent23[[#This Row],[2016–17 Historical data]]-TargetsPercent23[[#This Row],[2017–18 Historical data]])</f>
        <v>0</v>
      </c>
      <c r="J79" s="12">
        <f>ABS(TargetsPercent23[[#This Row],[2017–18 Historical data]]-TargetsPercent23[[#This Row],[2018–19 Historical data]])</f>
        <v>0</v>
      </c>
      <c r="K7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79" s="26">
        <f>TargetsPercent23[[#This Row],[Average (calculated)]]-TargetsPercent23[[#This Row],[Band of Tolerance (calculated)]]</f>
        <v>-0.01</v>
      </c>
      <c r="M79" s="22">
        <f>TargetsPercent23[[#This Row],[2020–21
Allowable
performance
target]]-TargetsPercent23[[#This Row],[Target Floor (calculated)]]</f>
        <v>0.01</v>
      </c>
    </row>
    <row r="80" spans="1:13" x14ac:dyDescent="0.2">
      <c r="A80" t="str">
        <f>_xlfn.CONCAT(TargetsPercent23[[#This Row],[University]],":",TargetsPercent23[[#This Row],[Metric]])</f>
        <v>Nipissing University:Tri-agency research funding</v>
      </c>
      <c r="B80" t="s">
        <v>35</v>
      </c>
      <c r="C80" t="s">
        <v>29</v>
      </c>
      <c r="D80" s="18">
        <f>VLOOKUP(TargetsPercent23[[#This Row],[KEY]],[1]!HistoricalData[#Data],4,FALSE)</f>
        <v>766673</v>
      </c>
      <c r="E80" s="18">
        <f>VLOOKUP(TargetsPercent23[[#This Row],[KEY]],[1]!HistoricalData[#Data],5,FALSE)</f>
        <v>792481</v>
      </c>
      <c r="F80" s="18">
        <f>VLOOKUP(TargetsPercent23[[#This Row],[KEY]],[1]!HistoricalData[#Data],6,FALSE)</f>
        <v>890406</v>
      </c>
      <c r="G80" s="19">
        <f>VLOOKUP(TargetsPercent23[[#This Row],[KEY]],[1]!HistoricalData[#Data],7,FALSE)</f>
        <v>0</v>
      </c>
      <c r="H80" s="11">
        <f>AVERAGE(TargetsPercent23[[#This Row],[2016–17 Historical data]],TargetsPercent23[[#This Row],[2017–18 Historical data]],TargetsPercent23[[#This Row],[2018–19 Historical data]])</f>
        <v>816520</v>
      </c>
      <c r="I80" s="2">
        <f>ABS((TargetsPercent23[[#This Row],[2017–18 Historical data]]-TargetsPercent23[[#This Row],[2016–17 Historical data]])/TargetsPercent23[[#This Row],[2016–17 Historical data]])</f>
        <v>3.3662330615529701E-2</v>
      </c>
      <c r="J80" s="2">
        <f>ABS((TargetsPercent23[[#This Row],[2018–19 Historical data]]-TargetsPercent23[[#This Row],[2017–18 Historical data]])/TargetsPercent23[[#This Row],[2017–18 Historical data]])</f>
        <v>0.12356763127444065</v>
      </c>
      <c r="K80" s="2">
        <f>IF(MIN(TargetsPercent23[[#This Row],[ABS 2016-17 to 2017-18 (calculated)]:[ABS 2017-18 to 2018-19 (calculated)]])&lt;0.01,0.01,MIN(TargetsPercent23[[#This Row],[ABS 2016-17 to 2017-18 (calculated)]:[ABS 2017-18 to 2018-19 (calculated)]]))</f>
        <v>3.3662330615529701E-2</v>
      </c>
      <c r="L80" s="10">
        <f>TargetsPercent23[[#This Row],[Average (calculated)]]-TargetsPercent23[[#This Row],[Band of Tolerance (calculated)]]</f>
        <v>816519.96633766941</v>
      </c>
      <c r="M80" s="11">
        <f>TargetsPercent23[[#This Row],[2020–21
Allowable
performance
target]]-TargetsPercent23[[#This Row],[Target Floor (calculated)]]</f>
        <v>-816519.96633766941</v>
      </c>
    </row>
    <row r="81" spans="1:13" x14ac:dyDescent="0.2">
      <c r="A81" t="str">
        <f>_xlfn.CONCAT(TargetsPercent23[[#This Row],[University]],":",TargetsPercent23[[#This Row],[Metric]])</f>
        <v>OCADu:01. Graduate employment rate in a related field</v>
      </c>
      <c r="B81" t="s">
        <v>36</v>
      </c>
      <c r="C81" t="s">
        <v>19</v>
      </c>
      <c r="D81" s="6">
        <f>VLOOKUP(TargetsPercent23[[#This Row],[KEY]],[1]!HistoricalData[#Data],4,FALSE)</f>
        <v>0.82479999999999998</v>
      </c>
      <c r="E81" s="6">
        <f>VLOOKUP(TargetsPercent23[[#This Row],[KEY]],[1]!HistoricalData[#Data],5,FALSE)</f>
        <v>0.8095</v>
      </c>
      <c r="F81" s="6">
        <f>VLOOKUP(TargetsPercent23[[#This Row],[KEY]],[1]!HistoricalData[#Data],6,FALSE)</f>
        <v>0.81620000000000004</v>
      </c>
      <c r="G81" s="5">
        <f>VLOOKUP(TargetsPercent23[[#This Row],[KEY]],[1]!HistoricalData[#Data],7,FALSE)</f>
        <v>0.8125</v>
      </c>
      <c r="H81" s="2">
        <f>AVERAGE(TargetsPercent23[[#This Row],[2016–17 Historical data]],TargetsPercent23[[#This Row],[2017–18 Historical data]],TargetsPercent23[[#This Row],[2018–19 Historical data]])</f>
        <v>0.8168333333333333</v>
      </c>
      <c r="I81" s="2">
        <f>ABS(TargetsPercent23[[#This Row],[2016–17 Historical data]]-TargetsPercent23[[#This Row],[2017–18 Historical data]])</f>
        <v>1.529999999999998E-2</v>
      </c>
      <c r="J81" s="2">
        <f>ABS(TargetsPercent23[[#This Row],[2017–18 Historical data]]-TargetsPercent23[[#This Row],[2018–19 Historical data]])</f>
        <v>6.7000000000000393E-3</v>
      </c>
      <c r="K8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1" s="23">
        <f>TargetsPercent23[[#This Row],[Average (calculated)]]-TargetsPercent23[[#This Row],[Band of Tolerance (calculated)]]</f>
        <v>0.80683333333333329</v>
      </c>
      <c r="M81" s="22">
        <f>TargetsPercent23[[#This Row],[2020–21
Allowable
performance
target]]-TargetsPercent23[[#This Row],[Target Floor (calculated)]]</f>
        <v>5.6666666666667087E-3</v>
      </c>
    </row>
    <row r="82" spans="1:13" x14ac:dyDescent="0.2">
      <c r="A82" t="str">
        <f>_xlfn.CONCAT(TargetsPercent23[[#This Row],[University]],":",TargetsPercent23[[#This Row],[Metric]])</f>
        <v>OCADu:02. Institutional strength and focus</v>
      </c>
      <c r="B82" t="s">
        <v>36</v>
      </c>
      <c r="C82" t="s">
        <v>20</v>
      </c>
      <c r="D82" s="6">
        <f>VLOOKUP(TargetsPercent23[[#This Row],[KEY]],[1]!HistoricalData[#Data],4,FALSE)</f>
        <v>0.54690000000000005</v>
      </c>
      <c r="E82" s="6">
        <f>VLOOKUP(TargetsPercent23[[#This Row],[KEY]],[1]!HistoricalData[#Data],5,FALSE)</f>
        <v>0.54800000000000004</v>
      </c>
      <c r="F82" s="6">
        <f>VLOOKUP(TargetsPercent23[[#This Row],[KEY]],[1]!HistoricalData[#Data],6,FALSE)</f>
        <v>0.54300000000000004</v>
      </c>
      <c r="G82" s="5">
        <f>VLOOKUP(TargetsPercent23[[#This Row],[KEY]],[1]!HistoricalData[#Data],7,FALSE)</f>
        <v>0.51790000000000003</v>
      </c>
      <c r="H82" s="2">
        <f>AVERAGE(TargetsPercent23[[#This Row],[2016–17 Historical data]],TargetsPercent23[[#This Row],[2017–18 Historical data]],TargetsPercent23[[#This Row],[2018–19 Historical data]])</f>
        <v>0.54596666666666671</v>
      </c>
      <c r="I82" s="2">
        <f>ABS(TargetsPercent23[[#This Row],[2016–17 Historical data]]-TargetsPercent23[[#This Row],[2017–18 Historical data]])</f>
        <v>1.0999999999999899E-3</v>
      </c>
      <c r="J82" s="2">
        <f>ABS(TargetsPercent23[[#This Row],[2017–18 Historical data]]-TargetsPercent23[[#This Row],[2018–19 Historical data]])</f>
        <v>5.0000000000000044E-3</v>
      </c>
      <c r="K8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2" s="23">
        <f>TargetsPercent23[[#This Row],[Average (calculated)]]-TargetsPercent23[[#This Row],[Band of Tolerance (calculated)]]</f>
        <v>0.5359666666666667</v>
      </c>
      <c r="M82" s="22">
        <f>TargetsPercent23[[#This Row],[2020–21
Allowable
performance
target]]-TargetsPercent23[[#This Row],[Target Floor (calculated)]]</f>
        <v>-1.8066666666666675E-2</v>
      </c>
    </row>
    <row r="83" spans="1:13" x14ac:dyDescent="0.2">
      <c r="A83" t="str">
        <f>_xlfn.CONCAT(TargetsPercent23[[#This Row],[University]],":",TargetsPercent23[[#This Row],[Metric]])</f>
        <v>OCADu:03. Graduation rate</v>
      </c>
      <c r="B83" t="s">
        <v>36</v>
      </c>
      <c r="C83" t="s">
        <v>21</v>
      </c>
      <c r="D83" s="6">
        <f>VLOOKUP(TargetsPercent23[[#This Row],[KEY]],[1]!HistoricalData[#Data],4,FALSE)</f>
        <v>0.68200000000000005</v>
      </c>
      <c r="E83" s="6">
        <f>VLOOKUP(TargetsPercent23[[#This Row],[KEY]],[1]!HistoricalData[#Data],5,FALSE)</f>
        <v>0.64690000000000003</v>
      </c>
      <c r="F83" s="6">
        <f>VLOOKUP(TargetsPercent23[[#This Row],[KEY]],[1]!HistoricalData[#Data],6,FALSE)</f>
        <v>0.68799999999999994</v>
      </c>
      <c r="G83" s="5">
        <f>VLOOKUP(TargetsPercent23[[#This Row],[KEY]],[1]!HistoricalData[#Data],7,FALSE)</f>
        <v>0.66669999999999996</v>
      </c>
      <c r="H83" s="2">
        <f>AVERAGE(TargetsPercent23[[#This Row],[2016–17 Historical data]],TargetsPercent23[[#This Row],[2017–18 Historical data]],TargetsPercent23[[#This Row],[2018–19 Historical data]])</f>
        <v>0.6722999999999999</v>
      </c>
      <c r="I83" s="2">
        <f>ABS(TargetsPercent23[[#This Row],[2016–17 Historical data]]-TargetsPercent23[[#This Row],[2017–18 Historical data]])</f>
        <v>3.510000000000002E-2</v>
      </c>
      <c r="J83" s="2">
        <f>ABS(TargetsPercent23[[#This Row],[2017–18 Historical data]]-TargetsPercent23[[#This Row],[2018–19 Historical data]])</f>
        <v>4.1099999999999914E-2</v>
      </c>
      <c r="K83" s="2">
        <f>IF(MIN(TargetsPercent23[[#This Row],[ABS 2016-17 to 2017-18 (calculated)]:[ABS 2017-18 to 2018-19 (calculated)]])&lt;0.01,0.01,MIN(TargetsPercent23[[#This Row],[ABS 2016-17 to 2017-18 (calculated)]:[ABS 2017-18 to 2018-19 (calculated)]]))</f>
        <v>3.510000000000002E-2</v>
      </c>
      <c r="L83" s="23">
        <f>TargetsPercent23[[#This Row],[Average (calculated)]]-TargetsPercent23[[#This Row],[Band of Tolerance (calculated)]]</f>
        <v>0.63719999999999988</v>
      </c>
      <c r="M83" s="22">
        <f>TargetsPercent23[[#This Row],[2020–21
Allowable
performance
target]]-TargetsPercent23[[#This Row],[Target Floor (calculated)]]</f>
        <v>2.9500000000000082E-2</v>
      </c>
    </row>
    <row r="84" spans="1:13" x14ac:dyDescent="0.2">
      <c r="A84" t="str">
        <f>_xlfn.CONCAT(TargetsPercent23[[#This Row],[University]],":",TargetsPercent23[[#This Row],[Metric]])</f>
        <v>OCADu:04. Community and local impact of student enrolment</v>
      </c>
      <c r="B84" t="s">
        <v>36</v>
      </c>
      <c r="C84" t="s">
        <v>22</v>
      </c>
      <c r="D84" s="6">
        <f>VLOOKUP(TargetsPercent23[[#This Row],[KEY]],[1]!HistoricalData[#Data],4,FALSE)</f>
        <v>2.3999999999999998E-3</v>
      </c>
      <c r="E84" s="6">
        <f>VLOOKUP(TargetsPercent23[[#This Row],[KEY]],[1]!HistoricalData[#Data],5,FALSE)</f>
        <v>2.3999999999999998E-3</v>
      </c>
      <c r="F84" s="6">
        <f>VLOOKUP(TargetsPercent23[[#This Row],[KEY]],[1]!HistoricalData[#Data],6,FALSE)</f>
        <v>2.3999999999999998E-3</v>
      </c>
      <c r="G84" s="5">
        <f>VLOOKUP(TargetsPercent23[[#This Row],[KEY]],[1]!HistoricalData[#Data],7,FALSE)</f>
        <v>2.3E-3</v>
      </c>
      <c r="H84" s="2">
        <f>AVERAGE(TargetsPercent23[[#This Row],[2016–17 Historical data]],TargetsPercent23[[#This Row],[2017–18 Historical data]],TargetsPercent23[[#This Row],[2018–19 Historical data]])</f>
        <v>2.3999999999999998E-3</v>
      </c>
      <c r="I84" s="2">
        <f>ABS(TargetsPercent23[[#This Row],[2016–17 Historical data]]-TargetsPercent23[[#This Row],[2017–18 Historical data]])</f>
        <v>0</v>
      </c>
      <c r="J84" s="2">
        <f>ABS(TargetsPercent23[[#This Row],[2017–18 Historical data]]-TargetsPercent23[[#This Row],[2018–19 Historical data]])</f>
        <v>0</v>
      </c>
      <c r="K8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4" s="24">
        <f>TargetsPercent23[[#This Row],[Average (calculated)]]-TargetsPercent23[[#This Row],[Band of Tolerance (calculated)]]</f>
        <v>-7.6000000000000009E-3</v>
      </c>
      <c r="M84" s="25">
        <f>TargetsPercent23[[#This Row],[2020–21
Allowable
performance
target]]-TargetsPercent23[[#This Row],[Target Floor (calculated)]]</f>
        <v>9.9000000000000008E-3</v>
      </c>
    </row>
    <row r="85" spans="1:13" x14ac:dyDescent="0.2">
      <c r="A85" t="str">
        <f>_xlfn.CONCAT(TargetsPercent23[[#This Row],[University]],":",TargetsPercent23[[#This Row],[Metric]])</f>
        <v>OCADu:05. Economic impact (institution-specific)</v>
      </c>
      <c r="B85" t="s">
        <v>36</v>
      </c>
      <c r="C85" t="s">
        <v>23</v>
      </c>
      <c r="D85" s="18">
        <f>VLOOKUP(TargetsPercent23[[#This Row],[KEY]],[1]!HistoricalData[#Data],4,FALSE)</f>
        <v>183</v>
      </c>
      <c r="E85" s="18">
        <f>VLOOKUP(TargetsPercent23[[#This Row],[KEY]],[1]!HistoricalData[#Data],5,FALSE)</f>
        <v>216</v>
      </c>
      <c r="F85" s="18">
        <f>VLOOKUP(TargetsPercent23[[#This Row],[KEY]],[1]!HistoricalData[#Data],6,FALSE)</f>
        <v>261</v>
      </c>
      <c r="G85" s="19">
        <f>VLOOKUP(TargetsPercent23[[#This Row],[KEY]],[1]!HistoricalData[#Data],7,FALSE)</f>
        <v>203.83</v>
      </c>
      <c r="H85" s="11">
        <f>AVERAGE(TargetsPercent23[[#This Row],[2016–17 Historical data]],TargetsPercent23[[#This Row],[2017–18 Historical data]],TargetsPercent23[[#This Row],[2018–19 Historical data]])</f>
        <v>220</v>
      </c>
      <c r="I85" s="2">
        <f>ABS((TargetsPercent23[[#This Row],[2017–18 Historical data]]-TargetsPercent23[[#This Row],[2016–17 Historical data]])/TargetsPercent23[[#This Row],[2016–17 Historical data]])</f>
        <v>0.18032786885245902</v>
      </c>
      <c r="J85" s="2">
        <f>ABS((TargetsPercent23[[#This Row],[2018–19 Historical data]]-TargetsPercent23[[#This Row],[2017–18 Historical data]])/TargetsPercent23[[#This Row],[2017–18 Historical data]])</f>
        <v>0.20833333333333334</v>
      </c>
      <c r="K85" s="2">
        <f>IF(MIN(TargetsPercent23[[#This Row],[ABS 2016-17 to 2017-18 (calculated)]:[ABS 2017-18 to 2018-19 (calculated)]])&lt;0.01,0.01,MIN(TargetsPercent23[[#This Row],[ABS 2016-17 to 2017-18 (calculated)]:[ABS 2017-18 to 2018-19 (calculated)]]))</f>
        <v>0.18032786885245902</v>
      </c>
      <c r="L85" s="10">
        <f>TargetsPercent23[[#This Row],[Average (calculated)]]-TargetsPercent23[[#This Row],[Band of Tolerance (calculated)]]</f>
        <v>219.81967213114754</v>
      </c>
      <c r="M85" s="11">
        <f>TargetsPercent23[[#This Row],[2020–21
Allowable
performance
target]]-TargetsPercent23[[#This Row],[Target Floor (calculated)]]</f>
        <v>-15.989672131147529</v>
      </c>
    </row>
    <row r="86" spans="1:13" x14ac:dyDescent="0.2">
      <c r="A86" t="str">
        <f>_xlfn.CONCAT(TargetsPercent23[[#This Row],[University]],":",TargetsPercent23[[#This Row],[Metric]])</f>
        <v>OCADu:06. Research funding and capacity: federal tri-agency funding secured</v>
      </c>
      <c r="B86" t="s">
        <v>36</v>
      </c>
      <c r="C86" t="s">
        <v>24</v>
      </c>
      <c r="D86" s="18">
        <f>VLOOKUP(TargetsPercent23[[#This Row],[KEY]],[1]!HistoricalData[#Data],4,FALSE)</f>
        <v>8.0000000000000004E-4</v>
      </c>
      <c r="E86" s="18">
        <f>VLOOKUP(TargetsPercent23[[#This Row],[KEY]],[1]!HistoricalData[#Data],5,FALSE)</f>
        <v>8.0000000000000004E-4</v>
      </c>
      <c r="F86" s="18">
        <f>VLOOKUP(TargetsPercent23[[#This Row],[KEY]],[1]!HistoricalData[#Data],6,FALSE)</f>
        <v>8.0000000000000004E-4</v>
      </c>
      <c r="G86" s="19">
        <f>VLOOKUP(TargetsPercent23[[#This Row],[KEY]],[1]!HistoricalData[#Data],7,FALSE)</f>
        <v>8.0000000000000004E-4</v>
      </c>
      <c r="H86" s="11">
        <f>AVERAGE(TargetsPercent23[[#This Row],[2016–17 Historical data]],TargetsPercent23[[#This Row],[2017–18 Historical data]],TargetsPercent23[[#This Row],[2018–19 Historical data]])</f>
        <v>8.0000000000000004E-4</v>
      </c>
      <c r="I86" s="2">
        <f>ABS((TargetsPercent23[[#This Row],[2017–18 Historical data]]-TargetsPercent23[[#This Row],[2016–17 Historical data]])/TargetsPercent23[[#This Row],[2016–17 Historical data]])</f>
        <v>0</v>
      </c>
      <c r="J86" s="2">
        <f>ABS((TargetsPercent23[[#This Row],[2018–19 Historical data]]-TargetsPercent23[[#This Row],[2017–18 Historical data]])/TargetsPercent23[[#This Row],[2017–18 Historical data]])</f>
        <v>0</v>
      </c>
      <c r="K8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6" s="10">
        <f>TargetsPercent23[[#This Row],[Average (calculated)]]-TargetsPercent23[[#This Row],[Band of Tolerance (calculated)]]</f>
        <v>-9.1999999999999998E-3</v>
      </c>
      <c r="M86" s="11">
        <f>TargetsPercent23[[#This Row],[2020–21
Allowable
performance
target]]-TargetsPercent23[[#This Row],[Target Floor (calculated)]]</f>
        <v>0.01</v>
      </c>
    </row>
    <row r="87" spans="1:13" x14ac:dyDescent="0.2">
      <c r="A87" t="str">
        <f>_xlfn.CONCAT(TargetsPercent23[[#This Row],[University]],":",TargetsPercent23[[#This Row],[Metric]])</f>
        <v>OCADu:07. Experiential learning</v>
      </c>
      <c r="B87" t="s">
        <v>36</v>
      </c>
      <c r="C87" t="s">
        <v>25</v>
      </c>
      <c r="D87" s="6">
        <f>VLOOKUP(TargetsPercent23[[#This Row],[KEY]],[1]!HistoricalData[#Data],4,FALSE)</f>
        <v>0</v>
      </c>
      <c r="E87" s="6">
        <f>VLOOKUP(TargetsPercent23[[#This Row],[KEY]],[1]!HistoricalData[#Data],5,FALSE)</f>
        <v>0</v>
      </c>
      <c r="F87" s="6">
        <f>VLOOKUP(TargetsPercent23[[#This Row],[KEY]],[1]!HistoricalData[#Data],6,FALSE)</f>
        <v>0</v>
      </c>
      <c r="G87" s="5">
        <f>VLOOKUP(TargetsPercent23[[#This Row],[KEY]],[1]!HistoricalData[#Data],7,FALSE)</f>
        <v>0</v>
      </c>
      <c r="H87" s="9">
        <f>AVERAGE(TargetsPercent23[[#This Row],[2016–17 Historical data]],TargetsPercent23[[#This Row],[2017–18 Historical data]],TargetsPercent23[[#This Row],[2018–19 Historical data]])</f>
        <v>0</v>
      </c>
      <c r="I87" s="9">
        <f>ABS(TargetsPercent23[[#This Row],[2016–17 Historical data]]-TargetsPercent23[[#This Row],[2017–18 Historical data]])</f>
        <v>0</v>
      </c>
      <c r="J87" s="2">
        <f>ABS(TargetsPercent23[[#This Row],[2017–18 Historical data]]-TargetsPercent23[[#This Row],[2018–19 Historical data]])</f>
        <v>0</v>
      </c>
      <c r="K8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7" s="26">
        <f>TargetsPercent23[[#This Row],[Average (calculated)]]-TargetsPercent23[[#This Row],[Band of Tolerance (calculated)]]</f>
        <v>-0.01</v>
      </c>
      <c r="M87" s="22">
        <f>TargetsPercent23[[#This Row],[2020–21
Allowable
performance
target]]-TargetsPercent23[[#This Row],[Target Floor (calculated)]]</f>
        <v>0.01</v>
      </c>
    </row>
    <row r="88" spans="1:13" x14ac:dyDescent="0.2">
      <c r="A88" t="str">
        <f>_xlfn.CONCAT(TargetsPercent23[[#This Row],[University]],":",TargetsPercent23[[#This Row],[Metric]])</f>
        <v>OCADu:08. Research revenue attracted from private sector sources</v>
      </c>
      <c r="B88" t="s">
        <v>36</v>
      </c>
      <c r="C88" t="s">
        <v>26</v>
      </c>
      <c r="D88" s="18">
        <f>VLOOKUP(TargetsPercent23[[#This Row],[KEY]],[1]!HistoricalData[#Data],4,FALSE)</f>
        <v>0</v>
      </c>
      <c r="E88" s="18">
        <f>VLOOKUP(TargetsPercent23[[#This Row],[KEY]],[1]!HistoricalData[#Data],5,FALSE)</f>
        <v>0</v>
      </c>
      <c r="F88" s="18">
        <f>VLOOKUP(TargetsPercent23[[#This Row],[KEY]],[1]!HistoricalData[#Data],6,FALSE)</f>
        <v>0</v>
      </c>
      <c r="G88" s="19">
        <f>VLOOKUP(TargetsPercent23[[#This Row],[KEY]],[1]!HistoricalData[#Data],7,FALSE)</f>
        <v>0</v>
      </c>
      <c r="H88" s="11">
        <f>AVERAGE(TargetsPercent23[[#This Row],[2016–17 Historical data]],TargetsPercent23[[#This Row],[2017–18 Historical data]],TargetsPercent23[[#This Row],[2018–19 Historical data]])</f>
        <v>0</v>
      </c>
      <c r="I88" s="2" t="e">
        <f>ABS((TargetsPercent23[[#This Row],[2017–18 Historical data]]-TargetsPercent23[[#This Row],[2016–17 Historical data]])/TargetsPercent23[[#This Row],[2016–17 Historical data]])</f>
        <v>#DIV/0!</v>
      </c>
      <c r="J88" s="2" t="e">
        <f>ABS((TargetsPercent23[[#This Row],[2018–19 Historical data]]-TargetsPercent23[[#This Row],[2017–18 Historical data]])/TargetsPercent23[[#This Row],[2017–18 Historical data]])</f>
        <v>#DIV/0!</v>
      </c>
      <c r="K88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88" s="10" t="e">
        <f>TargetsPercent23[[#This Row],[Average (calculated)]]-TargetsPercent23[[#This Row],[Band of Tolerance (calculated)]]</f>
        <v>#DIV/0!</v>
      </c>
      <c r="M88" s="11" t="e">
        <f>TargetsPercent23[[#This Row],[2020–21
Allowable
performance
target]]-TargetsPercent23[[#This Row],[Target Floor (calculated)]]</f>
        <v>#DIV/0!</v>
      </c>
    </row>
    <row r="89" spans="1:13" x14ac:dyDescent="0.2">
      <c r="A89" t="str">
        <f>_xlfn.CONCAT(TargetsPercent23[[#This Row],[University]],":",TargetsPercent23[[#This Row],[Metric]])</f>
        <v>OCADu:09. Graduate employment earnings</v>
      </c>
      <c r="B89" t="s">
        <v>36</v>
      </c>
      <c r="C89" t="s">
        <v>27</v>
      </c>
      <c r="D89" s="6">
        <f>VLOOKUP(TargetsPercent23[[#This Row],[KEY]],[1]!HistoricalData[#Data],4,FALSE)</f>
        <v>0</v>
      </c>
      <c r="E89" s="6">
        <f>VLOOKUP(TargetsPercent23[[#This Row],[KEY]],[1]!HistoricalData[#Data],5,FALSE)</f>
        <v>0</v>
      </c>
      <c r="F89" s="6">
        <f>VLOOKUP(TargetsPercent23[[#This Row],[KEY]],[1]!HistoricalData[#Data],6,FALSE)</f>
        <v>0</v>
      </c>
      <c r="G89" s="5">
        <f>VLOOKUP(TargetsPercent23[[#This Row],[KEY]],[1]!HistoricalData[#Data],7,FALSE)</f>
        <v>0</v>
      </c>
      <c r="H89" s="9">
        <f>AVERAGE(TargetsPercent23[[#This Row],[2016–17 Historical data]],TargetsPercent23[[#This Row],[2017–18 Historical data]],TargetsPercent23[[#This Row],[2018–19 Historical data]])</f>
        <v>0</v>
      </c>
      <c r="I89" s="9">
        <f>ABS(TargetsPercent23[[#This Row],[2016–17 Historical data]]-TargetsPercent23[[#This Row],[2017–18 Historical data]])</f>
        <v>0</v>
      </c>
      <c r="J89" s="2">
        <f>ABS(TargetsPercent23[[#This Row],[2017–18 Historical data]]-TargetsPercent23[[#This Row],[2018–19 Historical data]])</f>
        <v>0</v>
      </c>
      <c r="K8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89" s="26">
        <f>TargetsPercent23[[#This Row],[Average (calculated)]]-TargetsPercent23[[#This Row],[Band of Tolerance (calculated)]]</f>
        <v>-0.01</v>
      </c>
      <c r="M89" s="22">
        <f>TargetsPercent23[[#This Row],[2020–21
Allowable
performance
target]]-TargetsPercent23[[#This Row],[Target Floor (calculated)]]</f>
        <v>0.01</v>
      </c>
    </row>
    <row r="90" spans="1:13" x14ac:dyDescent="0.2">
      <c r="A90" t="str">
        <f>_xlfn.CONCAT(TargetsPercent23[[#This Row],[University]],":",TargetsPercent23[[#This Row],[Metric]])</f>
        <v>OCADu:10. Skills and competencies</v>
      </c>
      <c r="B90" t="s">
        <v>36</v>
      </c>
      <c r="C90" t="s">
        <v>28</v>
      </c>
      <c r="D90" s="6">
        <f>VLOOKUP(TargetsPercent23[[#This Row],[KEY]],[1]!HistoricalData[#Data],4,FALSE)</f>
        <v>0</v>
      </c>
      <c r="E90" s="6">
        <f>VLOOKUP(TargetsPercent23[[#This Row],[KEY]],[1]!HistoricalData[#Data],5,FALSE)</f>
        <v>0</v>
      </c>
      <c r="F90" s="6">
        <f>VLOOKUP(TargetsPercent23[[#This Row],[KEY]],[1]!HistoricalData[#Data],6,FALSE)</f>
        <v>0</v>
      </c>
      <c r="G90" s="5">
        <f>VLOOKUP(TargetsPercent23[[#This Row],[KEY]],[1]!HistoricalData[#Data],7,FALSE)</f>
        <v>0</v>
      </c>
      <c r="H90" s="9">
        <f>AVERAGE(TargetsPercent23[[#This Row],[2016–17 Historical data]],TargetsPercent23[[#This Row],[2017–18 Historical data]],TargetsPercent23[[#This Row],[2018–19 Historical data]])</f>
        <v>0</v>
      </c>
      <c r="I90" s="9">
        <f>ABS(TargetsPercent23[[#This Row],[2016–17 Historical data]]-TargetsPercent23[[#This Row],[2017–18 Historical data]])</f>
        <v>0</v>
      </c>
      <c r="J90" s="2">
        <f>ABS(TargetsPercent23[[#This Row],[2017–18 Historical data]]-TargetsPercent23[[#This Row],[2018–19 Historical data]])</f>
        <v>0</v>
      </c>
      <c r="K9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0" s="26">
        <f>TargetsPercent23[[#This Row],[Average (calculated)]]-TargetsPercent23[[#This Row],[Band of Tolerance (calculated)]]</f>
        <v>-0.01</v>
      </c>
      <c r="M90" s="22">
        <f>TargetsPercent23[[#This Row],[2020–21
Allowable
performance
target]]-TargetsPercent23[[#This Row],[Target Floor (calculated)]]</f>
        <v>0.01</v>
      </c>
    </row>
    <row r="91" spans="1:13" x14ac:dyDescent="0.2">
      <c r="A91" t="str">
        <f>_xlfn.CONCAT(TargetsPercent23[[#This Row],[University]],":",TargetsPercent23[[#This Row],[Metric]])</f>
        <v>OCADu:Tri-agency research funding</v>
      </c>
      <c r="B91" t="s">
        <v>36</v>
      </c>
      <c r="C91" t="s">
        <v>29</v>
      </c>
      <c r="D91" s="18">
        <f>VLOOKUP(TargetsPercent23[[#This Row],[KEY]],[1]!HistoricalData[#Data],4,FALSE)</f>
        <v>527607</v>
      </c>
      <c r="E91" s="18">
        <f>VLOOKUP(TargetsPercent23[[#This Row],[KEY]],[1]!HistoricalData[#Data],5,FALSE)</f>
        <v>512718</v>
      </c>
      <c r="F91" s="18">
        <f>VLOOKUP(TargetsPercent23[[#This Row],[KEY]],[1]!HistoricalData[#Data],6,FALSE)</f>
        <v>539877</v>
      </c>
      <c r="G91" s="19">
        <f>VLOOKUP(TargetsPercent23[[#This Row],[KEY]],[1]!HistoricalData[#Data],7,FALSE)</f>
        <v>0</v>
      </c>
      <c r="H91" s="11">
        <f>AVERAGE(TargetsPercent23[[#This Row],[2016–17 Historical data]],TargetsPercent23[[#This Row],[2017–18 Historical data]],TargetsPercent23[[#This Row],[2018–19 Historical data]])</f>
        <v>526734</v>
      </c>
      <c r="I91" s="2">
        <f>ABS((TargetsPercent23[[#This Row],[2017–18 Historical data]]-TargetsPercent23[[#This Row],[2016–17 Historical data]])/TargetsPercent23[[#This Row],[2016–17 Historical data]])</f>
        <v>2.8219868197351439E-2</v>
      </c>
      <c r="J91" s="2">
        <f>ABS((TargetsPercent23[[#This Row],[2018–19 Historical data]]-TargetsPercent23[[#This Row],[2017–18 Historical data]])/TargetsPercent23[[#This Row],[2017–18 Historical data]])</f>
        <v>5.2970638830702257E-2</v>
      </c>
      <c r="K91" s="2">
        <f>IF(MIN(TargetsPercent23[[#This Row],[ABS 2016-17 to 2017-18 (calculated)]:[ABS 2017-18 to 2018-19 (calculated)]])&lt;0.01,0.01,MIN(TargetsPercent23[[#This Row],[ABS 2016-17 to 2017-18 (calculated)]:[ABS 2017-18 to 2018-19 (calculated)]]))</f>
        <v>2.8219868197351439E-2</v>
      </c>
      <c r="L91" s="10">
        <f>TargetsPercent23[[#This Row],[Average (calculated)]]-TargetsPercent23[[#This Row],[Band of Tolerance (calculated)]]</f>
        <v>526733.9717801318</v>
      </c>
      <c r="M91" s="11">
        <f>TargetsPercent23[[#This Row],[2020–21
Allowable
performance
target]]-TargetsPercent23[[#This Row],[Target Floor (calculated)]]</f>
        <v>-526733.9717801318</v>
      </c>
    </row>
    <row r="92" spans="1:13" x14ac:dyDescent="0.2">
      <c r="A92" t="str">
        <f>_xlfn.CONCAT(TargetsPercent23[[#This Row],[University]],":",TargetsPercent23[[#This Row],[Metric]])</f>
        <v>Queen's University:01. Graduate employment rate in a related field</v>
      </c>
      <c r="B92" t="s">
        <v>37</v>
      </c>
      <c r="C92" t="s">
        <v>19</v>
      </c>
      <c r="D92" s="6">
        <f>VLOOKUP(TargetsPercent23[[#This Row],[KEY]],[1]!HistoricalData[#Data],4,FALSE)</f>
        <v>0.93420000000000003</v>
      </c>
      <c r="E92" s="6">
        <f>VLOOKUP(TargetsPercent23[[#This Row],[KEY]],[1]!HistoricalData[#Data],5,FALSE)</f>
        <v>0.94499999999999995</v>
      </c>
      <c r="F92" s="6">
        <f>VLOOKUP(TargetsPercent23[[#This Row],[KEY]],[1]!HistoricalData[#Data],6,FALSE)</f>
        <v>0.9446</v>
      </c>
      <c r="G92" s="5">
        <f>VLOOKUP(TargetsPercent23[[#This Row],[KEY]],[1]!HistoricalData[#Data],7,FALSE)</f>
        <v>0.93189999999999995</v>
      </c>
      <c r="H92" s="2">
        <f>AVERAGE(TargetsPercent23[[#This Row],[2016–17 Historical data]],TargetsPercent23[[#This Row],[2017–18 Historical data]],TargetsPercent23[[#This Row],[2018–19 Historical data]])</f>
        <v>0.94126666666666658</v>
      </c>
      <c r="I92" s="2">
        <f>ABS(TargetsPercent23[[#This Row],[2016–17 Historical data]]-TargetsPercent23[[#This Row],[2017–18 Historical data]])</f>
        <v>1.0799999999999921E-2</v>
      </c>
      <c r="J92" s="2">
        <f>ABS(TargetsPercent23[[#This Row],[2017–18 Historical data]]-TargetsPercent23[[#This Row],[2018–19 Historical data]])</f>
        <v>3.9999999999995595E-4</v>
      </c>
      <c r="K9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2" s="23">
        <f>TargetsPercent23[[#This Row],[Average (calculated)]]-TargetsPercent23[[#This Row],[Band of Tolerance (calculated)]]</f>
        <v>0.93126666666666658</v>
      </c>
      <c r="M92" s="22">
        <f>TargetsPercent23[[#This Row],[2020–21
Allowable
performance
target]]-TargetsPercent23[[#This Row],[Target Floor (calculated)]]</f>
        <v>6.333333333333746E-4</v>
      </c>
    </row>
    <row r="93" spans="1:13" x14ac:dyDescent="0.2">
      <c r="A93" t="str">
        <f>_xlfn.CONCAT(TargetsPercent23[[#This Row],[University]],":",TargetsPercent23[[#This Row],[Metric]])</f>
        <v>Queen's University:02. Institutional strength and focus</v>
      </c>
      <c r="B93" t="s">
        <v>37</v>
      </c>
      <c r="C93" t="s">
        <v>20</v>
      </c>
      <c r="D93" s="6">
        <f>VLOOKUP(TargetsPercent23[[#This Row],[KEY]],[1]!HistoricalData[#Data],4,FALSE)</f>
        <v>0.43990000000000001</v>
      </c>
      <c r="E93" s="6">
        <f>VLOOKUP(TargetsPercent23[[#This Row],[KEY]],[1]!HistoricalData[#Data],5,FALSE)</f>
        <v>0.43859999999999999</v>
      </c>
      <c r="F93" s="6">
        <f>VLOOKUP(TargetsPercent23[[#This Row],[KEY]],[1]!HistoricalData[#Data],6,FALSE)</f>
        <v>0.42630000000000001</v>
      </c>
      <c r="G93" s="5">
        <f>VLOOKUP(TargetsPercent23[[#This Row],[KEY]],[1]!HistoricalData[#Data],7,FALSE)</f>
        <v>0.40620000000000001</v>
      </c>
      <c r="H93" s="2">
        <f>AVERAGE(TargetsPercent23[[#This Row],[2016–17 Historical data]],TargetsPercent23[[#This Row],[2017–18 Historical data]],TargetsPercent23[[#This Row],[2018–19 Historical data]])</f>
        <v>0.43493333333333339</v>
      </c>
      <c r="I93" s="2">
        <f>ABS(TargetsPercent23[[#This Row],[2016–17 Historical data]]-TargetsPercent23[[#This Row],[2017–18 Historical data]])</f>
        <v>1.3000000000000234E-3</v>
      </c>
      <c r="J93" s="2">
        <f>ABS(TargetsPercent23[[#This Row],[2017–18 Historical data]]-TargetsPercent23[[#This Row],[2018–19 Historical data]])</f>
        <v>1.2299999999999978E-2</v>
      </c>
      <c r="K9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3" s="23">
        <f>TargetsPercent23[[#This Row],[Average (calculated)]]-TargetsPercent23[[#This Row],[Band of Tolerance (calculated)]]</f>
        <v>0.42493333333333339</v>
      </c>
      <c r="M93" s="22">
        <f>TargetsPercent23[[#This Row],[2020–21
Allowable
performance
target]]-TargetsPercent23[[#This Row],[Target Floor (calculated)]]</f>
        <v>-1.873333333333338E-2</v>
      </c>
    </row>
    <row r="94" spans="1:13" x14ac:dyDescent="0.2">
      <c r="A94" t="str">
        <f>_xlfn.CONCAT(TargetsPercent23[[#This Row],[University]],":",TargetsPercent23[[#This Row],[Metric]])</f>
        <v>Queen's University:03. Graduation rate</v>
      </c>
      <c r="B94" t="s">
        <v>37</v>
      </c>
      <c r="C94" t="s">
        <v>21</v>
      </c>
      <c r="D94" s="6">
        <f>VLOOKUP(TargetsPercent23[[#This Row],[KEY]],[1]!HistoricalData[#Data],4,FALSE)</f>
        <v>0.8952</v>
      </c>
      <c r="E94" s="6">
        <f>VLOOKUP(TargetsPercent23[[#This Row],[KEY]],[1]!HistoricalData[#Data],5,FALSE)</f>
        <v>0.88600000000000001</v>
      </c>
      <c r="F94" s="6">
        <f>VLOOKUP(TargetsPercent23[[#This Row],[KEY]],[1]!HistoricalData[#Data],6,FALSE)</f>
        <v>0.89080000000000004</v>
      </c>
      <c r="G94" s="5">
        <f>VLOOKUP(TargetsPercent23[[#This Row],[KEY]],[1]!HistoricalData[#Data],7,FALSE)</f>
        <v>0.88180000000000003</v>
      </c>
      <c r="H94" s="2">
        <f>AVERAGE(TargetsPercent23[[#This Row],[2016–17 Historical data]],TargetsPercent23[[#This Row],[2017–18 Historical data]],TargetsPercent23[[#This Row],[2018–19 Historical data]])</f>
        <v>0.89066666666666672</v>
      </c>
      <c r="I94" s="2">
        <f>ABS(TargetsPercent23[[#This Row],[2016–17 Historical data]]-TargetsPercent23[[#This Row],[2017–18 Historical data]])</f>
        <v>9.199999999999986E-3</v>
      </c>
      <c r="J94" s="2">
        <f>ABS(TargetsPercent23[[#This Row],[2017–18 Historical data]]-TargetsPercent23[[#This Row],[2018–19 Historical data]])</f>
        <v>4.8000000000000265E-3</v>
      </c>
      <c r="K9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4" s="23">
        <f>TargetsPercent23[[#This Row],[Average (calculated)]]-TargetsPercent23[[#This Row],[Band of Tolerance (calculated)]]</f>
        <v>0.88066666666666671</v>
      </c>
      <c r="M94" s="22">
        <f>TargetsPercent23[[#This Row],[2020–21
Allowable
performance
target]]-TargetsPercent23[[#This Row],[Target Floor (calculated)]]</f>
        <v>1.1333333333333195E-3</v>
      </c>
    </row>
    <row r="95" spans="1:13" x14ac:dyDescent="0.2">
      <c r="A95" t="str">
        <f>_xlfn.CONCAT(TargetsPercent23[[#This Row],[University]],":",TargetsPercent23[[#This Row],[Metric]])</f>
        <v>Queen's University:04. Community and local impact of student enrolment</v>
      </c>
      <c r="B95" t="s">
        <v>37</v>
      </c>
      <c r="C95" t="s">
        <v>22</v>
      </c>
      <c r="D95" s="6">
        <f>VLOOKUP(TargetsPercent23[[#This Row],[KEY]],[1]!HistoricalData[#Data],4,FALSE)</f>
        <v>0.33239999999999997</v>
      </c>
      <c r="E95" s="6">
        <f>VLOOKUP(TargetsPercent23[[#This Row],[KEY]],[1]!HistoricalData[#Data],5,FALSE)</f>
        <v>0.34610000000000002</v>
      </c>
      <c r="F95" s="6">
        <f>VLOOKUP(TargetsPercent23[[#This Row],[KEY]],[1]!HistoricalData[#Data],6,FALSE)</f>
        <v>0.36249999999999999</v>
      </c>
      <c r="G95" s="5">
        <f>VLOOKUP(TargetsPercent23[[#This Row],[KEY]],[1]!HistoricalData[#Data],7,FALSE)</f>
        <v>0.3448</v>
      </c>
      <c r="H95" s="2">
        <f>AVERAGE(TargetsPercent23[[#This Row],[2016–17 Historical data]],TargetsPercent23[[#This Row],[2017–18 Historical data]],TargetsPercent23[[#This Row],[2018–19 Historical data]])</f>
        <v>0.34699999999999998</v>
      </c>
      <c r="I95" s="2">
        <f>ABS(TargetsPercent23[[#This Row],[2016–17 Historical data]]-TargetsPercent23[[#This Row],[2017–18 Historical data]])</f>
        <v>1.3700000000000045E-2</v>
      </c>
      <c r="J95" s="2">
        <f>ABS(TargetsPercent23[[#This Row],[2017–18 Historical data]]-TargetsPercent23[[#This Row],[2018–19 Historical data]])</f>
        <v>1.639999999999997E-2</v>
      </c>
      <c r="K95" s="2">
        <f>IF(MIN(TargetsPercent23[[#This Row],[ABS 2016-17 to 2017-18 (calculated)]:[ABS 2017-18 to 2018-19 (calculated)]])&lt;0.01,0.01,MIN(TargetsPercent23[[#This Row],[ABS 2016-17 to 2017-18 (calculated)]:[ABS 2017-18 to 2018-19 (calculated)]]))</f>
        <v>1.3700000000000045E-2</v>
      </c>
      <c r="L95" s="24">
        <f>TargetsPercent23[[#This Row],[Average (calculated)]]-TargetsPercent23[[#This Row],[Band of Tolerance (calculated)]]</f>
        <v>0.33329999999999993</v>
      </c>
      <c r="M95" s="25">
        <f>TargetsPercent23[[#This Row],[2020–21
Allowable
performance
target]]-TargetsPercent23[[#This Row],[Target Floor (calculated)]]</f>
        <v>1.1500000000000066E-2</v>
      </c>
    </row>
    <row r="96" spans="1:13" x14ac:dyDescent="0.2">
      <c r="A96" t="str">
        <f>_xlfn.CONCAT(TargetsPercent23[[#This Row],[University]],":",TargetsPercent23[[#This Row],[Metric]])</f>
        <v>Queen's University:05. Economic impact (institution-specific)</v>
      </c>
      <c r="B96" t="s">
        <v>37</v>
      </c>
      <c r="C96" t="s">
        <v>23</v>
      </c>
      <c r="D96" s="18">
        <f>VLOOKUP(TargetsPercent23[[#This Row],[KEY]],[1]!HistoricalData[#Data],4,FALSE)</f>
        <v>84</v>
      </c>
      <c r="E96" s="18">
        <f>VLOOKUP(TargetsPercent23[[#This Row],[KEY]],[1]!HistoricalData[#Data],5,FALSE)</f>
        <v>92</v>
      </c>
      <c r="F96" s="18">
        <f>VLOOKUP(TargetsPercent23[[#This Row],[KEY]],[1]!HistoricalData[#Data],6,FALSE)</f>
        <v>97</v>
      </c>
      <c r="G96" s="19">
        <f>VLOOKUP(TargetsPercent23[[#This Row],[KEY]],[1]!HistoricalData[#Data],7,FALSE)</f>
        <v>88.82</v>
      </c>
      <c r="H96" s="11">
        <f>AVERAGE(TargetsPercent23[[#This Row],[2016–17 Historical data]],TargetsPercent23[[#This Row],[2017–18 Historical data]],TargetsPercent23[[#This Row],[2018–19 Historical data]])</f>
        <v>91</v>
      </c>
      <c r="I96" s="2">
        <f>ABS((TargetsPercent23[[#This Row],[2017–18 Historical data]]-TargetsPercent23[[#This Row],[2016–17 Historical data]])/TargetsPercent23[[#This Row],[2016–17 Historical data]])</f>
        <v>9.5238095238095233E-2</v>
      </c>
      <c r="J96" s="2">
        <f>ABS((TargetsPercent23[[#This Row],[2018–19 Historical data]]-TargetsPercent23[[#This Row],[2017–18 Historical data]])/TargetsPercent23[[#This Row],[2017–18 Historical data]])</f>
        <v>5.434782608695652E-2</v>
      </c>
      <c r="K96" s="2">
        <f>IF(MIN(TargetsPercent23[[#This Row],[ABS 2016-17 to 2017-18 (calculated)]:[ABS 2017-18 to 2018-19 (calculated)]])&lt;0.01,0.01,MIN(TargetsPercent23[[#This Row],[ABS 2016-17 to 2017-18 (calculated)]:[ABS 2017-18 to 2018-19 (calculated)]]))</f>
        <v>5.434782608695652E-2</v>
      </c>
      <c r="L96" s="10">
        <f>TargetsPercent23[[#This Row],[Average (calculated)]]-TargetsPercent23[[#This Row],[Band of Tolerance (calculated)]]</f>
        <v>90.945652173913047</v>
      </c>
      <c r="M96" s="11">
        <f>TargetsPercent23[[#This Row],[2020–21
Allowable
performance
target]]-TargetsPercent23[[#This Row],[Target Floor (calculated)]]</f>
        <v>-2.1256521739130534</v>
      </c>
    </row>
    <row r="97" spans="1:13" x14ac:dyDescent="0.2">
      <c r="A97" t="str">
        <f>_xlfn.CONCAT(TargetsPercent23[[#This Row],[University]],":",TargetsPercent23[[#This Row],[Metric]])</f>
        <v>Queen's University:06. Research funding and capacity: federal tri-agency funding secured</v>
      </c>
      <c r="B97" t="s">
        <v>37</v>
      </c>
      <c r="C97" t="s">
        <v>24</v>
      </c>
      <c r="D97" s="18">
        <f>VLOOKUP(TargetsPercent23[[#This Row],[KEY]],[1]!HistoricalData[#Data],4,FALSE)</f>
        <v>7.0499999999999993E-2</v>
      </c>
      <c r="E97" s="18">
        <f>VLOOKUP(TargetsPercent23[[#This Row],[KEY]],[1]!HistoricalData[#Data],5,FALSE)</f>
        <v>6.7599999999999993E-2</v>
      </c>
      <c r="F97" s="18">
        <f>VLOOKUP(TargetsPercent23[[#This Row],[KEY]],[1]!HistoricalData[#Data],6,FALSE)</f>
        <v>6.3E-2</v>
      </c>
      <c r="G97" s="19">
        <f>VLOOKUP(TargetsPercent23[[#This Row],[KEY]],[1]!HistoricalData[#Data],7,FALSE)</f>
        <v>6.6100000000000006E-2</v>
      </c>
      <c r="H97" s="11">
        <f>AVERAGE(TargetsPercent23[[#This Row],[2016–17 Historical data]],TargetsPercent23[[#This Row],[2017–18 Historical data]],TargetsPercent23[[#This Row],[2018–19 Historical data]])</f>
        <v>6.7033333333333334E-2</v>
      </c>
      <c r="I97" s="2">
        <f>ABS((TargetsPercent23[[#This Row],[2017–18 Historical data]]-TargetsPercent23[[#This Row],[2016–17 Historical data]])/TargetsPercent23[[#This Row],[2016–17 Historical data]])</f>
        <v>4.1134751773049649E-2</v>
      </c>
      <c r="J97" s="2">
        <f>ABS((TargetsPercent23[[#This Row],[2018–19 Historical data]]-TargetsPercent23[[#This Row],[2017–18 Historical data]])/TargetsPercent23[[#This Row],[2017–18 Historical data]])</f>
        <v>6.8047337278106412E-2</v>
      </c>
      <c r="K97" s="2">
        <f>IF(MIN(TargetsPercent23[[#This Row],[ABS 2016-17 to 2017-18 (calculated)]:[ABS 2017-18 to 2018-19 (calculated)]])&lt;0.01,0.01,MIN(TargetsPercent23[[#This Row],[ABS 2016-17 to 2017-18 (calculated)]:[ABS 2017-18 to 2018-19 (calculated)]]))</f>
        <v>4.1134751773049649E-2</v>
      </c>
      <c r="L97" s="10">
        <f>TargetsPercent23[[#This Row],[Average (calculated)]]-TargetsPercent23[[#This Row],[Band of Tolerance (calculated)]]</f>
        <v>2.5898581560283684E-2</v>
      </c>
      <c r="M97" s="11">
        <f>TargetsPercent23[[#This Row],[2020–21
Allowable
performance
target]]-TargetsPercent23[[#This Row],[Target Floor (calculated)]]</f>
        <v>4.0201418439716322E-2</v>
      </c>
    </row>
    <row r="98" spans="1:13" x14ac:dyDescent="0.2">
      <c r="A98" t="str">
        <f>_xlfn.CONCAT(TargetsPercent23[[#This Row],[University]],":",TargetsPercent23[[#This Row],[Metric]])</f>
        <v>Queen's University:07. Experiential learning</v>
      </c>
      <c r="B98" t="s">
        <v>37</v>
      </c>
      <c r="C98" t="s">
        <v>25</v>
      </c>
      <c r="D98" s="6">
        <f>VLOOKUP(TargetsPercent23[[#This Row],[KEY]],[1]!HistoricalData[#Data],4,FALSE)</f>
        <v>0</v>
      </c>
      <c r="E98" s="6">
        <f>VLOOKUP(TargetsPercent23[[#This Row],[KEY]],[1]!HistoricalData[#Data],5,FALSE)</f>
        <v>0</v>
      </c>
      <c r="F98" s="6">
        <f>VLOOKUP(TargetsPercent23[[#This Row],[KEY]],[1]!HistoricalData[#Data],6,FALSE)</f>
        <v>0</v>
      </c>
      <c r="G98" s="5">
        <f>VLOOKUP(TargetsPercent23[[#This Row],[KEY]],[1]!HistoricalData[#Data],7,FALSE)</f>
        <v>0</v>
      </c>
      <c r="H98" s="9">
        <f>AVERAGE(TargetsPercent23[[#This Row],[2016–17 Historical data]],TargetsPercent23[[#This Row],[2017–18 Historical data]],TargetsPercent23[[#This Row],[2018–19 Historical data]])</f>
        <v>0</v>
      </c>
      <c r="I98" s="9">
        <f>ABS(TargetsPercent23[[#This Row],[2016–17 Historical data]]-TargetsPercent23[[#This Row],[2017–18 Historical data]])</f>
        <v>0</v>
      </c>
      <c r="J98" s="2">
        <f>ABS(TargetsPercent23[[#This Row],[2017–18 Historical data]]-TargetsPercent23[[#This Row],[2018–19 Historical data]])</f>
        <v>0</v>
      </c>
      <c r="K9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98" s="26">
        <f>TargetsPercent23[[#This Row],[Average (calculated)]]-TargetsPercent23[[#This Row],[Band of Tolerance (calculated)]]</f>
        <v>-0.01</v>
      </c>
      <c r="M98" s="22">
        <f>TargetsPercent23[[#This Row],[2020–21
Allowable
performance
target]]-TargetsPercent23[[#This Row],[Target Floor (calculated)]]</f>
        <v>0.01</v>
      </c>
    </row>
    <row r="99" spans="1:13" x14ac:dyDescent="0.2">
      <c r="A99" t="str">
        <f>_xlfn.CONCAT(TargetsPercent23[[#This Row],[University]],":",TargetsPercent23[[#This Row],[Metric]])</f>
        <v>Queen's University:08. Research revenue attracted from private sector sources</v>
      </c>
      <c r="B99" t="s">
        <v>37</v>
      </c>
      <c r="C99" t="s">
        <v>26</v>
      </c>
      <c r="D99" s="18">
        <f>VLOOKUP(TargetsPercent23[[#This Row],[KEY]],[1]!HistoricalData[#Data],4,FALSE)</f>
        <v>0</v>
      </c>
      <c r="E99" s="18">
        <f>VLOOKUP(TargetsPercent23[[#This Row],[KEY]],[1]!HistoricalData[#Data],5,FALSE)</f>
        <v>0</v>
      </c>
      <c r="F99" s="18">
        <f>VLOOKUP(TargetsPercent23[[#This Row],[KEY]],[1]!HistoricalData[#Data],6,FALSE)</f>
        <v>0</v>
      </c>
      <c r="G99" s="19">
        <f>VLOOKUP(TargetsPercent23[[#This Row],[KEY]],[1]!HistoricalData[#Data],7,FALSE)</f>
        <v>0</v>
      </c>
      <c r="H99" s="11">
        <f>AVERAGE(TargetsPercent23[[#This Row],[2016–17 Historical data]],TargetsPercent23[[#This Row],[2017–18 Historical data]],TargetsPercent23[[#This Row],[2018–19 Historical data]])</f>
        <v>0</v>
      </c>
      <c r="I99" s="2" t="e">
        <f>ABS((TargetsPercent23[[#This Row],[2017–18 Historical data]]-TargetsPercent23[[#This Row],[2016–17 Historical data]])/TargetsPercent23[[#This Row],[2016–17 Historical data]])</f>
        <v>#DIV/0!</v>
      </c>
      <c r="J99" s="2" t="e">
        <f>ABS((TargetsPercent23[[#This Row],[2018–19 Historical data]]-TargetsPercent23[[#This Row],[2017–18 Historical data]])/TargetsPercent23[[#This Row],[2017–18 Historical data]])</f>
        <v>#DIV/0!</v>
      </c>
      <c r="K99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99" s="10" t="e">
        <f>TargetsPercent23[[#This Row],[Average (calculated)]]-TargetsPercent23[[#This Row],[Band of Tolerance (calculated)]]</f>
        <v>#DIV/0!</v>
      </c>
      <c r="M99" s="11" t="e">
        <f>TargetsPercent23[[#This Row],[2020–21
Allowable
performance
target]]-TargetsPercent23[[#This Row],[Target Floor (calculated)]]</f>
        <v>#DIV/0!</v>
      </c>
    </row>
    <row r="100" spans="1:13" x14ac:dyDescent="0.2">
      <c r="A100" t="str">
        <f>_xlfn.CONCAT(TargetsPercent23[[#This Row],[University]],":",TargetsPercent23[[#This Row],[Metric]])</f>
        <v>Queen's University:09. Graduate employment earnings</v>
      </c>
      <c r="B100" t="s">
        <v>37</v>
      </c>
      <c r="C100" t="s">
        <v>27</v>
      </c>
      <c r="D100" s="6">
        <f>VLOOKUP(TargetsPercent23[[#This Row],[KEY]],[1]!HistoricalData[#Data],4,FALSE)</f>
        <v>0</v>
      </c>
      <c r="E100" s="6">
        <f>VLOOKUP(TargetsPercent23[[#This Row],[KEY]],[1]!HistoricalData[#Data],5,FALSE)</f>
        <v>0</v>
      </c>
      <c r="F100" s="6">
        <f>VLOOKUP(TargetsPercent23[[#This Row],[KEY]],[1]!HistoricalData[#Data],6,FALSE)</f>
        <v>0</v>
      </c>
      <c r="G100" s="5">
        <f>VLOOKUP(TargetsPercent23[[#This Row],[KEY]],[1]!HistoricalData[#Data],7,FALSE)</f>
        <v>0</v>
      </c>
      <c r="H100" s="9">
        <f>AVERAGE(TargetsPercent23[[#This Row],[2016–17 Historical data]],TargetsPercent23[[#This Row],[2017–18 Historical data]],TargetsPercent23[[#This Row],[2018–19 Historical data]])</f>
        <v>0</v>
      </c>
      <c r="I100" s="9">
        <f>ABS(TargetsPercent23[[#This Row],[2016–17 Historical data]]-TargetsPercent23[[#This Row],[2017–18 Historical data]])</f>
        <v>0</v>
      </c>
      <c r="J100" s="2">
        <f>ABS(TargetsPercent23[[#This Row],[2017–18 Historical data]]-TargetsPercent23[[#This Row],[2018–19 Historical data]])</f>
        <v>0</v>
      </c>
      <c r="K10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0" s="26">
        <f>TargetsPercent23[[#This Row],[Average (calculated)]]-TargetsPercent23[[#This Row],[Band of Tolerance (calculated)]]</f>
        <v>-0.01</v>
      </c>
      <c r="M100" s="22">
        <f>TargetsPercent23[[#This Row],[2020–21
Allowable
performance
target]]-TargetsPercent23[[#This Row],[Target Floor (calculated)]]</f>
        <v>0.01</v>
      </c>
    </row>
    <row r="101" spans="1:13" x14ac:dyDescent="0.2">
      <c r="A101" t="str">
        <f>_xlfn.CONCAT(TargetsPercent23[[#This Row],[University]],":",TargetsPercent23[[#This Row],[Metric]])</f>
        <v>Queen's University:10. Skills and competencies</v>
      </c>
      <c r="B101" t="s">
        <v>37</v>
      </c>
      <c r="C101" t="s">
        <v>28</v>
      </c>
      <c r="D101" s="6">
        <f>VLOOKUP(TargetsPercent23[[#This Row],[KEY]],[1]!HistoricalData[#Data],4,FALSE)</f>
        <v>0</v>
      </c>
      <c r="E101" s="6">
        <f>VLOOKUP(TargetsPercent23[[#This Row],[KEY]],[1]!HistoricalData[#Data],5,FALSE)</f>
        <v>0</v>
      </c>
      <c r="F101" s="6">
        <f>VLOOKUP(TargetsPercent23[[#This Row],[KEY]],[1]!HistoricalData[#Data],6,FALSE)</f>
        <v>0</v>
      </c>
      <c r="G101" s="5">
        <f>VLOOKUP(TargetsPercent23[[#This Row],[KEY]],[1]!HistoricalData[#Data],7,FALSE)</f>
        <v>0</v>
      </c>
      <c r="H101" s="9">
        <f>AVERAGE(TargetsPercent23[[#This Row],[2016–17 Historical data]],TargetsPercent23[[#This Row],[2017–18 Historical data]],TargetsPercent23[[#This Row],[2018–19 Historical data]])</f>
        <v>0</v>
      </c>
      <c r="I101" s="9">
        <f>ABS(TargetsPercent23[[#This Row],[2016–17 Historical data]]-TargetsPercent23[[#This Row],[2017–18 Historical data]])</f>
        <v>0</v>
      </c>
      <c r="J101" s="2">
        <f>ABS(TargetsPercent23[[#This Row],[2017–18 Historical data]]-TargetsPercent23[[#This Row],[2018–19 Historical data]])</f>
        <v>0</v>
      </c>
      <c r="K10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1" s="26">
        <f>TargetsPercent23[[#This Row],[Average (calculated)]]-TargetsPercent23[[#This Row],[Band of Tolerance (calculated)]]</f>
        <v>-0.01</v>
      </c>
      <c r="M101" s="22">
        <f>TargetsPercent23[[#This Row],[2020–21
Allowable
performance
target]]-TargetsPercent23[[#This Row],[Target Floor (calculated)]]</f>
        <v>0.01</v>
      </c>
    </row>
    <row r="102" spans="1:13" x14ac:dyDescent="0.2">
      <c r="A102" t="str">
        <f>_xlfn.CONCAT(TargetsPercent23[[#This Row],[University]],":",TargetsPercent23[[#This Row],[Metric]])</f>
        <v>Queen's University:Tri-agency research funding</v>
      </c>
      <c r="B102" t="s">
        <v>37</v>
      </c>
      <c r="C102" t="s">
        <v>29</v>
      </c>
      <c r="D102" s="18">
        <f>VLOOKUP(TargetsPercent23[[#This Row],[KEY]],[1]!HistoricalData[#Data],4,FALSE)</f>
        <v>44945368</v>
      </c>
      <c r="E102" s="18">
        <f>VLOOKUP(TargetsPercent23[[#This Row],[KEY]],[1]!HistoricalData[#Data],5,FALSE)</f>
        <v>44983900</v>
      </c>
      <c r="F102" s="18">
        <f>VLOOKUP(TargetsPercent23[[#This Row],[KEY]],[1]!HistoricalData[#Data],6,FALSE)</f>
        <v>42789327</v>
      </c>
      <c r="G102" s="19">
        <f>VLOOKUP(TargetsPercent23[[#This Row],[KEY]],[1]!HistoricalData[#Data],7,FALSE)</f>
        <v>0</v>
      </c>
      <c r="H102" s="11">
        <f>AVERAGE(TargetsPercent23[[#This Row],[2016–17 Historical data]],TargetsPercent23[[#This Row],[2017–18 Historical data]],TargetsPercent23[[#This Row],[2018–19 Historical data]])</f>
        <v>44239531.666666664</v>
      </c>
      <c r="I102" s="2">
        <f>ABS((TargetsPercent23[[#This Row],[2017–18 Historical data]]-TargetsPercent23[[#This Row],[2016–17 Historical data]])/TargetsPercent23[[#This Row],[2016–17 Historical data]])</f>
        <v>8.5730747604513991E-4</v>
      </c>
      <c r="J102" s="2">
        <f>ABS((TargetsPercent23[[#This Row],[2018–19 Historical data]]-TargetsPercent23[[#This Row],[2017–18 Historical data]])/TargetsPercent23[[#This Row],[2017–18 Historical data]])</f>
        <v>4.8785743343729648E-2</v>
      </c>
      <c r="K10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2" s="10">
        <f>TargetsPercent23[[#This Row],[Average (calculated)]]-TargetsPercent23[[#This Row],[Band of Tolerance (calculated)]]</f>
        <v>44239531.656666666</v>
      </c>
      <c r="M102" s="11">
        <f>TargetsPercent23[[#This Row],[2020–21
Allowable
performance
target]]-TargetsPercent23[[#This Row],[Target Floor (calculated)]]</f>
        <v>-44239531.656666666</v>
      </c>
    </row>
    <row r="103" spans="1:13" x14ac:dyDescent="0.2">
      <c r="A103" t="str">
        <f>_xlfn.CONCAT(TargetsPercent23[[#This Row],[University]],":",TargetsPercent23[[#This Row],[Metric]])</f>
        <v>Ryerson University:01. Graduate employment rate in a related field</v>
      </c>
      <c r="B103" t="s">
        <v>38</v>
      </c>
      <c r="C103" t="s">
        <v>19</v>
      </c>
      <c r="D103" s="6">
        <f>VLOOKUP(TargetsPercent23[[#This Row],[KEY]],[1]!HistoricalData[#Data],4,FALSE)</f>
        <v>0.90949999999999998</v>
      </c>
      <c r="E103" s="6">
        <f>VLOOKUP(TargetsPercent23[[#This Row],[KEY]],[1]!HistoricalData[#Data],5,FALSE)</f>
        <v>0.89049999999999996</v>
      </c>
      <c r="F103" s="6">
        <f>VLOOKUP(TargetsPercent23[[#This Row],[KEY]],[1]!HistoricalData[#Data],6,FALSE)</f>
        <v>0.89410000000000001</v>
      </c>
      <c r="G103" s="5">
        <f>VLOOKUP(TargetsPercent23[[#This Row],[KEY]],[1]!HistoricalData[#Data],7,FALSE)</f>
        <v>0.89039999999999997</v>
      </c>
      <c r="H103" s="2">
        <f>AVERAGE(TargetsPercent23[[#This Row],[2016–17 Historical data]],TargetsPercent23[[#This Row],[2017–18 Historical data]],TargetsPercent23[[#This Row],[2018–19 Historical data]])</f>
        <v>0.89803333333333324</v>
      </c>
      <c r="I103" s="2">
        <f>ABS(TargetsPercent23[[#This Row],[2016–17 Historical data]]-TargetsPercent23[[#This Row],[2017–18 Historical data]])</f>
        <v>1.9000000000000017E-2</v>
      </c>
      <c r="J103" s="2">
        <f>ABS(TargetsPercent23[[#This Row],[2017–18 Historical data]]-TargetsPercent23[[#This Row],[2018–19 Historical data]])</f>
        <v>3.6000000000000476E-3</v>
      </c>
      <c r="K10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3" s="23">
        <f>TargetsPercent23[[#This Row],[Average (calculated)]]-TargetsPercent23[[#This Row],[Band of Tolerance (calculated)]]</f>
        <v>0.88803333333333323</v>
      </c>
      <c r="M103" s="22">
        <f>TargetsPercent23[[#This Row],[2020–21
Allowable
performance
target]]-TargetsPercent23[[#This Row],[Target Floor (calculated)]]</f>
        <v>2.3666666666667391E-3</v>
      </c>
    </row>
    <row r="104" spans="1:13" x14ac:dyDescent="0.2">
      <c r="A104" t="str">
        <f>_xlfn.CONCAT(TargetsPercent23[[#This Row],[University]],":",TargetsPercent23[[#This Row],[Metric]])</f>
        <v>Ryerson University:02. Institutional strength and focus</v>
      </c>
      <c r="B104" t="s">
        <v>38</v>
      </c>
      <c r="C104" t="s">
        <v>20</v>
      </c>
      <c r="D104" s="6">
        <f>VLOOKUP(TargetsPercent23[[#This Row],[KEY]],[1]!HistoricalData[#Data],4,FALSE)</f>
        <v>0.51259999999999994</v>
      </c>
      <c r="E104" s="6">
        <f>VLOOKUP(TargetsPercent23[[#This Row],[KEY]],[1]!HistoricalData[#Data],5,FALSE)</f>
        <v>0.51419999999999999</v>
      </c>
      <c r="F104" s="6">
        <f>VLOOKUP(TargetsPercent23[[#This Row],[KEY]],[1]!HistoricalData[#Data],6,FALSE)</f>
        <v>0.51459999999999995</v>
      </c>
      <c r="G104" s="5">
        <f>VLOOKUP(TargetsPercent23[[#This Row],[KEY]],[1]!HistoricalData[#Data],7,FALSE)</f>
        <v>0.49919999999999998</v>
      </c>
      <c r="H104" s="2">
        <f>AVERAGE(TargetsPercent23[[#This Row],[2016–17 Historical data]],TargetsPercent23[[#This Row],[2017–18 Historical data]],TargetsPercent23[[#This Row],[2018–19 Historical data]])</f>
        <v>0.51379999999999992</v>
      </c>
      <c r="I104" s="2">
        <f>ABS(TargetsPercent23[[#This Row],[2016–17 Historical data]]-TargetsPercent23[[#This Row],[2017–18 Historical data]])</f>
        <v>1.6000000000000458E-3</v>
      </c>
      <c r="J104" s="2">
        <f>ABS(TargetsPercent23[[#This Row],[2017–18 Historical data]]-TargetsPercent23[[#This Row],[2018–19 Historical data]])</f>
        <v>3.9999999999995595E-4</v>
      </c>
      <c r="K10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4" s="23">
        <f>TargetsPercent23[[#This Row],[Average (calculated)]]-TargetsPercent23[[#This Row],[Band of Tolerance (calculated)]]</f>
        <v>0.50379999999999991</v>
      </c>
      <c r="M104" s="22">
        <f>TargetsPercent23[[#This Row],[2020–21
Allowable
performance
target]]-TargetsPercent23[[#This Row],[Target Floor (calculated)]]</f>
        <v>-4.5999999999999375E-3</v>
      </c>
    </row>
    <row r="105" spans="1:13" x14ac:dyDescent="0.2">
      <c r="A105" t="str">
        <f>_xlfn.CONCAT(TargetsPercent23[[#This Row],[University]],":",TargetsPercent23[[#This Row],[Metric]])</f>
        <v>Ryerson University:03. Graduation rate</v>
      </c>
      <c r="B105" t="s">
        <v>38</v>
      </c>
      <c r="C105" t="s">
        <v>21</v>
      </c>
      <c r="D105" s="6">
        <f>VLOOKUP(TargetsPercent23[[#This Row],[KEY]],[1]!HistoricalData[#Data],4,FALSE)</f>
        <v>0.7278</v>
      </c>
      <c r="E105" s="6">
        <f>VLOOKUP(TargetsPercent23[[#This Row],[KEY]],[1]!HistoricalData[#Data],5,FALSE)</f>
        <v>0.72460000000000002</v>
      </c>
      <c r="F105" s="6">
        <f>VLOOKUP(TargetsPercent23[[#This Row],[KEY]],[1]!HistoricalData[#Data],6,FALSE)</f>
        <v>0.74439999999999995</v>
      </c>
      <c r="G105" s="5">
        <f>VLOOKUP(TargetsPercent23[[#This Row],[KEY]],[1]!HistoricalData[#Data],7,FALSE)</f>
        <v>0.7238</v>
      </c>
      <c r="H105" s="2">
        <f>AVERAGE(TargetsPercent23[[#This Row],[2016–17 Historical data]],TargetsPercent23[[#This Row],[2017–18 Historical data]],TargetsPercent23[[#This Row],[2018–19 Historical data]])</f>
        <v>0.73226666666666651</v>
      </c>
      <c r="I105" s="2">
        <f>ABS(TargetsPercent23[[#This Row],[2016–17 Historical data]]-TargetsPercent23[[#This Row],[2017–18 Historical data]])</f>
        <v>3.1999999999999806E-3</v>
      </c>
      <c r="J105" s="2">
        <f>ABS(TargetsPercent23[[#This Row],[2017–18 Historical data]]-TargetsPercent23[[#This Row],[2018–19 Historical data]])</f>
        <v>1.9799999999999929E-2</v>
      </c>
      <c r="K10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5" s="23">
        <f>TargetsPercent23[[#This Row],[Average (calculated)]]-TargetsPercent23[[#This Row],[Band of Tolerance (calculated)]]</f>
        <v>0.7222666666666665</v>
      </c>
      <c r="M105" s="22">
        <f>TargetsPercent23[[#This Row],[2020–21
Allowable
performance
target]]-TargetsPercent23[[#This Row],[Target Floor (calculated)]]</f>
        <v>1.5333333333334975E-3</v>
      </c>
    </row>
    <row r="106" spans="1:13" x14ac:dyDescent="0.2">
      <c r="A106" t="str">
        <f>_xlfn.CONCAT(TargetsPercent23[[#This Row],[University]],":",TargetsPercent23[[#This Row],[Metric]])</f>
        <v>Ryerson University:04. Community and local impact of student enrolment</v>
      </c>
      <c r="B106" t="s">
        <v>38</v>
      </c>
      <c r="C106" t="s">
        <v>22</v>
      </c>
      <c r="D106" s="6">
        <f>VLOOKUP(TargetsPercent23[[#This Row],[KEY]],[1]!HistoricalData[#Data],4,FALSE)</f>
        <v>2.2599999999999999E-2</v>
      </c>
      <c r="E106" s="6">
        <f>VLOOKUP(TargetsPercent23[[#This Row],[KEY]],[1]!HistoricalData[#Data],5,FALSE)</f>
        <v>2.3099999999999999E-2</v>
      </c>
      <c r="F106" s="6">
        <f>VLOOKUP(TargetsPercent23[[#This Row],[KEY]],[1]!HistoricalData[#Data],6,FALSE)</f>
        <v>2.3300000000000001E-2</v>
      </c>
      <c r="G106" s="5">
        <f>VLOOKUP(TargetsPercent23[[#This Row],[KEY]],[1]!HistoricalData[#Data],7,FALSE)</f>
        <v>2.2800000000000001E-2</v>
      </c>
      <c r="H106" s="2">
        <f>AVERAGE(TargetsPercent23[[#This Row],[2016–17 Historical data]],TargetsPercent23[[#This Row],[2017–18 Historical data]],TargetsPercent23[[#This Row],[2018–19 Historical data]])</f>
        <v>2.3000000000000003E-2</v>
      </c>
      <c r="I106" s="2">
        <f>ABS(TargetsPercent23[[#This Row],[2016–17 Historical data]]-TargetsPercent23[[#This Row],[2017–18 Historical data]])</f>
        <v>5.0000000000000044E-4</v>
      </c>
      <c r="J106" s="2">
        <f>ABS(TargetsPercent23[[#This Row],[2017–18 Historical data]]-TargetsPercent23[[#This Row],[2018–19 Historical data]])</f>
        <v>2.0000000000000226E-4</v>
      </c>
      <c r="K10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6" s="24">
        <f>TargetsPercent23[[#This Row],[Average (calculated)]]-TargetsPercent23[[#This Row],[Band of Tolerance (calculated)]]</f>
        <v>1.3000000000000003E-2</v>
      </c>
      <c r="M106" s="25">
        <f>TargetsPercent23[[#This Row],[2020–21
Allowable
performance
target]]-TargetsPercent23[[#This Row],[Target Floor (calculated)]]</f>
        <v>9.7999999999999979E-3</v>
      </c>
    </row>
    <row r="107" spans="1:13" x14ac:dyDescent="0.2">
      <c r="A107" t="str">
        <f>_xlfn.CONCAT(TargetsPercent23[[#This Row],[University]],":",TargetsPercent23[[#This Row],[Metric]])</f>
        <v>Ryerson University:05. Economic impact (institution-specific)</v>
      </c>
      <c r="B107" t="s">
        <v>38</v>
      </c>
      <c r="C107" t="s">
        <v>23</v>
      </c>
      <c r="D107" s="18">
        <f>VLOOKUP(TargetsPercent23[[#This Row],[KEY]],[1]!HistoricalData[#Data],4,FALSE)</f>
        <v>323</v>
      </c>
      <c r="E107" s="18">
        <f>VLOOKUP(TargetsPercent23[[#This Row],[KEY]],[1]!HistoricalData[#Data],5,FALSE)</f>
        <v>325</v>
      </c>
      <c r="F107" s="18">
        <f>VLOOKUP(TargetsPercent23[[#This Row],[KEY]],[1]!HistoricalData[#Data],6,FALSE)</f>
        <v>354</v>
      </c>
      <c r="G107" s="19">
        <f>VLOOKUP(TargetsPercent23[[#This Row],[KEY]],[1]!HistoricalData[#Data],7,FALSE)</f>
        <v>320</v>
      </c>
      <c r="H107" s="11">
        <f>AVERAGE(TargetsPercent23[[#This Row],[2016–17 Historical data]],TargetsPercent23[[#This Row],[2017–18 Historical data]],TargetsPercent23[[#This Row],[2018–19 Historical data]])</f>
        <v>334</v>
      </c>
      <c r="I107" s="2">
        <f>ABS((TargetsPercent23[[#This Row],[2017–18 Historical data]]-TargetsPercent23[[#This Row],[2016–17 Historical data]])/TargetsPercent23[[#This Row],[2016–17 Historical data]])</f>
        <v>6.1919504643962852E-3</v>
      </c>
      <c r="J107" s="2">
        <f>ABS((TargetsPercent23[[#This Row],[2018–19 Historical data]]-TargetsPercent23[[#This Row],[2017–18 Historical data]])/TargetsPercent23[[#This Row],[2017–18 Historical data]])</f>
        <v>8.9230769230769225E-2</v>
      </c>
      <c r="K10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7" s="10">
        <f>TargetsPercent23[[#This Row],[Average (calculated)]]-TargetsPercent23[[#This Row],[Band of Tolerance (calculated)]]</f>
        <v>333.99</v>
      </c>
      <c r="M107" s="11">
        <f>TargetsPercent23[[#This Row],[2020–21
Allowable
performance
target]]-TargetsPercent23[[#This Row],[Target Floor (calculated)]]</f>
        <v>-13.990000000000009</v>
      </c>
    </row>
    <row r="108" spans="1:13" x14ac:dyDescent="0.2">
      <c r="A108" t="str">
        <f>_xlfn.CONCAT(TargetsPercent23[[#This Row],[University]],":",TargetsPercent23[[#This Row],[Metric]])</f>
        <v>Ryerson University:06. Research funding and capacity: federal tri-agency funding secured</v>
      </c>
      <c r="B108" t="s">
        <v>38</v>
      </c>
      <c r="C108" t="s">
        <v>24</v>
      </c>
      <c r="D108" s="18">
        <f>VLOOKUP(TargetsPercent23[[#This Row],[KEY]],[1]!HistoricalData[#Data],4,FALSE)</f>
        <v>1.83E-2</v>
      </c>
      <c r="E108" s="18">
        <f>VLOOKUP(TargetsPercent23[[#This Row],[KEY]],[1]!HistoricalData[#Data],5,FALSE)</f>
        <v>1.77E-2</v>
      </c>
      <c r="F108" s="18">
        <f>VLOOKUP(TargetsPercent23[[#This Row],[KEY]],[1]!HistoricalData[#Data],6,FALSE)</f>
        <v>1.8200000000000001E-2</v>
      </c>
      <c r="G108" s="19">
        <f>VLOOKUP(TargetsPercent23[[#This Row],[KEY]],[1]!HistoricalData[#Data],7,FALSE)</f>
        <v>1.78E-2</v>
      </c>
      <c r="H108" s="11">
        <f>AVERAGE(TargetsPercent23[[#This Row],[2016–17 Historical data]],TargetsPercent23[[#This Row],[2017–18 Historical data]],TargetsPercent23[[#This Row],[2018–19 Historical data]])</f>
        <v>1.8066666666666668E-2</v>
      </c>
      <c r="I108" s="2">
        <f>ABS((TargetsPercent23[[#This Row],[2017–18 Historical data]]-TargetsPercent23[[#This Row],[2016–17 Historical data]])/TargetsPercent23[[#This Row],[2016–17 Historical data]])</f>
        <v>3.2786885245901627E-2</v>
      </c>
      <c r="J108" s="2">
        <f>ABS((TargetsPercent23[[#This Row],[2018–19 Historical data]]-TargetsPercent23[[#This Row],[2017–18 Historical data]])/TargetsPercent23[[#This Row],[2017–18 Historical data]])</f>
        <v>2.8248587570621493E-2</v>
      </c>
      <c r="K108" s="2">
        <f>IF(MIN(TargetsPercent23[[#This Row],[ABS 2016-17 to 2017-18 (calculated)]:[ABS 2017-18 to 2018-19 (calculated)]])&lt;0.01,0.01,MIN(TargetsPercent23[[#This Row],[ABS 2016-17 to 2017-18 (calculated)]:[ABS 2017-18 to 2018-19 (calculated)]]))</f>
        <v>2.8248587570621493E-2</v>
      </c>
      <c r="L108" s="10">
        <f>TargetsPercent23[[#This Row],[Average (calculated)]]-TargetsPercent23[[#This Row],[Band of Tolerance (calculated)]]</f>
        <v>-1.0181920903954825E-2</v>
      </c>
      <c r="M108" s="11">
        <f>TargetsPercent23[[#This Row],[2020–21
Allowable
performance
target]]-TargetsPercent23[[#This Row],[Target Floor (calculated)]]</f>
        <v>2.7981920903954825E-2</v>
      </c>
    </row>
    <row r="109" spans="1:13" x14ac:dyDescent="0.2">
      <c r="A109" t="str">
        <f>_xlfn.CONCAT(TargetsPercent23[[#This Row],[University]],":",TargetsPercent23[[#This Row],[Metric]])</f>
        <v>Ryerson University:07. Experiential learning</v>
      </c>
      <c r="B109" t="s">
        <v>38</v>
      </c>
      <c r="C109" t="s">
        <v>25</v>
      </c>
      <c r="D109" s="6">
        <f>VLOOKUP(TargetsPercent23[[#This Row],[KEY]],[1]!HistoricalData[#Data],4,FALSE)</f>
        <v>0</v>
      </c>
      <c r="E109" s="6">
        <f>VLOOKUP(TargetsPercent23[[#This Row],[KEY]],[1]!HistoricalData[#Data],5,FALSE)</f>
        <v>0</v>
      </c>
      <c r="F109" s="6">
        <f>VLOOKUP(TargetsPercent23[[#This Row],[KEY]],[1]!HistoricalData[#Data],6,FALSE)</f>
        <v>0</v>
      </c>
      <c r="G109" s="5">
        <f>VLOOKUP(TargetsPercent23[[#This Row],[KEY]],[1]!HistoricalData[#Data],7,FALSE)</f>
        <v>0</v>
      </c>
      <c r="H109" s="9">
        <f>AVERAGE(TargetsPercent23[[#This Row],[2016–17 Historical data]],TargetsPercent23[[#This Row],[2017–18 Historical data]],TargetsPercent23[[#This Row],[2018–19 Historical data]])</f>
        <v>0</v>
      </c>
      <c r="I109" s="9">
        <f>ABS(TargetsPercent23[[#This Row],[2016–17 Historical data]]-TargetsPercent23[[#This Row],[2017–18 Historical data]])</f>
        <v>0</v>
      </c>
      <c r="J109" s="2">
        <f>ABS(TargetsPercent23[[#This Row],[2017–18 Historical data]]-TargetsPercent23[[#This Row],[2018–19 Historical data]])</f>
        <v>0</v>
      </c>
      <c r="K10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09" s="26">
        <f>TargetsPercent23[[#This Row],[Average (calculated)]]-TargetsPercent23[[#This Row],[Band of Tolerance (calculated)]]</f>
        <v>-0.01</v>
      </c>
      <c r="M109" s="22">
        <f>TargetsPercent23[[#This Row],[2020–21
Allowable
performance
target]]-TargetsPercent23[[#This Row],[Target Floor (calculated)]]</f>
        <v>0.01</v>
      </c>
    </row>
    <row r="110" spans="1:13" x14ac:dyDescent="0.2">
      <c r="A110" t="str">
        <f>_xlfn.CONCAT(TargetsPercent23[[#This Row],[University]],":",TargetsPercent23[[#This Row],[Metric]])</f>
        <v>Ryerson University:08. Research revenue attracted from private sector sources</v>
      </c>
      <c r="B110" t="s">
        <v>38</v>
      </c>
      <c r="C110" t="s">
        <v>26</v>
      </c>
      <c r="D110" s="18">
        <f>VLOOKUP(TargetsPercent23[[#This Row],[KEY]],[1]!HistoricalData[#Data],4,FALSE)</f>
        <v>0</v>
      </c>
      <c r="E110" s="18">
        <f>VLOOKUP(TargetsPercent23[[#This Row],[KEY]],[1]!HistoricalData[#Data],5,FALSE)</f>
        <v>0</v>
      </c>
      <c r="F110" s="18">
        <f>VLOOKUP(TargetsPercent23[[#This Row],[KEY]],[1]!HistoricalData[#Data],6,FALSE)</f>
        <v>0</v>
      </c>
      <c r="G110" s="19">
        <f>VLOOKUP(TargetsPercent23[[#This Row],[KEY]],[1]!HistoricalData[#Data],7,FALSE)</f>
        <v>0</v>
      </c>
      <c r="H110" s="11">
        <f>AVERAGE(TargetsPercent23[[#This Row],[2016–17 Historical data]],TargetsPercent23[[#This Row],[2017–18 Historical data]],TargetsPercent23[[#This Row],[2018–19 Historical data]])</f>
        <v>0</v>
      </c>
      <c r="I110" s="2" t="e">
        <f>ABS((TargetsPercent23[[#This Row],[2017–18 Historical data]]-TargetsPercent23[[#This Row],[2016–17 Historical data]])/TargetsPercent23[[#This Row],[2016–17 Historical data]])</f>
        <v>#DIV/0!</v>
      </c>
      <c r="J110" s="2" t="e">
        <f>ABS((TargetsPercent23[[#This Row],[2018–19 Historical data]]-TargetsPercent23[[#This Row],[2017–18 Historical data]])/TargetsPercent23[[#This Row],[2017–18 Historical data]])</f>
        <v>#DIV/0!</v>
      </c>
      <c r="K110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10" s="10" t="e">
        <f>TargetsPercent23[[#This Row],[Average (calculated)]]-TargetsPercent23[[#This Row],[Band of Tolerance (calculated)]]</f>
        <v>#DIV/0!</v>
      </c>
      <c r="M110" s="11" t="e">
        <f>TargetsPercent23[[#This Row],[2020–21
Allowable
performance
target]]-TargetsPercent23[[#This Row],[Target Floor (calculated)]]</f>
        <v>#DIV/0!</v>
      </c>
    </row>
    <row r="111" spans="1:13" x14ac:dyDescent="0.2">
      <c r="A111" t="str">
        <f>_xlfn.CONCAT(TargetsPercent23[[#This Row],[University]],":",TargetsPercent23[[#This Row],[Metric]])</f>
        <v>Ryerson University:09. Graduate employment earnings</v>
      </c>
      <c r="B111" t="s">
        <v>38</v>
      </c>
      <c r="C111" t="s">
        <v>27</v>
      </c>
      <c r="D111" s="6">
        <f>VLOOKUP(TargetsPercent23[[#This Row],[KEY]],[1]!HistoricalData[#Data],4,FALSE)</f>
        <v>0</v>
      </c>
      <c r="E111" s="6">
        <f>VLOOKUP(TargetsPercent23[[#This Row],[KEY]],[1]!HistoricalData[#Data],5,FALSE)</f>
        <v>0</v>
      </c>
      <c r="F111" s="6">
        <f>VLOOKUP(TargetsPercent23[[#This Row],[KEY]],[1]!HistoricalData[#Data],6,FALSE)</f>
        <v>0</v>
      </c>
      <c r="G111" s="5">
        <f>VLOOKUP(TargetsPercent23[[#This Row],[KEY]],[1]!HistoricalData[#Data],7,FALSE)</f>
        <v>0</v>
      </c>
      <c r="H111" s="9">
        <f>AVERAGE(TargetsPercent23[[#This Row],[2016–17 Historical data]],TargetsPercent23[[#This Row],[2017–18 Historical data]],TargetsPercent23[[#This Row],[2018–19 Historical data]])</f>
        <v>0</v>
      </c>
      <c r="I111" s="9">
        <f>ABS(TargetsPercent23[[#This Row],[2016–17 Historical data]]-TargetsPercent23[[#This Row],[2017–18 Historical data]])</f>
        <v>0</v>
      </c>
      <c r="J111" s="2">
        <f>ABS(TargetsPercent23[[#This Row],[2017–18 Historical data]]-TargetsPercent23[[#This Row],[2018–19 Historical data]])</f>
        <v>0</v>
      </c>
      <c r="K11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11" s="26">
        <f>TargetsPercent23[[#This Row],[Average (calculated)]]-TargetsPercent23[[#This Row],[Band of Tolerance (calculated)]]</f>
        <v>-0.01</v>
      </c>
      <c r="M111" s="22">
        <f>TargetsPercent23[[#This Row],[2020–21
Allowable
performance
target]]-TargetsPercent23[[#This Row],[Target Floor (calculated)]]</f>
        <v>0.01</v>
      </c>
    </row>
    <row r="112" spans="1:13" x14ac:dyDescent="0.2">
      <c r="A112" t="str">
        <f>_xlfn.CONCAT(TargetsPercent23[[#This Row],[University]],":",TargetsPercent23[[#This Row],[Metric]])</f>
        <v>Ryerson University:10. Skills and competencies</v>
      </c>
      <c r="B112" t="s">
        <v>38</v>
      </c>
      <c r="C112" t="s">
        <v>28</v>
      </c>
      <c r="D112" s="6">
        <f>VLOOKUP(TargetsPercent23[[#This Row],[KEY]],[1]!HistoricalData[#Data],4,FALSE)</f>
        <v>0</v>
      </c>
      <c r="E112" s="6">
        <f>VLOOKUP(TargetsPercent23[[#This Row],[KEY]],[1]!HistoricalData[#Data],5,FALSE)</f>
        <v>0</v>
      </c>
      <c r="F112" s="6">
        <f>VLOOKUP(TargetsPercent23[[#This Row],[KEY]],[1]!HistoricalData[#Data],6,FALSE)</f>
        <v>0</v>
      </c>
      <c r="G112" s="5">
        <f>VLOOKUP(TargetsPercent23[[#This Row],[KEY]],[1]!HistoricalData[#Data],7,FALSE)</f>
        <v>0</v>
      </c>
      <c r="H112" s="9">
        <f>AVERAGE(TargetsPercent23[[#This Row],[2016–17 Historical data]],TargetsPercent23[[#This Row],[2017–18 Historical data]],TargetsPercent23[[#This Row],[2018–19 Historical data]])</f>
        <v>0</v>
      </c>
      <c r="I112" s="9">
        <f>ABS(TargetsPercent23[[#This Row],[2016–17 Historical data]]-TargetsPercent23[[#This Row],[2017–18 Historical data]])</f>
        <v>0</v>
      </c>
      <c r="J112" s="2">
        <f>ABS(TargetsPercent23[[#This Row],[2017–18 Historical data]]-TargetsPercent23[[#This Row],[2018–19 Historical data]])</f>
        <v>0</v>
      </c>
      <c r="K11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12" s="26">
        <f>TargetsPercent23[[#This Row],[Average (calculated)]]-TargetsPercent23[[#This Row],[Band of Tolerance (calculated)]]</f>
        <v>-0.01</v>
      </c>
      <c r="M112" s="22">
        <f>TargetsPercent23[[#This Row],[2020–21
Allowable
performance
target]]-TargetsPercent23[[#This Row],[Target Floor (calculated)]]</f>
        <v>0.01</v>
      </c>
    </row>
    <row r="113" spans="1:13" x14ac:dyDescent="0.2">
      <c r="A113" t="str">
        <f>_xlfn.CONCAT(TargetsPercent23[[#This Row],[University]],":",TargetsPercent23[[#This Row],[Metric]])</f>
        <v>Ryerson University:Tri-agency research funding</v>
      </c>
      <c r="B113" t="s">
        <v>38</v>
      </c>
      <c r="C113" t="s">
        <v>29</v>
      </c>
      <c r="D113" s="18">
        <f>VLOOKUP(TargetsPercent23[[#This Row],[KEY]],[1]!HistoricalData[#Data],4,FALSE)</f>
        <v>11639827</v>
      </c>
      <c r="E113" s="18">
        <f>VLOOKUP(TargetsPercent23[[#This Row],[KEY]],[1]!HistoricalData[#Data],5,FALSE)</f>
        <v>11781225</v>
      </c>
      <c r="F113" s="18">
        <f>VLOOKUP(TargetsPercent23[[#This Row],[KEY]],[1]!HistoricalData[#Data],6,FALSE)</f>
        <v>12333060</v>
      </c>
      <c r="G113" s="19">
        <f>VLOOKUP(TargetsPercent23[[#This Row],[KEY]],[1]!HistoricalData[#Data],7,FALSE)</f>
        <v>0</v>
      </c>
      <c r="H113" s="11">
        <f>AVERAGE(TargetsPercent23[[#This Row],[2016–17 Historical data]],TargetsPercent23[[#This Row],[2017–18 Historical data]],TargetsPercent23[[#This Row],[2018–19 Historical data]])</f>
        <v>11918037.333333334</v>
      </c>
      <c r="I113" s="2">
        <f>ABS((TargetsPercent23[[#This Row],[2017–18 Historical data]]-TargetsPercent23[[#This Row],[2016–17 Historical data]])/TargetsPercent23[[#This Row],[2016–17 Historical data]])</f>
        <v>1.2147775048546684E-2</v>
      </c>
      <c r="J113" s="2">
        <f>ABS((TargetsPercent23[[#This Row],[2018–19 Historical data]]-TargetsPercent23[[#This Row],[2017–18 Historical data]])/TargetsPercent23[[#This Row],[2017–18 Historical data]])</f>
        <v>4.6840205496457288E-2</v>
      </c>
      <c r="K113" s="2">
        <f>IF(MIN(TargetsPercent23[[#This Row],[ABS 2016-17 to 2017-18 (calculated)]:[ABS 2017-18 to 2018-19 (calculated)]])&lt;0.01,0.01,MIN(TargetsPercent23[[#This Row],[ABS 2016-17 to 2017-18 (calculated)]:[ABS 2017-18 to 2018-19 (calculated)]]))</f>
        <v>1.2147775048546684E-2</v>
      </c>
      <c r="L113" s="10">
        <f>TargetsPercent23[[#This Row],[Average (calculated)]]-TargetsPercent23[[#This Row],[Band of Tolerance (calculated)]]</f>
        <v>11918037.321185559</v>
      </c>
      <c r="M113" s="11">
        <f>TargetsPercent23[[#This Row],[2020–21
Allowable
performance
target]]-TargetsPercent23[[#This Row],[Target Floor (calculated)]]</f>
        <v>-11918037.321185559</v>
      </c>
    </row>
    <row r="114" spans="1:13" x14ac:dyDescent="0.2">
      <c r="A114" t="str">
        <f>_xlfn.CONCAT(TargetsPercent23[[#This Row],[University]],":",TargetsPercent23[[#This Row],[Metric]])</f>
        <v>Trent University:01. Graduate employment rate in a related field</v>
      </c>
      <c r="B114" t="s">
        <v>39</v>
      </c>
      <c r="C114" t="s">
        <v>19</v>
      </c>
      <c r="D114" s="6">
        <f>VLOOKUP(TargetsPercent23[[#This Row],[KEY]],[1]!HistoricalData[#Data],4,FALSE)</f>
        <v>0.87680000000000002</v>
      </c>
      <c r="E114" s="6">
        <f>VLOOKUP(TargetsPercent23[[#This Row],[KEY]],[1]!HistoricalData[#Data],5,FALSE)</f>
        <v>0.88360000000000005</v>
      </c>
      <c r="F114" s="6">
        <f>VLOOKUP(TargetsPercent23[[#This Row],[KEY]],[1]!HistoricalData[#Data],6,FALSE)</f>
        <v>0.86780000000000002</v>
      </c>
      <c r="G114" s="5">
        <f>VLOOKUP(TargetsPercent23[[#This Row],[KEY]],[1]!HistoricalData[#Data],7,FALSE)</f>
        <v>0.87150000000000005</v>
      </c>
      <c r="H114" s="2">
        <f>AVERAGE(TargetsPercent23[[#This Row],[2016–17 Historical data]],TargetsPercent23[[#This Row],[2017–18 Historical data]],TargetsPercent23[[#This Row],[2018–19 Historical data]])</f>
        <v>0.87606666666666666</v>
      </c>
      <c r="I114" s="2">
        <f>ABS(TargetsPercent23[[#This Row],[2016–17 Historical data]]-TargetsPercent23[[#This Row],[2017–18 Historical data]])</f>
        <v>6.8000000000000282E-3</v>
      </c>
      <c r="J114" s="2">
        <f>ABS(TargetsPercent23[[#This Row],[2017–18 Historical data]]-TargetsPercent23[[#This Row],[2018–19 Historical data]])</f>
        <v>1.5800000000000036E-2</v>
      </c>
      <c r="K11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14" s="23">
        <f>TargetsPercent23[[#This Row],[Average (calculated)]]-TargetsPercent23[[#This Row],[Band of Tolerance (calculated)]]</f>
        <v>0.86606666666666665</v>
      </c>
      <c r="M114" s="22">
        <f>TargetsPercent23[[#This Row],[2020–21
Allowable
performance
target]]-TargetsPercent23[[#This Row],[Target Floor (calculated)]]</f>
        <v>5.4333333333334011E-3</v>
      </c>
    </row>
    <row r="115" spans="1:13" x14ac:dyDescent="0.2">
      <c r="A115" t="str">
        <f>_xlfn.CONCAT(TargetsPercent23[[#This Row],[University]],":",TargetsPercent23[[#This Row],[Metric]])</f>
        <v>Trent University:02. Institutional strength and focus</v>
      </c>
      <c r="B115" t="s">
        <v>39</v>
      </c>
      <c r="C115" t="s">
        <v>20</v>
      </c>
      <c r="D115" s="6">
        <f>VLOOKUP(TargetsPercent23[[#This Row],[KEY]],[1]!HistoricalData[#Data],4,FALSE)</f>
        <v>0.15989999999999999</v>
      </c>
      <c r="E115" s="6">
        <f>VLOOKUP(TargetsPercent23[[#This Row],[KEY]],[1]!HistoricalData[#Data],5,FALSE)</f>
        <v>0.1762</v>
      </c>
      <c r="F115" s="6">
        <f>VLOOKUP(TargetsPercent23[[#This Row],[KEY]],[1]!HistoricalData[#Data],6,FALSE)</f>
        <v>0.1978</v>
      </c>
      <c r="G115" s="5">
        <f>VLOOKUP(TargetsPercent23[[#This Row],[KEY]],[1]!HistoricalData[#Data],7,FALSE)</f>
        <v>0.1968</v>
      </c>
      <c r="H115" s="2">
        <f>AVERAGE(TargetsPercent23[[#This Row],[2016–17 Historical data]],TargetsPercent23[[#This Row],[2017–18 Historical data]],TargetsPercent23[[#This Row],[2018–19 Historical data]])</f>
        <v>0.17796666666666663</v>
      </c>
      <c r="I115" s="2">
        <f>ABS(TargetsPercent23[[#This Row],[2016–17 Historical data]]-TargetsPercent23[[#This Row],[2017–18 Historical data]])</f>
        <v>1.6300000000000009E-2</v>
      </c>
      <c r="J115" s="2">
        <f>ABS(TargetsPercent23[[#This Row],[2017–18 Historical data]]-TargetsPercent23[[#This Row],[2018–19 Historical data]])</f>
        <v>2.1600000000000008E-2</v>
      </c>
      <c r="K115" s="2">
        <f>IF(MIN(TargetsPercent23[[#This Row],[ABS 2016-17 to 2017-18 (calculated)]:[ABS 2017-18 to 2018-19 (calculated)]])&lt;0.01,0.01,MIN(TargetsPercent23[[#This Row],[ABS 2016-17 to 2017-18 (calculated)]:[ABS 2017-18 to 2018-19 (calculated)]]))</f>
        <v>1.6300000000000009E-2</v>
      </c>
      <c r="L115" s="23">
        <f>TargetsPercent23[[#This Row],[Average (calculated)]]-TargetsPercent23[[#This Row],[Band of Tolerance (calculated)]]</f>
        <v>0.16166666666666663</v>
      </c>
      <c r="M115" s="22">
        <f>TargetsPercent23[[#This Row],[2020–21
Allowable
performance
target]]-TargetsPercent23[[#This Row],[Target Floor (calculated)]]</f>
        <v>3.5133333333333377E-2</v>
      </c>
    </row>
    <row r="116" spans="1:13" x14ac:dyDescent="0.2">
      <c r="A116" t="str">
        <f>_xlfn.CONCAT(TargetsPercent23[[#This Row],[University]],":",TargetsPercent23[[#This Row],[Metric]])</f>
        <v>Trent University:03. Graduation rate</v>
      </c>
      <c r="B116" t="s">
        <v>39</v>
      </c>
      <c r="C116" t="s">
        <v>21</v>
      </c>
      <c r="D116" s="6">
        <f>VLOOKUP(TargetsPercent23[[#This Row],[KEY]],[1]!HistoricalData[#Data],4,FALSE)</f>
        <v>0.65780000000000005</v>
      </c>
      <c r="E116" s="6">
        <f>VLOOKUP(TargetsPercent23[[#This Row],[KEY]],[1]!HistoricalData[#Data],5,FALSE)</f>
        <v>0.64670000000000005</v>
      </c>
      <c r="F116" s="6">
        <f>VLOOKUP(TargetsPercent23[[#This Row],[KEY]],[1]!HistoricalData[#Data],6,FALSE)</f>
        <v>0.63339999999999996</v>
      </c>
      <c r="G116" s="5">
        <f>VLOOKUP(TargetsPercent23[[#This Row],[KEY]],[1]!HistoricalData[#Data],7,FALSE)</f>
        <v>0.64480000000000004</v>
      </c>
      <c r="H116" s="2">
        <f>AVERAGE(TargetsPercent23[[#This Row],[2016–17 Historical data]],TargetsPercent23[[#This Row],[2017–18 Historical data]],TargetsPercent23[[#This Row],[2018–19 Historical data]])</f>
        <v>0.64596666666666669</v>
      </c>
      <c r="I116" s="2">
        <f>ABS(TargetsPercent23[[#This Row],[2016–17 Historical data]]-TargetsPercent23[[#This Row],[2017–18 Historical data]])</f>
        <v>1.1099999999999999E-2</v>
      </c>
      <c r="J116" s="2">
        <f>ABS(TargetsPercent23[[#This Row],[2017–18 Historical data]]-TargetsPercent23[[#This Row],[2018–19 Historical data]])</f>
        <v>1.330000000000009E-2</v>
      </c>
      <c r="K116" s="2">
        <f>IF(MIN(TargetsPercent23[[#This Row],[ABS 2016-17 to 2017-18 (calculated)]:[ABS 2017-18 to 2018-19 (calculated)]])&lt;0.01,0.01,MIN(TargetsPercent23[[#This Row],[ABS 2016-17 to 2017-18 (calculated)]:[ABS 2017-18 to 2018-19 (calculated)]]))</f>
        <v>1.1099999999999999E-2</v>
      </c>
      <c r="L116" s="23">
        <f>TargetsPercent23[[#This Row],[Average (calculated)]]-TargetsPercent23[[#This Row],[Band of Tolerance (calculated)]]</f>
        <v>0.63486666666666669</v>
      </c>
      <c r="M116" s="22">
        <f>TargetsPercent23[[#This Row],[2020–21
Allowable
performance
target]]-TargetsPercent23[[#This Row],[Target Floor (calculated)]]</f>
        <v>9.9333333333333496E-3</v>
      </c>
    </row>
    <row r="117" spans="1:13" x14ac:dyDescent="0.2">
      <c r="A117" t="str">
        <f>_xlfn.CONCAT(TargetsPercent23[[#This Row],[University]],":",TargetsPercent23[[#This Row],[Metric]])</f>
        <v>Trent University:04. Community and local impact of student enrolment</v>
      </c>
      <c r="B117" t="s">
        <v>39</v>
      </c>
      <c r="C117" t="s">
        <v>22</v>
      </c>
      <c r="D117" s="6">
        <f>VLOOKUP(TargetsPercent23[[#This Row],[KEY]],[1]!HistoricalData[#Data],4,FALSE)</f>
        <v>0.13789999999999999</v>
      </c>
      <c r="E117" s="6">
        <f>VLOOKUP(TargetsPercent23[[#This Row],[KEY]],[1]!HistoricalData[#Data],5,FALSE)</f>
        <v>0.14419999999999999</v>
      </c>
      <c r="F117" s="6">
        <f>VLOOKUP(TargetsPercent23[[#This Row],[KEY]],[1]!HistoricalData[#Data],6,FALSE)</f>
        <v>0.15160000000000001</v>
      </c>
      <c r="G117" s="5">
        <f>VLOOKUP(TargetsPercent23[[#This Row],[KEY]],[1]!HistoricalData[#Data],7,FALSE)</f>
        <v>0.14360000000000001</v>
      </c>
      <c r="H117" s="2">
        <f>AVERAGE(TargetsPercent23[[#This Row],[2016–17 Historical data]],TargetsPercent23[[#This Row],[2017–18 Historical data]],TargetsPercent23[[#This Row],[2018–19 Historical data]])</f>
        <v>0.14456666666666668</v>
      </c>
      <c r="I117" s="2">
        <f>ABS(TargetsPercent23[[#This Row],[2016–17 Historical data]]-TargetsPercent23[[#This Row],[2017–18 Historical data]])</f>
        <v>6.3E-3</v>
      </c>
      <c r="J117" s="2">
        <f>ABS(TargetsPercent23[[#This Row],[2017–18 Historical data]]-TargetsPercent23[[#This Row],[2018–19 Historical data]])</f>
        <v>7.4000000000000177E-3</v>
      </c>
      <c r="K11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17" s="24">
        <f>TargetsPercent23[[#This Row],[Average (calculated)]]-TargetsPercent23[[#This Row],[Band of Tolerance (calculated)]]</f>
        <v>0.13456666666666667</v>
      </c>
      <c r="M117" s="25">
        <f>TargetsPercent23[[#This Row],[2020–21
Allowable
performance
target]]-TargetsPercent23[[#This Row],[Target Floor (calculated)]]</f>
        <v>9.0333333333333377E-3</v>
      </c>
    </row>
    <row r="118" spans="1:13" x14ac:dyDescent="0.2">
      <c r="A118" t="str">
        <f>_xlfn.CONCAT(TargetsPercent23[[#This Row],[University]],":",TargetsPercent23[[#This Row],[Metric]])</f>
        <v>Trent University:05. Economic impact (institution-specific)</v>
      </c>
      <c r="B118" t="s">
        <v>39</v>
      </c>
      <c r="C118" t="s">
        <v>23</v>
      </c>
      <c r="D118" s="18">
        <f>VLOOKUP(TargetsPercent23[[#This Row],[KEY]],[1]!HistoricalData[#Data],4,FALSE)</f>
        <v>54959888</v>
      </c>
      <c r="E118" s="18">
        <f>VLOOKUP(TargetsPercent23[[#This Row],[KEY]],[1]!HistoricalData[#Data],5,FALSE)</f>
        <v>60084645</v>
      </c>
      <c r="F118" s="18">
        <f>VLOOKUP(TargetsPercent23[[#This Row],[KEY]],[1]!HistoricalData[#Data],6,FALSE)</f>
        <v>67062393</v>
      </c>
      <c r="G118" s="19">
        <f>VLOOKUP(TargetsPercent23[[#This Row],[KEY]],[1]!HistoricalData[#Data],7,FALSE)</f>
        <v>58935717</v>
      </c>
      <c r="H118" s="11">
        <f>AVERAGE(TargetsPercent23[[#This Row],[2016–17 Historical data]],TargetsPercent23[[#This Row],[2017–18 Historical data]],TargetsPercent23[[#This Row],[2018–19 Historical data]])</f>
        <v>60702308.666666664</v>
      </c>
      <c r="I118" s="2">
        <f>ABS((TargetsPercent23[[#This Row],[2017–18 Historical data]]-TargetsPercent23[[#This Row],[2016–17 Historical data]])/TargetsPercent23[[#This Row],[2016–17 Historical data]])</f>
        <v>9.3245404721348776E-2</v>
      </c>
      <c r="J118" s="2">
        <f>ABS((TargetsPercent23[[#This Row],[2018–19 Historical data]]-TargetsPercent23[[#This Row],[2017–18 Historical data]])/TargetsPercent23[[#This Row],[2017–18 Historical data]])</f>
        <v>0.11613196682779768</v>
      </c>
      <c r="K118" s="2">
        <f>IF(MIN(TargetsPercent23[[#This Row],[ABS 2016-17 to 2017-18 (calculated)]:[ABS 2017-18 to 2018-19 (calculated)]])&lt;0.01,0.01,MIN(TargetsPercent23[[#This Row],[ABS 2016-17 to 2017-18 (calculated)]:[ABS 2017-18 to 2018-19 (calculated)]]))</f>
        <v>9.3245404721348776E-2</v>
      </c>
      <c r="L118" s="10">
        <f>TargetsPercent23[[#This Row],[Average (calculated)]]-TargetsPercent23[[#This Row],[Band of Tolerance (calculated)]]</f>
        <v>60702308.573421262</v>
      </c>
      <c r="M118" s="11">
        <f>TargetsPercent23[[#This Row],[2020–21
Allowable
performance
target]]-TargetsPercent23[[#This Row],[Target Floor (calculated)]]</f>
        <v>-1766591.5734212622</v>
      </c>
    </row>
    <row r="119" spans="1:13" x14ac:dyDescent="0.2">
      <c r="A119" t="str">
        <f>_xlfn.CONCAT(TargetsPercent23[[#This Row],[University]],":",TargetsPercent23[[#This Row],[Metric]])</f>
        <v>Trent University:06. Research funding and capacity: federal tri-agency funding secured</v>
      </c>
      <c r="B119" t="s">
        <v>39</v>
      </c>
      <c r="C119" t="s">
        <v>24</v>
      </c>
      <c r="D119" s="18">
        <f>VLOOKUP(TargetsPercent23[[#This Row],[KEY]],[1]!HistoricalData[#Data],4,FALSE)</f>
        <v>6.6E-3</v>
      </c>
      <c r="E119" s="18">
        <f>VLOOKUP(TargetsPercent23[[#This Row],[KEY]],[1]!HistoricalData[#Data],5,FALSE)</f>
        <v>6.4000000000000003E-3</v>
      </c>
      <c r="F119" s="18">
        <f>VLOOKUP(TargetsPercent23[[#This Row],[KEY]],[1]!HistoricalData[#Data],6,FALSE)</f>
        <v>5.7999999999999996E-3</v>
      </c>
      <c r="G119" s="19">
        <f>VLOOKUP(TargetsPercent23[[#This Row],[KEY]],[1]!HistoricalData[#Data],7,FALSE)</f>
        <v>6.1000000000000004E-3</v>
      </c>
      <c r="H119" s="11">
        <f>AVERAGE(TargetsPercent23[[#This Row],[2016–17 Historical data]],TargetsPercent23[[#This Row],[2017–18 Historical data]],TargetsPercent23[[#This Row],[2018–19 Historical data]])</f>
        <v>6.2666666666666669E-3</v>
      </c>
      <c r="I119" s="2">
        <f>ABS((TargetsPercent23[[#This Row],[2017–18 Historical data]]-TargetsPercent23[[#This Row],[2016–17 Historical data]])/TargetsPercent23[[#This Row],[2016–17 Historical data]])</f>
        <v>3.0303030303030252E-2</v>
      </c>
      <c r="J119" s="2">
        <f>ABS((TargetsPercent23[[#This Row],[2018–19 Historical data]]-TargetsPercent23[[#This Row],[2017–18 Historical data]])/TargetsPercent23[[#This Row],[2017–18 Historical data]])</f>
        <v>9.3750000000000111E-2</v>
      </c>
      <c r="K119" s="2">
        <f>IF(MIN(TargetsPercent23[[#This Row],[ABS 2016-17 to 2017-18 (calculated)]:[ABS 2017-18 to 2018-19 (calculated)]])&lt;0.01,0.01,MIN(TargetsPercent23[[#This Row],[ABS 2016-17 to 2017-18 (calculated)]:[ABS 2017-18 to 2018-19 (calculated)]]))</f>
        <v>3.0303030303030252E-2</v>
      </c>
      <c r="L119" s="10">
        <f>TargetsPercent23[[#This Row],[Average (calculated)]]-TargetsPercent23[[#This Row],[Band of Tolerance (calculated)]]</f>
        <v>-2.4036363636363585E-2</v>
      </c>
      <c r="M119" s="11">
        <f>TargetsPercent23[[#This Row],[2020–21
Allowable
performance
target]]-TargetsPercent23[[#This Row],[Target Floor (calculated)]]</f>
        <v>3.0136363636363586E-2</v>
      </c>
    </row>
    <row r="120" spans="1:13" x14ac:dyDescent="0.2">
      <c r="A120" t="str">
        <f>_xlfn.CONCAT(TargetsPercent23[[#This Row],[University]],":",TargetsPercent23[[#This Row],[Metric]])</f>
        <v>Trent University:07. Experiential learning</v>
      </c>
      <c r="B120" t="s">
        <v>39</v>
      </c>
      <c r="C120" t="s">
        <v>25</v>
      </c>
      <c r="D120" s="6">
        <f>VLOOKUP(TargetsPercent23[[#This Row],[KEY]],[1]!HistoricalData[#Data],4,FALSE)</f>
        <v>0</v>
      </c>
      <c r="E120" s="6">
        <f>VLOOKUP(TargetsPercent23[[#This Row],[KEY]],[1]!HistoricalData[#Data],5,FALSE)</f>
        <v>0</v>
      </c>
      <c r="F120" s="6">
        <f>VLOOKUP(TargetsPercent23[[#This Row],[KEY]],[1]!HistoricalData[#Data],6,FALSE)</f>
        <v>0</v>
      </c>
      <c r="G120" s="5">
        <f>VLOOKUP(TargetsPercent23[[#This Row],[KEY]],[1]!HistoricalData[#Data],7,FALSE)</f>
        <v>0</v>
      </c>
      <c r="H120" s="9">
        <f>AVERAGE(TargetsPercent23[[#This Row],[2016–17 Historical data]],TargetsPercent23[[#This Row],[2017–18 Historical data]],TargetsPercent23[[#This Row],[2018–19 Historical data]])</f>
        <v>0</v>
      </c>
      <c r="I120" s="9">
        <f>ABS(TargetsPercent23[[#This Row],[2016–17 Historical data]]-TargetsPercent23[[#This Row],[2017–18 Historical data]])</f>
        <v>0</v>
      </c>
      <c r="J120" s="2">
        <f>ABS(TargetsPercent23[[#This Row],[2017–18 Historical data]]-TargetsPercent23[[#This Row],[2018–19 Historical data]])</f>
        <v>0</v>
      </c>
      <c r="K12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0" s="26">
        <f>TargetsPercent23[[#This Row],[Average (calculated)]]-TargetsPercent23[[#This Row],[Band of Tolerance (calculated)]]</f>
        <v>-0.01</v>
      </c>
      <c r="M120" s="22">
        <f>TargetsPercent23[[#This Row],[2020–21
Allowable
performance
target]]-TargetsPercent23[[#This Row],[Target Floor (calculated)]]</f>
        <v>0.01</v>
      </c>
    </row>
    <row r="121" spans="1:13" x14ac:dyDescent="0.2">
      <c r="A121" t="str">
        <f>_xlfn.CONCAT(TargetsPercent23[[#This Row],[University]],":",TargetsPercent23[[#This Row],[Metric]])</f>
        <v>Trent University:08. Research revenue attracted from private sector sources</v>
      </c>
      <c r="B121" t="s">
        <v>39</v>
      </c>
      <c r="C121" t="s">
        <v>26</v>
      </c>
      <c r="D121" s="18">
        <f>VLOOKUP(TargetsPercent23[[#This Row],[KEY]],[1]!HistoricalData[#Data],4,FALSE)</f>
        <v>0</v>
      </c>
      <c r="E121" s="18">
        <f>VLOOKUP(TargetsPercent23[[#This Row],[KEY]],[1]!HistoricalData[#Data],5,FALSE)</f>
        <v>0</v>
      </c>
      <c r="F121" s="18">
        <f>VLOOKUP(TargetsPercent23[[#This Row],[KEY]],[1]!HistoricalData[#Data],6,FALSE)</f>
        <v>0</v>
      </c>
      <c r="G121" s="19">
        <f>VLOOKUP(TargetsPercent23[[#This Row],[KEY]],[1]!HistoricalData[#Data],7,FALSE)</f>
        <v>0</v>
      </c>
      <c r="H121" s="11">
        <f>AVERAGE(TargetsPercent23[[#This Row],[2016–17 Historical data]],TargetsPercent23[[#This Row],[2017–18 Historical data]],TargetsPercent23[[#This Row],[2018–19 Historical data]])</f>
        <v>0</v>
      </c>
      <c r="I121" s="2" t="e">
        <f>ABS((TargetsPercent23[[#This Row],[2017–18 Historical data]]-TargetsPercent23[[#This Row],[2016–17 Historical data]])/TargetsPercent23[[#This Row],[2016–17 Historical data]])</f>
        <v>#DIV/0!</v>
      </c>
      <c r="J121" s="2" t="e">
        <f>ABS((TargetsPercent23[[#This Row],[2018–19 Historical data]]-TargetsPercent23[[#This Row],[2017–18 Historical data]])/TargetsPercent23[[#This Row],[2017–18 Historical data]])</f>
        <v>#DIV/0!</v>
      </c>
      <c r="K121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21" s="10" t="e">
        <f>TargetsPercent23[[#This Row],[Average (calculated)]]-TargetsPercent23[[#This Row],[Band of Tolerance (calculated)]]</f>
        <v>#DIV/0!</v>
      </c>
      <c r="M121" s="11" t="e">
        <f>TargetsPercent23[[#This Row],[2020–21
Allowable
performance
target]]-TargetsPercent23[[#This Row],[Target Floor (calculated)]]</f>
        <v>#DIV/0!</v>
      </c>
    </row>
    <row r="122" spans="1:13" x14ac:dyDescent="0.2">
      <c r="A122" t="str">
        <f>_xlfn.CONCAT(TargetsPercent23[[#This Row],[University]],":",TargetsPercent23[[#This Row],[Metric]])</f>
        <v>Trent University:09. Graduate employment earnings</v>
      </c>
      <c r="B122" t="s">
        <v>39</v>
      </c>
      <c r="C122" t="s">
        <v>27</v>
      </c>
      <c r="D122" s="6">
        <f>VLOOKUP(TargetsPercent23[[#This Row],[KEY]],[1]!HistoricalData[#Data],4,FALSE)</f>
        <v>0</v>
      </c>
      <c r="E122" s="6">
        <f>VLOOKUP(TargetsPercent23[[#This Row],[KEY]],[1]!HistoricalData[#Data],5,FALSE)</f>
        <v>0</v>
      </c>
      <c r="F122" s="6">
        <f>VLOOKUP(TargetsPercent23[[#This Row],[KEY]],[1]!HistoricalData[#Data],6,FALSE)</f>
        <v>0</v>
      </c>
      <c r="G122" s="5">
        <f>VLOOKUP(TargetsPercent23[[#This Row],[KEY]],[1]!HistoricalData[#Data],7,FALSE)</f>
        <v>0</v>
      </c>
      <c r="H122" s="9">
        <f>AVERAGE(TargetsPercent23[[#This Row],[2016–17 Historical data]],TargetsPercent23[[#This Row],[2017–18 Historical data]],TargetsPercent23[[#This Row],[2018–19 Historical data]])</f>
        <v>0</v>
      </c>
      <c r="I122" s="9">
        <f>ABS(TargetsPercent23[[#This Row],[2016–17 Historical data]]-TargetsPercent23[[#This Row],[2017–18 Historical data]])</f>
        <v>0</v>
      </c>
      <c r="J122" s="2">
        <f>ABS(TargetsPercent23[[#This Row],[2017–18 Historical data]]-TargetsPercent23[[#This Row],[2018–19 Historical data]])</f>
        <v>0</v>
      </c>
      <c r="K12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2" s="26">
        <f>TargetsPercent23[[#This Row],[Average (calculated)]]-TargetsPercent23[[#This Row],[Band of Tolerance (calculated)]]</f>
        <v>-0.01</v>
      </c>
      <c r="M122" s="22">
        <f>TargetsPercent23[[#This Row],[2020–21
Allowable
performance
target]]-TargetsPercent23[[#This Row],[Target Floor (calculated)]]</f>
        <v>0.01</v>
      </c>
    </row>
    <row r="123" spans="1:13" x14ac:dyDescent="0.2">
      <c r="A123" t="str">
        <f>_xlfn.CONCAT(TargetsPercent23[[#This Row],[University]],":",TargetsPercent23[[#This Row],[Metric]])</f>
        <v>Trent University:10. Skills and competencies</v>
      </c>
      <c r="B123" t="s">
        <v>39</v>
      </c>
      <c r="C123" t="s">
        <v>28</v>
      </c>
      <c r="D123" s="6">
        <f>VLOOKUP(TargetsPercent23[[#This Row],[KEY]],[1]!HistoricalData[#Data],4,FALSE)</f>
        <v>0</v>
      </c>
      <c r="E123" s="6">
        <f>VLOOKUP(TargetsPercent23[[#This Row],[KEY]],[1]!HistoricalData[#Data],5,FALSE)</f>
        <v>0</v>
      </c>
      <c r="F123" s="6">
        <f>VLOOKUP(TargetsPercent23[[#This Row],[KEY]],[1]!HistoricalData[#Data],6,FALSE)</f>
        <v>0</v>
      </c>
      <c r="G123" s="5">
        <f>VLOOKUP(TargetsPercent23[[#This Row],[KEY]],[1]!HistoricalData[#Data],7,FALSE)</f>
        <v>0</v>
      </c>
      <c r="H123" s="9">
        <f>AVERAGE(TargetsPercent23[[#This Row],[2016–17 Historical data]],TargetsPercent23[[#This Row],[2017–18 Historical data]],TargetsPercent23[[#This Row],[2018–19 Historical data]])</f>
        <v>0</v>
      </c>
      <c r="I123" s="9">
        <f>ABS(TargetsPercent23[[#This Row],[2016–17 Historical data]]-TargetsPercent23[[#This Row],[2017–18 Historical data]])</f>
        <v>0</v>
      </c>
      <c r="J123" s="2">
        <f>ABS(TargetsPercent23[[#This Row],[2017–18 Historical data]]-TargetsPercent23[[#This Row],[2018–19 Historical data]])</f>
        <v>0</v>
      </c>
      <c r="K12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3" s="26">
        <f>TargetsPercent23[[#This Row],[Average (calculated)]]-TargetsPercent23[[#This Row],[Band of Tolerance (calculated)]]</f>
        <v>-0.01</v>
      </c>
      <c r="M123" s="22">
        <f>TargetsPercent23[[#This Row],[2020–21
Allowable
performance
target]]-TargetsPercent23[[#This Row],[Target Floor (calculated)]]</f>
        <v>0.01</v>
      </c>
    </row>
    <row r="124" spans="1:13" x14ac:dyDescent="0.2">
      <c r="A124" t="str">
        <f>_xlfn.CONCAT(TargetsPercent23[[#This Row],[University]],":",TargetsPercent23[[#This Row],[Metric]])</f>
        <v>Trent University:Tri-agency research funding</v>
      </c>
      <c r="B124" t="s">
        <v>39</v>
      </c>
      <c r="C124" t="s">
        <v>29</v>
      </c>
      <c r="D124" s="18">
        <f>VLOOKUP(TargetsPercent23[[#This Row],[KEY]],[1]!HistoricalData[#Data],4,FALSE)</f>
        <v>4234733</v>
      </c>
      <c r="E124" s="18">
        <f>VLOOKUP(TargetsPercent23[[#This Row],[KEY]],[1]!HistoricalData[#Data],5,FALSE)</f>
        <v>4236184</v>
      </c>
      <c r="F124" s="18">
        <f>VLOOKUP(TargetsPercent23[[#This Row],[KEY]],[1]!HistoricalData[#Data],6,FALSE)</f>
        <v>3905703</v>
      </c>
      <c r="G124" s="19">
        <f>VLOOKUP(TargetsPercent23[[#This Row],[KEY]],[1]!HistoricalData[#Data],7,FALSE)</f>
        <v>0</v>
      </c>
      <c r="H124" s="11">
        <f>AVERAGE(TargetsPercent23[[#This Row],[2016–17 Historical data]],TargetsPercent23[[#This Row],[2017–18 Historical data]],TargetsPercent23[[#This Row],[2018–19 Historical data]])</f>
        <v>4125540</v>
      </c>
      <c r="I124" s="2">
        <f>ABS((TargetsPercent23[[#This Row],[2017–18 Historical data]]-TargetsPercent23[[#This Row],[2016–17 Historical data]])/TargetsPercent23[[#This Row],[2016–17 Historical data]])</f>
        <v>3.4264261761013035E-4</v>
      </c>
      <c r="J124" s="2">
        <f>ABS((TargetsPercent23[[#This Row],[2018–19 Historical data]]-TargetsPercent23[[#This Row],[2017–18 Historical data]])/TargetsPercent23[[#This Row],[2017–18 Historical data]])</f>
        <v>7.8013844535553697E-2</v>
      </c>
      <c r="K12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4" s="10">
        <f>TargetsPercent23[[#This Row],[Average (calculated)]]-TargetsPercent23[[#This Row],[Band of Tolerance (calculated)]]</f>
        <v>4125539.99</v>
      </c>
      <c r="M124" s="11">
        <f>TargetsPercent23[[#This Row],[2020–21
Allowable
performance
target]]-TargetsPercent23[[#This Row],[Target Floor (calculated)]]</f>
        <v>-4125539.99</v>
      </c>
    </row>
    <row r="125" spans="1:13" x14ac:dyDescent="0.2">
      <c r="A125" t="str">
        <f>_xlfn.CONCAT(TargetsPercent23[[#This Row],[University]],":",TargetsPercent23[[#This Row],[Metric]])</f>
        <v>Université de Hearst:01. Graduate employment rate in a related field</v>
      </c>
      <c r="B125" t="s">
        <v>40</v>
      </c>
      <c r="C125" t="s">
        <v>19</v>
      </c>
      <c r="D125" s="6">
        <f>VLOOKUP(TargetsPercent23[[#This Row],[KEY]],[1]!HistoricalData[#Data],4,FALSE)</f>
        <v>0.9</v>
      </c>
      <c r="E125" s="6">
        <f>VLOOKUP(TargetsPercent23[[#This Row],[KEY]],[1]!HistoricalData[#Data],5,FALSE)</f>
        <v>1</v>
      </c>
      <c r="F125" s="6">
        <f>VLOOKUP(TargetsPercent23[[#This Row],[KEY]],[1]!HistoricalData[#Data],6,FALSE)</f>
        <v>0.71430000000000005</v>
      </c>
      <c r="G125" s="5">
        <f>VLOOKUP(TargetsPercent23[[#This Row],[KEY]],[1]!HistoricalData[#Data],7,FALSE)</f>
        <v>0.77869999999999995</v>
      </c>
      <c r="H125" s="2">
        <f>AVERAGE(TargetsPercent23[[#This Row],[2016–17 Historical data]],TargetsPercent23[[#This Row],[2017–18 Historical data]],TargetsPercent23[[#This Row],[2018–19 Historical data]])</f>
        <v>0.87143333333333339</v>
      </c>
      <c r="I125" s="2">
        <f>ABS(TargetsPercent23[[#This Row],[2016–17 Historical data]]-TargetsPercent23[[#This Row],[2017–18 Historical data]])</f>
        <v>9.9999999999999978E-2</v>
      </c>
      <c r="J125" s="2">
        <f>ABS(TargetsPercent23[[#This Row],[2017–18 Historical data]]-TargetsPercent23[[#This Row],[2018–19 Historical data]])</f>
        <v>0.28569999999999995</v>
      </c>
      <c r="K125" s="2">
        <f>IF(MIN(TargetsPercent23[[#This Row],[ABS 2016-17 to 2017-18 (calculated)]:[ABS 2017-18 to 2018-19 (calculated)]])&lt;0.01,0.01,MIN(TargetsPercent23[[#This Row],[ABS 2016-17 to 2017-18 (calculated)]:[ABS 2017-18 to 2018-19 (calculated)]]))</f>
        <v>9.9999999999999978E-2</v>
      </c>
      <c r="L125" s="23">
        <f>TargetsPercent23[[#This Row],[Average (calculated)]]-TargetsPercent23[[#This Row],[Band of Tolerance (calculated)]]</f>
        <v>0.77143333333333342</v>
      </c>
      <c r="M125" s="22">
        <f>TargetsPercent23[[#This Row],[2020–21
Allowable
performance
target]]-TargetsPercent23[[#This Row],[Target Floor (calculated)]]</f>
        <v>7.2666666666665325E-3</v>
      </c>
    </row>
    <row r="126" spans="1:13" x14ac:dyDescent="0.2">
      <c r="A126" t="str">
        <f>_xlfn.CONCAT(TargetsPercent23[[#This Row],[University]],":",TargetsPercent23[[#This Row],[Metric]])</f>
        <v>Université de Hearst:02. Institutional strength and focus</v>
      </c>
      <c r="B126" t="s">
        <v>40</v>
      </c>
      <c r="C126" t="s">
        <v>20</v>
      </c>
      <c r="D126" s="6">
        <f>VLOOKUP(TargetsPercent23[[#This Row],[KEY]],[1]!HistoricalData[#Data],4,FALSE)</f>
        <v>0.31890000000000002</v>
      </c>
      <c r="E126" s="6">
        <f>VLOOKUP(TargetsPercent23[[#This Row],[KEY]],[1]!HistoricalData[#Data],5,FALSE)</f>
        <v>0.27239999999999998</v>
      </c>
      <c r="F126" s="6">
        <f>VLOOKUP(TargetsPercent23[[#This Row],[KEY]],[1]!HistoricalData[#Data],6,FALSE)</f>
        <v>0.36130000000000001</v>
      </c>
      <c r="G126" s="5">
        <f>VLOOKUP(TargetsPercent23[[#This Row],[KEY]],[1]!HistoricalData[#Data],7,FALSE)</f>
        <v>0.33779999999999999</v>
      </c>
      <c r="H126" s="2">
        <f>AVERAGE(TargetsPercent23[[#This Row],[2016–17 Historical data]],TargetsPercent23[[#This Row],[2017–18 Historical data]],TargetsPercent23[[#This Row],[2018–19 Historical data]])</f>
        <v>0.31753333333333328</v>
      </c>
      <c r="I126" s="2">
        <f>ABS(TargetsPercent23[[#This Row],[2016–17 Historical data]]-TargetsPercent23[[#This Row],[2017–18 Historical data]])</f>
        <v>4.6500000000000041E-2</v>
      </c>
      <c r="J126" s="2">
        <f>ABS(TargetsPercent23[[#This Row],[2017–18 Historical data]]-TargetsPercent23[[#This Row],[2018–19 Historical data]])</f>
        <v>8.8900000000000035E-2</v>
      </c>
      <c r="K126" s="2">
        <f>IF(MIN(TargetsPercent23[[#This Row],[ABS 2016-17 to 2017-18 (calculated)]:[ABS 2017-18 to 2018-19 (calculated)]])&lt;0.01,0.01,MIN(TargetsPercent23[[#This Row],[ABS 2016-17 to 2017-18 (calculated)]:[ABS 2017-18 to 2018-19 (calculated)]]))</f>
        <v>4.6500000000000041E-2</v>
      </c>
      <c r="L126" s="23">
        <f>TargetsPercent23[[#This Row],[Average (calculated)]]-TargetsPercent23[[#This Row],[Band of Tolerance (calculated)]]</f>
        <v>0.27103333333333324</v>
      </c>
      <c r="M126" s="22">
        <f>TargetsPercent23[[#This Row],[2020–21
Allowable
performance
target]]-TargetsPercent23[[#This Row],[Target Floor (calculated)]]</f>
        <v>6.6766666666666752E-2</v>
      </c>
    </row>
    <row r="127" spans="1:13" x14ac:dyDescent="0.2">
      <c r="A127" t="str">
        <f>_xlfn.CONCAT(TargetsPercent23[[#This Row],[University]],":",TargetsPercent23[[#This Row],[Metric]])</f>
        <v>Université de Hearst:03. Graduation rate</v>
      </c>
      <c r="B127" t="s">
        <v>40</v>
      </c>
      <c r="C127" t="s">
        <v>21</v>
      </c>
      <c r="D127" s="6">
        <f>VLOOKUP(TargetsPercent23[[#This Row],[KEY]],[1]!HistoricalData[#Data],4,FALSE)</f>
        <v>0.35709999999999997</v>
      </c>
      <c r="E127" s="6">
        <f>VLOOKUP(TargetsPercent23[[#This Row],[KEY]],[1]!HistoricalData[#Data],5,FALSE)</f>
        <v>0.5</v>
      </c>
      <c r="F127" s="6">
        <f>VLOOKUP(TargetsPercent23[[#This Row],[KEY]],[1]!HistoricalData[#Data],6,FALSE)</f>
        <v>0.54049999999999998</v>
      </c>
      <c r="G127" s="5">
        <f>VLOOKUP(TargetsPercent23[[#This Row],[KEY]],[1]!HistoricalData[#Data],7,FALSE)</f>
        <v>0.3846</v>
      </c>
      <c r="H127" s="2">
        <f>AVERAGE(TargetsPercent23[[#This Row],[2016–17 Historical data]],TargetsPercent23[[#This Row],[2017–18 Historical data]],TargetsPercent23[[#This Row],[2018–19 Historical data]])</f>
        <v>0.46586666666666665</v>
      </c>
      <c r="I127" s="2">
        <f>ABS(TargetsPercent23[[#This Row],[2016–17 Historical data]]-TargetsPercent23[[#This Row],[2017–18 Historical data]])</f>
        <v>0.14290000000000003</v>
      </c>
      <c r="J127" s="2">
        <f>ABS(TargetsPercent23[[#This Row],[2017–18 Historical data]]-TargetsPercent23[[#This Row],[2018–19 Historical data]])</f>
        <v>4.049999999999998E-2</v>
      </c>
      <c r="K127" s="2">
        <f>IF(MIN(TargetsPercent23[[#This Row],[ABS 2016-17 to 2017-18 (calculated)]:[ABS 2017-18 to 2018-19 (calculated)]])&lt;0.01,0.01,MIN(TargetsPercent23[[#This Row],[ABS 2016-17 to 2017-18 (calculated)]:[ABS 2017-18 to 2018-19 (calculated)]]))</f>
        <v>4.049999999999998E-2</v>
      </c>
      <c r="L127" s="23">
        <f>TargetsPercent23[[#This Row],[Average (calculated)]]-TargetsPercent23[[#This Row],[Band of Tolerance (calculated)]]</f>
        <v>0.42536666666666667</v>
      </c>
      <c r="M127" s="22">
        <f>TargetsPercent23[[#This Row],[2020–21
Allowable
performance
target]]-TargetsPercent23[[#This Row],[Target Floor (calculated)]]</f>
        <v>-4.0766666666666673E-2</v>
      </c>
    </row>
    <row r="128" spans="1:13" x14ac:dyDescent="0.2">
      <c r="A128" t="str">
        <f>_xlfn.CONCAT(TargetsPercent23[[#This Row],[University]],":",TargetsPercent23[[#This Row],[Metric]])</f>
        <v>Université de Hearst:04. Community and local impact of student enrolment</v>
      </c>
      <c r="B128" t="s">
        <v>40</v>
      </c>
      <c r="C128" t="s">
        <v>22</v>
      </c>
      <c r="D128" s="6">
        <f>VLOOKUP(TargetsPercent23[[#This Row],[KEY]],[1]!HistoricalData[#Data],4,FALSE)</f>
        <v>5.0200000000000002E-2</v>
      </c>
      <c r="E128" s="6">
        <f>VLOOKUP(TargetsPercent23[[#This Row],[KEY]],[1]!HistoricalData[#Data],5,FALSE)</f>
        <v>5.1299999999999998E-2</v>
      </c>
      <c r="F128" s="6">
        <f>VLOOKUP(TargetsPercent23[[#This Row],[KEY]],[1]!HistoricalData[#Data],6,FALSE)</f>
        <v>5.96E-2</v>
      </c>
      <c r="G128" s="5">
        <f>VLOOKUP(TargetsPercent23[[#This Row],[KEY]],[1]!HistoricalData[#Data],7,FALSE)</f>
        <v>4.9700000000000001E-2</v>
      </c>
      <c r="H128" s="2">
        <f>AVERAGE(TargetsPercent23[[#This Row],[2016–17 Historical data]],TargetsPercent23[[#This Row],[2017–18 Historical data]],TargetsPercent23[[#This Row],[2018–19 Historical data]])</f>
        <v>5.3700000000000005E-2</v>
      </c>
      <c r="I128" s="2">
        <f>ABS(TargetsPercent23[[#This Row],[2016–17 Historical data]]-TargetsPercent23[[#This Row],[2017–18 Historical data]])</f>
        <v>1.0999999999999968E-3</v>
      </c>
      <c r="J128" s="2">
        <f>ABS(TargetsPercent23[[#This Row],[2017–18 Historical data]]-TargetsPercent23[[#This Row],[2018–19 Historical data]])</f>
        <v>8.3000000000000018E-3</v>
      </c>
      <c r="K12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28" s="24">
        <f>TargetsPercent23[[#This Row],[Average (calculated)]]-TargetsPercent23[[#This Row],[Band of Tolerance (calculated)]]</f>
        <v>4.3700000000000003E-2</v>
      </c>
      <c r="M128" s="25">
        <f>TargetsPercent23[[#This Row],[2020–21
Allowable
performance
target]]-TargetsPercent23[[#This Row],[Target Floor (calculated)]]</f>
        <v>5.9999999999999984E-3</v>
      </c>
    </row>
    <row r="129" spans="1:13" x14ac:dyDescent="0.2">
      <c r="A129" t="str">
        <f>_xlfn.CONCAT(TargetsPercent23[[#This Row],[University]],":",TargetsPercent23[[#This Row],[Metric]])</f>
        <v>Université de Hearst:05. Economic impact (institution-specific)</v>
      </c>
      <c r="B129" t="s">
        <v>40</v>
      </c>
      <c r="C129" t="s">
        <v>23</v>
      </c>
      <c r="D129" s="18">
        <f>VLOOKUP(TargetsPercent23[[#This Row],[KEY]],[1]!HistoricalData[#Data],4,FALSE)</f>
        <v>5.4</v>
      </c>
      <c r="E129" s="18">
        <f>VLOOKUP(TargetsPercent23[[#This Row],[KEY]],[1]!HistoricalData[#Data],5,FALSE)</f>
        <v>5.5</v>
      </c>
      <c r="F129" s="18">
        <f>VLOOKUP(TargetsPercent23[[#This Row],[KEY]],[1]!HistoricalData[#Data],6,FALSE)</f>
        <v>6.3</v>
      </c>
      <c r="G129" s="19">
        <f>VLOOKUP(TargetsPercent23[[#This Row],[KEY]],[1]!HistoricalData[#Data],7,FALSE)</f>
        <v>5.36</v>
      </c>
      <c r="H129" s="11">
        <f>AVERAGE(TargetsPercent23[[#This Row],[2016–17 Historical data]],TargetsPercent23[[#This Row],[2017–18 Historical data]],TargetsPercent23[[#This Row],[2018–19 Historical data]])</f>
        <v>5.7333333333333334</v>
      </c>
      <c r="I129" s="2">
        <f>ABS((TargetsPercent23[[#This Row],[2017–18 Historical data]]-TargetsPercent23[[#This Row],[2016–17 Historical data]])/TargetsPercent23[[#This Row],[2016–17 Historical data]])</f>
        <v>1.8518518518518452E-2</v>
      </c>
      <c r="J129" s="2">
        <f>ABS((TargetsPercent23[[#This Row],[2018–19 Historical data]]-TargetsPercent23[[#This Row],[2017–18 Historical data]])/TargetsPercent23[[#This Row],[2017–18 Historical data]])</f>
        <v>0.14545454545454542</v>
      </c>
      <c r="K129" s="2">
        <f>IF(MIN(TargetsPercent23[[#This Row],[ABS 2016-17 to 2017-18 (calculated)]:[ABS 2017-18 to 2018-19 (calculated)]])&lt;0.01,0.01,MIN(TargetsPercent23[[#This Row],[ABS 2016-17 to 2017-18 (calculated)]:[ABS 2017-18 to 2018-19 (calculated)]]))</f>
        <v>1.8518518518518452E-2</v>
      </c>
      <c r="L129" s="10">
        <f>TargetsPercent23[[#This Row],[Average (calculated)]]-TargetsPercent23[[#This Row],[Band of Tolerance (calculated)]]</f>
        <v>5.7148148148148152</v>
      </c>
      <c r="M129" s="11">
        <f>TargetsPercent23[[#This Row],[2020–21
Allowable
performance
target]]-TargetsPercent23[[#This Row],[Target Floor (calculated)]]</f>
        <v>-0.35481481481481492</v>
      </c>
    </row>
    <row r="130" spans="1:13" x14ac:dyDescent="0.2">
      <c r="A130" t="str">
        <f>_xlfn.CONCAT(TargetsPercent23[[#This Row],[University]],":",TargetsPercent23[[#This Row],[Metric]])</f>
        <v>Université de Hearst:06. Research funding and capacity: federal tri-agency funding secured</v>
      </c>
      <c r="B130" t="s">
        <v>40</v>
      </c>
      <c r="C130" t="s">
        <v>24</v>
      </c>
      <c r="D130" s="18">
        <f>VLOOKUP(TargetsPercent23[[#This Row],[KEY]],[1]!HistoricalData[#Data],4,FALSE)</f>
        <v>0</v>
      </c>
      <c r="E130" s="18">
        <f>VLOOKUP(TargetsPercent23[[#This Row],[KEY]],[1]!HistoricalData[#Data],5,FALSE)</f>
        <v>0</v>
      </c>
      <c r="F130" s="18">
        <f>VLOOKUP(TargetsPercent23[[#This Row],[KEY]],[1]!HistoricalData[#Data],6,FALSE)</f>
        <v>0</v>
      </c>
      <c r="G130" s="19">
        <f>VLOOKUP(TargetsPercent23[[#This Row],[KEY]],[1]!HistoricalData[#Data],7,FALSE)</f>
        <v>0</v>
      </c>
      <c r="H130" s="11">
        <f>AVERAGE(TargetsPercent23[[#This Row],[2016–17 Historical data]],TargetsPercent23[[#This Row],[2017–18 Historical data]],TargetsPercent23[[#This Row],[2018–19 Historical data]])</f>
        <v>0</v>
      </c>
      <c r="I130" s="2" t="e">
        <f>ABS((TargetsPercent23[[#This Row],[2017–18 Historical data]]-TargetsPercent23[[#This Row],[2016–17 Historical data]])/TargetsPercent23[[#This Row],[2016–17 Historical data]])</f>
        <v>#DIV/0!</v>
      </c>
      <c r="J130" s="2" t="e">
        <f>ABS((TargetsPercent23[[#This Row],[2018–19 Historical data]]-TargetsPercent23[[#This Row],[2017–18 Historical data]])/TargetsPercent23[[#This Row],[2017–18 Historical data]])</f>
        <v>#DIV/0!</v>
      </c>
      <c r="K130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30" s="10" t="e">
        <f>TargetsPercent23[[#This Row],[Average (calculated)]]-TargetsPercent23[[#This Row],[Band of Tolerance (calculated)]]</f>
        <v>#DIV/0!</v>
      </c>
      <c r="M130" s="11" t="e">
        <f>TargetsPercent23[[#This Row],[2020–21
Allowable
performance
target]]-TargetsPercent23[[#This Row],[Target Floor (calculated)]]</f>
        <v>#DIV/0!</v>
      </c>
    </row>
    <row r="131" spans="1:13" x14ac:dyDescent="0.2">
      <c r="A131" t="str">
        <f>_xlfn.CONCAT(TargetsPercent23[[#This Row],[University]],":",TargetsPercent23[[#This Row],[Metric]])</f>
        <v>Université de Hearst:07. Experiential learning</v>
      </c>
      <c r="B131" t="s">
        <v>40</v>
      </c>
      <c r="C131" t="s">
        <v>25</v>
      </c>
      <c r="D131" s="6">
        <f>VLOOKUP(TargetsPercent23[[#This Row],[KEY]],[1]!HistoricalData[#Data],4,FALSE)</f>
        <v>0</v>
      </c>
      <c r="E131" s="6">
        <f>VLOOKUP(TargetsPercent23[[#This Row],[KEY]],[1]!HistoricalData[#Data],5,FALSE)</f>
        <v>0</v>
      </c>
      <c r="F131" s="6">
        <f>VLOOKUP(TargetsPercent23[[#This Row],[KEY]],[1]!HistoricalData[#Data],6,FALSE)</f>
        <v>0</v>
      </c>
      <c r="G131" s="5">
        <f>VLOOKUP(TargetsPercent23[[#This Row],[KEY]],[1]!HistoricalData[#Data],7,FALSE)</f>
        <v>0</v>
      </c>
      <c r="H131" s="8">
        <f>AVERAGE(TargetsPercent23[[#This Row],[2016–17 Historical data]],TargetsPercent23[[#This Row],[2017–18 Historical data]],TargetsPercent23[[#This Row],[2018–19 Historical data]])</f>
        <v>0</v>
      </c>
      <c r="I131" s="8">
        <f>ABS(TargetsPercent23[[#This Row],[2016–17 Historical data]]-TargetsPercent23[[#This Row],[2017–18 Historical data]])</f>
        <v>0</v>
      </c>
      <c r="J131" s="12">
        <f>ABS(TargetsPercent23[[#This Row],[2017–18 Historical data]]-TargetsPercent23[[#This Row],[2018–19 Historical data]])</f>
        <v>0</v>
      </c>
      <c r="K13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1" s="26">
        <f>TargetsPercent23[[#This Row],[Average (calculated)]]-TargetsPercent23[[#This Row],[Band of Tolerance (calculated)]]</f>
        <v>-0.01</v>
      </c>
      <c r="M131" s="22">
        <f>TargetsPercent23[[#This Row],[2020–21
Allowable
performance
target]]-TargetsPercent23[[#This Row],[Target Floor (calculated)]]</f>
        <v>0.01</v>
      </c>
    </row>
    <row r="132" spans="1:13" x14ac:dyDescent="0.2">
      <c r="A132" t="str">
        <f>_xlfn.CONCAT(TargetsPercent23[[#This Row],[University]],":",TargetsPercent23[[#This Row],[Metric]])</f>
        <v>Université de Hearst:08. Research revenue attracted from private sector sources</v>
      </c>
      <c r="B132" t="s">
        <v>40</v>
      </c>
      <c r="C132" t="s">
        <v>26</v>
      </c>
      <c r="D132" s="18">
        <f>VLOOKUP(TargetsPercent23[[#This Row],[KEY]],[1]!HistoricalData[#Data],4,FALSE)</f>
        <v>0</v>
      </c>
      <c r="E132" s="18">
        <f>VLOOKUP(TargetsPercent23[[#This Row],[KEY]],[1]!HistoricalData[#Data],5,FALSE)</f>
        <v>0</v>
      </c>
      <c r="F132" s="18">
        <f>VLOOKUP(TargetsPercent23[[#This Row],[KEY]],[1]!HistoricalData[#Data],6,FALSE)</f>
        <v>0</v>
      </c>
      <c r="G132" s="19">
        <f>VLOOKUP(TargetsPercent23[[#This Row],[KEY]],[1]!HistoricalData[#Data],7,FALSE)</f>
        <v>0</v>
      </c>
      <c r="H132" s="11">
        <f>AVERAGE(TargetsPercent23[[#This Row],[2016–17 Historical data]],TargetsPercent23[[#This Row],[2017–18 Historical data]],TargetsPercent23[[#This Row],[2018–19 Historical data]])</f>
        <v>0</v>
      </c>
      <c r="I132" s="2" t="e">
        <f>ABS((TargetsPercent23[[#This Row],[2017–18 Historical data]]-TargetsPercent23[[#This Row],[2016–17 Historical data]])/TargetsPercent23[[#This Row],[2016–17 Historical data]])</f>
        <v>#DIV/0!</v>
      </c>
      <c r="J132" s="2" t="e">
        <f>ABS((TargetsPercent23[[#This Row],[2018–19 Historical data]]-TargetsPercent23[[#This Row],[2017–18 Historical data]])/TargetsPercent23[[#This Row],[2017–18 Historical data]])</f>
        <v>#DIV/0!</v>
      </c>
      <c r="K132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32" s="10" t="e">
        <f>TargetsPercent23[[#This Row],[Average (calculated)]]-TargetsPercent23[[#This Row],[Band of Tolerance (calculated)]]</f>
        <v>#DIV/0!</v>
      </c>
      <c r="M132" s="11" t="e">
        <f>TargetsPercent23[[#This Row],[2020–21
Allowable
performance
target]]-TargetsPercent23[[#This Row],[Target Floor (calculated)]]</f>
        <v>#DIV/0!</v>
      </c>
    </row>
    <row r="133" spans="1:13" x14ac:dyDescent="0.2">
      <c r="A133" t="str">
        <f>_xlfn.CONCAT(TargetsPercent23[[#This Row],[University]],":",TargetsPercent23[[#This Row],[Metric]])</f>
        <v>Université de Hearst:09. Graduate employment earnings</v>
      </c>
      <c r="B133" t="s">
        <v>40</v>
      </c>
      <c r="C133" t="s">
        <v>27</v>
      </c>
      <c r="D133" s="6">
        <f>VLOOKUP(TargetsPercent23[[#This Row],[KEY]],[1]!HistoricalData[#Data],4,FALSE)</f>
        <v>0</v>
      </c>
      <c r="E133" s="6">
        <f>VLOOKUP(TargetsPercent23[[#This Row],[KEY]],[1]!HistoricalData[#Data],5,FALSE)</f>
        <v>0</v>
      </c>
      <c r="F133" s="6">
        <f>VLOOKUP(TargetsPercent23[[#This Row],[KEY]],[1]!HistoricalData[#Data],6,FALSE)</f>
        <v>0</v>
      </c>
      <c r="G133" s="5">
        <f>VLOOKUP(TargetsPercent23[[#This Row],[KEY]],[1]!HistoricalData[#Data],7,FALSE)</f>
        <v>0</v>
      </c>
      <c r="H133" s="8">
        <f>AVERAGE(TargetsPercent23[[#This Row],[2016–17 Historical data]],TargetsPercent23[[#This Row],[2017–18 Historical data]],TargetsPercent23[[#This Row],[2018–19 Historical data]])</f>
        <v>0</v>
      </c>
      <c r="I133" s="8">
        <f>ABS(TargetsPercent23[[#This Row],[2016–17 Historical data]]-TargetsPercent23[[#This Row],[2017–18 Historical data]])</f>
        <v>0</v>
      </c>
      <c r="J133" s="12">
        <f>ABS(TargetsPercent23[[#This Row],[2017–18 Historical data]]-TargetsPercent23[[#This Row],[2018–19 Historical data]])</f>
        <v>0</v>
      </c>
      <c r="K13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3" s="26">
        <f>TargetsPercent23[[#This Row],[Average (calculated)]]-TargetsPercent23[[#This Row],[Band of Tolerance (calculated)]]</f>
        <v>-0.01</v>
      </c>
      <c r="M133" s="22">
        <f>TargetsPercent23[[#This Row],[2020–21
Allowable
performance
target]]-TargetsPercent23[[#This Row],[Target Floor (calculated)]]</f>
        <v>0.01</v>
      </c>
    </row>
    <row r="134" spans="1:13" x14ac:dyDescent="0.2">
      <c r="A134" t="str">
        <f>_xlfn.CONCAT(TargetsPercent23[[#This Row],[University]],":",TargetsPercent23[[#This Row],[Metric]])</f>
        <v>Université de Hearst:10. Skills and competencies</v>
      </c>
      <c r="B134" t="s">
        <v>40</v>
      </c>
      <c r="C134" t="s">
        <v>28</v>
      </c>
      <c r="D134" s="6">
        <f>VLOOKUP(TargetsPercent23[[#This Row],[KEY]],[1]!HistoricalData[#Data],4,FALSE)</f>
        <v>0</v>
      </c>
      <c r="E134" s="6">
        <f>VLOOKUP(TargetsPercent23[[#This Row],[KEY]],[1]!HistoricalData[#Data],5,FALSE)</f>
        <v>0</v>
      </c>
      <c r="F134" s="6">
        <f>VLOOKUP(TargetsPercent23[[#This Row],[KEY]],[1]!HistoricalData[#Data],6,FALSE)</f>
        <v>0</v>
      </c>
      <c r="G134" s="5">
        <f>VLOOKUP(TargetsPercent23[[#This Row],[KEY]],[1]!HistoricalData[#Data],7,FALSE)</f>
        <v>0</v>
      </c>
      <c r="H134" s="8">
        <f>AVERAGE(TargetsPercent23[[#This Row],[2016–17 Historical data]],TargetsPercent23[[#This Row],[2017–18 Historical data]],TargetsPercent23[[#This Row],[2018–19 Historical data]])</f>
        <v>0</v>
      </c>
      <c r="I134" s="8">
        <f>ABS(TargetsPercent23[[#This Row],[2016–17 Historical data]]-TargetsPercent23[[#This Row],[2017–18 Historical data]])</f>
        <v>0</v>
      </c>
      <c r="J134" s="12">
        <f>ABS(TargetsPercent23[[#This Row],[2017–18 Historical data]]-TargetsPercent23[[#This Row],[2018–19 Historical data]])</f>
        <v>0</v>
      </c>
      <c r="K13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4" s="26">
        <f>TargetsPercent23[[#This Row],[Average (calculated)]]-TargetsPercent23[[#This Row],[Band of Tolerance (calculated)]]</f>
        <v>-0.01</v>
      </c>
      <c r="M134" s="22">
        <f>TargetsPercent23[[#This Row],[2020–21
Allowable
performance
target]]-TargetsPercent23[[#This Row],[Target Floor (calculated)]]</f>
        <v>0.01</v>
      </c>
    </row>
    <row r="135" spans="1:13" x14ac:dyDescent="0.2">
      <c r="A135" t="str">
        <f>_xlfn.CONCAT(TargetsPercent23[[#This Row],[University]],":",TargetsPercent23[[#This Row],[Metric]])</f>
        <v>Université de Hearst:Tri-agency research funding</v>
      </c>
      <c r="B135" t="s">
        <v>40</v>
      </c>
      <c r="C135" t="s">
        <v>29</v>
      </c>
      <c r="D135" s="18">
        <f>VLOOKUP(TargetsPercent23[[#This Row],[KEY]],[1]!HistoricalData[#Data],4,FALSE)</f>
        <v>0</v>
      </c>
      <c r="E135" s="18">
        <f>VLOOKUP(TargetsPercent23[[#This Row],[KEY]],[1]!HistoricalData[#Data],5,FALSE)</f>
        <v>0</v>
      </c>
      <c r="F135" s="18">
        <f>VLOOKUP(TargetsPercent23[[#This Row],[KEY]],[1]!HistoricalData[#Data],6,FALSE)</f>
        <v>0</v>
      </c>
      <c r="G135" s="19">
        <f>VLOOKUP(TargetsPercent23[[#This Row],[KEY]],[1]!HistoricalData[#Data],7,FALSE)</f>
        <v>0</v>
      </c>
      <c r="H135" s="11">
        <f>AVERAGE(TargetsPercent23[[#This Row],[2016–17 Historical data]],TargetsPercent23[[#This Row],[2017–18 Historical data]],TargetsPercent23[[#This Row],[2018–19 Historical data]])</f>
        <v>0</v>
      </c>
      <c r="I135" s="2" t="e">
        <f>ABS((TargetsPercent23[[#This Row],[2017–18 Historical data]]-TargetsPercent23[[#This Row],[2016–17 Historical data]])/TargetsPercent23[[#This Row],[2016–17 Historical data]])</f>
        <v>#DIV/0!</v>
      </c>
      <c r="J135" s="2" t="e">
        <f>ABS((TargetsPercent23[[#This Row],[2018–19 Historical data]]-TargetsPercent23[[#This Row],[2017–18 Historical data]])/TargetsPercent23[[#This Row],[2017–18 Historical data]])</f>
        <v>#DIV/0!</v>
      </c>
      <c r="K135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35" s="10" t="e">
        <f>TargetsPercent23[[#This Row],[Average (calculated)]]-TargetsPercent23[[#This Row],[Band of Tolerance (calculated)]]</f>
        <v>#DIV/0!</v>
      </c>
      <c r="M135" s="11" t="e">
        <f>TargetsPercent23[[#This Row],[2020–21
Allowable
performance
target]]-TargetsPercent23[[#This Row],[Target Floor (calculated)]]</f>
        <v>#DIV/0!</v>
      </c>
    </row>
    <row r="136" spans="1:13" x14ac:dyDescent="0.2">
      <c r="A136" t="str">
        <f>_xlfn.CONCAT(TargetsPercent23[[#This Row],[University]],":",TargetsPercent23[[#This Row],[Metric]])</f>
        <v>University of Guelph:01. Graduate employment rate in a related field</v>
      </c>
      <c r="B136" t="s">
        <v>41</v>
      </c>
      <c r="C136" t="s">
        <v>19</v>
      </c>
      <c r="D136" s="6">
        <f>VLOOKUP(TargetsPercent23[[#This Row],[KEY]],[1]!HistoricalData[#Data],4,FALSE)</f>
        <v>0.87580000000000002</v>
      </c>
      <c r="E136" s="6">
        <f>VLOOKUP(TargetsPercent23[[#This Row],[KEY]],[1]!HistoricalData[#Data],5,FALSE)</f>
        <v>0.88770000000000004</v>
      </c>
      <c r="F136" s="6">
        <f>VLOOKUP(TargetsPercent23[[#This Row],[KEY]],[1]!HistoricalData[#Data],6,FALSE)</f>
        <v>0.86990000000000001</v>
      </c>
      <c r="G136" s="5">
        <f>VLOOKUP(TargetsPercent23[[#This Row],[KEY]],[1]!HistoricalData[#Data],7,FALSE)</f>
        <v>0.87480000000000002</v>
      </c>
      <c r="H136" s="2">
        <f>AVERAGE(TargetsPercent23[[#This Row],[2016–17 Historical data]],TargetsPercent23[[#This Row],[2017–18 Historical data]],TargetsPercent23[[#This Row],[2018–19 Historical data]])</f>
        <v>0.87780000000000002</v>
      </c>
      <c r="I136" s="2">
        <f>ABS(TargetsPercent23[[#This Row],[2016–17 Historical data]]-TargetsPercent23[[#This Row],[2017–18 Historical data]])</f>
        <v>1.1900000000000022E-2</v>
      </c>
      <c r="J136" s="2">
        <f>ABS(TargetsPercent23[[#This Row],[2017–18 Historical data]]-TargetsPercent23[[#This Row],[2018–19 Historical data]])</f>
        <v>1.7800000000000038E-2</v>
      </c>
      <c r="K136" s="2">
        <f>IF(MIN(TargetsPercent23[[#This Row],[ABS 2016-17 to 2017-18 (calculated)]:[ABS 2017-18 to 2018-19 (calculated)]])&lt;0.01,0.01,MIN(TargetsPercent23[[#This Row],[ABS 2016-17 to 2017-18 (calculated)]:[ABS 2017-18 to 2018-19 (calculated)]]))</f>
        <v>1.1900000000000022E-2</v>
      </c>
      <c r="L136" s="23">
        <f>TargetsPercent23[[#This Row],[Average (calculated)]]-TargetsPercent23[[#This Row],[Band of Tolerance (calculated)]]</f>
        <v>0.8659</v>
      </c>
      <c r="M136" s="22">
        <f>TargetsPercent23[[#This Row],[2020–21
Allowable
performance
target]]-TargetsPercent23[[#This Row],[Target Floor (calculated)]]</f>
        <v>8.900000000000019E-3</v>
      </c>
    </row>
    <row r="137" spans="1:13" x14ac:dyDescent="0.2">
      <c r="A137" t="str">
        <f>_xlfn.CONCAT(TargetsPercent23[[#This Row],[University]],":",TargetsPercent23[[#This Row],[Metric]])</f>
        <v>University of Guelph:02. Institutional strength and focus</v>
      </c>
      <c r="B137" t="s">
        <v>41</v>
      </c>
      <c r="C137" t="s">
        <v>20</v>
      </c>
      <c r="D137" s="6">
        <f>VLOOKUP(TargetsPercent23[[#This Row],[KEY]],[1]!HistoricalData[#Data],4,FALSE)</f>
        <v>0.39140000000000003</v>
      </c>
      <c r="E137" s="6">
        <f>VLOOKUP(TargetsPercent23[[#This Row],[KEY]],[1]!HistoricalData[#Data],5,FALSE)</f>
        <v>0.40389999999999998</v>
      </c>
      <c r="F137" s="6">
        <f>VLOOKUP(TargetsPercent23[[#This Row],[KEY]],[1]!HistoricalData[#Data],6,FALSE)</f>
        <v>0.41499999999999998</v>
      </c>
      <c r="G137" s="5">
        <f>VLOOKUP(TargetsPercent23[[#This Row],[KEY]],[1]!HistoricalData[#Data],7,FALSE)</f>
        <v>0.40560000000000002</v>
      </c>
      <c r="H137" s="2">
        <f>AVERAGE(TargetsPercent23[[#This Row],[2016–17 Historical data]],TargetsPercent23[[#This Row],[2017–18 Historical data]],TargetsPercent23[[#This Row],[2018–19 Historical data]])</f>
        <v>0.40343333333333331</v>
      </c>
      <c r="I137" s="2">
        <f>ABS(TargetsPercent23[[#This Row],[2016–17 Historical data]]-TargetsPercent23[[#This Row],[2017–18 Historical data]])</f>
        <v>1.2499999999999956E-2</v>
      </c>
      <c r="J137" s="2">
        <f>ABS(TargetsPercent23[[#This Row],[2017–18 Historical data]]-TargetsPercent23[[#This Row],[2018–19 Historical data]])</f>
        <v>1.1099999999999999E-2</v>
      </c>
      <c r="K137" s="2">
        <f>IF(MIN(TargetsPercent23[[#This Row],[ABS 2016-17 to 2017-18 (calculated)]:[ABS 2017-18 to 2018-19 (calculated)]])&lt;0.01,0.01,MIN(TargetsPercent23[[#This Row],[ABS 2016-17 to 2017-18 (calculated)]:[ABS 2017-18 to 2018-19 (calculated)]]))</f>
        <v>1.1099999999999999E-2</v>
      </c>
      <c r="L137" s="23">
        <f>TargetsPercent23[[#This Row],[Average (calculated)]]-TargetsPercent23[[#This Row],[Band of Tolerance (calculated)]]</f>
        <v>0.39233333333333331</v>
      </c>
      <c r="M137" s="22">
        <f>TargetsPercent23[[#This Row],[2020–21
Allowable
performance
target]]-TargetsPercent23[[#This Row],[Target Floor (calculated)]]</f>
        <v>1.3266666666666704E-2</v>
      </c>
    </row>
    <row r="138" spans="1:13" x14ac:dyDescent="0.2">
      <c r="A138" t="str">
        <f>_xlfn.CONCAT(TargetsPercent23[[#This Row],[University]],":",TargetsPercent23[[#This Row],[Metric]])</f>
        <v>University of Guelph:03. Graduation rate</v>
      </c>
      <c r="B138" t="s">
        <v>41</v>
      </c>
      <c r="C138" t="s">
        <v>21</v>
      </c>
      <c r="D138" s="6">
        <f>VLOOKUP(TargetsPercent23[[#This Row],[KEY]],[1]!HistoricalData[#Data],4,FALSE)</f>
        <v>0.79339999999999999</v>
      </c>
      <c r="E138" s="6">
        <f>VLOOKUP(TargetsPercent23[[#This Row],[KEY]],[1]!HistoricalData[#Data],5,FALSE)</f>
        <v>0.79139999999999999</v>
      </c>
      <c r="F138" s="6">
        <f>VLOOKUP(TargetsPercent23[[#This Row],[KEY]],[1]!HistoricalData[#Data],6,FALSE)</f>
        <v>0.79210000000000003</v>
      </c>
      <c r="G138" s="5">
        <f>VLOOKUP(TargetsPercent23[[#This Row],[KEY]],[1]!HistoricalData[#Data],7,FALSE)</f>
        <v>0.78510000000000002</v>
      </c>
      <c r="H138" s="2">
        <f>AVERAGE(TargetsPercent23[[#This Row],[2016–17 Historical data]],TargetsPercent23[[#This Row],[2017–18 Historical data]],TargetsPercent23[[#This Row],[2018–19 Historical data]])</f>
        <v>0.7923</v>
      </c>
      <c r="I138" s="2">
        <f>ABS(TargetsPercent23[[#This Row],[2016–17 Historical data]]-TargetsPercent23[[#This Row],[2017–18 Historical data]])</f>
        <v>2.0000000000000018E-3</v>
      </c>
      <c r="J138" s="2">
        <f>ABS(TargetsPercent23[[#This Row],[2017–18 Historical data]]-TargetsPercent23[[#This Row],[2018–19 Historical data]])</f>
        <v>7.0000000000003393E-4</v>
      </c>
      <c r="K13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8" s="23">
        <f>TargetsPercent23[[#This Row],[Average (calculated)]]-TargetsPercent23[[#This Row],[Band of Tolerance (calculated)]]</f>
        <v>0.7823</v>
      </c>
      <c r="M138" s="22">
        <f>TargetsPercent23[[#This Row],[2020–21
Allowable
performance
target]]-TargetsPercent23[[#This Row],[Target Floor (calculated)]]</f>
        <v>2.8000000000000247E-3</v>
      </c>
    </row>
    <row r="139" spans="1:13" x14ac:dyDescent="0.2">
      <c r="A139" t="str">
        <f>_xlfn.CONCAT(TargetsPercent23[[#This Row],[University]],":",TargetsPercent23[[#This Row],[Metric]])</f>
        <v>University of Guelph:04. Community and local impact of student enrolment</v>
      </c>
      <c r="B139" t="s">
        <v>41</v>
      </c>
      <c r="C139" t="s">
        <v>22</v>
      </c>
      <c r="D139" s="6">
        <f>VLOOKUP(TargetsPercent23[[#This Row],[KEY]],[1]!HistoricalData[#Data],4,FALSE)</f>
        <v>0.21870000000000001</v>
      </c>
      <c r="E139" s="6">
        <f>VLOOKUP(TargetsPercent23[[#This Row],[KEY]],[1]!HistoricalData[#Data],5,FALSE)</f>
        <v>0.22159999999999999</v>
      </c>
      <c r="F139" s="6">
        <f>VLOOKUP(TargetsPercent23[[#This Row],[KEY]],[1]!HistoricalData[#Data],6,FALSE)</f>
        <v>0.22389999999999999</v>
      </c>
      <c r="G139" s="5">
        <f>VLOOKUP(TargetsPercent23[[#This Row],[KEY]],[1]!HistoricalData[#Data],7,FALSE)</f>
        <v>0.22109999999999999</v>
      </c>
      <c r="H139" s="2">
        <f>AVERAGE(TargetsPercent23[[#This Row],[2016–17 Historical data]],TargetsPercent23[[#This Row],[2017–18 Historical data]],TargetsPercent23[[#This Row],[2018–19 Historical data]])</f>
        <v>0.22140000000000001</v>
      </c>
      <c r="I139" s="2">
        <f>ABS(TargetsPercent23[[#This Row],[2016–17 Historical data]]-TargetsPercent23[[#This Row],[2017–18 Historical data]])</f>
        <v>2.8999999999999859E-3</v>
      </c>
      <c r="J139" s="2">
        <f>ABS(TargetsPercent23[[#This Row],[2017–18 Historical data]]-TargetsPercent23[[#This Row],[2018–19 Historical data]])</f>
        <v>2.2999999999999965E-3</v>
      </c>
      <c r="K13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39" s="24">
        <f>TargetsPercent23[[#This Row],[Average (calculated)]]-TargetsPercent23[[#This Row],[Band of Tolerance (calculated)]]</f>
        <v>0.2114</v>
      </c>
      <c r="M139" s="25">
        <f>TargetsPercent23[[#This Row],[2020–21
Allowable
performance
target]]-TargetsPercent23[[#This Row],[Target Floor (calculated)]]</f>
        <v>9.6999999999999864E-3</v>
      </c>
    </row>
    <row r="140" spans="1:13" x14ac:dyDescent="0.2">
      <c r="A140" t="str">
        <f>_xlfn.CONCAT(TargetsPercent23[[#This Row],[University]],":",TargetsPercent23[[#This Row],[Metric]])</f>
        <v>University of Guelph:05. Economic impact (institution-specific)</v>
      </c>
      <c r="B140" t="s">
        <v>41</v>
      </c>
      <c r="C140" t="s">
        <v>23</v>
      </c>
      <c r="D140" s="18">
        <f>VLOOKUP(TargetsPercent23[[#This Row],[KEY]],[1]!HistoricalData[#Data],4,FALSE)</f>
        <v>277011205</v>
      </c>
      <c r="E140" s="18">
        <f>VLOOKUP(TargetsPercent23[[#This Row],[KEY]],[1]!HistoricalData[#Data],5,FALSE)</f>
        <v>284121841</v>
      </c>
      <c r="F140" s="18">
        <f>VLOOKUP(TargetsPercent23[[#This Row],[KEY]],[1]!HistoricalData[#Data],6,FALSE)</f>
        <v>292715583</v>
      </c>
      <c r="G140" s="19">
        <f>VLOOKUP(TargetsPercent23[[#This Row],[KEY]],[1]!HistoricalData[#Data],7,FALSE)</f>
        <v>283570775</v>
      </c>
      <c r="H140" s="11">
        <f>AVERAGE(TargetsPercent23[[#This Row],[2016–17 Historical data]],TargetsPercent23[[#This Row],[2017–18 Historical data]],TargetsPercent23[[#This Row],[2018–19 Historical data]])</f>
        <v>284616209.66666669</v>
      </c>
      <c r="I140" s="2">
        <f>ABS((TargetsPercent23[[#This Row],[2017–18 Historical data]]-TargetsPercent23[[#This Row],[2016–17 Historical data]])/TargetsPercent23[[#This Row],[2016–17 Historical data]])</f>
        <v>2.5669127716331907E-2</v>
      </c>
      <c r="J140" s="2">
        <f>ABS((TargetsPercent23[[#This Row],[2018–19 Historical data]]-TargetsPercent23[[#This Row],[2017–18 Historical data]])/TargetsPercent23[[#This Row],[2017–18 Historical data]])</f>
        <v>3.0246678571958147E-2</v>
      </c>
      <c r="K140" s="2">
        <f>IF(MIN(TargetsPercent23[[#This Row],[ABS 2016-17 to 2017-18 (calculated)]:[ABS 2017-18 to 2018-19 (calculated)]])&lt;0.01,0.01,MIN(TargetsPercent23[[#This Row],[ABS 2016-17 to 2017-18 (calculated)]:[ABS 2017-18 to 2018-19 (calculated)]]))</f>
        <v>2.5669127716331907E-2</v>
      </c>
      <c r="L140" s="10">
        <f>TargetsPercent23[[#This Row],[Average (calculated)]]-TargetsPercent23[[#This Row],[Band of Tolerance (calculated)]]</f>
        <v>284616209.64099753</v>
      </c>
      <c r="M140" s="11">
        <f>TargetsPercent23[[#This Row],[2020–21
Allowable
performance
target]]-TargetsPercent23[[#This Row],[Target Floor (calculated)]]</f>
        <v>-1045434.640997529</v>
      </c>
    </row>
    <row r="141" spans="1:13" x14ac:dyDescent="0.2">
      <c r="A141" t="str">
        <f>_xlfn.CONCAT(TargetsPercent23[[#This Row],[University]],":",TargetsPercent23[[#This Row],[Metric]])</f>
        <v>University of Guelph:06. Research funding and capacity: federal tri-agency funding secured</v>
      </c>
      <c r="B141" t="s">
        <v>41</v>
      </c>
      <c r="C141" t="s">
        <v>24</v>
      </c>
      <c r="D141" s="18">
        <f>VLOOKUP(TargetsPercent23[[#This Row],[KEY]],[1]!HistoricalData[#Data],4,FALSE)</f>
        <v>3.32E-2</v>
      </c>
      <c r="E141" s="18">
        <f>VLOOKUP(TargetsPercent23[[#This Row],[KEY]],[1]!HistoricalData[#Data],5,FALSE)</f>
        <v>3.1399999999999997E-2</v>
      </c>
      <c r="F141" s="18">
        <f>VLOOKUP(TargetsPercent23[[#This Row],[KEY]],[1]!HistoricalData[#Data],6,FALSE)</f>
        <v>3.2199999999999999E-2</v>
      </c>
      <c r="G141" s="19">
        <f>VLOOKUP(TargetsPercent23[[#This Row],[KEY]],[1]!HistoricalData[#Data],7,FALSE)</f>
        <v>3.1699999999999999E-2</v>
      </c>
      <c r="H141" s="11">
        <f>AVERAGE(TargetsPercent23[[#This Row],[2016–17 Historical data]],TargetsPercent23[[#This Row],[2017–18 Historical data]],TargetsPercent23[[#This Row],[2018–19 Historical data]])</f>
        <v>3.2266666666666666E-2</v>
      </c>
      <c r="I141" s="2">
        <f>ABS((TargetsPercent23[[#This Row],[2017–18 Historical data]]-TargetsPercent23[[#This Row],[2016–17 Historical data]])/TargetsPercent23[[#This Row],[2016–17 Historical data]])</f>
        <v>5.4216867469879609E-2</v>
      </c>
      <c r="J141" s="2">
        <f>ABS((TargetsPercent23[[#This Row],[2018–19 Historical data]]-TargetsPercent23[[#This Row],[2017–18 Historical data]])/TargetsPercent23[[#This Row],[2017–18 Historical data]])</f>
        <v>2.5477707006369497E-2</v>
      </c>
      <c r="K141" s="2">
        <f>IF(MIN(TargetsPercent23[[#This Row],[ABS 2016-17 to 2017-18 (calculated)]:[ABS 2017-18 to 2018-19 (calculated)]])&lt;0.01,0.01,MIN(TargetsPercent23[[#This Row],[ABS 2016-17 to 2017-18 (calculated)]:[ABS 2017-18 to 2018-19 (calculated)]]))</f>
        <v>2.5477707006369497E-2</v>
      </c>
      <c r="L141" s="10">
        <f>TargetsPercent23[[#This Row],[Average (calculated)]]-TargetsPercent23[[#This Row],[Band of Tolerance (calculated)]]</f>
        <v>6.7889596602971683E-3</v>
      </c>
      <c r="M141" s="11">
        <f>TargetsPercent23[[#This Row],[2020–21
Allowable
performance
target]]-TargetsPercent23[[#This Row],[Target Floor (calculated)]]</f>
        <v>2.4911040339702831E-2</v>
      </c>
    </row>
    <row r="142" spans="1:13" x14ac:dyDescent="0.2">
      <c r="A142" t="str">
        <f>_xlfn.CONCAT(TargetsPercent23[[#This Row],[University]],":",TargetsPercent23[[#This Row],[Metric]])</f>
        <v>University of Guelph:07. Experiential learning</v>
      </c>
      <c r="B142" t="s">
        <v>41</v>
      </c>
      <c r="C142" t="s">
        <v>25</v>
      </c>
      <c r="D142" s="6">
        <f>VLOOKUP(TargetsPercent23[[#This Row],[KEY]],[1]!HistoricalData[#Data],4,FALSE)</f>
        <v>0</v>
      </c>
      <c r="E142" s="6">
        <f>VLOOKUP(TargetsPercent23[[#This Row],[KEY]],[1]!HistoricalData[#Data],5,FALSE)</f>
        <v>0</v>
      </c>
      <c r="F142" s="6">
        <f>VLOOKUP(TargetsPercent23[[#This Row],[KEY]],[1]!HistoricalData[#Data],6,FALSE)</f>
        <v>0</v>
      </c>
      <c r="G142" s="5">
        <f>VLOOKUP(TargetsPercent23[[#This Row],[KEY]],[1]!HistoricalData[#Data],7,FALSE)</f>
        <v>0</v>
      </c>
      <c r="H142" s="8">
        <f>AVERAGE(TargetsPercent23[[#This Row],[2016–17 Historical data]],TargetsPercent23[[#This Row],[2017–18 Historical data]],TargetsPercent23[[#This Row],[2018–19 Historical data]])</f>
        <v>0</v>
      </c>
      <c r="I142" s="8">
        <f>ABS(TargetsPercent23[[#This Row],[2016–17 Historical data]]-TargetsPercent23[[#This Row],[2017–18 Historical data]])</f>
        <v>0</v>
      </c>
      <c r="J142" s="12">
        <f>ABS(TargetsPercent23[[#This Row],[2017–18 Historical data]]-TargetsPercent23[[#This Row],[2018–19 Historical data]])</f>
        <v>0</v>
      </c>
      <c r="K14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2" s="26">
        <f>TargetsPercent23[[#This Row],[Average (calculated)]]-TargetsPercent23[[#This Row],[Band of Tolerance (calculated)]]</f>
        <v>-0.01</v>
      </c>
      <c r="M142" s="22">
        <f>TargetsPercent23[[#This Row],[2020–21
Allowable
performance
target]]-TargetsPercent23[[#This Row],[Target Floor (calculated)]]</f>
        <v>0.01</v>
      </c>
    </row>
    <row r="143" spans="1:13" x14ac:dyDescent="0.2">
      <c r="A143" t="str">
        <f>_xlfn.CONCAT(TargetsPercent23[[#This Row],[University]],":",TargetsPercent23[[#This Row],[Metric]])</f>
        <v>University of Guelph:08. Research revenue attracted from private sector sources</v>
      </c>
      <c r="B143" t="s">
        <v>41</v>
      </c>
      <c r="C143" t="s">
        <v>26</v>
      </c>
      <c r="D143" s="18">
        <f>VLOOKUP(TargetsPercent23[[#This Row],[KEY]],[1]!HistoricalData[#Data],4,FALSE)</f>
        <v>0</v>
      </c>
      <c r="E143" s="18">
        <f>VLOOKUP(TargetsPercent23[[#This Row],[KEY]],[1]!HistoricalData[#Data],5,FALSE)</f>
        <v>0</v>
      </c>
      <c r="F143" s="18">
        <f>VLOOKUP(TargetsPercent23[[#This Row],[KEY]],[1]!HistoricalData[#Data],6,FALSE)</f>
        <v>0</v>
      </c>
      <c r="G143" s="19">
        <f>VLOOKUP(TargetsPercent23[[#This Row],[KEY]],[1]!HistoricalData[#Data],7,FALSE)</f>
        <v>0</v>
      </c>
      <c r="H143" s="11">
        <f>AVERAGE(TargetsPercent23[[#This Row],[2016–17 Historical data]],TargetsPercent23[[#This Row],[2017–18 Historical data]],TargetsPercent23[[#This Row],[2018–19 Historical data]])</f>
        <v>0</v>
      </c>
      <c r="I143" s="2" t="e">
        <f>ABS((TargetsPercent23[[#This Row],[2017–18 Historical data]]-TargetsPercent23[[#This Row],[2016–17 Historical data]])/TargetsPercent23[[#This Row],[2016–17 Historical data]])</f>
        <v>#DIV/0!</v>
      </c>
      <c r="J143" s="2" t="e">
        <f>ABS((TargetsPercent23[[#This Row],[2018–19 Historical data]]-TargetsPercent23[[#This Row],[2017–18 Historical data]])/TargetsPercent23[[#This Row],[2017–18 Historical data]])</f>
        <v>#DIV/0!</v>
      </c>
      <c r="K143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43" s="10" t="e">
        <f>TargetsPercent23[[#This Row],[Average (calculated)]]-TargetsPercent23[[#This Row],[Band of Tolerance (calculated)]]</f>
        <v>#DIV/0!</v>
      </c>
      <c r="M143" s="11" t="e">
        <f>TargetsPercent23[[#This Row],[2020–21
Allowable
performance
target]]-TargetsPercent23[[#This Row],[Target Floor (calculated)]]</f>
        <v>#DIV/0!</v>
      </c>
    </row>
    <row r="144" spans="1:13" x14ac:dyDescent="0.2">
      <c r="A144" t="str">
        <f>_xlfn.CONCAT(TargetsPercent23[[#This Row],[University]],":",TargetsPercent23[[#This Row],[Metric]])</f>
        <v>University of Guelph:09. Graduate employment earnings</v>
      </c>
      <c r="B144" t="s">
        <v>41</v>
      </c>
      <c r="C144" t="s">
        <v>27</v>
      </c>
      <c r="D144" s="6">
        <f>VLOOKUP(TargetsPercent23[[#This Row],[KEY]],[1]!HistoricalData[#Data],4,FALSE)</f>
        <v>0</v>
      </c>
      <c r="E144" s="6">
        <f>VLOOKUP(TargetsPercent23[[#This Row],[KEY]],[1]!HistoricalData[#Data],5,FALSE)</f>
        <v>0</v>
      </c>
      <c r="F144" s="6">
        <f>VLOOKUP(TargetsPercent23[[#This Row],[KEY]],[1]!HistoricalData[#Data],6,FALSE)</f>
        <v>0</v>
      </c>
      <c r="G144" s="5">
        <f>VLOOKUP(TargetsPercent23[[#This Row],[KEY]],[1]!HistoricalData[#Data],7,FALSE)</f>
        <v>0</v>
      </c>
      <c r="H144" s="8">
        <f>AVERAGE(TargetsPercent23[[#This Row],[2016–17 Historical data]],TargetsPercent23[[#This Row],[2017–18 Historical data]],TargetsPercent23[[#This Row],[2018–19 Historical data]])</f>
        <v>0</v>
      </c>
      <c r="I144" s="8">
        <f>ABS(TargetsPercent23[[#This Row],[2016–17 Historical data]]-TargetsPercent23[[#This Row],[2017–18 Historical data]])</f>
        <v>0</v>
      </c>
      <c r="J144" s="12">
        <f>ABS(TargetsPercent23[[#This Row],[2017–18 Historical data]]-TargetsPercent23[[#This Row],[2018–19 Historical data]])</f>
        <v>0</v>
      </c>
      <c r="K14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4" s="26">
        <f>TargetsPercent23[[#This Row],[Average (calculated)]]-TargetsPercent23[[#This Row],[Band of Tolerance (calculated)]]</f>
        <v>-0.01</v>
      </c>
      <c r="M144" s="22">
        <f>TargetsPercent23[[#This Row],[2020–21
Allowable
performance
target]]-TargetsPercent23[[#This Row],[Target Floor (calculated)]]</f>
        <v>0.01</v>
      </c>
    </row>
    <row r="145" spans="1:13" x14ac:dyDescent="0.2">
      <c r="A145" t="str">
        <f>_xlfn.CONCAT(TargetsPercent23[[#This Row],[University]],":",TargetsPercent23[[#This Row],[Metric]])</f>
        <v>University of Guelph:10. Skills and competencies</v>
      </c>
      <c r="B145" t="s">
        <v>41</v>
      </c>
      <c r="C145" t="s">
        <v>28</v>
      </c>
      <c r="D145" s="6">
        <f>VLOOKUP(TargetsPercent23[[#This Row],[KEY]],[1]!HistoricalData[#Data],4,FALSE)</f>
        <v>0</v>
      </c>
      <c r="E145" s="6">
        <f>VLOOKUP(TargetsPercent23[[#This Row],[KEY]],[1]!HistoricalData[#Data],5,FALSE)</f>
        <v>0</v>
      </c>
      <c r="F145" s="6">
        <f>VLOOKUP(TargetsPercent23[[#This Row],[KEY]],[1]!HistoricalData[#Data],6,FALSE)</f>
        <v>0</v>
      </c>
      <c r="G145" s="5">
        <f>VLOOKUP(TargetsPercent23[[#This Row],[KEY]],[1]!HistoricalData[#Data],7,FALSE)</f>
        <v>0</v>
      </c>
      <c r="H145" s="8">
        <f>AVERAGE(TargetsPercent23[[#This Row],[2016–17 Historical data]],TargetsPercent23[[#This Row],[2017–18 Historical data]],TargetsPercent23[[#This Row],[2018–19 Historical data]])</f>
        <v>0</v>
      </c>
      <c r="I145" s="8">
        <f>ABS(TargetsPercent23[[#This Row],[2016–17 Historical data]]-TargetsPercent23[[#This Row],[2017–18 Historical data]])</f>
        <v>0</v>
      </c>
      <c r="J145" s="12">
        <f>ABS(TargetsPercent23[[#This Row],[2017–18 Historical data]]-TargetsPercent23[[#This Row],[2018–19 Historical data]])</f>
        <v>0</v>
      </c>
      <c r="K14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5" s="26">
        <f>TargetsPercent23[[#This Row],[Average (calculated)]]-TargetsPercent23[[#This Row],[Band of Tolerance (calculated)]]</f>
        <v>-0.01</v>
      </c>
      <c r="M145" s="22">
        <f>TargetsPercent23[[#This Row],[2020–21
Allowable
performance
target]]-TargetsPercent23[[#This Row],[Target Floor (calculated)]]</f>
        <v>0.01</v>
      </c>
    </row>
    <row r="146" spans="1:13" x14ac:dyDescent="0.2">
      <c r="A146" t="str">
        <f>_xlfn.CONCAT(TargetsPercent23[[#This Row],[University]],":",TargetsPercent23[[#This Row],[Metric]])</f>
        <v>University of Guelph:Tri-agency research funding</v>
      </c>
      <c r="B146" t="s">
        <v>41</v>
      </c>
      <c r="C146" t="s">
        <v>29</v>
      </c>
      <c r="D146" s="18">
        <f>VLOOKUP(TargetsPercent23[[#This Row],[KEY]],[1]!HistoricalData[#Data],4,FALSE)</f>
        <v>21164506</v>
      </c>
      <c r="E146" s="18">
        <f>VLOOKUP(TargetsPercent23[[#This Row],[KEY]],[1]!HistoricalData[#Data],5,FALSE)</f>
        <v>20926156</v>
      </c>
      <c r="F146" s="18">
        <f>VLOOKUP(TargetsPercent23[[#This Row],[KEY]],[1]!HistoricalData[#Data],6,FALSE)</f>
        <v>21836180</v>
      </c>
      <c r="G146" s="19">
        <f>VLOOKUP(TargetsPercent23[[#This Row],[KEY]],[1]!HistoricalData[#Data],7,FALSE)</f>
        <v>0</v>
      </c>
      <c r="H146" s="11">
        <f>AVERAGE(TargetsPercent23[[#This Row],[2016–17 Historical data]],TargetsPercent23[[#This Row],[2017–18 Historical data]],TargetsPercent23[[#This Row],[2018–19 Historical data]])</f>
        <v>21308947.333333332</v>
      </c>
      <c r="I146" s="2">
        <f>ABS((TargetsPercent23[[#This Row],[2017–18 Historical data]]-TargetsPercent23[[#This Row],[2016–17 Historical data]])/TargetsPercent23[[#This Row],[2016–17 Historical data]])</f>
        <v>1.1261779509524106E-2</v>
      </c>
      <c r="J146" s="2">
        <f>ABS((TargetsPercent23[[#This Row],[2018–19 Historical data]]-TargetsPercent23[[#This Row],[2017–18 Historical data]])/TargetsPercent23[[#This Row],[2017–18 Historical data]])</f>
        <v>4.3487394435939408E-2</v>
      </c>
      <c r="K146" s="2">
        <f>IF(MIN(TargetsPercent23[[#This Row],[ABS 2016-17 to 2017-18 (calculated)]:[ABS 2017-18 to 2018-19 (calculated)]])&lt;0.01,0.01,MIN(TargetsPercent23[[#This Row],[ABS 2016-17 to 2017-18 (calculated)]:[ABS 2017-18 to 2018-19 (calculated)]]))</f>
        <v>1.1261779509524106E-2</v>
      </c>
      <c r="L146" s="10">
        <f>TargetsPercent23[[#This Row],[Average (calculated)]]-TargetsPercent23[[#This Row],[Band of Tolerance (calculated)]]</f>
        <v>21308947.322071552</v>
      </c>
      <c r="M146" s="11">
        <f>TargetsPercent23[[#This Row],[2020–21
Allowable
performance
target]]-TargetsPercent23[[#This Row],[Target Floor (calculated)]]</f>
        <v>-21308947.322071552</v>
      </c>
    </row>
    <row r="147" spans="1:13" x14ac:dyDescent="0.2">
      <c r="A147" t="str">
        <f>_xlfn.CONCAT(TargetsPercent23[[#This Row],[University]],":",TargetsPercent23[[#This Row],[Metric]])</f>
        <v>University of Ottawa:01. Graduate employment rate in a related field</v>
      </c>
      <c r="B147" t="s">
        <v>42</v>
      </c>
      <c r="C147" t="s">
        <v>19</v>
      </c>
      <c r="D147" s="6">
        <f>VLOOKUP(TargetsPercent23[[#This Row],[KEY]],[1]!HistoricalData[#Data],4,FALSE)</f>
        <v>0.89200000000000002</v>
      </c>
      <c r="E147" s="6">
        <f>VLOOKUP(TargetsPercent23[[#This Row],[KEY]],[1]!HistoricalData[#Data],5,FALSE)</f>
        <v>0.90790000000000004</v>
      </c>
      <c r="F147" s="6">
        <f>VLOOKUP(TargetsPercent23[[#This Row],[KEY]],[1]!HistoricalData[#Data],6,FALSE)</f>
        <v>0.88600000000000001</v>
      </c>
      <c r="G147" s="5">
        <f>VLOOKUP(TargetsPercent23[[#This Row],[KEY]],[1]!HistoricalData[#Data],7,FALSE)</f>
        <v>0.8921</v>
      </c>
      <c r="H147" s="2">
        <f>AVERAGE(TargetsPercent23[[#This Row],[2016–17 Historical data]],TargetsPercent23[[#This Row],[2017–18 Historical data]],TargetsPercent23[[#This Row],[2018–19 Historical data]])</f>
        <v>0.8953000000000001</v>
      </c>
      <c r="I147" s="2">
        <f>ABS(TargetsPercent23[[#This Row],[2016–17 Historical data]]-TargetsPercent23[[#This Row],[2017–18 Historical data]])</f>
        <v>1.5900000000000025E-2</v>
      </c>
      <c r="J147" s="2">
        <f>ABS(TargetsPercent23[[#This Row],[2017–18 Historical data]]-TargetsPercent23[[#This Row],[2018–19 Historical data]])</f>
        <v>2.1900000000000031E-2</v>
      </c>
      <c r="K147" s="2">
        <f>IF(MIN(TargetsPercent23[[#This Row],[ABS 2016-17 to 2017-18 (calculated)]:[ABS 2017-18 to 2018-19 (calculated)]])&lt;0.01,0.01,MIN(TargetsPercent23[[#This Row],[ABS 2016-17 to 2017-18 (calculated)]:[ABS 2017-18 to 2018-19 (calculated)]]))</f>
        <v>1.5900000000000025E-2</v>
      </c>
      <c r="L147" s="23">
        <f>TargetsPercent23[[#This Row],[Average (calculated)]]-TargetsPercent23[[#This Row],[Band of Tolerance (calculated)]]</f>
        <v>0.87940000000000007</v>
      </c>
      <c r="M147" s="22">
        <f>TargetsPercent23[[#This Row],[2020–21
Allowable
performance
target]]-TargetsPercent23[[#This Row],[Target Floor (calculated)]]</f>
        <v>1.2699999999999934E-2</v>
      </c>
    </row>
    <row r="148" spans="1:13" x14ac:dyDescent="0.2">
      <c r="A148" t="str">
        <f>_xlfn.CONCAT(TargetsPercent23[[#This Row],[University]],":",TargetsPercent23[[#This Row],[Metric]])</f>
        <v>University of Ottawa:02. Institutional strength and focus</v>
      </c>
      <c r="B148" t="s">
        <v>42</v>
      </c>
      <c r="C148" t="s">
        <v>20</v>
      </c>
      <c r="D148" s="6">
        <f>VLOOKUP(TargetsPercent23[[#This Row],[KEY]],[1]!HistoricalData[#Data],4,FALSE)</f>
        <v>8.9399999999999993E-2</v>
      </c>
      <c r="E148" s="6">
        <f>VLOOKUP(TargetsPercent23[[#This Row],[KEY]],[1]!HistoricalData[#Data],5,FALSE)</f>
        <v>9.35E-2</v>
      </c>
      <c r="F148" s="6">
        <f>VLOOKUP(TargetsPercent23[[#This Row],[KEY]],[1]!HistoricalData[#Data],6,FALSE)</f>
        <v>9.5000000000000001E-2</v>
      </c>
      <c r="G148" s="5">
        <f>VLOOKUP(TargetsPercent23[[#This Row],[KEY]],[1]!HistoricalData[#Data],7,FALSE)</f>
        <v>9.2100000000000001E-2</v>
      </c>
      <c r="H148" s="2">
        <f>AVERAGE(TargetsPercent23[[#This Row],[2016–17 Historical data]],TargetsPercent23[[#This Row],[2017–18 Historical data]],TargetsPercent23[[#This Row],[2018–19 Historical data]])</f>
        <v>9.2633333333333345E-2</v>
      </c>
      <c r="I148" s="2">
        <f>ABS(TargetsPercent23[[#This Row],[2016–17 Historical data]]-TargetsPercent23[[#This Row],[2017–18 Historical data]])</f>
        <v>4.1000000000000064E-3</v>
      </c>
      <c r="J148" s="2">
        <f>ABS(TargetsPercent23[[#This Row],[2017–18 Historical data]]-TargetsPercent23[[#This Row],[2018–19 Historical data]])</f>
        <v>1.5000000000000013E-3</v>
      </c>
      <c r="K14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8" s="23">
        <f>TargetsPercent23[[#This Row],[Average (calculated)]]-TargetsPercent23[[#This Row],[Band of Tolerance (calculated)]]</f>
        <v>8.263333333333335E-2</v>
      </c>
      <c r="M148" s="22">
        <f>TargetsPercent23[[#This Row],[2020–21
Allowable
performance
target]]-TargetsPercent23[[#This Row],[Target Floor (calculated)]]</f>
        <v>9.466666666666651E-3</v>
      </c>
    </row>
    <row r="149" spans="1:13" x14ac:dyDescent="0.2">
      <c r="A149" t="str">
        <f>_xlfn.CONCAT(TargetsPercent23[[#This Row],[University]],":",TargetsPercent23[[#This Row],[Metric]])</f>
        <v>University of Ottawa:03. Graduation rate</v>
      </c>
      <c r="B149" t="s">
        <v>42</v>
      </c>
      <c r="C149" t="s">
        <v>21</v>
      </c>
      <c r="D149" s="6">
        <f>VLOOKUP(TargetsPercent23[[#This Row],[KEY]],[1]!HistoricalData[#Data],4,FALSE)</f>
        <v>0.75109999999999999</v>
      </c>
      <c r="E149" s="6">
        <f>VLOOKUP(TargetsPercent23[[#This Row],[KEY]],[1]!HistoricalData[#Data],5,FALSE)</f>
        <v>0.75560000000000005</v>
      </c>
      <c r="F149" s="6">
        <f>VLOOKUP(TargetsPercent23[[#This Row],[KEY]],[1]!HistoricalData[#Data],6,FALSE)</f>
        <v>0.75429999999999997</v>
      </c>
      <c r="G149" s="5">
        <f>VLOOKUP(TargetsPercent23[[#This Row],[KEY]],[1]!HistoricalData[#Data],7,FALSE)</f>
        <v>0.74750000000000005</v>
      </c>
      <c r="H149" s="2">
        <f>AVERAGE(TargetsPercent23[[#This Row],[2016–17 Historical data]],TargetsPercent23[[#This Row],[2017–18 Historical data]],TargetsPercent23[[#This Row],[2018–19 Historical data]])</f>
        <v>0.75366666666666671</v>
      </c>
      <c r="I149" s="2">
        <f>ABS(TargetsPercent23[[#This Row],[2016–17 Historical data]]-TargetsPercent23[[#This Row],[2017–18 Historical data]])</f>
        <v>4.5000000000000595E-3</v>
      </c>
      <c r="J149" s="2">
        <f>ABS(TargetsPercent23[[#This Row],[2017–18 Historical data]]-TargetsPercent23[[#This Row],[2018–19 Historical data]])</f>
        <v>1.3000000000000789E-3</v>
      </c>
      <c r="K14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49" s="23">
        <f>TargetsPercent23[[#This Row],[Average (calculated)]]-TargetsPercent23[[#This Row],[Band of Tolerance (calculated)]]</f>
        <v>0.7436666666666667</v>
      </c>
      <c r="M149" s="22">
        <f>TargetsPercent23[[#This Row],[2020–21
Allowable
performance
target]]-TargetsPercent23[[#This Row],[Target Floor (calculated)]]</f>
        <v>3.8333333333333552E-3</v>
      </c>
    </row>
    <row r="150" spans="1:13" x14ac:dyDescent="0.2">
      <c r="A150" t="str">
        <f>_xlfn.CONCAT(TargetsPercent23[[#This Row],[University]],":",TargetsPercent23[[#This Row],[Metric]])</f>
        <v>University of Ottawa:04. Community and local impact of student enrolment</v>
      </c>
      <c r="B150" t="s">
        <v>42</v>
      </c>
      <c r="C150" t="s">
        <v>22</v>
      </c>
      <c r="D150" s="6">
        <f>VLOOKUP(TargetsPercent23[[#This Row],[KEY]],[1]!HistoricalData[#Data],4,FALSE)</f>
        <v>6.7000000000000004E-2</v>
      </c>
      <c r="E150" s="6">
        <f>VLOOKUP(TargetsPercent23[[#This Row],[KEY]],[1]!HistoricalData[#Data],5,FALSE)</f>
        <v>6.6199999999999995E-2</v>
      </c>
      <c r="F150" s="6">
        <f>VLOOKUP(TargetsPercent23[[#This Row],[KEY]],[1]!HistoricalData[#Data],6,FALSE)</f>
        <v>6.7500000000000004E-2</v>
      </c>
      <c r="G150" s="5">
        <f>VLOOKUP(TargetsPercent23[[#This Row],[KEY]],[1]!HistoricalData[#Data],7,FALSE)</f>
        <v>6.6600000000000006E-2</v>
      </c>
      <c r="H150" s="2">
        <f>AVERAGE(TargetsPercent23[[#This Row],[2016–17 Historical data]],TargetsPercent23[[#This Row],[2017–18 Historical data]],TargetsPercent23[[#This Row],[2018–19 Historical data]])</f>
        <v>6.6900000000000001E-2</v>
      </c>
      <c r="I150" s="2">
        <f>ABS(TargetsPercent23[[#This Row],[2016–17 Historical data]]-TargetsPercent23[[#This Row],[2017–18 Historical data]])</f>
        <v>8.0000000000000904E-4</v>
      </c>
      <c r="J150" s="2">
        <f>ABS(TargetsPercent23[[#This Row],[2017–18 Historical data]]-TargetsPercent23[[#This Row],[2018–19 Historical data]])</f>
        <v>1.3000000000000095E-3</v>
      </c>
      <c r="K15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0" s="24">
        <f>TargetsPercent23[[#This Row],[Average (calculated)]]-TargetsPercent23[[#This Row],[Band of Tolerance (calculated)]]</f>
        <v>5.6899999999999999E-2</v>
      </c>
      <c r="M150" s="25">
        <f>TargetsPercent23[[#This Row],[2020–21
Allowable
performance
target]]-TargetsPercent23[[#This Row],[Target Floor (calculated)]]</f>
        <v>9.7000000000000072E-3</v>
      </c>
    </row>
    <row r="151" spans="1:13" x14ac:dyDescent="0.2">
      <c r="A151" t="str">
        <f>_xlfn.CONCAT(TargetsPercent23[[#This Row],[University]],":",TargetsPercent23[[#This Row],[Metric]])</f>
        <v>University of Ottawa:05. Economic impact (institution-specific)</v>
      </c>
      <c r="B151" t="s">
        <v>42</v>
      </c>
      <c r="C151" t="s">
        <v>23</v>
      </c>
      <c r="D151" s="18">
        <f>VLOOKUP(TargetsPercent23[[#This Row],[KEY]],[1]!HistoricalData[#Data],4,FALSE)</f>
        <v>60266456</v>
      </c>
      <c r="E151" s="18">
        <f>VLOOKUP(TargetsPercent23[[#This Row],[KEY]],[1]!HistoricalData[#Data],5,FALSE)</f>
        <v>63863539</v>
      </c>
      <c r="F151" s="18">
        <f>VLOOKUP(TargetsPercent23[[#This Row],[KEY]],[1]!HistoricalData[#Data],6,FALSE)</f>
        <v>72107039</v>
      </c>
      <c r="G151" s="19">
        <f>VLOOKUP(TargetsPercent23[[#This Row],[KEY]],[1]!HistoricalData[#Data],7,FALSE)</f>
        <v>62496103</v>
      </c>
      <c r="H151" s="11">
        <f>AVERAGE(TargetsPercent23[[#This Row],[2016–17 Historical data]],TargetsPercent23[[#This Row],[2017–18 Historical data]],TargetsPercent23[[#This Row],[2018–19 Historical data]])</f>
        <v>65412344.666666664</v>
      </c>
      <c r="I151" s="2">
        <f>ABS((TargetsPercent23[[#This Row],[2017–18 Historical data]]-TargetsPercent23[[#This Row],[2016–17 Historical data]])/TargetsPercent23[[#This Row],[2016–17 Historical data]])</f>
        <v>5.9686320363686228E-2</v>
      </c>
      <c r="J151" s="2">
        <f>ABS((TargetsPercent23[[#This Row],[2018–19 Historical data]]-TargetsPercent23[[#This Row],[2017–18 Historical data]])/TargetsPercent23[[#This Row],[2017–18 Historical data]])</f>
        <v>0.12907991209193714</v>
      </c>
      <c r="K151" s="2">
        <f>IF(MIN(TargetsPercent23[[#This Row],[ABS 2016-17 to 2017-18 (calculated)]:[ABS 2017-18 to 2018-19 (calculated)]])&lt;0.01,0.01,MIN(TargetsPercent23[[#This Row],[ABS 2016-17 to 2017-18 (calculated)]:[ABS 2017-18 to 2018-19 (calculated)]]))</f>
        <v>5.9686320363686228E-2</v>
      </c>
      <c r="L151" s="10">
        <f>TargetsPercent23[[#This Row],[Average (calculated)]]-TargetsPercent23[[#This Row],[Band of Tolerance (calculated)]]</f>
        <v>65412344.606980346</v>
      </c>
      <c r="M151" s="11">
        <f>TargetsPercent23[[#This Row],[2020–21
Allowable
performance
target]]-TargetsPercent23[[#This Row],[Target Floor (calculated)]]</f>
        <v>-2916241.6069803461</v>
      </c>
    </row>
    <row r="152" spans="1:13" x14ac:dyDescent="0.2">
      <c r="A152" t="str">
        <f>_xlfn.CONCAT(TargetsPercent23[[#This Row],[University]],":",TargetsPercent23[[#This Row],[Metric]])</f>
        <v>University of Ottawa:06. Research funding and capacity: federal tri-agency funding secured</v>
      </c>
      <c r="B152" t="s">
        <v>42</v>
      </c>
      <c r="C152" t="s">
        <v>24</v>
      </c>
      <c r="D152" s="18">
        <f>VLOOKUP(TargetsPercent23[[#This Row],[KEY]],[1]!HistoricalData[#Data],4,FALSE)</f>
        <v>0.10299999999999999</v>
      </c>
      <c r="E152" s="18">
        <f>VLOOKUP(TargetsPercent23[[#This Row],[KEY]],[1]!HistoricalData[#Data],5,FALSE)</f>
        <v>0.1027</v>
      </c>
      <c r="F152" s="18">
        <f>VLOOKUP(TargetsPercent23[[#This Row],[KEY]],[1]!HistoricalData[#Data],6,FALSE)</f>
        <v>0.1055</v>
      </c>
      <c r="G152" s="19">
        <f>VLOOKUP(TargetsPercent23[[#This Row],[KEY]],[1]!HistoricalData[#Data],7,FALSE)</f>
        <v>9.9599999999999994E-2</v>
      </c>
      <c r="H152" s="11">
        <f>AVERAGE(TargetsPercent23[[#This Row],[2016–17 Historical data]],TargetsPercent23[[#This Row],[2017–18 Historical data]],TargetsPercent23[[#This Row],[2018–19 Historical data]])</f>
        <v>0.10373333333333333</v>
      </c>
      <c r="I152" s="2">
        <f>ABS((TargetsPercent23[[#This Row],[2017–18 Historical data]]-TargetsPercent23[[#This Row],[2016–17 Historical data]])/TargetsPercent23[[#This Row],[2016–17 Historical data]])</f>
        <v>2.9126213592232499E-3</v>
      </c>
      <c r="J152" s="2">
        <f>ABS((TargetsPercent23[[#This Row],[2018–19 Historical data]]-TargetsPercent23[[#This Row],[2017–18 Historical data]])/TargetsPercent23[[#This Row],[2017–18 Historical data]])</f>
        <v>2.7263875365141157E-2</v>
      </c>
      <c r="K15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2" s="10">
        <f>TargetsPercent23[[#This Row],[Average (calculated)]]-TargetsPercent23[[#This Row],[Band of Tolerance (calculated)]]</f>
        <v>9.3733333333333335E-2</v>
      </c>
      <c r="M152" s="11">
        <f>TargetsPercent23[[#This Row],[2020–21
Allowable
performance
target]]-TargetsPercent23[[#This Row],[Target Floor (calculated)]]</f>
        <v>5.8666666666666589E-3</v>
      </c>
    </row>
    <row r="153" spans="1:13" x14ac:dyDescent="0.2">
      <c r="A153" t="str">
        <f>_xlfn.CONCAT(TargetsPercent23[[#This Row],[University]],":",TargetsPercent23[[#This Row],[Metric]])</f>
        <v>University of Ottawa:07. Experiential learning</v>
      </c>
      <c r="B153" t="s">
        <v>42</v>
      </c>
      <c r="C153" t="s">
        <v>25</v>
      </c>
      <c r="D153" s="6">
        <f>VLOOKUP(TargetsPercent23[[#This Row],[KEY]],[1]!HistoricalData[#Data],4,FALSE)</f>
        <v>0</v>
      </c>
      <c r="E153" s="6">
        <f>VLOOKUP(TargetsPercent23[[#This Row],[KEY]],[1]!HistoricalData[#Data],5,FALSE)</f>
        <v>0</v>
      </c>
      <c r="F153" s="6">
        <f>VLOOKUP(TargetsPercent23[[#This Row],[KEY]],[1]!HistoricalData[#Data],6,FALSE)</f>
        <v>0</v>
      </c>
      <c r="G153" s="5">
        <f>VLOOKUP(TargetsPercent23[[#This Row],[KEY]],[1]!HistoricalData[#Data],7,FALSE)</f>
        <v>0</v>
      </c>
      <c r="H153" s="9">
        <f>AVERAGE(TargetsPercent23[[#This Row],[2016–17 Historical data]],TargetsPercent23[[#This Row],[2017–18 Historical data]],TargetsPercent23[[#This Row],[2018–19 Historical data]])</f>
        <v>0</v>
      </c>
      <c r="I153" s="9">
        <f>ABS(TargetsPercent23[[#This Row],[2016–17 Historical data]]-TargetsPercent23[[#This Row],[2017–18 Historical data]])</f>
        <v>0</v>
      </c>
      <c r="J153" s="2">
        <f>ABS(TargetsPercent23[[#This Row],[2017–18 Historical data]]-TargetsPercent23[[#This Row],[2018–19 Historical data]])</f>
        <v>0</v>
      </c>
      <c r="K15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3" s="26">
        <f>TargetsPercent23[[#This Row],[Average (calculated)]]-TargetsPercent23[[#This Row],[Band of Tolerance (calculated)]]</f>
        <v>-0.01</v>
      </c>
      <c r="M153" s="22">
        <f>TargetsPercent23[[#This Row],[2020–21
Allowable
performance
target]]-TargetsPercent23[[#This Row],[Target Floor (calculated)]]</f>
        <v>0.01</v>
      </c>
    </row>
    <row r="154" spans="1:13" x14ac:dyDescent="0.2">
      <c r="A154" t="str">
        <f>_xlfn.CONCAT(TargetsPercent23[[#This Row],[University]],":",TargetsPercent23[[#This Row],[Metric]])</f>
        <v>University of Ottawa:08. Research revenue attracted from private sector sources</v>
      </c>
      <c r="B154" t="s">
        <v>42</v>
      </c>
      <c r="C154" t="s">
        <v>26</v>
      </c>
      <c r="D154" s="18">
        <f>VLOOKUP(TargetsPercent23[[#This Row],[KEY]],[1]!HistoricalData[#Data],4,FALSE)</f>
        <v>0</v>
      </c>
      <c r="E154" s="18">
        <f>VLOOKUP(TargetsPercent23[[#This Row],[KEY]],[1]!HistoricalData[#Data],5,FALSE)</f>
        <v>0</v>
      </c>
      <c r="F154" s="18">
        <f>VLOOKUP(TargetsPercent23[[#This Row],[KEY]],[1]!HistoricalData[#Data],6,FALSE)</f>
        <v>0</v>
      </c>
      <c r="G154" s="19">
        <f>VLOOKUP(TargetsPercent23[[#This Row],[KEY]],[1]!HistoricalData[#Data],7,FALSE)</f>
        <v>0</v>
      </c>
      <c r="H154" s="11">
        <f>AVERAGE(TargetsPercent23[[#This Row],[2016–17 Historical data]],TargetsPercent23[[#This Row],[2017–18 Historical data]],TargetsPercent23[[#This Row],[2018–19 Historical data]])</f>
        <v>0</v>
      </c>
      <c r="I154" s="2" t="e">
        <f>ABS((TargetsPercent23[[#This Row],[2017–18 Historical data]]-TargetsPercent23[[#This Row],[2016–17 Historical data]])/TargetsPercent23[[#This Row],[2016–17 Historical data]])</f>
        <v>#DIV/0!</v>
      </c>
      <c r="J154" s="2" t="e">
        <f>ABS((TargetsPercent23[[#This Row],[2018–19 Historical data]]-TargetsPercent23[[#This Row],[2017–18 Historical data]])/TargetsPercent23[[#This Row],[2017–18 Historical data]])</f>
        <v>#DIV/0!</v>
      </c>
      <c r="K154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54" s="10" t="e">
        <f>TargetsPercent23[[#This Row],[Average (calculated)]]-TargetsPercent23[[#This Row],[Band of Tolerance (calculated)]]</f>
        <v>#DIV/0!</v>
      </c>
      <c r="M154" s="11" t="e">
        <f>TargetsPercent23[[#This Row],[2020–21
Allowable
performance
target]]-TargetsPercent23[[#This Row],[Target Floor (calculated)]]</f>
        <v>#DIV/0!</v>
      </c>
    </row>
    <row r="155" spans="1:13" x14ac:dyDescent="0.2">
      <c r="A155" t="str">
        <f>_xlfn.CONCAT(TargetsPercent23[[#This Row],[University]],":",TargetsPercent23[[#This Row],[Metric]])</f>
        <v>University of Ottawa:09. Graduate employment earnings</v>
      </c>
      <c r="B155" t="s">
        <v>42</v>
      </c>
      <c r="C155" t="s">
        <v>27</v>
      </c>
      <c r="D155" s="6">
        <f>VLOOKUP(TargetsPercent23[[#This Row],[KEY]],[1]!HistoricalData[#Data],4,FALSE)</f>
        <v>0</v>
      </c>
      <c r="E155" s="6">
        <f>VLOOKUP(TargetsPercent23[[#This Row],[KEY]],[1]!HistoricalData[#Data],5,FALSE)</f>
        <v>0</v>
      </c>
      <c r="F155" s="6">
        <f>VLOOKUP(TargetsPercent23[[#This Row],[KEY]],[1]!HistoricalData[#Data],6,FALSE)</f>
        <v>0</v>
      </c>
      <c r="G155" s="5">
        <f>VLOOKUP(TargetsPercent23[[#This Row],[KEY]],[1]!HistoricalData[#Data],7,FALSE)</f>
        <v>0</v>
      </c>
      <c r="H155" s="9">
        <f>AVERAGE(TargetsPercent23[[#This Row],[2016–17 Historical data]],TargetsPercent23[[#This Row],[2017–18 Historical data]],TargetsPercent23[[#This Row],[2018–19 Historical data]])</f>
        <v>0</v>
      </c>
      <c r="I155" s="9">
        <f>ABS(TargetsPercent23[[#This Row],[2016–17 Historical data]]-TargetsPercent23[[#This Row],[2017–18 Historical data]])</f>
        <v>0</v>
      </c>
      <c r="J155" s="2">
        <f>ABS(TargetsPercent23[[#This Row],[2017–18 Historical data]]-TargetsPercent23[[#This Row],[2018–19 Historical data]])</f>
        <v>0</v>
      </c>
      <c r="K15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5" s="26">
        <f>TargetsPercent23[[#This Row],[Average (calculated)]]-TargetsPercent23[[#This Row],[Band of Tolerance (calculated)]]</f>
        <v>-0.01</v>
      </c>
      <c r="M155" s="22">
        <f>TargetsPercent23[[#This Row],[2020–21
Allowable
performance
target]]-TargetsPercent23[[#This Row],[Target Floor (calculated)]]</f>
        <v>0.01</v>
      </c>
    </row>
    <row r="156" spans="1:13" x14ac:dyDescent="0.2">
      <c r="A156" t="str">
        <f>_xlfn.CONCAT(TargetsPercent23[[#This Row],[University]],":",TargetsPercent23[[#This Row],[Metric]])</f>
        <v>University of Ottawa:10. Skills and competencies</v>
      </c>
      <c r="B156" t="s">
        <v>42</v>
      </c>
      <c r="C156" t="s">
        <v>28</v>
      </c>
      <c r="D156" s="6">
        <f>VLOOKUP(TargetsPercent23[[#This Row],[KEY]],[1]!HistoricalData[#Data],4,FALSE)</f>
        <v>0</v>
      </c>
      <c r="E156" s="6">
        <f>VLOOKUP(TargetsPercent23[[#This Row],[KEY]],[1]!HistoricalData[#Data],5,FALSE)</f>
        <v>0</v>
      </c>
      <c r="F156" s="6">
        <f>VLOOKUP(TargetsPercent23[[#This Row],[KEY]],[1]!HistoricalData[#Data],6,FALSE)</f>
        <v>0</v>
      </c>
      <c r="G156" s="5">
        <f>VLOOKUP(TargetsPercent23[[#This Row],[KEY]],[1]!HistoricalData[#Data],7,FALSE)</f>
        <v>0</v>
      </c>
      <c r="H156" s="9">
        <f>AVERAGE(TargetsPercent23[[#This Row],[2016–17 Historical data]],TargetsPercent23[[#This Row],[2017–18 Historical data]],TargetsPercent23[[#This Row],[2018–19 Historical data]])</f>
        <v>0</v>
      </c>
      <c r="I156" s="9">
        <f>ABS(TargetsPercent23[[#This Row],[2016–17 Historical data]]-TargetsPercent23[[#This Row],[2017–18 Historical data]])</f>
        <v>0</v>
      </c>
      <c r="J156" s="2">
        <f>ABS(TargetsPercent23[[#This Row],[2017–18 Historical data]]-TargetsPercent23[[#This Row],[2018–19 Historical data]])</f>
        <v>0</v>
      </c>
      <c r="K15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6" s="26">
        <f>TargetsPercent23[[#This Row],[Average (calculated)]]-TargetsPercent23[[#This Row],[Band of Tolerance (calculated)]]</f>
        <v>-0.01</v>
      </c>
      <c r="M156" s="22">
        <f>TargetsPercent23[[#This Row],[2020–21
Allowable
performance
target]]-TargetsPercent23[[#This Row],[Target Floor (calculated)]]</f>
        <v>0.01</v>
      </c>
    </row>
    <row r="157" spans="1:13" x14ac:dyDescent="0.2">
      <c r="A157" t="str">
        <f>_xlfn.CONCAT(TargetsPercent23[[#This Row],[University]],":",TargetsPercent23[[#This Row],[Metric]])</f>
        <v>University of Ottawa:Tri-agency research funding</v>
      </c>
      <c r="B157" t="s">
        <v>42</v>
      </c>
      <c r="C157" t="s">
        <v>29</v>
      </c>
      <c r="D157" s="18">
        <f>VLOOKUP(TargetsPercent23[[#This Row],[KEY]],[1]!HistoricalData[#Data],4,FALSE)</f>
        <v>65671163</v>
      </c>
      <c r="E157" s="18">
        <f>VLOOKUP(TargetsPercent23[[#This Row],[KEY]],[1]!HistoricalData[#Data],5,FALSE)</f>
        <v>68353845</v>
      </c>
      <c r="F157" s="18">
        <f>VLOOKUP(TargetsPercent23[[#This Row],[KEY]],[1]!HistoricalData[#Data],6,FALSE)</f>
        <v>71595112</v>
      </c>
      <c r="G157" s="19">
        <f>VLOOKUP(TargetsPercent23[[#This Row],[KEY]],[1]!HistoricalData[#Data],7,FALSE)</f>
        <v>0</v>
      </c>
      <c r="H157" s="11">
        <f>AVERAGE(TargetsPercent23[[#This Row],[2016–17 Historical data]],TargetsPercent23[[#This Row],[2017–18 Historical data]],TargetsPercent23[[#This Row],[2018–19 Historical data]])</f>
        <v>68540040</v>
      </c>
      <c r="I157" s="2">
        <f>ABS((TargetsPercent23[[#This Row],[2017–18 Historical data]]-TargetsPercent23[[#This Row],[2016–17 Historical data]])/TargetsPercent23[[#This Row],[2016–17 Historical data]])</f>
        <v>4.0850228280562048E-2</v>
      </c>
      <c r="J157" s="2">
        <f>ABS((TargetsPercent23[[#This Row],[2018–19 Historical data]]-TargetsPercent23[[#This Row],[2017–18 Historical data]])/TargetsPercent23[[#This Row],[2017–18 Historical data]])</f>
        <v>4.7418941831289814E-2</v>
      </c>
      <c r="K157" s="2">
        <f>IF(MIN(TargetsPercent23[[#This Row],[ABS 2016-17 to 2017-18 (calculated)]:[ABS 2017-18 to 2018-19 (calculated)]])&lt;0.01,0.01,MIN(TargetsPercent23[[#This Row],[ABS 2016-17 to 2017-18 (calculated)]:[ABS 2017-18 to 2018-19 (calculated)]]))</f>
        <v>4.0850228280562048E-2</v>
      </c>
      <c r="L157" s="10">
        <f>TargetsPercent23[[#This Row],[Average (calculated)]]-TargetsPercent23[[#This Row],[Band of Tolerance (calculated)]]</f>
        <v>68540039.959149778</v>
      </c>
      <c r="M157" s="11">
        <f>TargetsPercent23[[#This Row],[2020–21
Allowable
performance
target]]-TargetsPercent23[[#This Row],[Target Floor (calculated)]]</f>
        <v>-68540039.959149778</v>
      </c>
    </row>
    <row r="158" spans="1:13" x14ac:dyDescent="0.2">
      <c r="A158" t="str">
        <f>_xlfn.CONCAT(TargetsPercent23[[#This Row],[University]],":",TargetsPercent23[[#This Row],[Metric]])</f>
        <v>University of Toronto:01. Graduate employment rate in a related field</v>
      </c>
      <c r="B158" t="s">
        <v>43</v>
      </c>
      <c r="C158" t="s">
        <v>19</v>
      </c>
      <c r="D158" s="6">
        <f>VLOOKUP(TargetsPercent23[[#This Row],[KEY]],[1]!HistoricalData[#Data],4,FALSE)</f>
        <v>0.88139999999999996</v>
      </c>
      <c r="E158" s="6">
        <f>VLOOKUP(TargetsPercent23[[#This Row],[KEY]],[1]!HistoricalData[#Data],5,FALSE)</f>
        <v>0.88009999999999999</v>
      </c>
      <c r="F158" s="6">
        <f>VLOOKUP(TargetsPercent23[[#This Row],[KEY]],[1]!HistoricalData[#Data],6,FALSE)</f>
        <v>0.87309999999999999</v>
      </c>
      <c r="G158" s="5">
        <f>VLOOKUP(TargetsPercent23[[#This Row],[KEY]],[1]!HistoricalData[#Data],7,FALSE)</f>
        <v>0.87070000000000003</v>
      </c>
      <c r="H158" s="2">
        <f>AVERAGE(TargetsPercent23[[#This Row],[2016–17 Historical data]],TargetsPercent23[[#This Row],[2017–18 Historical data]],TargetsPercent23[[#This Row],[2018–19 Historical data]])</f>
        <v>0.87819999999999998</v>
      </c>
      <c r="I158" s="2">
        <f>ABS(TargetsPercent23[[#This Row],[2016–17 Historical data]]-TargetsPercent23[[#This Row],[2017–18 Historical data]])</f>
        <v>1.2999999999999678E-3</v>
      </c>
      <c r="J158" s="2">
        <f>ABS(TargetsPercent23[[#This Row],[2017–18 Historical data]]-TargetsPercent23[[#This Row],[2018–19 Historical data]])</f>
        <v>7.0000000000000062E-3</v>
      </c>
      <c r="K15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8" s="23">
        <f>TargetsPercent23[[#This Row],[Average (calculated)]]-TargetsPercent23[[#This Row],[Band of Tolerance (calculated)]]</f>
        <v>0.86819999999999997</v>
      </c>
      <c r="M158" s="22">
        <f>TargetsPercent23[[#This Row],[2020–21
Allowable
performance
target]]-TargetsPercent23[[#This Row],[Target Floor (calculated)]]</f>
        <v>2.5000000000000577E-3</v>
      </c>
    </row>
    <row r="159" spans="1:13" x14ac:dyDescent="0.2">
      <c r="A159" t="str">
        <f>_xlfn.CONCAT(TargetsPercent23[[#This Row],[University]],":",TargetsPercent23[[#This Row],[Metric]])</f>
        <v>University of Toronto:02. Institutional strength and focus</v>
      </c>
      <c r="B159" t="s">
        <v>43</v>
      </c>
      <c r="C159" t="s">
        <v>20</v>
      </c>
      <c r="D159" s="6">
        <f>VLOOKUP(TargetsPercent23[[#This Row],[KEY]],[1]!HistoricalData[#Data],4,FALSE)</f>
        <v>0.40749999999999997</v>
      </c>
      <c r="E159" s="6">
        <f>VLOOKUP(TargetsPercent23[[#This Row],[KEY]],[1]!HistoricalData[#Data],5,FALSE)</f>
        <v>0.41039999999999999</v>
      </c>
      <c r="F159" s="6">
        <f>VLOOKUP(TargetsPercent23[[#This Row],[KEY]],[1]!HistoricalData[#Data],6,FALSE)</f>
        <v>0.4254</v>
      </c>
      <c r="G159" s="5">
        <f>VLOOKUP(TargetsPercent23[[#This Row],[KEY]],[1]!HistoricalData[#Data],7,FALSE)</f>
        <v>0.41</v>
      </c>
      <c r="H159" s="2">
        <f>AVERAGE(TargetsPercent23[[#This Row],[2016–17 Historical data]],TargetsPercent23[[#This Row],[2017–18 Historical data]],TargetsPercent23[[#This Row],[2018–19 Historical data]])</f>
        <v>0.41443333333333338</v>
      </c>
      <c r="I159" s="2">
        <f>ABS(TargetsPercent23[[#This Row],[2016–17 Historical data]]-TargetsPercent23[[#This Row],[2017–18 Historical data]])</f>
        <v>2.9000000000000137E-3</v>
      </c>
      <c r="J159" s="2">
        <f>ABS(TargetsPercent23[[#This Row],[2017–18 Historical data]]-TargetsPercent23[[#This Row],[2018–19 Historical data]])</f>
        <v>1.5000000000000013E-2</v>
      </c>
      <c r="K15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59" s="23">
        <f>TargetsPercent23[[#This Row],[Average (calculated)]]-TargetsPercent23[[#This Row],[Band of Tolerance (calculated)]]</f>
        <v>0.40443333333333337</v>
      </c>
      <c r="M159" s="22">
        <f>TargetsPercent23[[#This Row],[2020–21
Allowable
performance
target]]-TargetsPercent23[[#This Row],[Target Floor (calculated)]]</f>
        <v>5.5666666666666087E-3</v>
      </c>
    </row>
    <row r="160" spans="1:13" x14ac:dyDescent="0.2">
      <c r="A160" t="str">
        <f>_xlfn.CONCAT(TargetsPercent23[[#This Row],[University]],":",TargetsPercent23[[#This Row],[Metric]])</f>
        <v>University of Toronto:03. Graduation rate</v>
      </c>
      <c r="B160" t="s">
        <v>43</v>
      </c>
      <c r="C160" t="s">
        <v>21</v>
      </c>
      <c r="D160" s="6">
        <f>VLOOKUP(TargetsPercent23[[#This Row],[KEY]],[1]!HistoricalData[#Data],4,FALSE)</f>
        <v>0.80030000000000001</v>
      </c>
      <c r="E160" s="6">
        <f>VLOOKUP(TargetsPercent23[[#This Row],[KEY]],[1]!HistoricalData[#Data],5,FALSE)</f>
        <v>0.81110000000000004</v>
      </c>
      <c r="F160" s="6">
        <f>VLOOKUP(TargetsPercent23[[#This Row],[KEY]],[1]!HistoricalData[#Data],6,FALSE)</f>
        <v>0.81110000000000004</v>
      </c>
      <c r="G160" s="5">
        <f>VLOOKUP(TargetsPercent23[[#This Row],[KEY]],[1]!HistoricalData[#Data],7,FALSE)</f>
        <v>0.7994</v>
      </c>
      <c r="H160" s="2">
        <f>AVERAGE(TargetsPercent23[[#This Row],[2016–17 Historical data]],TargetsPercent23[[#This Row],[2017–18 Historical data]],TargetsPercent23[[#This Row],[2018–19 Historical data]])</f>
        <v>0.80750000000000011</v>
      </c>
      <c r="I160" s="2">
        <f>ABS(TargetsPercent23[[#This Row],[2016–17 Historical data]]-TargetsPercent23[[#This Row],[2017–18 Historical data]])</f>
        <v>1.0800000000000032E-2</v>
      </c>
      <c r="J160" s="2">
        <f>ABS(TargetsPercent23[[#This Row],[2017–18 Historical data]]-TargetsPercent23[[#This Row],[2018–19 Historical data]])</f>
        <v>0</v>
      </c>
      <c r="K16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0" s="23">
        <f>TargetsPercent23[[#This Row],[Average (calculated)]]-TargetsPercent23[[#This Row],[Band of Tolerance (calculated)]]</f>
        <v>0.7975000000000001</v>
      </c>
      <c r="M160" s="22">
        <f>TargetsPercent23[[#This Row],[2020–21
Allowable
performance
target]]-TargetsPercent23[[#This Row],[Target Floor (calculated)]]</f>
        <v>1.8999999999999018E-3</v>
      </c>
    </row>
    <row r="161" spans="1:13" x14ac:dyDescent="0.2">
      <c r="A161" t="str">
        <f>_xlfn.CONCAT(TargetsPercent23[[#This Row],[University]],":",TargetsPercent23[[#This Row],[Metric]])</f>
        <v>University of Toronto:04. Community and local impact of student enrolment</v>
      </c>
      <c r="B161" t="s">
        <v>43</v>
      </c>
      <c r="C161" t="s">
        <v>22</v>
      </c>
      <c r="D161" s="6">
        <f>VLOOKUP(TargetsPercent23[[#This Row],[KEY]],[1]!HistoricalData[#Data],4,FALSE)</f>
        <v>3.7199999999999997E-2</v>
      </c>
      <c r="E161" s="6">
        <f>VLOOKUP(TargetsPercent23[[#This Row],[KEY]],[1]!HistoricalData[#Data],5,FALSE)</f>
        <v>3.7699999999999997E-2</v>
      </c>
      <c r="F161" s="6">
        <f>VLOOKUP(TargetsPercent23[[#This Row],[KEY]],[1]!HistoricalData[#Data],6,FALSE)</f>
        <v>3.8199999999999998E-2</v>
      </c>
      <c r="G161" s="5">
        <f>VLOOKUP(TargetsPercent23[[#This Row],[KEY]],[1]!HistoricalData[#Data],7,FALSE)</f>
        <v>3.7600000000000001E-2</v>
      </c>
      <c r="H161" s="2">
        <f>AVERAGE(TargetsPercent23[[#This Row],[2016–17 Historical data]],TargetsPercent23[[#This Row],[2017–18 Historical data]],TargetsPercent23[[#This Row],[2018–19 Historical data]])</f>
        <v>3.7699999999999997E-2</v>
      </c>
      <c r="I161" s="2">
        <f>ABS(TargetsPercent23[[#This Row],[2016–17 Historical data]]-TargetsPercent23[[#This Row],[2017–18 Historical data]])</f>
        <v>5.0000000000000044E-4</v>
      </c>
      <c r="J161" s="2">
        <f>ABS(TargetsPercent23[[#This Row],[2017–18 Historical data]]-TargetsPercent23[[#This Row],[2018–19 Historical data]])</f>
        <v>5.0000000000000044E-4</v>
      </c>
      <c r="K16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1" s="24">
        <f>TargetsPercent23[[#This Row],[Average (calculated)]]-TargetsPercent23[[#This Row],[Band of Tolerance (calculated)]]</f>
        <v>2.7699999999999995E-2</v>
      </c>
      <c r="M161" s="25">
        <f>TargetsPercent23[[#This Row],[2020–21
Allowable
performance
target]]-TargetsPercent23[[#This Row],[Target Floor (calculated)]]</f>
        <v>9.900000000000006E-3</v>
      </c>
    </row>
    <row r="162" spans="1:13" x14ac:dyDescent="0.2">
      <c r="A162" t="str">
        <f>_xlfn.CONCAT(TargetsPercent23[[#This Row],[University]],":",TargetsPercent23[[#This Row],[Metric]])</f>
        <v>University of Toronto:05. Economic impact (institution-specific)</v>
      </c>
      <c r="B162" t="s">
        <v>43</v>
      </c>
      <c r="C162" t="s">
        <v>23</v>
      </c>
      <c r="D162" s="18">
        <f>VLOOKUP(TargetsPercent23[[#This Row],[KEY]],[1]!HistoricalData[#Data],4,FALSE)</f>
        <v>242</v>
      </c>
      <c r="E162" s="18">
        <f>VLOOKUP(TargetsPercent23[[#This Row],[KEY]],[1]!HistoricalData[#Data],5,FALSE)</f>
        <v>200</v>
      </c>
      <c r="F162" s="18">
        <f>VLOOKUP(TargetsPercent23[[#This Row],[KEY]],[1]!HistoricalData[#Data],6,FALSE)</f>
        <v>314</v>
      </c>
      <c r="G162" s="19">
        <f>VLOOKUP(TargetsPercent23[[#This Row],[KEY]],[1]!HistoricalData[#Data],7,FALSE)</f>
        <v>184.7</v>
      </c>
      <c r="H162" s="11">
        <f>AVERAGE(TargetsPercent23[[#This Row],[2016–17 Historical data]],TargetsPercent23[[#This Row],[2017–18 Historical data]],TargetsPercent23[[#This Row],[2018–19 Historical data]])</f>
        <v>252</v>
      </c>
      <c r="I162" s="2">
        <f>ABS((TargetsPercent23[[#This Row],[2017–18 Historical data]]-TargetsPercent23[[#This Row],[2016–17 Historical data]])/TargetsPercent23[[#This Row],[2016–17 Historical data]])</f>
        <v>0.17355371900826447</v>
      </c>
      <c r="J162" s="2">
        <f>ABS((TargetsPercent23[[#This Row],[2018–19 Historical data]]-TargetsPercent23[[#This Row],[2017–18 Historical data]])/TargetsPercent23[[#This Row],[2017–18 Historical data]])</f>
        <v>0.56999999999999995</v>
      </c>
      <c r="K162" s="2">
        <f>IF(MIN(TargetsPercent23[[#This Row],[ABS 2016-17 to 2017-18 (calculated)]:[ABS 2017-18 to 2018-19 (calculated)]])&lt;0.01,0.01,MIN(TargetsPercent23[[#This Row],[ABS 2016-17 to 2017-18 (calculated)]:[ABS 2017-18 to 2018-19 (calculated)]]))</f>
        <v>0.17355371900826447</v>
      </c>
      <c r="L162" s="10">
        <f>TargetsPercent23[[#This Row],[Average (calculated)]]-TargetsPercent23[[#This Row],[Band of Tolerance (calculated)]]</f>
        <v>251.82644628099175</v>
      </c>
      <c r="M162" s="11">
        <f>TargetsPercent23[[#This Row],[2020–21
Allowable
performance
target]]-TargetsPercent23[[#This Row],[Target Floor (calculated)]]</f>
        <v>-67.126446280991757</v>
      </c>
    </row>
    <row r="163" spans="1:13" x14ac:dyDescent="0.2">
      <c r="A163" t="str">
        <f>_xlfn.CONCAT(TargetsPercent23[[#This Row],[University]],":",TargetsPercent23[[#This Row],[Metric]])</f>
        <v>University of Toronto:06. Research funding and capacity: federal tri-agency funding secured</v>
      </c>
      <c r="B163" t="s">
        <v>43</v>
      </c>
      <c r="C163" t="s">
        <v>24</v>
      </c>
      <c r="D163" s="18">
        <f>VLOOKUP(TargetsPercent23[[#This Row],[KEY]],[1]!HistoricalData[#Data],4,FALSE)</f>
        <v>0.37559999999999999</v>
      </c>
      <c r="E163" s="18">
        <f>VLOOKUP(TargetsPercent23[[#This Row],[KEY]],[1]!HistoricalData[#Data],5,FALSE)</f>
        <v>0.37830000000000003</v>
      </c>
      <c r="F163" s="18">
        <f>VLOOKUP(TargetsPercent23[[#This Row],[KEY]],[1]!HistoricalData[#Data],6,FALSE)</f>
        <v>0.38190000000000002</v>
      </c>
      <c r="G163" s="19">
        <f>VLOOKUP(TargetsPercent23[[#This Row],[KEY]],[1]!HistoricalData[#Data],7,FALSE)</f>
        <v>0.3634</v>
      </c>
      <c r="H163" s="11">
        <f>AVERAGE(TargetsPercent23[[#This Row],[2016–17 Historical data]],TargetsPercent23[[#This Row],[2017–18 Historical data]],TargetsPercent23[[#This Row],[2018–19 Historical data]])</f>
        <v>0.37860000000000005</v>
      </c>
      <c r="I163" s="2">
        <f>ABS((TargetsPercent23[[#This Row],[2017–18 Historical data]]-TargetsPercent23[[#This Row],[2016–17 Historical data]])/TargetsPercent23[[#This Row],[2016–17 Historical data]])</f>
        <v>7.1884984025560057E-3</v>
      </c>
      <c r="J163" s="2">
        <f>ABS((TargetsPercent23[[#This Row],[2018–19 Historical data]]-TargetsPercent23[[#This Row],[2017–18 Historical data]])/TargetsPercent23[[#This Row],[2017–18 Historical data]])</f>
        <v>9.5162569389373296E-3</v>
      </c>
      <c r="K16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3" s="10">
        <f>TargetsPercent23[[#This Row],[Average (calculated)]]-TargetsPercent23[[#This Row],[Band of Tolerance (calculated)]]</f>
        <v>0.36860000000000004</v>
      </c>
      <c r="M163" s="11">
        <f>TargetsPercent23[[#This Row],[2020–21
Allowable
performance
target]]-TargetsPercent23[[#This Row],[Target Floor (calculated)]]</f>
        <v>-5.2000000000000379E-3</v>
      </c>
    </row>
    <row r="164" spans="1:13" x14ac:dyDescent="0.2">
      <c r="A164" t="str">
        <f>_xlfn.CONCAT(TargetsPercent23[[#This Row],[University]],":",TargetsPercent23[[#This Row],[Metric]])</f>
        <v>University of Toronto:07. Experiential learning</v>
      </c>
      <c r="B164" t="s">
        <v>43</v>
      </c>
      <c r="C164" t="s">
        <v>25</v>
      </c>
      <c r="D164" s="6">
        <f>VLOOKUP(TargetsPercent23[[#This Row],[KEY]],[1]!HistoricalData[#Data],4,FALSE)</f>
        <v>0</v>
      </c>
      <c r="E164" s="6">
        <f>VLOOKUP(TargetsPercent23[[#This Row],[KEY]],[1]!HistoricalData[#Data],5,FALSE)</f>
        <v>0</v>
      </c>
      <c r="F164" s="6">
        <f>VLOOKUP(TargetsPercent23[[#This Row],[KEY]],[1]!HistoricalData[#Data],6,FALSE)</f>
        <v>0</v>
      </c>
      <c r="G164" s="5">
        <f>VLOOKUP(TargetsPercent23[[#This Row],[KEY]],[1]!HistoricalData[#Data],7,FALSE)</f>
        <v>0</v>
      </c>
      <c r="H164" s="9">
        <f>AVERAGE(TargetsPercent23[[#This Row],[2016–17 Historical data]],TargetsPercent23[[#This Row],[2017–18 Historical data]],TargetsPercent23[[#This Row],[2018–19 Historical data]])</f>
        <v>0</v>
      </c>
      <c r="I164" s="9">
        <f>ABS(TargetsPercent23[[#This Row],[2016–17 Historical data]]-TargetsPercent23[[#This Row],[2017–18 Historical data]])</f>
        <v>0</v>
      </c>
      <c r="J164" s="2">
        <f>ABS(TargetsPercent23[[#This Row],[2017–18 Historical data]]-TargetsPercent23[[#This Row],[2018–19 Historical data]])</f>
        <v>0</v>
      </c>
      <c r="K16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4" s="26">
        <f>TargetsPercent23[[#This Row],[Average (calculated)]]-TargetsPercent23[[#This Row],[Band of Tolerance (calculated)]]</f>
        <v>-0.01</v>
      </c>
      <c r="M164" s="22">
        <f>TargetsPercent23[[#This Row],[2020–21
Allowable
performance
target]]-TargetsPercent23[[#This Row],[Target Floor (calculated)]]</f>
        <v>0.01</v>
      </c>
    </row>
    <row r="165" spans="1:13" x14ac:dyDescent="0.2">
      <c r="A165" t="str">
        <f>_xlfn.CONCAT(TargetsPercent23[[#This Row],[University]],":",TargetsPercent23[[#This Row],[Metric]])</f>
        <v>University of Toronto:08. Research revenue attracted from private sector sources</v>
      </c>
      <c r="B165" t="s">
        <v>43</v>
      </c>
      <c r="C165" t="s">
        <v>26</v>
      </c>
      <c r="D165" s="18">
        <f>VLOOKUP(TargetsPercent23[[#This Row],[KEY]],[1]!HistoricalData[#Data],4,FALSE)</f>
        <v>0</v>
      </c>
      <c r="E165" s="18">
        <f>VLOOKUP(TargetsPercent23[[#This Row],[KEY]],[1]!HistoricalData[#Data],5,FALSE)</f>
        <v>0</v>
      </c>
      <c r="F165" s="18">
        <f>VLOOKUP(TargetsPercent23[[#This Row],[KEY]],[1]!HistoricalData[#Data],6,FALSE)</f>
        <v>0</v>
      </c>
      <c r="G165" s="19">
        <f>VLOOKUP(TargetsPercent23[[#This Row],[KEY]],[1]!HistoricalData[#Data],7,FALSE)</f>
        <v>0</v>
      </c>
      <c r="H165" s="11">
        <f>AVERAGE(TargetsPercent23[[#This Row],[2016–17 Historical data]],TargetsPercent23[[#This Row],[2017–18 Historical data]],TargetsPercent23[[#This Row],[2018–19 Historical data]])</f>
        <v>0</v>
      </c>
      <c r="I165" s="2" t="e">
        <f>ABS((TargetsPercent23[[#This Row],[2017–18 Historical data]]-TargetsPercent23[[#This Row],[2016–17 Historical data]])/TargetsPercent23[[#This Row],[2016–17 Historical data]])</f>
        <v>#DIV/0!</v>
      </c>
      <c r="J165" s="2" t="e">
        <f>ABS((TargetsPercent23[[#This Row],[2018–19 Historical data]]-TargetsPercent23[[#This Row],[2017–18 Historical data]])/TargetsPercent23[[#This Row],[2017–18 Historical data]])</f>
        <v>#DIV/0!</v>
      </c>
      <c r="K165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65" s="10" t="e">
        <f>TargetsPercent23[[#This Row],[Average (calculated)]]-TargetsPercent23[[#This Row],[Band of Tolerance (calculated)]]</f>
        <v>#DIV/0!</v>
      </c>
      <c r="M165" s="11" t="e">
        <f>TargetsPercent23[[#This Row],[2020–21
Allowable
performance
target]]-TargetsPercent23[[#This Row],[Target Floor (calculated)]]</f>
        <v>#DIV/0!</v>
      </c>
    </row>
    <row r="166" spans="1:13" x14ac:dyDescent="0.2">
      <c r="A166" t="str">
        <f>_xlfn.CONCAT(TargetsPercent23[[#This Row],[University]],":",TargetsPercent23[[#This Row],[Metric]])</f>
        <v>University of Toronto:09. Graduate employment earnings</v>
      </c>
      <c r="B166" t="s">
        <v>43</v>
      </c>
      <c r="C166" t="s">
        <v>27</v>
      </c>
      <c r="D166" s="6">
        <f>VLOOKUP(TargetsPercent23[[#This Row],[KEY]],[1]!HistoricalData[#Data],4,FALSE)</f>
        <v>0</v>
      </c>
      <c r="E166" s="6">
        <f>VLOOKUP(TargetsPercent23[[#This Row],[KEY]],[1]!HistoricalData[#Data],5,FALSE)</f>
        <v>0</v>
      </c>
      <c r="F166" s="6">
        <f>VLOOKUP(TargetsPercent23[[#This Row],[KEY]],[1]!HistoricalData[#Data],6,FALSE)</f>
        <v>0</v>
      </c>
      <c r="G166" s="5">
        <f>VLOOKUP(TargetsPercent23[[#This Row],[KEY]],[1]!HistoricalData[#Data],7,FALSE)</f>
        <v>0</v>
      </c>
      <c r="H166" s="9">
        <f>AVERAGE(TargetsPercent23[[#This Row],[2016–17 Historical data]],TargetsPercent23[[#This Row],[2017–18 Historical data]],TargetsPercent23[[#This Row],[2018–19 Historical data]])</f>
        <v>0</v>
      </c>
      <c r="I166" s="9">
        <f>ABS(TargetsPercent23[[#This Row],[2016–17 Historical data]]-TargetsPercent23[[#This Row],[2017–18 Historical data]])</f>
        <v>0</v>
      </c>
      <c r="J166" s="2">
        <f>ABS(TargetsPercent23[[#This Row],[2017–18 Historical data]]-TargetsPercent23[[#This Row],[2018–19 Historical data]])</f>
        <v>0</v>
      </c>
      <c r="K16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6" s="26">
        <f>TargetsPercent23[[#This Row],[Average (calculated)]]-TargetsPercent23[[#This Row],[Band of Tolerance (calculated)]]</f>
        <v>-0.01</v>
      </c>
      <c r="M166" s="22">
        <f>TargetsPercent23[[#This Row],[2020–21
Allowable
performance
target]]-TargetsPercent23[[#This Row],[Target Floor (calculated)]]</f>
        <v>0.01</v>
      </c>
    </row>
    <row r="167" spans="1:13" x14ac:dyDescent="0.2">
      <c r="A167" t="str">
        <f>_xlfn.CONCAT(TargetsPercent23[[#This Row],[University]],":",TargetsPercent23[[#This Row],[Metric]])</f>
        <v>University of Toronto:10. Skills and competencies</v>
      </c>
      <c r="B167" t="s">
        <v>43</v>
      </c>
      <c r="C167" t="s">
        <v>28</v>
      </c>
      <c r="D167" s="6">
        <f>VLOOKUP(TargetsPercent23[[#This Row],[KEY]],[1]!HistoricalData[#Data],4,FALSE)</f>
        <v>0</v>
      </c>
      <c r="E167" s="6">
        <f>VLOOKUP(TargetsPercent23[[#This Row],[KEY]],[1]!HistoricalData[#Data],5,FALSE)</f>
        <v>0</v>
      </c>
      <c r="F167" s="6">
        <f>VLOOKUP(TargetsPercent23[[#This Row],[KEY]],[1]!HistoricalData[#Data],6,FALSE)</f>
        <v>0</v>
      </c>
      <c r="G167" s="5">
        <f>VLOOKUP(TargetsPercent23[[#This Row],[KEY]],[1]!HistoricalData[#Data],7,FALSE)</f>
        <v>0</v>
      </c>
      <c r="H167" s="9">
        <f>AVERAGE(TargetsPercent23[[#This Row],[2016–17 Historical data]],TargetsPercent23[[#This Row],[2017–18 Historical data]],TargetsPercent23[[#This Row],[2018–19 Historical data]])</f>
        <v>0</v>
      </c>
      <c r="I167" s="9">
        <f>ABS(TargetsPercent23[[#This Row],[2016–17 Historical data]]-TargetsPercent23[[#This Row],[2017–18 Historical data]])</f>
        <v>0</v>
      </c>
      <c r="J167" s="2">
        <f>ABS(TargetsPercent23[[#This Row],[2017–18 Historical data]]-TargetsPercent23[[#This Row],[2018–19 Historical data]])</f>
        <v>0</v>
      </c>
      <c r="K16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7" s="26">
        <f>TargetsPercent23[[#This Row],[Average (calculated)]]-TargetsPercent23[[#This Row],[Band of Tolerance (calculated)]]</f>
        <v>-0.01</v>
      </c>
      <c r="M167" s="22">
        <f>TargetsPercent23[[#This Row],[2020–21
Allowable
performance
target]]-TargetsPercent23[[#This Row],[Target Floor (calculated)]]</f>
        <v>0.01</v>
      </c>
    </row>
    <row r="168" spans="1:13" x14ac:dyDescent="0.2">
      <c r="A168" t="str">
        <f>_xlfn.CONCAT(TargetsPercent23[[#This Row],[University]],":",TargetsPercent23[[#This Row],[Metric]])</f>
        <v>University of Toronto:Tri-agency research funding</v>
      </c>
      <c r="B168" t="s">
        <v>43</v>
      </c>
      <c r="C168" t="s">
        <v>29</v>
      </c>
      <c r="D168" s="18">
        <f>VLOOKUP(TargetsPercent23[[#This Row],[KEY]],[1]!HistoricalData[#Data],4,FALSE)</f>
        <v>239480821</v>
      </c>
      <c r="E168" s="18">
        <f>VLOOKUP(TargetsPercent23[[#This Row],[KEY]],[1]!HistoricalData[#Data],5,FALSE)</f>
        <v>251735777</v>
      </c>
      <c r="F168" s="18">
        <f>VLOOKUP(TargetsPercent23[[#This Row],[KEY]],[1]!HistoricalData[#Data],6,FALSE)</f>
        <v>259223214</v>
      </c>
      <c r="G168" s="19">
        <f>VLOOKUP(TargetsPercent23[[#This Row],[KEY]],[1]!HistoricalData[#Data],7,FALSE)</f>
        <v>0</v>
      </c>
      <c r="H168" s="11">
        <f>AVERAGE(TargetsPercent23[[#This Row],[2016–17 Historical data]],TargetsPercent23[[#This Row],[2017–18 Historical data]],TargetsPercent23[[#This Row],[2018–19 Historical data]])</f>
        <v>250146604</v>
      </c>
      <c r="I168" s="2">
        <f>ABS((TargetsPercent23[[#This Row],[2017–18 Historical data]]-TargetsPercent23[[#This Row],[2016–17 Historical data]])/TargetsPercent23[[#This Row],[2016–17 Historical data]])</f>
        <v>5.1173016481349046E-2</v>
      </c>
      <c r="J168" s="2">
        <f>ABS((TargetsPercent23[[#This Row],[2018–19 Historical data]]-TargetsPercent23[[#This Row],[2017–18 Historical data]])/TargetsPercent23[[#This Row],[2017–18 Historical data]])</f>
        <v>2.9743237489838405E-2</v>
      </c>
      <c r="K168" s="2">
        <f>IF(MIN(TargetsPercent23[[#This Row],[ABS 2016-17 to 2017-18 (calculated)]:[ABS 2017-18 to 2018-19 (calculated)]])&lt;0.01,0.01,MIN(TargetsPercent23[[#This Row],[ABS 2016-17 to 2017-18 (calculated)]:[ABS 2017-18 to 2018-19 (calculated)]]))</f>
        <v>2.9743237489838405E-2</v>
      </c>
      <c r="L168" s="10">
        <f>TargetsPercent23[[#This Row],[Average (calculated)]]-TargetsPercent23[[#This Row],[Band of Tolerance (calculated)]]</f>
        <v>250146603.97025678</v>
      </c>
      <c r="M168" s="11">
        <f>TargetsPercent23[[#This Row],[2020–21
Allowable
performance
target]]-TargetsPercent23[[#This Row],[Target Floor (calculated)]]</f>
        <v>-250146603.97025678</v>
      </c>
    </row>
    <row r="169" spans="1:13" x14ac:dyDescent="0.2">
      <c r="A169" t="str">
        <f>_xlfn.CONCAT(TargetsPercent23[[#This Row],[University]],":",TargetsPercent23[[#This Row],[Metric]])</f>
        <v>University of Waterloo:01. Graduate employment rate in a related field</v>
      </c>
      <c r="B169" t="s">
        <v>44</v>
      </c>
      <c r="C169" t="s">
        <v>19</v>
      </c>
      <c r="D169" s="6">
        <f>VLOOKUP(TargetsPercent23[[#This Row],[KEY]],[1]!HistoricalData[#Data],4,FALSE)</f>
        <v>0.91549999999999998</v>
      </c>
      <c r="E169" s="6">
        <f>VLOOKUP(TargetsPercent23[[#This Row],[KEY]],[1]!HistoricalData[#Data],5,FALSE)</f>
        <v>0.9254</v>
      </c>
      <c r="F169" s="6">
        <f>VLOOKUP(TargetsPercent23[[#This Row],[KEY]],[1]!HistoricalData[#Data],6,FALSE)</f>
        <v>0.93759999999999999</v>
      </c>
      <c r="G169" s="5">
        <f>VLOOKUP(TargetsPercent23[[#This Row],[KEY]],[1]!HistoricalData[#Data],7,FALSE)</f>
        <v>0.91500000000000004</v>
      </c>
      <c r="H169" s="2">
        <f>AVERAGE(TargetsPercent23[[#This Row],[2016–17 Historical data]],TargetsPercent23[[#This Row],[2017–18 Historical data]],TargetsPercent23[[#This Row],[2018–19 Historical data]])</f>
        <v>0.92616666666666669</v>
      </c>
      <c r="I169" s="2">
        <f>ABS(TargetsPercent23[[#This Row],[2016–17 Historical data]]-TargetsPercent23[[#This Row],[2017–18 Historical data]])</f>
        <v>9.9000000000000199E-3</v>
      </c>
      <c r="J169" s="2">
        <f>ABS(TargetsPercent23[[#This Row],[2017–18 Historical data]]-TargetsPercent23[[#This Row],[2018–19 Historical data]])</f>
        <v>1.2199999999999989E-2</v>
      </c>
      <c r="K16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69" s="23">
        <f>TargetsPercent23[[#This Row],[Average (calculated)]]-TargetsPercent23[[#This Row],[Band of Tolerance (calculated)]]</f>
        <v>0.91616666666666668</v>
      </c>
      <c r="M169" s="22">
        <f>TargetsPercent23[[#This Row],[2020–21
Allowable
performance
target]]-TargetsPercent23[[#This Row],[Target Floor (calculated)]]</f>
        <v>-1.1666666666666492E-3</v>
      </c>
    </row>
    <row r="170" spans="1:13" x14ac:dyDescent="0.2">
      <c r="A170" t="str">
        <f>_xlfn.CONCAT(TargetsPercent23[[#This Row],[University]],":",TargetsPercent23[[#This Row],[Metric]])</f>
        <v>University of Waterloo:02. Institutional strength and focus</v>
      </c>
      <c r="B170" t="s">
        <v>44</v>
      </c>
      <c r="C170" t="s">
        <v>20</v>
      </c>
      <c r="D170" s="6">
        <f>VLOOKUP(TargetsPercent23[[#This Row],[KEY]],[1]!HistoricalData[#Data],4,FALSE)</f>
        <v>0.41499999999999998</v>
      </c>
      <c r="E170" s="6">
        <f>VLOOKUP(TargetsPercent23[[#This Row],[KEY]],[1]!HistoricalData[#Data],5,FALSE)</f>
        <v>0.41539999999999999</v>
      </c>
      <c r="F170" s="6">
        <f>VLOOKUP(TargetsPercent23[[#This Row],[KEY]],[1]!HistoricalData[#Data],6,FALSE)</f>
        <v>0.41610000000000003</v>
      </c>
      <c r="G170" s="5">
        <f>VLOOKUP(TargetsPercent23[[#This Row],[KEY]],[1]!HistoricalData[#Data],7,FALSE)</f>
        <v>0.4012</v>
      </c>
      <c r="H170" s="2">
        <f>AVERAGE(TargetsPercent23[[#This Row],[2016–17 Historical data]],TargetsPercent23[[#This Row],[2017–18 Historical data]],TargetsPercent23[[#This Row],[2018–19 Historical data]])</f>
        <v>0.41550000000000004</v>
      </c>
      <c r="I170" s="2">
        <f>ABS(TargetsPercent23[[#This Row],[2016–17 Historical data]]-TargetsPercent23[[#This Row],[2017–18 Historical data]])</f>
        <v>4.0000000000001146E-4</v>
      </c>
      <c r="J170" s="2">
        <f>ABS(TargetsPercent23[[#This Row],[2017–18 Historical data]]-TargetsPercent23[[#This Row],[2018–19 Historical data]])</f>
        <v>7.0000000000003393E-4</v>
      </c>
      <c r="K17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0" s="23">
        <f>TargetsPercent23[[#This Row],[Average (calculated)]]-TargetsPercent23[[#This Row],[Band of Tolerance (calculated)]]</f>
        <v>0.40550000000000003</v>
      </c>
      <c r="M170" s="22">
        <f>TargetsPercent23[[#This Row],[2020–21
Allowable
performance
target]]-TargetsPercent23[[#This Row],[Target Floor (calculated)]]</f>
        <v>-4.300000000000026E-3</v>
      </c>
    </row>
    <row r="171" spans="1:13" x14ac:dyDescent="0.2">
      <c r="A171" t="str">
        <f>_xlfn.CONCAT(TargetsPercent23[[#This Row],[University]],":",TargetsPercent23[[#This Row],[Metric]])</f>
        <v>University of Waterloo:03. Graduation rate</v>
      </c>
      <c r="B171" t="s">
        <v>44</v>
      </c>
      <c r="C171" t="s">
        <v>21</v>
      </c>
      <c r="D171" s="6">
        <f>VLOOKUP(TargetsPercent23[[#This Row],[KEY]],[1]!HistoricalData[#Data],4,FALSE)</f>
        <v>0.80840000000000001</v>
      </c>
      <c r="E171" s="6">
        <f>VLOOKUP(TargetsPercent23[[#This Row],[KEY]],[1]!HistoricalData[#Data],5,FALSE)</f>
        <v>0.80589999999999995</v>
      </c>
      <c r="F171" s="6">
        <f>VLOOKUP(TargetsPercent23[[#This Row],[KEY]],[1]!HistoricalData[#Data],6,FALSE)</f>
        <v>0.81130000000000002</v>
      </c>
      <c r="G171" s="5">
        <f>VLOOKUP(TargetsPercent23[[#This Row],[KEY]],[1]!HistoricalData[#Data],7,FALSE)</f>
        <v>0.8004</v>
      </c>
      <c r="H171" s="2">
        <f>AVERAGE(TargetsPercent23[[#This Row],[2016–17 Historical data]],TargetsPercent23[[#This Row],[2017–18 Historical data]],TargetsPercent23[[#This Row],[2018–19 Historical data]])</f>
        <v>0.80853333333333344</v>
      </c>
      <c r="I171" s="2">
        <f>ABS(TargetsPercent23[[#This Row],[2016–17 Historical data]]-TargetsPercent23[[#This Row],[2017–18 Historical data]])</f>
        <v>2.5000000000000577E-3</v>
      </c>
      <c r="J171" s="2">
        <f>ABS(TargetsPercent23[[#This Row],[2017–18 Historical data]]-TargetsPercent23[[#This Row],[2018–19 Historical data]])</f>
        <v>5.4000000000000714E-3</v>
      </c>
      <c r="K17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1" s="23">
        <f>TargetsPercent23[[#This Row],[Average (calculated)]]-TargetsPercent23[[#This Row],[Band of Tolerance (calculated)]]</f>
        <v>0.79853333333333343</v>
      </c>
      <c r="M171" s="22">
        <f>TargetsPercent23[[#This Row],[2020–21
Allowable
performance
target]]-TargetsPercent23[[#This Row],[Target Floor (calculated)]]</f>
        <v>1.8666666666665721E-3</v>
      </c>
    </row>
    <row r="172" spans="1:13" x14ac:dyDescent="0.2">
      <c r="A172" t="str">
        <f>_xlfn.CONCAT(TargetsPercent23[[#This Row],[University]],":",TargetsPercent23[[#This Row],[Metric]])</f>
        <v>University of Waterloo:04. Community and local impact of student enrolment</v>
      </c>
      <c r="B172" t="s">
        <v>44</v>
      </c>
      <c r="C172" t="s">
        <v>22</v>
      </c>
      <c r="D172" s="6">
        <f>VLOOKUP(TargetsPercent23[[#This Row],[KEY]],[1]!HistoricalData[#Data],4,FALSE)</f>
        <v>0.48580000000000001</v>
      </c>
      <c r="E172" s="6">
        <f>VLOOKUP(TargetsPercent23[[#This Row],[KEY]],[1]!HistoricalData[#Data],5,FALSE)</f>
        <v>0.50129999999999997</v>
      </c>
      <c r="F172" s="6">
        <f>VLOOKUP(TargetsPercent23[[#This Row],[KEY]],[1]!HistoricalData[#Data],6,FALSE)</f>
        <v>0.5131</v>
      </c>
      <c r="G172" s="5">
        <f>VLOOKUP(TargetsPercent23[[#This Row],[KEY]],[1]!HistoricalData[#Data],7,FALSE)</f>
        <v>0.49769999999999998</v>
      </c>
      <c r="H172" s="2">
        <f>AVERAGE(TargetsPercent23[[#This Row],[2016–17 Historical data]],TargetsPercent23[[#This Row],[2017–18 Historical data]],TargetsPercent23[[#This Row],[2018–19 Historical data]])</f>
        <v>0.50006666666666666</v>
      </c>
      <c r="I172" s="2">
        <f>ABS(TargetsPercent23[[#This Row],[2016–17 Historical data]]-TargetsPercent23[[#This Row],[2017–18 Historical data]])</f>
        <v>1.5499999999999958E-2</v>
      </c>
      <c r="J172" s="2">
        <f>ABS(TargetsPercent23[[#This Row],[2017–18 Historical data]]-TargetsPercent23[[#This Row],[2018–19 Historical data]])</f>
        <v>1.1800000000000033E-2</v>
      </c>
      <c r="K172" s="2">
        <f>IF(MIN(TargetsPercent23[[#This Row],[ABS 2016-17 to 2017-18 (calculated)]:[ABS 2017-18 to 2018-19 (calculated)]])&lt;0.01,0.01,MIN(TargetsPercent23[[#This Row],[ABS 2016-17 to 2017-18 (calculated)]:[ABS 2017-18 to 2018-19 (calculated)]]))</f>
        <v>1.1800000000000033E-2</v>
      </c>
      <c r="L172" s="24">
        <f>TargetsPercent23[[#This Row],[Average (calculated)]]-TargetsPercent23[[#This Row],[Band of Tolerance (calculated)]]</f>
        <v>0.48826666666666663</v>
      </c>
      <c r="M172" s="25">
        <f>TargetsPercent23[[#This Row],[2020–21
Allowable
performance
target]]-TargetsPercent23[[#This Row],[Target Floor (calculated)]]</f>
        <v>9.4333333333333491E-3</v>
      </c>
    </row>
    <row r="173" spans="1:13" x14ac:dyDescent="0.2">
      <c r="A173" t="str">
        <f>_xlfn.CONCAT(TargetsPercent23[[#This Row],[University]],":",TargetsPercent23[[#This Row],[Metric]])</f>
        <v>University of Waterloo:05. Economic impact (institution-specific)</v>
      </c>
      <c r="B173" t="s">
        <v>44</v>
      </c>
      <c r="C173" t="s">
        <v>23</v>
      </c>
      <c r="D173" s="18">
        <f>VLOOKUP(TargetsPercent23[[#This Row],[KEY]],[1]!HistoricalData[#Data],4,FALSE)</f>
        <v>240500000</v>
      </c>
      <c r="E173" s="18">
        <f>VLOOKUP(TargetsPercent23[[#This Row],[KEY]],[1]!HistoricalData[#Data],5,FALSE)</f>
        <v>261400000</v>
      </c>
      <c r="F173" s="18">
        <f>VLOOKUP(TargetsPercent23[[#This Row],[KEY]],[1]!HistoricalData[#Data],6,FALSE)</f>
        <v>285600000</v>
      </c>
      <c r="G173" s="19">
        <f>VLOOKUP(TargetsPercent23[[#This Row],[KEY]],[1]!HistoricalData[#Data],7,FALSE)</f>
        <v>257967583</v>
      </c>
      <c r="H173" s="11">
        <f>AVERAGE(TargetsPercent23[[#This Row],[2016–17 Historical data]],TargetsPercent23[[#This Row],[2017–18 Historical data]],TargetsPercent23[[#This Row],[2018–19 Historical data]])</f>
        <v>262500000</v>
      </c>
      <c r="I173" s="2">
        <f>ABS((TargetsPercent23[[#This Row],[2017–18 Historical data]]-TargetsPercent23[[#This Row],[2016–17 Historical data]])/TargetsPercent23[[#This Row],[2016–17 Historical data]])</f>
        <v>8.6902286902286907E-2</v>
      </c>
      <c r="J173" s="2">
        <f>ABS((TargetsPercent23[[#This Row],[2018–19 Historical data]]-TargetsPercent23[[#This Row],[2017–18 Historical data]])/TargetsPercent23[[#This Row],[2017–18 Historical data]])</f>
        <v>9.2578423871461368E-2</v>
      </c>
      <c r="K173" s="2">
        <f>IF(MIN(TargetsPercent23[[#This Row],[ABS 2016-17 to 2017-18 (calculated)]:[ABS 2017-18 to 2018-19 (calculated)]])&lt;0.01,0.01,MIN(TargetsPercent23[[#This Row],[ABS 2016-17 to 2017-18 (calculated)]:[ABS 2017-18 to 2018-19 (calculated)]]))</f>
        <v>8.6902286902286907E-2</v>
      </c>
      <c r="L173" s="10">
        <f>TargetsPercent23[[#This Row],[Average (calculated)]]-TargetsPercent23[[#This Row],[Band of Tolerance (calculated)]]</f>
        <v>262499999.91309771</v>
      </c>
      <c r="M173" s="11">
        <f>TargetsPercent23[[#This Row],[2020–21
Allowable
performance
target]]-TargetsPercent23[[#This Row],[Target Floor (calculated)]]</f>
        <v>-4532416.9130977094</v>
      </c>
    </row>
    <row r="174" spans="1:13" x14ac:dyDescent="0.2">
      <c r="A174" t="str">
        <f>_xlfn.CONCAT(TargetsPercent23[[#This Row],[University]],":",TargetsPercent23[[#This Row],[Metric]])</f>
        <v>University of Waterloo:06. Research funding and capacity: federal tri-agency funding secured</v>
      </c>
      <c r="B174" t="s">
        <v>44</v>
      </c>
      <c r="C174" t="s">
        <v>24</v>
      </c>
      <c r="D174" s="18">
        <f>VLOOKUP(TargetsPercent23[[#This Row],[KEY]],[1]!HistoricalData[#Data],4,FALSE)</f>
        <v>8.1799999999999998E-2</v>
      </c>
      <c r="E174" s="18">
        <f>VLOOKUP(TargetsPercent23[[#This Row],[KEY]],[1]!HistoricalData[#Data],5,FALSE)</f>
        <v>8.2500000000000004E-2</v>
      </c>
      <c r="F174" s="18">
        <f>VLOOKUP(TargetsPercent23[[#This Row],[KEY]],[1]!HistoricalData[#Data],6,FALSE)</f>
        <v>8.0100000000000005E-2</v>
      </c>
      <c r="G174" s="19">
        <f>VLOOKUP(TargetsPercent23[[#This Row],[KEY]],[1]!HistoricalData[#Data],7,FALSE)</f>
        <v>7.8200000000000006E-2</v>
      </c>
      <c r="H174" s="11">
        <f>AVERAGE(TargetsPercent23[[#This Row],[2016–17 Historical data]],TargetsPercent23[[#This Row],[2017–18 Historical data]],TargetsPercent23[[#This Row],[2018–19 Historical data]])</f>
        <v>8.1466666666666673E-2</v>
      </c>
      <c r="I174" s="2">
        <f>ABS((TargetsPercent23[[#This Row],[2017–18 Historical data]]-TargetsPercent23[[#This Row],[2016–17 Historical data]])/TargetsPercent23[[#This Row],[2016–17 Historical data]])</f>
        <v>8.5574572127140123E-3</v>
      </c>
      <c r="J174" s="2">
        <f>ABS((TargetsPercent23[[#This Row],[2018–19 Historical data]]-TargetsPercent23[[#This Row],[2017–18 Historical data]])/TargetsPercent23[[#This Row],[2017–18 Historical data]])</f>
        <v>2.909090909090908E-2</v>
      </c>
      <c r="K17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4" s="10">
        <f>TargetsPercent23[[#This Row],[Average (calculated)]]-TargetsPercent23[[#This Row],[Band of Tolerance (calculated)]]</f>
        <v>7.1466666666666678E-2</v>
      </c>
      <c r="M174" s="11">
        <f>TargetsPercent23[[#This Row],[2020–21
Allowable
performance
target]]-TargetsPercent23[[#This Row],[Target Floor (calculated)]]</f>
        <v>6.7333333333333273E-3</v>
      </c>
    </row>
    <row r="175" spans="1:13" x14ac:dyDescent="0.2">
      <c r="A175" t="str">
        <f>_xlfn.CONCAT(TargetsPercent23[[#This Row],[University]],":",TargetsPercent23[[#This Row],[Metric]])</f>
        <v>University of Waterloo:07. Experiential learning</v>
      </c>
      <c r="B175" t="s">
        <v>44</v>
      </c>
      <c r="C175" t="s">
        <v>25</v>
      </c>
      <c r="D175" s="6">
        <f>VLOOKUP(TargetsPercent23[[#This Row],[KEY]],[1]!HistoricalData[#Data],4,FALSE)</f>
        <v>0</v>
      </c>
      <c r="E175" s="6">
        <f>VLOOKUP(TargetsPercent23[[#This Row],[KEY]],[1]!HistoricalData[#Data],5,FALSE)</f>
        <v>0</v>
      </c>
      <c r="F175" s="6">
        <f>VLOOKUP(TargetsPercent23[[#This Row],[KEY]],[1]!HistoricalData[#Data],6,FALSE)</f>
        <v>0</v>
      </c>
      <c r="G175" s="5">
        <f>VLOOKUP(TargetsPercent23[[#This Row],[KEY]],[1]!HistoricalData[#Data],7,FALSE)</f>
        <v>0</v>
      </c>
      <c r="H175" s="9">
        <f>AVERAGE(TargetsPercent23[[#This Row],[2016–17 Historical data]],TargetsPercent23[[#This Row],[2017–18 Historical data]],TargetsPercent23[[#This Row],[2018–19 Historical data]])</f>
        <v>0</v>
      </c>
      <c r="I175" s="9">
        <f>ABS(TargetsPercent23[[#This Row],[2016–17 Historical data]]-TargetsPercent23[[#This Row],[2017–18 Historical data]])</f>
        <v>0</v>
      </c>
      <c r="J175" s="2">
        <f>ABS(TargetsPercent23[[#This Row],[2017–18 Historical data]]-TargetsPercent23[[#This Row],[2018–19 Historical data]])</f>
        <v>0</v>
      </c>
      <c r="K17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5" s="26">
        <f>TargetsPercent23[[#This Row],[Average (calculated)]]-TargetsPercent23[[#This Row],[Band of Tolerance (calculated)]]</f>
        <v>-0.01</v>
      </c>
      <c r="M175" s="22">
        <f>TargetsPercent23[[#This Row],[2020–21
Allowable
performance
target]]-TargetsPercent23[[#This Row],[Target Floor (calculated)]]</f>
        <v>0.01</v>
      </c>
    </row>
    <row r="176" spans="1:13" x14ac:dyDescent="0.2">
      <c r="A176" t="str">
        <f>_xlfn.CONCAT(TargetsPercent23[[#This Row],[University]],":",TargetsPercent23[[#This Row],[Metric]])</f>
        <v>University of Waterloo:08. Research revenue attracted from private sector sources</v>
      </c>
      <c r="B176" t="s">
        <v>44</v>
      </c>
      <c r="C176" t="s">
        <v>26</v>
      </c>
      <c r="D176" s="18">
        <f>VLOOKUP(TargetsPercent23[[#This Row],[KEY]],[1]!HistoricalData[#Data],4,FALSE)</f>
        <v>0</v>
      </c>
      <c r="E176" s="18">
        <f>VLOOKUP(TargetsPercent23[[#This Row],[KEY]],[1]!HistoricalData[#Data],5,FALSE)</f>
        <v>0</v>
      </c>
      <c r="F176" s="18">
        <f>VLOOKUP(TargetsPercent23[[#This Row],[KEY]],[1]!HistoricalData[#Data],6,FALSE)</f>
        <v>0</v>
      </c>
      <c r="G176" s="19">
        <f>VLOOKUP(TargetsPercent23[[#This Row],[KEY]],[1]!HistoricalData[#Data],7,FALSE)</f>
        <v>0</v>
      </c>
      <c r="H176" s="11">
        <f>AVERAGE(TargetsPercent23[[#This Row],[2016–17 Historical data]],TargetsPercent23[[#This Row],[2017–18 Historical data]],TargetsPercent23[[#This Row],[2018–19 Historical data]])</f>
        <v>0</v>
      </c>
      <c r="I176" s="2" t="e">
        <f>ABS((TargetsPercent23[[#This Row],[2017–18 Historical data]]-TargetsPercent23[[#This Row],[2016–17 Historical data]])/TargetsPercent23[[#This Row],[2016–17 Historical data]])</f>
        <v>#DIV/0!</v>
      </c>
      <c r="J176" s="2" t="e">
        <f>ABS((TargetsPercent23[[#This Row],[2018–19 Historical data]]-TargetsPercent23[[#This Row],[2017–18 Historical data]])/TargetsPercent23[[#This Row],[2017–18 Historical data]])</f>
        <v>#DIV/0!</v>
      </c>
      <c r="K176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76" s="10" t="e">
        <f>TargetsPercent23[[#This Row],[Average (calculated)]]-TargetsPercent23[[#This Row],[Band of Tolerance (calculated)]]</f>
        <v>#DIV/0!</v>
      </c>
      <c r="M176" s="11" t="e">
        <f>TargetsPercent23[[#This Row],[2020–21
Allowable
performance
target]]-TargetsPercent23[[#This Row],[Target Floor (calculated)]]</f>
        <v>#DIV/0!</v>
      </c>
    </row>
    <row r="177" spans="1:13" x14ac:dyDescent="0.2">
      <c r="A177" t="str">
        <f>_xlfn.CONCAT(TargetsPercent23[[#This Row],[University]],":",TargetsPercent23[[#This Row],[Metric]])</f>
        <v>University of Waterloo:09. Graduate employment earnings</v>
      </c>
      <c r="B177" t="s">
        <v>44</v>
      </c>
      <c r="C177" t="s">
        <v>27</v>
      </c>
      <c r="D177" s="6">
        <f>VLOOKUP(TargetsPercent23[[#This Row],[KEY]],[1]!HistoricalData[#Data],4,FALSE)</f>
        <v>0</v>
      </c>
      <c r="E177" s="6">
        <f>VLOOKUP(TargetsPercent23[[#This Row],[KEY]],[1]!HistoricalData[#Data],5,FALSE)</f>
        <v>0</v>
      </c>
      <c r="F177" s="6">
        <f>VLOOKUP(TargetsPercent23[[#This Row],[KEY]],[1]!HistoricalData[#Data],6,FALSE)</f>
        <v>0</v>
      </c>
      <c r="G177" s="5">
        <f>VLOOKUP(TargetsPercent23[[#This Row],[KEY]],[1]!HistoricalData[#Data],7,FALSE)</f>
        <v>0</v>
      </c>
      <c r="H177" s="9">
        <f>AVERAGE(TargetsPercent23[[#This Row],[2016–17 Historical data]],TargetsPercent23[[#This Row],[2017–18 Historical data]],TargetsPercent23[[#This Row],[2018–19 Historical data]])</f>
        <v>0</v>
      </c>
      <c r="I177" s="9">
        <f>ABS(TargetsPercent23[[#This Row],[2016–17 Historical data]]-TargetsPercent23[[#This Row],[2017–18 Historical data]])</f>
        <v>0</v>
      </c>
      <c r="J177" s="2">
        <f>ABS(TargetsPercent23[[#This Row],[2017–18 Historical data]]-TargetsPercent23[[#This Row],[2018–19 Historical data]])</f>
        <v>0</v>
      </c>
      <c r="K17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7" s="26">
        <f>TargetsPercent23[[#This Row],[Average (calculated)]]-TargetsPercent23[[#This Row],[Band of Tolerance (calculated)]]</f>
        <v>-0.01</v>
      </c>
      <c r="M177" s="22">
        <f>TargetsPercent23[[#This Row],[2020–21
Allowable
performance
target]]-TargetsPercent23[[#This Row],[Target Floor (calculated)]]</f>
        <v>0.01</v>
      </c>
    </row>
    <row r="178" spans="1:13" x14ac:dyDescent="0.2">
      <c r="A178" t="str">
        <f>_xlfn.CONCAT(TargetsPercent23[[#This Row],[University]],":",TargetsPercent23[[#This Row],[Metric]])</f>
        <v>University of Waterloo:10. Skills and competencies</v>
      </c>
      <c r="B178" t="s">
        <v>44</v>
      </c>
      <c r="C178" t="s">
        <v>28</v>
      </c>
      <c r="D178" s="6">
        <f>VLOOKUP(TargetsPercent23[[#This Row],[KEY]],[1]!HistoricalData[#Data],4,FALSE)</f>
        <v>0</v>
      </c>
      <c r="E178" s="6">
        <f>VLOOKUP(TargetsPercent23[[#This Row],[KEY]],[1]!HistoricalData[#Data],5,FALSE)</f>
        <v>0</v>
      </c>
      <c r="F178" s="6">
        <f>VLOOKUP(TargetsPercent23[[#This Row],[KEY]],[1]!HistoricalData[#Data],6,FALSE)</f>
        <v>0</v>
      </c>
      <c r="G178" s="5">
        <f>VLOOKUP(TargetsPercent23[[#This Row],[KEY]],[1]!HistoricalData[#Data],7,FALSE)</f>
        <v>0</v>
      </c>
      <c r="H178" s="9">
        <f>AVERAGE(TargetsPercent23[[#This Row],[2016–17 Historical data]],TargetsPercent23[[#This Row],[2017–18 Historical data]],TargetsPercent23[[#This Row],[2018–19 Historical data]])</f>
        <v>0</v>
      </c>
      <c r="I178" s="9">
        <f>ABS(TargetsPercent23[[#This Row],[2016–17 Historical data]]-TargetsPercent23[[#This Row],[2017–18 Historical data]])</f>
        <v>0</v>
      </c>
      <c r="J178" s="2">
        <f>ABS(TargetsPercent23[[#This Row],[2017–18 Historical data]]-TargetsPercent23[[#This Row],[2018–19 Historical data]])</f>
        <v>0</v>
      </c>
      <c r="K17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78" s="26">
        <f>TargetsPercent23[[#This Row],[Average (calculated)]]-TargetsPercent23[[#This Row],[Band of Tolerance (calculated)]]</f>
        <v>-0.01</v>
      </c>
      <c r="M178" s="22">
        <f>TargetsPercent23[[#This Row],[2020–21
Allowable
performance
target]]-TargetsPercent23[[#This Row],[Target Floor (calculated)]]</f>
        <v>0.01</v>
      </c>
    </row>
    <row r="179" spans="1:13" x14ac:dyDescent="0.2">
      <c r="A179" t="str">
        <f>_xlfn.CONCAT(TargetsPercent23[[#This Row],[University]],":",TargetsPercent23[[#This Row],[Metric]])</f>
        <v>University of Waterloo:Tri-agency research funding</v>
      </c>
      <c r="B179" t="s">
        <v>44</v>
      </c>
      <c r="C179" t="s">
        <v>29</v>
      </c>
      <c r="D179" s="18">
        <f>VLOOKUP(TargetsPercent23[[#This Row],[KEY]],[1]!HistoricalData[#Data],4,FALSE)</f>
        <v>52180707</v>
      </c>
      <c r="E179" s="18">
        <f>VLOOKUP(TargetsPercent23[[#This Row],[KEY]],[1]!HistoricalData[#Data],5,FALSE)</f>
        <v>54908373</v>
      </c>
      <c r="F179" s="18">
        <f>VLOOKUP(TargetsPercent23[[#This Row],[KEY]],[1]!HistoricalData[#Data],6,FALSE)</f>
        <v>54346406</v>
      </c>
      <c r="G179" s="19">
        <f>VLOOKUP(TargetsPercent23[[#This Row],[KEY]],[1]!HistoricalData[#Data],7,FALSE)</f>
        <v>0</v>
      </c>
      <c r="H179" s="11">
        <f>AVERAGE(TargetsPercent23[[#This Row],[2016–17 Historical data]],TargetsPercent23[[#This Row],[2017–18 Historical data]],TargetsPercent23[[#This Row],[2018–19 Historical data]])</f>
        <v>53811828.666666664</v>
      </c>
      <c r="I179" s="2">
        <f>ABS((TargetsPercent23[[#This Row],[2017–18 Historical data]]-TargetsPercent23[[#This Row],[2016–17 Historical data]])/TargetsPercent23[[#This Row],[2016–17 Historical data]])</f>
        <v>5.2273458080972342E-2</v>
      </c>
      <c r="J179" s="2">
        <f>ABS((TargetsPercent23[[#This Row],[2018–19 Historical data]]-TargetsPercent23[[#This Row],[2017–18 Historical data]])/TargetsPercent23[[#This Row],[2017–18 Historical data]])</f>
        <v>1.0234632157102888E-2</v>
      </c>
      <c r="K179" s="2">
        <f>IF(MIN(TargetsPercent23[[#This Row],[ABS 2016-17 to 2017-18 (calculated)]:[ABS 2017-18 to 2018-19 (calculated)]])&lt;0.01,0.01,MIN(TargetsPercent23[[#This Row],[ABS 2016-17 to 2017-18 (calculated)]:[ABS 2017-18 to 2018-19 (calculated)]]))</f>
        <v>1.0234632157102888E-2</v>
      </c>
      <c r="L179" s="10">
        <f>TargetsPercent23[[#This Row],[Average (calculated)]]-TargetsPercent23[[#This Row],[Band of Tolerance (calculated)]]</f>
        <v>53811828.656432033</v>
      </c>
      <c r="M179" s="11">
        <f>TargetsPercent23[[#This Row],[2020–21
Allowable
performance
target]]-TargetsPercent23[[#This Row],[Target Floor (calculated)]]</f>
        <v>-53811828.656432033</v>
      </c>
    </row>
    <row r="180" spans="1:13" x14ac:dyDescent="0.2">
      <c r="A180" t="str">
        <f>_xlfn.CONCAT(TargetsPercent23[[#This Row],[University]],":",TargetsPercent23[[#This Row],[Metric]])</f>
        <v>University of Windsor:01. Graduate employment rate in a related field</v>
      </c>
      <c r="B180" t="s">
        <v>45</v>
      </c>
      <c r="C180" t="s">
        <v>19</v>
      </c>
      <c r="D180" s="6">
        <f>VLOOKUP(TargetsPercent23[[#This Row],[KEY]],[1]!HistoricalData[#Data],4,FALSE)</f>
        <v>0.89490000000000003</v>
      </c>
      <c r="E180" s="6">
        <f>VLOOKUP(TargetsPercent23[[#This Row],[KEY]],[1]!HistoricalData[#Data],5,FALSE)</f>
        <v>0.88449999999999995</v>
      </c>
      <c r="F180" s="6">
        <f>VLOOKUP(TargetsPercent23[[#This Row],[KEY]],[1]!HistoricalData[#Data],6,FALSE)</f>
        <v>0.83199999999999996</v>
      </c>
      <c r="G180" s="5">
        <f>VLOOKUP(TargetsPercent23[[#This Row],[KEY]],[1]!HistoricalData[#Data],7,FALSE)</f>
        <v>0.84960000000000002</v>
      </c>
      <c r="H180" s="2">
        <f>AVERAGE(TargetsPercent23[[#This Row],[2016–17 Historical data]],TargetsPercent23[[#This Row],[2017–18 Historical data]],TargetsPercent23[[#This Row],[2018–19 Historical data]])</f>
        <v>0.87046666666666661</v>
      </c>
      <c r="I180" s="2">
        <f>ABS(TargetsPercent23[[#This Row],[2016–17 Historical data]]-TargetsPercent23[[#This Row],[2017–18 Historical data]])</f>
        <v>1.0400000000000076E-2</v>
      </c>
      <c r="J180" s="2">
        <f>ABS(TargetsPercent23[[#This Row],[2017–18 Historical data]]-TargetsPercent23[[#This Row],[2018–19 Historical data]])</f>
        <v>5.2499999999999991E-2</v>
      </c>
      <c r="K180" s="2">
        <f>IF(MIN(TargetsPercent23[[#This Row],[ABS 2016-17 to 2017-18 (calculated)]:[ABS 2017-18 to 2018-19 (calculated)]])&lt;0.01,0.01,MIN(TargetsPercent23[[#This Row],[ABS 2016-17 to 2017-18 (calculated)]:[ABS 2017-18 to 2018-19 (calculated)]]))</f>
        <v>1.0400000000000076E-2</v>
      </c>
      <c r="L180" s="23">
        <f>TargetsPercent23[[#This Row],[Average (calculated)]]-TargetsPercent23[[#This Row],[Band of Tolerance (calculated)]]</f>
        <v>0.86006666666666653</v>
      </c>
      <c r="M180" s="22">
        <f>TargetsPercent23[[#This Row],[2020–21
Allowable
performance
target]]-TargetsPercent23[[#This Row],[Target Floor (calculated)]]</f>
        <v>-1.0466666666666513E-2</v>
      </c>
    </row>
    <row r="181" spans="1:13" x14ac:dyDescent="0.2">
      <c r="A181" t="str">
        <f>_xlfn.CONCAT(TargetsPercent23[[#This Row],[University]],":",TargetsPercent23[[#This Row],[Metric]])</f>
        <v>University of Windsor:02. Institutional strength and focus</v>
      </c>
      <c r="B181" t="s">
        <v>45</v>
      </c>
      <c r="C181" t="s">
        <v>20</v>
      </c>
      <c r="D181" s="6">
        <f>VLOOKUP(TargetsPercent23[[#This Row],[KEY]],[1]!HistoricalData[#Data],4,FALSE)</f>
        <v>0.33479999999999999</v>
      </c>
      <c r="E181" s="6">
        <f>VLOOKUP(TargetsPercent23[[#This Row],[KEY]],[1]!HistoricalData[#Data],5,FALSE)</f>
        <v>0.33639999999999998</v>
      </c>
      <c r="F181" s="6">
        <f>VLOOKUP(TargetsPercent23[[#This Row],[KEY]],[1]!HistoricalData[#Data],6,FALSE)</f>
        <v>0.34010000000000001</v>
      </c>
      <c r="G181" s="5">
        <f>VLOOKUP(TargetsPercent23[[#This Row],[KEY]],[1]!HistoricalData[#Data],7,FALSE)</f>
        <v>0.32650000000000001</v>
      </c>
      <c r="H181" s="2">
        <f>AVERAGE(TargetsPercent23[[#This Row],[2016–17 Historical data]],TargetsPercent23[[#This Row],[2017–18 Historical data]],TargetsPercent23[[#This Row],[2018–19 Historical data]])</f>
        <v>0.33710000000000001</v>
      </c>
      <c r="I181" s="2">
        <f>ABS(TargetsPercent23[[#This Row],[2016–17 Historical data]]-TargetsPercent23[[#This Row],[2017–18 Historical data]])</f>
        <v>1.5999999999999903E-3</v>
      </c>
      <c r="J181" s="2">
        <f>ABS(TargetsPercent23[[#This Row],[2017–18 Historical data]]-TargetsPercent23[[#This Row],[2018–19 Historical data]])</f>
        <v>3.7000000000000366E-3</v>
      </c>
      <c r="K18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1" s="23">
        <f>TargetsPercent23[[#This Row],[Average (calculated)]]-TargetsPercent23[[#This Row],[Band of Tolerance (calculated)]]</f>
        <v>0.3271</v>
      </c>
      <c r="M181" s="22">
        <f>TargetsPercent23[[#This Row],[2020–21
Allowable
performance
target]]-TargetsPercent23[[#This Row],[Target Floor (calculated)]]</f>
        <v>-5.9999999999998943E-4</v>
      </c>
    </row>
    <row r="182" spans="1:13" x14ac:dyDescent="0.2">
      <c r="A182" t="str">
        <f>_xlfn.CONCAT(TargetsPercent23[[#This Row],[University]],":",TargetsPercent23[[#This Row],[Metric]])</f>
        <v>University of Windsor:03. Graduation rate</v>
      </c>
      <c r="B182" t="s">
        <v>45</v>
      </c>
      <c r="C182" t="s">
        <v>21</v>
      </c>
      <c r="D182" s="6">
        <f>VLOOKUP(TargetsPercent23[[#This Row],[KEY]],[1]!HistoricalData[#Data],4,FALSE)</f>
        <v>0.75680000000000003</v>
      </c>
      <c r="E182" s="6">
        <f>VLOOKUP(TargetsPercent23[[#This Row],[KEY]],[1]!HistoricalData[#Data],5,FALSE)</f>
        <v>0.74480000000000002</v>
      </c>
      <c r="F182" s="6">
        <f>VLOOKUP(TargetsPercent23[[#This Row],[KEY]],[1]!HistoricalData[#Data],6,FALSE)</f>
        <v>0.73229999999999995</v>
      </c>
      <c r="G182" s="5">
        <f>VLOOKUP(TargetsPercent23[[#This Row],[KEY]],[1]!HistoricalData[#Data],7,FALSE)</f>
        <v>0.74429999999999996</v>
      </c>
      <c r="H182" s="2">
        <f>AVERAGE(TargetsPercent23[[#This Row],[2016–17 Historical data]],TargetsPercent23[[#This Row],[2017–18 Historical data]],TargetsPercent23[[#This Row],[2018–19 Historical data]])</f>
        <v>0.74463333333333337</v>
      </c>
      <c r="I182" s="2">
        <f>ABS(TargetsPercent23[[#This Row],[2016–17 Historical data]]-TargetsPercent23[[#This Row],[2017–18 Historical data]])</f>
        <v>1.2000000000000011E-2</v>
      </c>
      <c r="J182" s="2">
        <f>ABS(TargetsPercent23[[#This Row],[2017–18 Historical data]]-TargetsPercent23[[#This Row],[2018–19 Historical data]])</f>
        <v>1.2500000000000067E-2</v>
      </c>
      <c r="K182" s="2">
        <f>IF(MIN(TargetsPercent23[[#This Row],[ABS 2016-17 to 2017-18 (calculated)]:[ABS 2017-18 to 2018-19 (calculated)]])&lt;0.01,0.01,MIN(TargetsPercent23[[#This Row],[ABS 2016-17 to 2017-18 (calculated)]:[ABS 2017-18 to 2018-19 (calculated)]]))</f>
        <v>1.2000000000000011E-2</v>
      </c>
      <c r="L182" s="23">
        <f>TargetsPercent23[[#This Row],[Average (calculated)]]-TargetsPercent23[[#This Row],[Band of Tolerance (calculated)]]</f>
        <v>0.73263333333333336</v>
      </c>
      <c r="M182" s="22">
        <f>TargetsPercent23[[#This Row],[2020–21
Allowable
performance
target]]-TargetsPercent23[[#This Row],[Target Floor (calculated)]]</f>
        <v>1.1666666666666603E-2</v>
      </c>
    </row>
    <row r="183" spans="1:13" x14ac:dyDescent="0.2">
      <c r="A183" t="str">
        <f>_xlfn.CONCAT(TargetsPercent23[[#This Row],[University]],":",TargetsPercent23[[#This Row],[Metric]])</f>
        <v>University of Windsor:04. Community and local impact of student enrolment</v>
      </c>
      <c r="B183" t="s">
        <v>45</v>
      </c>
      <c r="C183" t="s">
        <v>22</v>
      </c>
      <c r="D183" s="6">
        <f>VLOOKUP(TargetsPercent23[[#This Row],[KEY]],[1]!HistoricalData[#Data],4,FALSE)</f>
        <v>0.1086</v>
      </c>
      <c r="E183" s="6">
        <f>VLOOKUP(TargetsPercent23[[#This Row],[KEY]],[1]!HistoricalData[#Data],5,FALSE)</f>
        <v>0.11070000000000001</v>
      </c>
      <c r="F183" s="6">
        <f>VLOOKUP(TargetsPercent23[[#This Row],[KEY]],[1]!HistoricalData[#Data],6,FALSE)</f>
        <v>0.1138</v>
      </c>
      <c r="G183" s="5">
        <f>VLOOKUP(TargetsPercent23[[#This Row],[KEY]],[1]!HistoricalData[#Data],7,FALSE)</f>
        <v>0.1104</v>
      </c>
      <c r="H183" s="2">
        <f>AVERAGE(TargetsPercent23[[#This Row],[2016–17 Historical data]],TargetsPercent23[[#This Row],[2017–18 Historical data]],TargetsPercent23[[#This Row],[2018–19 Historical data]])</f>
        <v>0.11103333333333333</v>
      </c>
      <c r="I183" s="2">
        <f>ABS(TargetsPercent23[[#This Row],[2016–17 Historical data]]-TargetsPercent23[[#This Row],[2017–18 Historical data]])</f>
        <v>2.1000000000000046E-3</v>
      </c>
      <c r="J183" s="2">
        <f>ABS(TargetsPercent23[[#This Row],[2017–18 Historical data]]-TargetsPercent23[[#This Row],[2018–19 Historical data]])</f>
        <v>3.0999999999999917E-3</v>
      </c>
      <c r="K18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3" s="24">
        <f>TargetsPercent23[[#This Row],[Average (calculated)]]-TargetsPercent23[[#This Row],[Band of Tolerance (calculated)]]</f>
        <v>0.10103333333333334</v>
      </c>
      <c r="M183" s="25">
        <f>TargetsPercent23[[#This Row],[2020–21
Allowable
performance
target]]-TargetsPercent23[[#This Row],[Target Floor (calculated)]]</f>
        <v>9.366666666666662E-3</v>
      </c>
    </row>
    <row r="184" spans="1:13" x14ac:dyDescent="0.2">
      <c r="A184" t="str">
        <f>_xlfn.CONCAT(TargetsPercent23[[#This Row],[University]],":",TargetsPercent23[[#This Row],[Metric]])</f>
        <v>University of Windsor:05. Economic impact (institution-specific)</v>
      </c>
      <c r="B184" t="s">
        <v>45</v>
      </c>
      <c r="C184" t="s">
        <v>23</v>
      </c>
      <c r="D184" s="18">
        <f>VLOOKUP(TargetsPercent23[[#This Row],[KEY]],[1]!HistoricalData[#Data],4,FALSE)</f>
        <v>110028827</v>
      </c>
      <c r="E184" s="18">
        <f>VLOOKUP(TargetsPercent23[[#This Row],[KEY]],[1]!HistoricalData[#Data],5,FALSE)</f>
        <v>120384827</v>
      </c>
      <c r="F184" s="18">
        <f>VLOOKUP(TargetsPercent23[[#This Row],[KEY]],[1]!HistoricalData[#Data],6,FALSE)</f>
        <v>133586282</v>
      </c>
      <c r="G184" s="19">
        <f>VLOOKUP(TargetsPercent23[[#This Row],[KEY]],[1]!HistoricalData[#Data],7,FALSE)</f>
        <v>118271406</v>
      </c>
      <c r="H184" s="11">
        <f>AVERAGE(TargetsPercent23[[#This Row],[2016–17 Historical data]],TargetsPercent23[[#This Row],[2017–18 Historical data]],TargetsPercent23[[#This Row],[2018–19 Historical data]])</f>
        <v>121333312</v>
      </c>
      <c r="I184" s="2">
        <f>ABS((TargetsPercent23[[#This Row],[2017–18 Historical data]]-TargetsPercent23[[#This Row],[2016–17 Historical data]])/TargetsPercent23[[#This Row],[2016–17 Historical data]])</f>
        <v>9.4120788909255571E-2</v>
      </c>
      <c r="J184" s="2">
        <f>ABS((TargetsPercent23[[#This Row],[2018–19 Historical data]]-TargetsPercent23[[#This Row],[2017–18 Historical data]])/TargetsPercent23[[#This Row],[2017–18 Historical data]])</f>
        <v>0.10966045579813809</v>
      </c>
      <c r="K184" s="2">
        <f>IF(MIN(TargetsPercent23[[#This Row],[ABS 2016-17 to 2017-18 (calculated)]:[ABS 2017-18 to 2018-19 (calculated)]])&lt;0.01,0.01,MIN(TargetsPercent23[[#This Row],[ABS 2016-17 to 2017-18 (calculated)]:[ABS 2017-18 to 2018-19 (calculated)]]))</f>
        <v>9.4120788909255571E-2</v>
      </c>
      <c r="L184" s="10">
        <f>TargetsPercent23[[#This Row],[Average (calculated)]]-TargetsPercent23[[#This Row],[Band of Tolerance (calculated)]]</f>
        <v>121333311.90587921</v>
      </c>
      <c r="M184" s="11">
        <f>TargetsPercent23[[#This Row],[2020–21
Allowable
performance
target]]-TargetsPercent23[[#This Row],[Target Floor (calculated)]]</f>
        <v>-3061905.9058792144</v>
      </c>
    </row>
    <row r="185" spans="1:13" x14ac:dyDescent="0.2">
      <c r="A185" t="str">
        <f>_xlfn.CONCAT(TargetsPercent23[[#This Row],[University]],":",TargetsPercent23[[#This Row],[Metric]])</f>
        <v>University of Windsor:06. Research funding and capacity: federal tri-agency funding secured</v>
      </c>
      <c r="B185" t="s">
        <v>45</v>
      </c>
      <c r="C185" t="s">
        <v>24</v>
      </c>
      <c r="D185" s="18">
        <f>VLOOKUP(TargetsPercent23[[#This Row],[KEY]],[1]!HistoricalData[#Data],4,FALSE)</f>
        <v>1.47E-2</v>
      </c>
      <c r="E185" s="18">
        <f>VLOOKUP(TargetsPercent23[[#This Row],[KEY]],[1]!HistoricalData[#Data],5,FALSE)</f>
        <v>1.34E-2</v>
      </c>
      <c r="F185" s="18">
        <f>VLOOKUP(TargetsPercent23[[#This Row],[KEY]],[1]!HistoricalData[#Data],6,FALSE)</f>
        <v>1.29E-2</v>
      </c>
      <c r="G185" s="19">
        <f>VLOOKUP(TargetsPercent23[[#This Row],[KEY]],[1]!HistoricalData[#Data],7,FALSE)</f>
        <v>1.32E-2</v>
      </c>
      <c r="H185" s="11">
        <f>AVERAGE(TargetsPercent23[[#This Row],[2016–17 Historical data]],TargetsPercent23[[#This Row],[2017–18 Historical data]],TargetsPercent23[[#This Row],[2018–19 Historical data]])</f>
        <v>1.3666666666666667E-2</v>
      </c>
      <c r="I185" s="2">
        <f>ABS((TargetsPercent23[[#This Row],[2017–18 Historical data]]-TargetsPercent23[[#This Row],[2016–17 Historical data]])/TargetsPercent23[[#This Row],[2016–17 Historical data]])</f>
        <v>8.8435374149659809E-2</v>
      </c>
      <c r="J185" s="2">
        <f>ABS((TargetsPercent23[[#This Row],[2018–19 Historical data]]-TargetsPercent23[[#This Row],[2017–18 Historical data]])/TargetsPercent23[[#This Row],[2017–18 Historical data]])</f>
        <v>3.7313432835820927E-2</v>
      </c>
      <c r="K185" s="2">
        <f>IF(MIN(TargetsPercent23[[#This Row],[ABS 2016-17 to 2017-18 (calculated)]:[ABS 2017-18 to 2018-19 (calculated)]])&lt;0.01,0.01,MIN(TargetsPercent23[[#This Row],[ABS 2016-17 to 2017-18 (calculated)]:[ABS 2017-18 to 2018-19 (calculated)]]))</f>
        <v>3.7313432835820927E-2</v>
      </c>
      <c r="L185" s="10">
        <f>TargetsPercent23[[#This Row],[Average (calculated)]]-TargetsPercent23[[#This Row],[Band of Tolerance (calculated)]]</f>
        <v>-2.364676616915426E-2</v>
      </c>
      <c r="M185" s="11">
        <f>TargetsPercent23[[#This Row],[2020–21
Allowable
performance
target]]-TargetsPercent23[[#This Row],[Target Floor (calculated)]]</f>
        <v>3.6846766169154263E-2</v>
      </c>
    </row>
    <row r="186" spans="1:13" x14ac:dyDescent="0.2">
      <c r="A186" t="str">
        <f>_xlfn.CONCAT(TargetsPercent23[[#This Row],[University]],":",TargetsPercent23[[#This Row],[Metric]])</f>
        <v>University of Windsor:07. Experiential learning</v>
      </c>
      <c r="B186" t="s">
        <v>45</v>
      </c>
      <c r="C186" t="s">
        <v>25</v>
      </c>
      <c r="D186" s="6">
        <f>VLOOKUP(TargetsPercent23[[#This Row],[KEY]],[1]!HistoricalData[#Data],4,FALSE)</f>
        <v>0</v>
      </c>
      <c r="E186" s="6">
        <f>VLOOKUP(TargetsPercent23[[#This Row],[KEY]],[1]!HistoricalData[#Data],5,FALSE)</f>
        <v>0</v>
      </c>
      <c r="F186" s="6">
        <f>VLOOKUP(TargetsPercent23[[#This Row],[KEY]],[1]!HistoricalData[#Data],6,FALSE)</f>
        <v>0</v>
      </c>
      <c r="G186" s="5">
        <f>VLOOKUP(TargetsPercent23[[#This Row],[KEY]],[1]!HistoricalData[#Data],7,FALSE)</f>
        <v>0</v>
      </c>
      <c r="H186" s="9">
        <f>AVERAGE(TargetsPercent23[[#This Row],[2016–17 Historical data]],TargetsPercent23[[#This Row],[2017–18 Historical data]],TargetsPercent23[[#This Row],[2018–19 Historical data]])</f>
        <v>0</v>
      </c>
      <c r="I186" s="9">
        <f>ABS(TargetsPercent23[[#This Row],[2016–17 Historical data]]-TargetsPercent23[[#This Row],[2017–18 Historical data]])</f>
        <v>0</v>
      </c>
      <c r="J186" s="2">
        <f>ABS(TargetsPercent23[[#This Row],[2017–18 Historical data]]-TargetsPercent23[[#This Row],[2018–19 Historical data]])</f>
        <v>0</v>
      </c>
      <c r="K18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6" s="26">
        <f>TargetsPercent23[[#This Row],[Average (calculated)]]-TargetsPercent23[[#This Row],[Band of Tolerance (calculated)]]</f>
        <v>-0.01</v>
      </c>
      <c r="M186" s="22">
        <f>TargetsPercent23[[#This Row],[2020–21
Allowable
performance
target]]-TargetsPercent23[[#This Row],[Target Floor (calculated)]]</f>
        <v>0.01</v>
      </c>
    </row>
    <row r="187" spans="1:13" x14ac:dyDescent="0.2">
      <c r="A187" t="str">
        <f>_xlfn.CONCAT(TargetsPercent23[[#This Row],[University]],":",TargetsPercent23[[#This Row],[Metric]])</f>
        <v>University of Windsor:08. Research revenue attracted from private sector sources</v>
      </c>
      <c r="B187" t="s">
        <v>45</v>
      </c>
      <c r="C187" t="s">
        <v>26</v>
      </c>
      <c r="D187" s="18">
        <f>VLOOKUP(TargetsPercent23[[#This Row],[KEY]],[1]!HistoricalData[#Data],4,FALSE)</f>
        <v>0</v>
      </c>
      <c r="E187" s="18">
        <f>VLOOKUP(TargetsPercent23[[#This Row],[KEY]],[1]!HistoricalData[#Data],5,FALSE)</f>
        <v>0</v>
      </c>
      <c r="F187" s="18">
        <f>VLOOKUP(TargetsPercent23[[#This Row],[KEY]],[1]!HistoricalData[#Data],6,FALSE)</f>
        <v>0</v>
      </c>
      <c r="G187" s="19">
        <f>VLOOKUP(TargetsPercent23[[#This Row],[KEY]],[1]!HistoricalData[#Data],7,FALSE)</f>
        <v>0</v>
      </c>
      <c r="H187" s="11">
        <f>AVERAGE(TargetsPercent23[[#This Row],[2016–17 Historical data]],TargetsPercent23[[#This Row],[2017–18 Historical data]],TargetsPercent23[[#This Row],[2018–19 Historical data]])</f>
        <v>0</v>
      </c>
      <c r="I187" s="2" t="e">
        <f>ABS((TargetsPercent23[[#This Row],[2017–18 Historical data]]-TargetsPercent23[[#This Row],[2016–17 Historical data]])/TargetsPercent23[[#This Row],[2016–17 Historical data]])</f>
        <v>#DIV/0!</v>
      </c>
      <c r="J187" s="2" t="e">
        <f>ABS((TargetsPercent23[[#This Row],[2018–19 Historical data]]-TargetsPercent23[[#This Row],[2017–18 Historical data]])/TargetsPercent23[[#This Row],[2017–18 Historical data]])</f>
        <v>#DIV/0!</v>
      </c>
      <c r="K187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87" s="10" t="e">
        <f>TargetsPercent23[[#This Row],[Average (calculated)]]-TargetsPercent23[[#This Row],[Band of Tolerance (calculated)]]</f>
        <v>#DIV/0!</v>
      </c>
      <c r="M187" s="11" t="e">
        <f>TargetsPercent23[[#This Row],[2020–21
Allowable
performance
target]]-TargetsPercent23[[#This Row],[Target Floor (calculated)]]</f>
        <v>#DIV/0!</v>
      </c>
    </row>
    <row r="188" spans="1:13" x14ac:dyDescent="0.2">
      <c r="A188" t="str">
        <f>_xlfn.CONCAT(TargetsPercent23[[#This Row],[University]],":",TargetsPercent23[[#This Row],[Metric]])</f>
        <v>University of Windsor:09. Graduate employment earnings</v>
      </c>
      <c r="B188" t="s">
        <v>45</v>
      </c>
      <c r="C188" t="s">
        <v>27</v>
      </c>
      <c r="D188" s="6">
        <f>VLOOKUP(TargetsPercent23[[#This Row],[KEY]],[1]!HistoricalData[#Data],4,FALSE)</f>
        <v>0</v>
      </c>
      <c r="E188" s="6">
        <f>VLOOKUP(TargetsPercent23[[#This Row],[KEY]],[1]!HistoricalData[#Data],5,FALSE)</f>
        <v>0</v>
      </c>
      <c r="F188" s="6">
        <f>VLOOKUP(TargetsPercent23[[#This Row],[KEY]],[1]!HistoricalData[#Data],6,FALSE)</f>
        <v>0</v>
      </c>
      <c r="G188" s="5">
        <f>VLOOKUP(TargetsPercent23[[#This Row],[KEY]],[1]!HistoricalData[#Data],7,FALSE)</f>
        <v>0</v>
      </c>
      <c r="H188" s="9">
        <f>AVERAGE(TargetsPercent23[[#This Row],[2016–17 Historical data]],TargetsPercent23[[#This Row],[2017–18 Historical data]],TargetsPercent23[[#This Row],[2018–19 Historical data]])</f>
        <v>0</v>
      </c>
      <c r="I188" s="9">
        <f>ABS(TargetsPercent23[[#This Row],[2016–17 Historical data]]-TargetsPercent23[[#This Row],[2017–18 Historical data]])</f>
        <v>0</v>
      </c>
      <c r="J188" s="2">
        <f>ABS(TargetsPercent23[[#This Row],[2017–18 Historical data]]-TargetsPercent23[[#This Row],[2018–19 Historical data]])</f>
        <v>0</v>
      </c>
      <c r="K18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8" s="26">
        <f>TargetsPercent23[[#This Row],[Average (calculated)]]-TargetsPercent23[[#This Row],[Band of Tolerance (calculated)]]</f>
        <v>-0.01</v>
      </c>
      <c r="M188" s="22">
        <f>TargetsPercent23[[#This Row],[2020–21
Allowable
performance
target]]-TargetsPercent23[[#This Row],[Target Floor (calculated)]]</f>
        <v>0.01</v>
      </c>
    </row>
    <row r="189" spans="1:13" x14ac:dyDescent="0.2">
      <c r="A189" t="str">
        <f>_xlfn.CONCAT(TargetsPercent23[[#This Row],[University]],":",TargetsPercent23[[#This Row],[Metric]])</f>
        <v>University of Windsor:10. Skills and competencies</v>
      </c>
      <c r="B189" t="s">
        <v>45</v>
      </c>
      <c r="C189" t="s">
        <v>28</v>
      </c>
      <c r="D189" s="6">
        <f>VLOOKUP(TargetsPercent23[[#This Row],[KEY]],[1]!HistoricalData[#Data],4,FALSE)</f>
        <v>0</v>
      </c>
      <c r="E189" s="6">
        <f>VLOOKUP(TargetsPercent23[[#This Row],[KEY]],[1]!HistoricalData[#Data],5,FALSE)</f>
        <v>0</v>
      </c>
      <c r="F189" s="6">
        <f>VLOOKUP(TargetsPercent23[[#This Row],[KEY]],[1]!HistoricalData[#Data],6,FALSE)</f>
        <v>0</v>
      </c>
      <c r="G189" s="5">
        <f>VLOOKUP(TargetsPercent23[[#This Row],[KEY]],[1]!HistoricalData[#Data],7,FALSE)</f>
        <v>0</v>
      </c>
      <c r="H189" s="9">
        <f>AVERAGE(TargetsPercent23[[#This Row],[2016–17 Historical data]],TargetsPercent23[[#This Row],[2017–18 Historical data]],TargetsPercent23[[#This Row],[2018–19 Historical data]])</f>
        <v>0</v>
      </c>
      <c r="I189" s="9">
        <f>ABS(TargetsPercent23[[#This Row],[2016–17 Historical data]]-TargetsPercent23[[#This Row],[2017–18 Historical data]])</f>
        <v>0</v>
      </c>
      <c r="J189" s="2">
        <f>ABS(TargetsPercent23[[#This Row],[2017–18 Historical data]]-TargetsPercent23[[#This Row],[2018–19 Historical data]])</f>
        <v>0</v>
      </c>
      <c r="K18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89" s="26">
        <f>TargetsPercent23[[#This Row],[Average (calculated)]]-TargetsPercent23[[#This Row],[Band of Tolerance (calculated)]]</f>
        <v>-0.01</v>
      </c>
      <c r="M189" s="22">
        <f>TargetsPercent23[[#This Row],[2020–21
Allowable
performance
target]]-TargetsPercent23[[#This Row],[Target Floor (calculated)]]</f>
        <v>0.01</v>
      </c>
    </row>
    <row r="190" spans="1:13" x14ac:dyDescent="0.2">
      <c r="A190" t="str">
        <f>_xlfn.CONCAT(TargetsPercent23[[#This Row],[University]],":",TargetsPercent23[[#This Row],[Metric]])</f>
        <v>University of Windsor:Tri-agency research funding</v>
      </c>
      <c r="B190" t="s">
        <v>45</v>
      </c>
      <c r="C190" t="s">
        <v>29</v>
      </c>
      <c r="D190" s="18">
        <f>VLOOKUP(TargetsPercent23[[#This Row],[KEY]],[1]!HistoricalData[#Data],4,FALSE)</f>
        <v>9367507</v>
      </c>
      <c r="E190" s="18">
        <f>VLOOKUP(TargetsPercent23[[#This Row],[KEY]],[1]!HistoricalData[#Data],5,FALSE)</f>
        <v>8892127</v>
      </c>
      <c r="F190" s="18">
        <f>VLOOKUP(TargetsPercent23[[#This Row],[KEY]],[1]!HistoricalData[#Data],6,FALSE)</f>
        <v>8788232</v>
      </c>
      <c r="G190" s="19">
        <f>VLOOKUP(TargetsPercent23[[#This Row],[KEY]],[1]!HistoricalData[#Data],7,FALSE)</f>
        <v>0</v>
      </c>
      <c r="H190" s="11">
        <f>AVERAGE(TargetsPercent23[[#This Row],[2016–17 Historical data]],TargetsPercent23[[#This Row],[2017–18 Historical data]],TargetsPercent23[[#This Row],[2018–19 Historical data]])</f>
        <v>9015955.333333334</v>
      </c>
      <c r="I190" s="2">
        <f>ABS((TargetsPercent23[[#This Row],[2017–18 Historical data]]-TargetsPercent23[[#This Row],[2016–17 Historical data]])/TargetsPercent23[[#This Row],[2016–17 Historical data]])</f>
        <v>5.0747760316592234E-2</v>
      </c>
      <c r="J190" s="2">
        <f>ABS((TargetsPercent23[[#This Row],[2018–19 Historical data]]-TargetsPercent23[[#This Row],[2017–18 Historical data]])/TargetsPercent23[[#This Row],[2017–18 Historical data]])</f>
        <v>1.1683931189916653E-2</v>
      </c>
      <c r="K190" s="2">
        <f>IF(MIN(TargetsPercent23[[#This Row],[ABS 2016-17 to 2017-18 (calculated)]:[ABS 2017-18 to 2018-19 (calculated)]])&lt;0.01,0.01,MIN(TargetsPercent23[[#This Row],[ABS 2016-17 to 2017-18 (calculated)]:[ABS 2017-18 to 2018-19 (calculated)]]))</f>
        <v>1.1683931189916653E-2</v>
      </c>
      <c r="L190" s="10">
        <f>TargetsPercent23[[#This Row],[Average (calculated)]]-TargetsPercent23[[#This Row],[Band of Tolerance (calculated)]]</f>
        <v>9015955.3216494024</v>
      </c>
      <c r="M190" s="11">
        <f>TargetsPercent23[[#This Row],[2020–21
Allowable
performance
target]]-TargetsPercent23[[#This Row],[Target Floor (calculated)]]</f>
        <v>-9015955.3216494024</v>
      </c>
    </row>
    <row r="191" spans="1:13" x14ac:dyDescent="0.2">
      <c r="A191" t="str">
        <f>_xlfn.CONCAT(TargetsPercent23[[#This Row],[University]],":",TargetsPercent23[[#This Row],[Metric]])</f>
        <v>OTU (UOIT):01. Graduate employment rate in a related field</v>
      </c>
      <c r="B191" t="s">
        <v>46</v>
      </c>
      <c r="C191" t="s">
        <v>19</v>
      </c>
      <c r="D191" s="6">
        <f>VLOOKUP(TargetsPercent23[[#This Row],[KEY]],[1]!HistoricalData[#Data],4,FALSE)</f>
        <v>0.89449999999999996</v>
      </c>
      <c r="E191" s="6">
        <f>VLOOKUP(TargetsPercent23[[#This Row],[KEY]],[1]!HistoricalData[#Data],5,FALSE)</f>
        <v>0.90390000000000004</v>
      </c>
      <c r="F191" s="6">
        <f>VLOOKUP(TargetsPercent23[[#This Row],[KEY]],[1]!HistoricalData[#Data],6,FALSE)</f>
        <v>0.85429999999999995</v>
      </c>
      <c r="G191" s="5">
        <f>VLOOKUP(TargetsPercent23[[#This Row],[KEY]],[1]!HistoricalData[#Data],7,FALSE)</f>
        <v>0.86439999999999995</v>
      </c>
      <c r="H191" s="2">
        <f>AVERAGE(TargetsPercent23[[#This Row],[2016–17 Historical data]],TargetsPercent23[[#This Row],[2017–18 Historical data]],TargetsPercent23[[#This Row],[2018–19 Historical data]])</f>
        <v>0.88423333333333332</v>
      </c>
      <c r="I191" s="2">
        <f>ABS(TargetsPercent23[[#This Row],[2016–17 Historical data]]-TargetsPercent23[[#This Row],[2017–18 Historical data]])</f>
        <v>9.400000000000075E-3</v>
      </c>
      <c r="J191" s="2">
        <f>ABS(TargetsPercent23[[#This Row],[2017–18 Historical data]]-TargetsPercent23[[#This Row],[2018–19 Historical data]])</f>
        <v>4.9600000000000088E-2</v>
      </c>
      <c r="K19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91" s="23">
        <f>TargetsPercent23[[#This Row],[Average (calculated)]]-TargetsPercent23[[#This Row],[Band of Tolerance (calculated)]]</f>
        <v>0.87423333333333331</v>
      </c>
      <c r="M191" s="22">
        <f>TargetsPercent23[[#This Row],[2020–21
Allowable
performance
target]]-TargetsPercent23[[#This Row],[Target Floor (calculated)]]</f>
        <v>-9.8333333333333606E-3</v>
      </c>
    </row>
    <row r="192" spans="1:13" x14ac:dyDescent="0.2">
      <c r="A192" t="str">
        <f>_xlfn.CONCAT(TargetsPercent23[[#This Row],[University]],":",TargetsPercent23[[#This Row],[Metric]])</f>
        <v>OTU (UOIT):02. Institutional strength and focus</v>
      </c>
      <c r="B192" t="s">
        <v>46</v>
      </c>
      <c r="C192" t="s">
        <v>20</v>
      </c>
      <c r="D192" s="6">
        <f>VLOOKUP(TargetsPercent23[[#This Row],[KEY]],[1]!HistoricalData[#Data],4,FALSE)</f>
        <v>0.32829999999999998</v>
      </c>
      <c r="E192" s="6">
        <f>VLOOKUP(TargetsPercent23[[#This Row],[KEY]],[1]!HistoricalData[#Data],5,FALSE)</f>
        <v>0.34720000000000001</v>
      </c>
      <c r="F192" s="6">
        <f>VLOOKUP(TargetsPercent23[[#This Row],[KEY]],[1]!HistoricalData[#Data],6,FALSE)</f>
        <v>0.34739999999999999</v>
      </c>
      <c r="G192" s="5">
        <f>VLOOKUP(TargetsPercent23[[#This Row],[KEY]],[1]!HistoricalData[#Data],7,FALSE)</f>
        <v>0.3407</v>
      </c>
      <c r="H192" s="2">
        <f>AVERAGE(TargetsPercent23[[#This Row],[2016–17 Historical data]],TargetsPercent23[[#This Row],[2017–18 Historical data]],TargetsPercent23[[#This Row],[2018–19 Historical data]])</f>
        <v>0.34096666666666664</v>
      </c>
      <c r="I192" s="2">
        <f>ABS(TargetsPercent23[[#This Row],[2016–17 Historical data]]-TargetsPercent23[[#This Row],[2017–18 Historical data]])</f>
        <v>1.8900000000000028E-2</v>
      </c>
      <c r="J192" s="2">
        <f>ABS(TargetsPercent23[[#This Row],[2017–18 Historical data]]-TargetsPercent23[[#This Row],[2018–19 Historical data]])</f>
        <v>1.9999999999997797E-4</v>
      </c>
      <c r="K19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92" s="23">
        <f>TargetsPercent23[[#This Row],[Average (calculated)]]-TargetsPercent23[[#This Row],[Band of Tolerance (calculated)]]</f>
        <v>0.33096666666666663</v>
      </c>
      <c r="M192" s="22">
        <f>TargetsPercent23[[#This Row],[2020–21
Allowable
performance
target]]-TargetsPercent23[[#This Row],[Target Floor (calculated)]]</f>
        <v>9.7333333333333716E-3</v>
      </c>
    </row>
    <row r="193" spans="1:13" x14ac:dyDescent="0.2">
      <c r="A193" t="str">
        <f>_xlfn.CONCAT(TargetsPercent23[[#This Row],[University]],":",TargetsPercent23[[#This Row],[Metric]])</f>
        <v>OTU (UOIT):03. Graduation rate</v>
      </c>
      <c r="B193" t="s">
        <v>46</v>
      </c>
      <c r="C193" t="s">
        <v>21</v>
      </c>
      <c r="D193" s="6">
        <f>VLOOKUP(TargetsPercent23[[#This Row],[KEY]],[1]!HistoricalData[#Data],4,FALSE)</f>
        <v>0.71660000000000001</v>
      </c>
      <c r="E193" s="6">
        <f>VLOOKUP(TargetsPercent23[[#This Row],[KEY]],[1]!HistoricalData[#Data],5,FALSE)</f>
        <v>0.67830000000000001</v>
      </c>
      <c r="F193" s="6">
        <f>VLOOKUP(TargetsPercent23[[#This Row],[KEY]],[1]!HistoricalData[#Data],6,FALSE)</f>
        <v>0.66149999999999998</v>
      </c>
      <c r="G193" s="5">
        <f>VLOOKUP(TargetsPercent23[[#This Row],[KEY]],[1]!HistoricalData[#Data],7,FALSE)</f>
        <v>0.67490000000000006</v>
      </c>
      <c r="H193" s="2">
        <f>AVERAGE(TargetsPercent23[[#This Row],[2016–17 Historical data]],TargetsPercent23[[#This Row],[2017–18 Historical data]],TargetsPercent23[[#This Row],[2018–19 Historical data]])</f>
        <v>0.68546666666666667</v>
      </c>
      <c r="I193" s="2">
        <f>ABS(TargetsPercent23[[#This Row],[2016–17 Historical data]]-TargetsPercent23[[#This Row],[2017–18 Historical data]])</f>
        <v>3.8300000000000001E-2</v>
      </c>
      <c r="J193" s="2">
        <f>ABS(TargetsPercent23[[#This Row],[2017–18 Historical data]]-TargetsPercent23[[#This Row],[2018–19 Historical data]])</f>
        <v>1.6800000000000037E-2</v>
      </c>
      <c r="K193" s="2">
        <f>IF(MIN(TargetsPercent23[[#This Row],[ABS 2016-17 to 2017-18 (calculated)]:[ABS 2017-18 to 2018-19 (calculated)]])&lt;0.01,0.01,MIN(TargetsPercent23[[#This Row],[ABS 2016-17 to 2017-18 (calculated)]:[ABS 2017-18 to 2018-19 (calculated)]]))</f>
        <v>1.6800000000000037E-2</v>
      </c>
      <c r="L193" s="23">
        <f>TargetsPercent23[[#This Row],[Average (calculated)]]-TargetsPercent23[[#This Row],[Band of Tolerance (calculated)]]</f>
        <v>0.66866666666666663</v>
      </c>
      <c r="M193" s="22">
        <f>TargetsPercent23[[#This Row],[2020–21
Allowable
performance
target]]-TargetsPercent23[[#This Row],[Target Floor (calculated)]]</f>
        <v>6.233333333333424E-3</v>
      </c>
    </row>
    <row r="194" spans="1:13" x14ac:dyDescent="0.2">
      <c r="A194" t="str">
        <f>_xlfn.CONCAT(TargetsPercent23[[#This Row],[University]],":",TargetsPercent23[[#This Row],[Metric]])</f>
        <v>OTU (UOIT):04. Community and local impact of student enrolment</v>
      </c>
      <c r="B194" t="s">
        <v>46</v>
      </c>
      <c r="C194" t="s">
        <v>22</v>
      </c>
      <c r="D194" s="6">
        <f>VLOOKUP(TargetsPercent23[[#This Row],[KEY]],[1]!HistoricalData[#Data],4,FALSE)</f>
        <v>9.5299999999999996E-2</v>
      </c>
      <c r="E194" s="6">
        <f>VLOOKUP(TargetsPercent23[[#This Row],[KEY]],[1]!HistoricalData[#Data],5,FALSE)</f>
        <v>9.64E-2</v>
      </c>
      <c r="F194" s="6">
        <f>VLOOKUP(TargetsPercent23[[#This Row],[KEY]],[1]!HistoricalData[#Data],6,FALSE)</f>
        <v>9.7100000000000006E-2</v>
      </c>
      <c r="G194" s="5">
        <f>VLOOKUP(TargetsPercent23[[#This Row],[KEY]],[1]!HistoricalData[#Data],7,FALSE)</f>
        <v>9.6000000000000002E-2</v>
      </c>
      <c r="H194" s="2">
        <f>AVERAGE(TargetsPercent23[[#This Row],[2016–17 Historical data]],TargetsPercent23[[#This Row],[2017–18 Historical data]],TargetsPercent23[[#This Row],[2018–19 Historical data]])</f>
        <v>9.6266666666666667E-2</v>
      </c>
      <c r="I194" s="2">
        <f>ABS(TargetsPercent23[[#This Row],[2016–17 Historical data]]-TargetsPercent23[[#This Row],[2017–18 Historical data]])</f>
        <v>1.1000000000000038E-3</v>
      </c>
      <c r="J194" s="2">
        <f>ABS(TargetsPercent23[[#This Row],[2017–18 Historical data]]-TargetsPercent23[[#This Row],[2018–19 Historical data]])</f>
        <v>7.0000000000000617E-4</v>
      </c>
      <c r="K19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94" s="24">
        <f>TargetsPercent23[[#This Row],[Average (calculated)]]-TargetsPercent23[[#This Row],[Band of Tolerance (calculated)]]</f>
        <v>8.6266666666666672E-2</v>
      </c>
      <c r="M194" s="25">
        <f>TargetsPercent23[[#This Row],[2020–21
Allowable
performance
target]]-TargetsPercent23[[#This Row],[Target Floor (calculated)]]</f>
        <v>9.73333333333333E-3</v>
      </c>
    </row>
    <row r="195" spans="1:13" x14ac:dyDescent="0.2">
      <c r="A195" t="str">
        <f>_xlfn.CONCAT(TargetsPercent23[[#This Row],[University]],":",TargetsPercent23[[#This Row],[Metric]])</f>
        <v>OTU (UOIT):05. Economic impact (institution-specific)</v>
      </c>
      <c r="B195" t="s">
        <v>46</v>
      </c>
      <c r="C195" t="s">
        <v>23</v>
      </c>
      <c r="D195" s="18">
        <f>VLOOKUP(TargetsPercent23[[#This Row],[KEY]],[1]!HistoricalData[#Data],4,FALSE)</f>
        <v>211</v>
      </c>
      <c r="E195" s="18">
        <f>VLOOKUP(TargetsPercent23[[#This Row],[KEY]],[1]!HistoricalData[#Data],5,FALSE)</f>
        <v>241</v>
      </c>
      <c r="F195" s="18">
        <f>VLOOKUP(TargetsPercent23[[#This Row],[KEY]],[1]!HistoricalData[#Data],6,FALSE)</f>
        <v>383</v>
      </c>
      <c r="G195" s="19">
        <f>VLOOKUP(TargetsPercent23[[#This Row],[KEY]],[1]!HistoricalData[#Data],7,FALSE)</f>
        <v>195.58</v>
      </c>
      <c r="H195" s="11">
        <f>AVERAGE(TargetsPercent23[[#This Row],[2016–17 Historical data]],TargetsPercent23[[#This Row],[2017–18 Historical data]],TargetsPercent23[[#This Row],[2018–19 Historical data]])</f>
        <v>278.33333333333331</v>
      </c>
      <c r="I195" s="2">
        <f>ABS((TargetsPercent23[[#This Row],[2017–18 Historical data]]-TargetsPercent23[[#This Row],[2016–17 Historical data]])/TargetsPercent23[[#This Row],[2016–17 Historical data]])</f>
        <v>0.14218009478672985</v>
      </c>
      <c r="J195" s="2">
        <f>ABS((TargetsPercent23[[#This Row],[2018–19 Historical data]]-TargetsPercent23[[#This Row],[2017–18 Historical data]])/TargetsPercent23[[#This Row],[2017–18 Historical data]])</f>
        <v>0.58921161825726143</v>
      </c>
      <c r="K195" s="2">
        <f>IF(MIN(TargetsPercent23[[#This Row],[ABS 2016-17 to 2017-18 (calculated)]:[ABS 2017-18 to 2018-19 (calculated)]])&lt;0.01,0.01,MIN(TargetsPercent23[[#This Row],[ABS 2016-17 to 2017-18 (calculated)]:[ABS 2017-18 to 2018-19 (calculated)]]))</f>
        <v>0.14218009478672985</v>
      </c>
      <c r="L195" s="10">
        <f>TargetsPercent23[[#This Row],[Average (calculated)]]-TargetsPercent23[[#This Row],[Band of Tolerance (calculated)]]</f>
        <v>278.19115323854658</v>
      </c>
      <c r="M195" s="11">
        <f>TargetsPercent23[[#This Row],[2020–21
Allowable
performance
target]]-TargetsPercent23[[#This Row],[Target Floor (calculated)]]</f>
        <v>-82.611153238546564</v>
      </c>
    </row>
    <row r="196" spans="1:13" x14ac:dyDescent="0.2">
      <c r="A196" t="str">
        <f>_xlfn.CONCAT(TargetsPercent23[[#This Row],[University]],":",TargetsPercent23[[#This Row],[Metric]])</f>
        <v>OTU (UOIT):06. Research funding and capacity: federal tri-agency funding secured</v>
      </c>
      <c r="B196" t="s">
        <v>46</v>
      </c>
      <c r="C196" t="s">
        <v>24</v>
      </c>
      <c r="D196" s="18">
        <f>VLOOKUP(TargetsPercent23[[#This Row],[KEY]],[1]!HistoricalData[#Data],4,FALSE)</f>
        <v>6.1000000000000004E-3</v>
      </c>
      <c r="E196" s="18">
        <f>VLOOKUP(TargetsPercent23[[#This Row],[KEY]],[1]!HistoricalData[#Data],5,FALSE)</f>
        <v>6.1999999999999998E-3</v>
      </c>
      <c r="F196" s="18">
        <f>VLOOKUP(TargetsPercent23[[#This Row],[KEY]],[1]!HistoricalData[#Data],6,FALSE)</f>
        <v>6.1000000000000004E-3</v>
      </c>
      <c r="G196" s="19">
        <f>VLOOKUP(TargetsPercent23[[#This Row],[KEY]],[1]!HistoricalData[#Data],7,FALSE)</f>
        <v>5.8999999999999999E-3</v>
      </c>
      <c r="H196" s="11">
        <f>AVERAGE(TargetsPercent23[[#This Row],[2016–17 Historical data]],TargetsPercent23[[#This Row],[2017–18 Historical data]],TargetsPercent23[[#This Row],[2018–19 Historical data]])</f>
        <v>6.1333333333333335E-3</v>
      </c>
      <c r="I196" s="2">
        <f>ABS((TargetsPercent23[[#This Row],[2017–18 Historical data]]-TargetsPercent23[[#This Row],[2016–17 Historical data]])/TargetsPercent23[[#This Row],[2016–17 Historical data]])</f>
        <v>1.639344262295072E-2</v>
      </c>
      <c r="J196" s="2">
        <f>ABS((TargetsPercent23[[#This Row],[2018–19 Historical data]]-TargetsPercent23[[#This Row],[2017–18 Historical data]])/TargetsPercent23[[#This Row],[2017–18 Historical data]])</f>
        <v>1.6129032258064419E-2</v>
      </c>
      <c r="K196" s="2">
        <f>IF(MIN(TargetsPercent23[[#This Row],[ABS 2016-17 to 2017-18 (calculated)]:[ABS 2017-18 to 2018-19 (calculated)]])&lt;0.01,0.01,MIN(TargetsPercent23[[#This Row],[ABS 2016-17 to 2017-18 (calculated)]:[ABS 2017-18 to 2018-19 (calculated)]]))</f>
        <v>1.6129032258064419E-2</v>
      </c>
      <c r="L196" s="10">
        <f>TargetsPercent23[[#This Row],[Average (calculated)]]-TargetsPercent23[[#This Row],[Band of Tolerance (calculated)]]</f>
        <v>-9.9956989247310842E-3</v>
      </c>
      <c r="M196" s="11">
        <f>TargetsPercent23[[#This Row],[2020–21
Allowable
performance
target]]-TargetsPercent23[[#This Row],[Target Floor (calculated)]]</f>
        <v>1.5895698924731083E-2</v>
      </c>
    </row>
    <row r="197" spans="1:13" x14ac:dyDescent="0.2">
      <c r="A197" t="str">
        <f>_xlfn.CONCAT(TargetsPercent23[[#This Row],[University]],":",TargetsPercent23[[#This Row],[Metric]])</f>
        <v>OTU (UOIT):07. Experiential learning</v>
      </c>
      <c r="B197" t="s">
        <v>46</v>
      </c>
      <c r="C197" t="s">
        <v>25</v>
      </c>
      <c r="D197" s="6">
        <f>VLOOKUP(TargetsPercent23[[#This Row],[KEY]],[1]!HistoricalData[#Data],4,FALSE)</f>
        <v>0</v>
      </c>
      <c r="E197" s="6">
        <f>VLOOKUP(TargetsPercent23[[#This Row],[KEY]],[1]!HistoricalData[#Data],5,FALSE)</f>
        <v>0</v>
      </c>
      <c r="F197" s="6">
        <f>VLOOKUP(TargetsPercent23[[#This Row],[KEY]],[1]!HistoricalData[#Data],6,FALSE)</f>
        <v>0</v>
      </c>
      <c r="G197" s="5">
        <f>VLOOKUP(TargetsPercent23[[#This Row],[KEY]],[1]!HistoricalData[#Data],7,FALSE)</f>
        <v>0</v>
      </c>
      <c r="H197" s="9">
        <f>AVERAGE(TargetsPercent23[[#This Row],[2016–17 Historical data]],TargetsPercent23[[#This Row],[2017–18 Historical data]],TargetsPercent23[[#This Row],[2018–19 Historical data]])</f>
        <v>0</v>
      </c>
      <c r="I197" s="9">
        <f>ABS(TargetsPercent23[[#This Row],[2016–17 Historical data]]-TargetsPercent23[[#This Row],[2017–18 Historical data]])</f>
        <v>0</v>
      </c>
      <c r="J197" s="2">
        <f>ABS(TargetsPercent23[[#This Row],[2017–18 Historical data]]-TargetsPercent23[[#This Row],[2018–19 Historical data]])</f>
        <v>0</v>
      </c>
      <c r="K19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97" s="26">
        <f>TargetsPercent23[[#This Row],[Average (calculated)]]-TargetsPercent23[[#This Row],[Band of Tolerance (calculated)]]</f>
        <v>-0.01</v>
      </c>
      <c r="M197" s="22">
        <f>TargetsPercent23[[#This Row],[2020–21
Allowable
performance
target]]-TargetsPercent23[[#This Row],[Target Floor (calculated)]]</f>
        <v>0.01</v>
      </c>
    </row>
    <row r="198" spans="1:13" x14ac:dyDescent="0.2">
      <c r="A198" t="str">
        <f>_xlfn.CONCAT(TargetsPercent23[[#This Row],[University]],":",TargetsPercent23[[#This Row],[Metric]])</f>
        <v>OTU (UOIT):08. Research revenue attracted from private sector sources</v>
      </c>
      <c r="B198" t="s">
        <v>46</v>
      </c>
      <c r="C198" t="s">
        <v>26</v>
      </c>
      <c r="D198" s="18">
        <f>VLOOKUP(TargetsPercent23[[#This Row],[KEY]],[1]!HistoricalData[#Data],4,FALSE)</f>
        <v>0</v>
      </c>
      <c r="E198" s="18">
        <f>VLOOKUP(TargetsPercent23[[#This Row],[KEY]],[1]!HistoricalData[#Data],5,FALSE)</f>
        <v>0</v>
      </c>
      <c r="F198" s="18">
        <f>VLOOKUP(TargetsPercent23[[#This Row],[KEY]],[1]!HistoricalData[#Data],6,FALSE)</f>
        <v>0</v>
      </c>
      <c r="G198" s="19">
        <f>VLOOKUP(TargetsPercent23[[#This Row],[KEY]],[1]!HistoricalData[#Data],7,FALSE)</f>
        <v>0</v>
      </c>
      <c r="H198" s="11">
        <f>AVERAGE(TargetsPercent23[[#This Row],[2016–17 Historical data]],TargetsPercent23[[#This Row],[2017–18 Historical data]],TargetsPercent23[[#This Row],[2018–19 Historical data]])</f>
        <v>0</v>
      </c>
      <c r="I198" s="2" t="e">
        <f>ABS((TargetsPercent23[[#This Row],[2017–18 Historical data]]-TargetsPercent23[[#This Row],[2016–17 Historical data]])/TargetsPercent23[[#This Row],[2016–17 Historical data]])</f>
        <v>#DIV/0!</v>
      </c>
      <c r="J198" s="2" t="e">
        <f>ABS((TargetsPercent23[[#This Row],[2018–19 Historical data]]-TargetsPercent23[[#This Row],[2017–18 Historical data]])/TargetsPercent23[[#This Row],[2017–18 Historical data]])</f>
        <v>#DIV/0!</v>
      </c>
      <c r="K198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198" s="10" t="e">
        <f>TargetsPercent23[[#This Row],[Average (calculated)]]-TargetsPercent23[[#This Row],[Band of Tolerance (calculated)]]</f>
        <v>#DIV/0!</v>
      </c>
      <c r="M198" s="11" t="e">
        <f>TargetsPercent23[[#This Row],[2020–21
Allowable
performance
target]]-TargetsPercent23[[#This Row],[Target Floor (calculated)]]</f>
        <v>#DIV/0!</v>
      </c>
    </row>
    <row r="199" spans="1:13" x14ac:dyDescent="0.2">
      <c r="A199" t="str">
        <f>_xlfn.CONCAT(TargetsPercent23[[#This Row],[University]],":",TargetsPercent23[[#This Row],[Metric]])</f>
        <v>OTU (UOIT):09. Graduate employment earnings</v>
      </c>
      <c r="B199" t="s">
        <v>46</v>
      </c>
      <c r="C199" t="s">
        <v>27</v>
      </c>
      <c r="D199" s="6">
        <f>VLOOKUP(TargetsPercent23[[#This Row],[KEY]],[1]!HistoricalData[#Data],4,FALSE)</f>
        <v>0</v>
      </c>
      <c r="E199" s="6">
        <f>VLOOKUP(TargetsPercent23[[#This Row],[KEY]],[1]!HistoricalData[#Data],5,FALSE)</f>
        <v>0</v>
      </c>
      <c r="F199" s="6">
        <f>VLOOKUP(TargetsPercent23[[#This Row],[KEY]],[1]!HistoricalData[#Data],6,FALSE)</f>
        <v>0</v>
      </c>
      <c r="G199" s="5">
        <f>VLOOKUP(TargetsPercent23[[#This Row],[KEY]],[1]!HistoricalData[#Data],7,FALSE)</f>
        <v>0</v>
      </c>
      <c r="H199" s="9">
        <f>AVERAGE(TargetsPercent23[[#This Row],[2016–17 Historical data]],TargetsPercent23[[#This Row],[2017–18 Historical data]],TargetsPercent23[[#This Row],[2018–19 Historical data]])</f>
        <v>0</v>
      </c>
      <c r="I199" s="9">
        <f>ABS(TargetsPercent23[[#This Row],[2016–17 Historical data]]-TargetsPercent23[[#This Row],[2017–18 Historical data]])</f>
        <v>0</v>
      </c>
      <c r="J199" s="2">
        <f>ABS(TargetsPercent23[[#This Row],[2017–18 Historical data]]-TargetsPercent23[[#This Row],[2018–19 Historical data]])</f>
        <v>0</v>
      </c>
      <c r="K19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199" s="26">
        <f>TargetsPercent23[[#This Row],[Average (calculated)]]-TargetsPercent23[[#This Row],[Band of Tolerance (calculated)]]</f>
        <v>-0.01</v>
      </c>
      <c r="M199" s="22">
        <f>TargetsPercent23[[#This Row],[2020–21
Allowable
performance
target]]-TargetsPercent23[[#This Row],[Target Floor (calculated)]]</f>
        <v>0.01</v>
      </c>
    </row>
    <row r="200" spans="1:13" x14ac:dyDescent="0.2">
      <c r="A200" t="str">
        <f>_xlfn.CONCAT(TargetsPercent23[[#This Row],[University]],":",TargetsPercent23[[#This Row],[Metric]])</f>
        <v>OTU (UOIT):10. Skills and competencies</v>
      </c>
      <c r="B200" t="s">
        <v>46</v>
      </c>
      <c r="C200" t="s">
        <v>28</v>
      </c>
      <c r="D200" s="6">
        <f>VLOOKUP(TargetsPercent23[[#This Row],[KEY]],[1]!HistoricalData[#Data],4,FALSE)</f>
        <v>0</v>
      </c>
      <c r="E200" s="6">
        <f>VLOOKUP(TargetsPercent23[[#This Row],[KEY]],[1]!HistoricalData[#Data],5,FALSE)</f>
        <v>0</v>
      </c>
      <c r="F200" s="6">
        <f>VLOOKUP(TargetsPercent23[[#This Row],[KEY]],[1]!HistoricalData[#Data],6,FALSE)</f>
        <v>0</v>
      </c>
      <c r="G200" s="5">
        <f>VLOOKUP(TargetsPercent23[[#This Row],[KEY]],[1]!HistoricalData[#Data],7,FALSE)</f>
        <v>0</v>
      </c>
      <c r="H200" s="9">
        <f>AVERAGE(TargetsPercent23[[#This Row],[2016–17 Historical data]],TargetsPercent23[[#This Row],[2017–18 Historical data]],TargetsPercent23[[#This Row],[2018–19 Historical data]])</f>
        <v>0</v>
      </c>
      <c r="I200" s="9">
        <f>ABS(TargetsPercent23[[#This Row],[2016–17 Historical data]]-TargetsPercent23[[#This Row],[2017–18 Historical data]])</f>
        <v>0</v>
      </c>
      <c r="J200" s="2">
        <f>ABS(TargetsPercent23[[#This Row],[2017–18 Historical data]]-TargetsPercent23[[#This Row],[2018–19 Historical data]])</f>
        <v>0</v>
      </c>
      <c r="K20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0" s="26">
        <f>TargetsPercent23[[#This Row],[Average (calculated)]]-TargetsPercent23[[#This Row],[Band of Tolerance (calculated)]]</f>
        <v>-0.01</v>
      </c>
      <c r="M200" s="22">
        <f>TargetsPercent23[[#This Row],[2020–21
Allowable
performance
target]]-TargetsPercent23[[#This Row],[Target Floor (calculated)]]</f>
        <v>0.01</v>
      </c>
    </row>
    <row r="201" spans="1:13" x14ac:dyDescent="0.2">
      <c r="A201" t="str">
        <f>_xlfn.CONCAT(TargetsPercent23[[#This Row],[University]],":",TargetsPercent23[[#This Row],[Metric]])</f>
        <v>OTU (UOIT):Tri-agency research funding</v>
      </c>
      <c r="B201" t="s">
        <v>46</v>
      </c>
      <c r="C201" t="s">
        <v>29</v>
      </c>
      <c r="D201" s="18">
        <f>VLOOKUP(TargetsPercent23[[#This Row],[KEY]],[1]!HistoricalData[#Data],4,FALSE)</f>
        <v>3858091</v>
      </c>
      <c r="E201" s="18">
        <f>VLOOKUP(TargetsPercent23[[#This Row],[KEY]],[1]!HistoricalData[#Data],5,FALSE)</f>
        <v>4108867</v>
      </c>
      <c r="F201" s="18">
        <f>VLOOKUP(TargetsPercent23[[#This Row],[KEY]],[1]!HistoricalData[#Data],6,FALSE)</f>
        <v>4172015</v>
      </c>
      <c r="G201" s="19">
        <f>VLOOKUP(TargetsPercent23[[#This Row],[KEY]],[1]!HistoricalData[#Data],7,FALSE)</f>
        <v>0</v>
      </c>
      <c r="H201" s="11">
        <f>AVERAGE(TargetsPercent23[[#This Row],[2016–17 Historical data]],TargetsPercent23[[#This Row],[2017–18 Historical data]],TargetsPercent23[[#This Row],[2018–19 Historical data]])</f>
        <v>4046324.3333333335</v>
      </c>
      <c r="I201" s="2">
        <f>ABS((TargetsPercent23[[#This Row],[2017–18 Historical data]]-TargetsPercent23[[#This Row],[2016–17 Historical data]])/TargetsPercent23[[#This Row],[2016–17 Historical data]])</f>
        <v>6.5000022031621335E-2</v>
      </c>
      <c r="J201" s="2">
        <f>ABS((TargetsPercent23[[#This Row],[2018–19 Historical data]]-TargetsPercent23[[#This Row],[2017–18 Historical data]])/TargetsPercent23[[#This Row],[2017–18 Historical data]])</f>
        <v>1.5368713565077673E-2</v>
      </c>
      <c r="K201" s="2">
        <f>IF(MIN(TargetsPercent23[[#This Row],[ABS 2016-17 to 2017-18 (calculated)]:[ABS 2017-18 to 2018-19 (calculated)]])&lt;0.01,0.01,MIN(TargetsPercent23[[#This Row],[ABS 2016-17 to 2017-18 (calculated)]:[ABS 2017-18 to 2018-19 (calculated)]]))</f>
        <v>1.5368713565077673E-2</v>
      </c>
      <c r="L201" s="10">
        <f>TargetsPercent23[[#This Row],[Average (calculated)]]-TargetsPercent23[[#This Row],[Band of Tolerance (calculated)]]</f>
        <v>4046324.31796462</v>
      </c>
      <c r="M201" s="11">
        <f>TargetsPercent23[[#This Row],[2020–21
Allowable
performance
target]]-TargetsPercent23[[#This Row],[Target Floor (calculated)]]</f>
        <v>-4046324.31796462</v>
      </c>
    </row>
    <row r="202" spans="1:13" x14ac:dyDescent="0.2">
      <c r="A202" t="str">
        <f>_xlfn.CONCAT(TargetsPercent23[[#This Row],[University]],":",TargetsPercent23[[#This Row],[Metric]])</f>
        <v>Western University:01. Graduate employment rate in a related field</v>
      </c>
      <c r="B202" t="s">
        <v>47</v>
      </c>
      <c r="C202" t="s">
        <v>19</v>
      </c>
      <c r="D202" s="6">
        <f>VLOOKUP(TargetsPercent23[[#This Row],[KEY]],[1]!HistoricalData[#Data],4,FALSE)</f>
        <v>0.8982</v>
      </c>
      <c r="E202" s="6">
        <f>VLOOKUP(TargetsPercent23[[#This Row],[KEY]],[1]!HistoricalData[#Data],5,FALSE)</f>
        <v>0.89129999999999998</v>
      </c>
      <c r="F202" s="6">
        <f>VLOOKUP(TargetsPercent23[[#This Row],[KEY]],[1]!HistoricalData[#Data],6,FALSE)</f>
        <v>0.88380000000000003</v>
      </c>
      <c r="G202" s="5">
        <f>VLOOKUP(TargetsPercent23[[#This Row],[KEY]],[1]!HistoricalData[#Data],7,FALSE)</f>
        <v>0.88900000000000001</v>
      </c>
      <c r="H202" s="2">
        <f>AVERAGE(TargetsPercent23[[#This Row],[2016–17 Historical data]],TargetsPercent23[[#This Row],[2017–18 Historical data]],TargetsPercent23[[#This Row],[2018–19 Historical data]])</f>
        <v>0.89109999999999989</v>
      </c>
      <c r="I202" s="2">
        <f>ABS(TargetsPercent23[[#This Row],[2016–17 Historical data]]-TargetsPercent23[[#This Row],[2017–18 Historical data]])</f>
        <v>6.9000000000000172E-3</v>
      </c>
      <c r="J202" s="2">
        <f>ABS(TargetsPercent23[[#This Row],[2017–18 Historical data]]-TargetsPercent23[[#This Row],[2018–19 Historical data]])</f>
        <v>7.4999999999999512E-3</v>
      </c>
      <c r="K20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2" s="23">
        <f>TargetsPercent23[[#This Row],[Average (calculated)]]-TargetsPercent23[[#This Row],[Band of Tolerance (calculated)]]</f>
        <v>0.88109999999999988</v>
      </c>
      <c r="M202" s="22">
        <f>TargetsPercent23[[#This Row],[2020–21
Allowable
performance
target]]-TargetsPercent23[[#This Row],[Target Floor (calculated)]]</f>
        <v>7.9000000000001291E-3</v>
      </c>
    </row>
    <row r="203" spans="1:13" x14ac:dyDescent="0.2">
      <c r="A203" t="str">
        <f>_xlfn.CONCAT(TargetsPercent23[[#This Row],[University]],":",TargetsPercent23[[#This Row],[Metric]])</f>
        <v>Western University:02. Institutional strength and focus</v>
      </c>
      <c r="B203" t="s">
        <v>47</v>
      </c>
      <c r="C203" t="s">
        <v>20</v>
      </c>
      <c r="D203" s="6">
        <f>VLOOKUP(TargetsPercent23[[#This Row],[KEY]],[1]!HistoricalData[#Data],4,FALSE)</f>
        <v>0.45140000000000002</v>
      </c>
      <c r="E203" s="6">
        <f>VLOOKUP(TargetsPercent23[[#This Row],[KEY]],[1]!HistoricalData[#Data],5,FALSE)</f>
        <v>0.45950000000000002</v>
      </c>
      <c r="F203" s="6">
        <f>VLOOKUP(TargetsPercent23[[#This Row],[KEY]],[1]!HistoricalData[#Data],6,FALSE)</f>
        <v>0.4652</v>
      </c>
      <c r="G203" s="5">
        <f>VLOOKUP(TargetsPercent23[[#This Row],[KEY]],[1]!HistoricalData[#Data],7,FALSE)</f>
        <v>0.4466</v>
      </c>
      <c r="H203" s="2">
        <f>AVERAGE(TargetsPercent23[[#This Row],[2016–17 Historical data]],TargetsPercent23[[#This Row],[2017–18 Historical data]],TargetsPercent23[[#This Row],[2018–19 Historical data]])</f>
        <v>0.45870000000000005</v>
      </c>
      <c r="I203" s="2">
        <f>ABS(TargetsPercent23[[#This Row],[2016–17 Historical data]]-TargetsPercent23[[#This Row],[2017–18 Historical data]])</f>
        <v>8.0999999999999961E-3</v>
      </c>
      <c r="J203" s="2">
        <f>ABS(TargetsPercent23[[#This Row],[2017–18 Historical data]]-TargetsPercent23[[#This Row],[2018–19 Historical data]])</f>
        <v>5.6999999999999829E-3</v>
      </c>
      <c r="K20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3" s="23">
        <f>TargetsPercent23[[#This Row],[Average (calculated)]]-TargetsPercent23[[#This Row],[Band of Tolerance (calculated)]]</f>
        <v>0.44870000000000004</v>
      </c>
      <c r="M203" s="22">
        <f>TargetsPercent23[[#This Row],[2020–21
Allowable
performance
target]]-TargetsPercent23[[#This Row],[Target Floor (calculated)]]</f>
        <v>-2.1000000000000463E-3</v>
      </c>
    </row>
    <row r="204" spans="1:13" x14ac:dyDescent="0.2">
      <c r="A204" t="str">
        <f>_xlfn.CONCAT(TargetsPercent23[[#This Row],[University]],":",TargetsPercent23[[#This Row],[Metric]])</f>
        <v>Western University:03. Graduation rate</v>
      </c>
      <c r="B204" t="s">
        <v>47</v>
      </c>
      <c r="C204" t="s">
        <v>21</v>
      </c>
      <c r="D204" s="6">
        <f>VLOOKUP(TargetsPercent23[[#This Row],[KEY]],[1]!HistoricalData[#Data],4,FALSE)</f>
        <v>0.84640000000000004</v>
      </c>
      <c r="E204" s="6">
        <f>VLOOKUP(TargetsPercent23[[#This Row],[KEY]],[1]!HistoricalData[#Data],5,FALSE)</f>
        <v>0.8427</v>
      </c>
      <c r="F204" s="6">
        <f>VLOOKUP(TargetsPercent23[[#This Row],[KEY]],[1]!HistoricalData[#Data],6,FALSE)</f>
        <v>0.84279999999999999</v>
      </c>
      <c r="G204" s="5">
        <f>VLOOKUP(TargetsPercent23[[#This Row],[KEY]],[1]!HistoricalData[#Data],7,FALSE)</f>
        <v>0.83550000000000002</v>
      </c>
      <c r="H204" s="2">
        <f>AVERAGE(TargetsPercent23[[#This Row],[2016–17 Historical data]],TargetsPercent23[[#This Row],[2017–18 Historical data]],TargetsPercent23[[#This Row],[2018–19 Historical data]])</f>
        <v>0.84396666666666675</v>
      </c>
      <c r="I204" s="2">
        <f>ABS(TargetsPercent23[[#This Row],[2016–17 Historical data]]-TargetsPercent23[[#This Row],[2017–18 Historical data]])</f>
        <v>3.7000000000000366E-3</v>
      </c>
      <c r="J204" s="2">
        <f>ABS(TargetsPercent23[[#This Row],[2017–18 Historical data]]-TargetsPercent23[[#This Row],[2018–19 Historical data]])</f>
        <v>9.9999999999988987E-5</v>
      </c>
      <c r="K20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4" s="23">
        <f>TargetsPercent23[[#This Row],[Average (calculated)]]-TargetsPercent23[[#This Row],[Band of Tolerance (calculated)]]</f>
        <v>0.83396666666666674</v>
      </c>
      <c r="M204" s="22">
        <f>TargetsPercent23[[#This Row],[2020–21
Allowable
performance
target]]-TargetsPercent23[[#This Row],[Target Floor (calculated)]]</f>
        <v>1.5333333333332755E-3</v>
      </c>
    </row>
    <row r="205" spans="1:13" x14ac:dyDescent="0.2">
      <c r="A205" t="str">
        <f>_xlfn.CONCAT(TargetsPercent23[[#This Row],[University]],":",TargetsPercent23[[#This Row],[Metric]])</f>
        <v>Western University:04. Community and local impact of student enrolment</v>
      </c>
      <c r="B205" t="s">
        <v>47</v>
      </c>
      <c r="C205" t="s">
        <v>22</v>
      </c>
      <c r="D205" s="6">
        <f>VLOOKUP(TargetsPercent23[[#This Row],[KEY]],[1]!HistoricalData[#Data],4,FALSE)</f>
        <v>0.14749999999999999</v>
      </c>
      <c r="E205" s="6">
        <f>VLOOKUP(TargetsPercent23[[#This Row],[KEY]],[1]!HistoricalData[#Data],5,FALSE)</f>
        <v>0.14929999999999999</v>
      </c>
      <c r="F205" s="6">
        <f>VLOOKUP(TargetsPercent23[[#This Row],[KEY]],[1]!HistoricalData[#Data],6,FALSE)</f>
        <v>0.1515</v>
      </c>
      <c r="G205" s="5">
        <f>VLOOKUP(TargetsPercent23[[#This Row],[KEY]],[1]!HistoricalData[#Data],7,FALSE)</f>
        <v>0.1492</v>
      </c>
      <c r="H205" s="2">
        <f>AVERAGE(TargetsPercent23[[#This Row],[2016–17 Historical data]],TargetsPercent23[[#This Row],[2017–18 Historical data]],TargetsPercent23[[#This Row],[2018–19 Historical data]])</f>
        <v>0.14943333333333331</v>
      </c>
      <c r="I205" s="2">
        <f>ABS(TargetsPercent23[[#This Row],[2016–17 Historical data]]-TargetsPercent23[[#This Row],[2017–18 Historical data]])</f>
        <v>1.799999999999996E-3</v>
      </c>
      <c r="J205" s="2">
        <f>ABS(TargetsPercent23[[#This Row],[2017–18 Historical data]]-TargetsPercent23[[#This Row],[2018–19 Historical data]])</f>
        <v>2.2000000000000075E-3</v>
      </c>
      <c r="K20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5" s="24">
        <f>TargetsPercent23[[#This Row],[Average (calculated)]]-TargetsPercent23[[#This Row],[Band of Tolerance (calculated)]]</f>
        <v>0.1394333333333333</v>
      </c>
      <c r="M205" s="25">
        <f>TargetsPercent23[[#This Row],[2020–21
Allowable
performance
target]]-TargetsPercent23[[#This Row],[Target Floor (calculated)]]</f>
        <v>9.7666666666667012E-3</v>
      </c>
    </row>
    <row r="206" spans="1:13" x14ac:dyDescent="0.2">
      <c r="A206" t="str">
        <f>_xlfn.CONCAT(TargetsPercent23[[#This Row],[University]],":",TargetsPercent23[[#This Row],[Metric]])</f>
        <v>Western University:05. Economic impact (institution-specific)</v>
      </c>
      <c r="B206" t="s">
        <v>47</v>
      </c>
      <c r="C206" t="s">
        <v>23</v>
      </c>
      <c r="D206" s="18">
        <f>VLOOKUP(TargetsPercent23[[#This Row],[KEY]],[1]!HistoricalData[#Data],4,FALSE)</f>
        <v>148</v>
      </c>
      <c r="E206" s="18">
        <f>VLOOKUP(TargetsPercent23[[#This Row],[KEY]],[1]!HistoricalData[#Data],5,FALSE)</f>
        <v>159</v>
      </c>
      <c r="F206" s="18">
        <f>VLOOKUP(TargetsPercent23[[#This Row],[KEY]],[1]!HistoricalData[#Data],6,FALSE)</f>
        <v>178</v>
      </c>
      <c r="G206" s="19">
        <f>VLOOKUP(TargetsPercent23[[#This Row],[KEY]],[1]!HistoricalData[#Data],7,FALSE)</f>
        <v>155.93</v>
      </c>
      <c r="H206" s="11">
        <f>AVERAGE(TargetsPercent23[[#This Row],[2016–17 Historical data]],TargetsPercent23[[#This Row],[2017–18 Historical data]],TargetsPercent23[[#This Row],[2018–19 Historical data]])</f>
        <v>161.66666666666666</v>
      </c>
      <c r="I206" s="2">
        <f>ABS((TargetsPercent23[[#This Row],[2017–18 Historical data]]-TargetsPercent23[[#This Row],[2016–17 Historical data]])/TargetsPercent23[[#This Row],[2016–17 Historical data]])</f>
        <v>7.4324324324324328E-2</v>
      </c>
      <c r="J206" s="2">
        <f>ABS((TargetsPercent23[[#This Row],[2018–19 Historical data]]-TargetsPercent23[[#This Row],[2017–18 Historical data]])/TargetsPercent23[[#This Row],[2017–18 Historical data]])</f>
        <v>0.11949685534591195</v>
      </c>
      <c r="K206" s="2">
        <f>IF(MIN(TargetsPercent23[[#This Row],[ABS 2016-17 to 2017-18 (calculated)]:[ABS 2017-18 to 2018-19 (calculated)]])&lt;0.01,0.01,MIN(TargetsPercent23[[#This Row],[ABS 2016-17 to 2017-18 (calculated)]:[ABS 2017-18 to 2018-19 (calculated)]]))</f>
        <v>7.4324324324324328E-2</v>
      </c>
      <c r="L206" s="10">
        <f>TargetsPercent23[[#This Row],[Average (calculated)]]-TargetsPercent23[[#This Row],[Band of Tolerance (calculated)]]</f>
        <v>161.59234234234233</v>
      </c>
      <c r="M206" s="11">
        <f>TargetsPercent23[[#This Row],[2020–21
Allowable
performance
target]]-TargetsPercent23[[#This Row],[Target Floor (calculated)]]</f>
        <v>-5.6623423423423276</v>
      </c>
    </row>
    <row r="207" spans="1:13" x14ac:dyDescent="0.2">
      <c r="A207" t="str">
        <f>_xlfn.CONCAT(TargetsPercent23[[#This Row],[University]],":",TargetsPercent23[[#This Row],[Metric]])</f>
        <v>Western University:06. Research funding and capacity: federal tri-agency funding secured</v>
      </c>
      <c r="B207" t="s">
        <v>47</v>
      </c>
      <c r="C207" t="s">
        <v>24</v>
      </c>
      <c r="D207" s="18">
        <f>VLOOKUP(TargetsPercent23[[#This Row],[KEY]],[1]!HistoricalData[#Data],4,FALSE)</f>
        <v>8.5000000000000006E-2</v>
      </c>
      <c r="E207" s="18">
        <f>VLOOKUP(TargetsPercent23[[#This Row],[KEY]],[1]!HistoricalData[#Data],5,FALSE)</f>
        <v>8.6199999999999999E-2</v>
      </c>
      <c r="F207" s="18">
        <f>VLOOKUP(TargetsPercent23[[#This Row],[KEY]],[1]!HistoricalData[#Data],6,FALSE)</f>
        <v>8.6099999999999996E-2</v>
      </c>
      <c r="G207" s="19">
        <f>VLOOKUP(TargetsPercent23[[#This Row],[KEY]],[1]!HistoricalData[#Data],7,FALSE)</f>
        <v>8.2299999999999998E-2</v>
      </c>
      <c r="H207" s="11">
        <f>AVERAGE(TargetsPercent23[[#This Row],[2016–17 Historical data]],TargetsPercent23[[#This Row],[2017–18 Historical data]],TargetsPercent23[[#This Row],[2018–19 Historical data]])</f>
        <v>8.5766666666666672E-2</v>
      </c>
      <c r="I207" s="2">
        <f>ABS((TargetsPercent23[[#This Row],[2017–18 Historical data]]-TargetsPercent23[[#This Row],[2016–17 Historical data]])/TargetsPercent23[[#This Row],[2016–17 Historical data]])</f>
        <v>1.4117647058823443E-2</v>
      </c>
      <c r="J207" s="2">
        <f>ABS((TargetsPercent23[[#This Row],[2018–19 Historical data]]-TargetsPercent23[[#This Row],[2017–18 Historical data]])/TargetsPercent23[[#This Row],[2017–18 Historical data]])</f>
        <v>1.1600928074246273E-3</v>
      </c>
      <c r="K20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7" s="10">
        <f>TargetsPercent23[[#This Row],[Average (calculated)]]-TargetsPercent23[[#This Row],[Band of Tolerance (calculated)]]</f>
        <v>7.5766666666666677E-2</v>
      </c>
      <c r="M207" s="11">
        <f>TargetsPercent23[[#This Row],[2020–21
Allowable
performance
target]]-TargetsPercent23[[#This Row],[Target Floor (calculated)]]</f>
        <v>6.5333333333333216E-3</v>
      </c>
    </row>
    <row r="208" spans="1:13" x14ac:dyDescent="0.2">
      <c r="A208" t="str">
        <f>_xlfn.CONCAT(TargetsPercent23[[#This Row],[University]],":",TargetsPercent23[[#This Row],[Metric]])</f>
        <v>Western University:07. Experiential learning</v>
      </c>
      <c r="B208" t="s">
        <v>47</v>
      </c>
      <c r="C208" t="s">
        <v>25</v>
      </c>
      <c r="D208" s="6">
        <f>VLOOKUP(TargetsPercent23[[#This Row],[KEY]],[1]!HistoricalData[#Data],4,FALSE)</f>
        <v>0</v>
      </c>
      <c r="E208" s="6">
        <f>VLOOKUP(TargetsPercent23[[#This Row],[KEY]],[1]!HistoricalData[#Data],5,FALSE)</f>
        <v>0</v>
      </c>
      <c r="F208" s="6">
        <f>VLOOKUP(TargetsPercent23[[#This Row],[KEY]],[1]!HistoricalData[#Data],6,FALSE)</f>
        <v>0</v>
      </c>
      <c r="G208" s="5">
        <f>VLOOKUP(TargetsPercent23[[#This Row],[KEY]],[1]!HistoricalData[#Data],7,FALSE)</f>
        <v>0</v>
      </c>
      <c r="H208" s="9">
        <f>AVERAGE(TargetsPercent23[[#This Row],[2016–17 Historical data]],TargetsPercent23[[#This Row],[2017–18 Historical data]],TargetsPercent23[[#This Row],[2018–19 Historical data]])</f>
        <v>0</v>
      </c>
      <c r="I208" s="9">
        <f>ABS(TargetsPercent23[[#This Row],[2016–17 Historical data]]-TargetsPercent23[[#This Row],[2017–18 Historical data]])</f>
        <v>0</v>
      </c>
      <c r="J208" s="2">
        <f>ABS(TargetsPercent23[[#This Row],[2017–18 Historical data]]-TargetsPercent23[[#This Row],[2018–19 Historical data]])</f>
        <v>0</v>
      </c>
      <c r="K208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08" s="26">
        <f>TargetsPercent23[[#This Row],[Average (calculated)]]-TargetsPercent23[[#This Row],[Band of Tolerance (calculated)]]</f>
        <v>-0.01</v>
      </c>
      <c r="M208" s="22">
        <f>TargetsPercent23[[#This Row],[2020–21
Allowable
performance
target]]-TargetsPercent23[[#This Row],[Target Floor (calculated)]]</f>
        <v>0.01</v>
      </c>
    </row>
    <row r="209" spans="1:13" x14ac:dyDescent="0.2">
      <c r="A209" t="str">
        <f>_xlfn.CONCAT(TargetsPercent23[[#This Row],[University]],":",TargetsPercent23[[#This Row],[Metric]])</f>
        <v>Western University:08. Research revenue attracted from private sector sources</v>
      </c>
      <c r="B209" t="s">
        <v>47</v>
      </c>
      <c r="C209" t="s">
        <v>26</v>
      </c>
      <c r="D209" s="18">
        <f>VLOOKUP(TargetsPercent23[[#This Row],[KEY]],[1]!HistoricalData[#Data],4,FALSE)</f>
        <v>0</v>
      </c>
      <c r="E209" s="18">
        <f>VLOOKUP(TargetsPercent23[[#This Row],[KEY]],[1]!HistoricalData[#Data],5,FALSE)</f>
        <v>0</v>
      </c>
      <c r="F209" s="18">
        <f>VLOOKUP(TargetsPercent23[[#This Row],[KEY]],[1]!HistoricalData[#Data],6,FALSE)</f>
        <v>0</v>
      </c>
      <c r="G209" s="19">
        <f>VLOOKUP(TargetsPercent23[[#This Row],[KEY]],[1]!HistoricalData[#Data],7,FALSE)</f>
        <v>0</v>
      </c>
      <c r="H209" s="11">
        <f>AVERAGE(TargetsPercent23[[#This Row],[2016–17 Historical data]],TargetsPercent23[[#This Row],[2017–18 Historical data]],TargetsPercent23[[#This Row],[2018–19 Historical data]])</f>
        <v>0</v>
      </c>
      <c r="I209" s="2" t="e">
        <f>ABS((TargetsPercent23[[#This Row],[2017–18 Historical data]]-TargetsPercent23[[#This Row],[2016–17 Historical data]])/TargetsPercent23[[#This Row],[2016–17 Historical data]])</f>
        <v>#DIV/0!</v>
      </c>
      <c r="J209" s="2" t="e">
        <f>ABS((TargetsPercent23[[#This Row],[2018–19 Historical data]]-TargetsPercent23[[#This Row],[2017–18 Historical data]])/TargetsPercent23[[#This Row],[2017–18 Historical data]])</f>
        <v>#DIV/0!</v>
      </c>
      <c r="K209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209" s="10" t="e">
        <f>TargetsPercent23[[#This Row],[Average (calculated)]]-TargetsPercent23[[#This Row],[Band of Tolerance (calculated)]]</f>
        <v>#DIV/0!</v>
      </c>
      <c r="M209" s="11" t="e">
        <f>TargetsPercent23[[#This Row],[2020–21
Allowable
performance
target]]-TargetsPercent23[[#This Row],[Target Floor (calculated)]]</f>
        <v>#DIV/0!</v>
      </c>
    </row>
    <row r="210" spans="1:13" x14ac:dyDescent="0.2">
      <c r="A210" t="str">
        <f>_xlfn.CONCAT(TargetsPercent23[[#This Row],[University]],":",TargetsPercent23[[#This Row],[Metric]])</f>
        <v>Western University:09. Graduate employment earnings</v>
      </c>
      <c r="B210" t="s">
        <v>47</v>
      </c>
      <c r="C210" t="s">
        <v>27</v>
      </c>
      <c r="D210" s="6">
        <f>VLOOKUP(TargetsPercent23[[#This Row],[KEY]],[1]!HistoricalData[#Data],4,FALSE)</f>
        <v>0</v>
      </c>
      <c r="E210" s="6">
        <f>VLOOKUP(TargetsPercent23[[#This Row],[KEY]],[1]!HistoricalData[#Data],5,FALSE)</f>
        <v>0</v>
      </c>
      <c r="F210" s="6">
        <f>VLOOKUP(TargetsPercent23[[#This Row],[KEY]],[1]!HistoricalData[#Data],6,FALSE)</f>
        <v>0</v>
      </c>
      <c r="G210" s="5">
        <f>VLOOKUP(TargetsPercent23[[#This Row],[KEY]],[1]!HistoricalData[#Data],7,FALSE)</f>
        <v>0</v>
      </c>
      <c r="H210" s="9">
        <f>AVERAGE(TargetsPercent23[[#This Row],[2016–17 Historical data]],TargetsPercent23[[#This Row],[2017–18 Historical data]],TargetsPercent23[[#This Row],[2018–19 Historical data]])</f>
        <v>0</v>
      </c>
      <c r="I210" s="9">
        <f>ABS(TargetsPercent23[[#This Row],[2016–17 Historical data]]-TargetsPercent23[[#This Row],[2017–18 Historical data]])</f>
        <v>0</v>
      </c>
      <c r="J210" s="2">
        <f>ABS(TargetsPercent23[[#This Row],[2017–18 Historical data]]-TargetsPercent23[[#This Row],[2018–19 Historical data]])</f>
        <v>0</v>
      </c>
      <c r="K21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0" s="26">
        <f>TargetsPercent23[[#This Row],[Average (calculated)]]-TargetsPercent23[[#This Row],[Band of Tolerance (calculated)]]</f>
        <v>-0.01</v>
      </c>
      <c r="M210" s="22">
        <f>TargetsPercent23[[#This Row],[2020–21
Allowable
performance
target]]-TargetsPercent23[[#This Row],[Target Floor (calculated)]]</f>
        <v>0.01</v>
      </c>
    </row>
    <row r="211" spans="1:13" x14ac:dyDescent="0.2">
      <c r="A211" t="str">
        <f>_xlfn.CONCAT(TargetsPercent23[[#This Row],[University]],":",TargetsPercent23[[#This Row],[Metric]])</f>
        <v>Western University:10. Skills and competencies</v>
      </c>
      <c r="B211" t="s">
        <v>47</v>
      </c>
      <c r="C211" t="s">
        <v>28</v>
      </c>
      <c r="D211" s="6">
        <f>VLOOKUP(TargetsPercent23[[#This Row],[KEY]],[1]!HistoricalData[#Data],4,FALSE)</f>
        <v>0</v>
      </c>
      <c r="E211" s="6">
        <f>VLOOKUP(TargetsPercent23[[#This Row],[KEY]],[1]!HistoricalData[#Data],5,FALSE)</f>
        <v>0</v>
      </c>
      <c r="F211" s="6">
        <f>VLOOKUP(TargetsPercent23[[#This Row],[KEY]],[1]!HistoricalData[#Data],6,FALSE)</f>
        <v>0</v>
      </c>
      <c r="G211" s="5">
        <f>VLOOKUP(TargetsPercent23[[#This Row],[KEY]],[1]!HistoricalData[#Data],7,FALSE)</f>
        <v>0</v>
      </c>
      <c r="H211" s="9">
        <f>AVERAGE(TargetsPercent23[[#This Row],[2016–17 Historical data]],TargetsPercent23[[#This Row],[2017–18 Historical data]],TargetsPercent23[[#This Row],[2018–19 Historical data]])</f>
        <v>0</v>
      </c>
      <c r="I211" s="9">
        <f>ABS(TargetsPercent23[[#This Row],[2016–17 Historical data]]-TargetsPercent23[[#This Row],[2017–18 Historical data]])</f>
        <v>0</v>
      </c>
      <c r="J211" s="2">
        <f>ABS(TargetsPercent23[[#This Row],[2017–18 Historical data]]-TargetsPercent23[[#This Row],[2018–19 Historical data]])</f>
        <v>0</v>
      </c>
      <c r="K21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1" s="26">
        <f>TargetsPercent23[[#This Row],[Average (calculated)]]-TargetsPercent23[[#This Row],[Band of Tolerance (calculated)]]</f>
        <v>-0.01</v>
      </c>
      <c r="M211" s="22">
        <f>TargetsPercent23[[#This Row],[2020–21
Allowable
performance
target]]-TargetsPercent23[[#This Row],[Target Floor (calculated)]]</f>
        <v>0.01</v>
      </c>
    </row>
    <row r="212" spans="1:13" x14ac:dyDescent="0.2">
      <c r="A212" t="str">
        <f>_xlfn.CONCAT(TargetsPercent23[[#This Row],[University]],":",TargetsPercent23[[#This Row],[Metric]])</f>
        <v>Western University:Tri-agency research funding</v>
      </c>
      <c r="B212" t="s">
        <v>47</v>
      </c>
      <c r="C212" t="s">
        <v>29</v>
      </c>
      <c r="D212" s="18">
        <f>VLOOKUP(TargetsPercent23[[#This Row],[KEY]],[1]!HistoricalData[#Data],4,FALSE)</f>
        <v>54184168</v>
      </c>
      <c r="E212" s="18">
        <f>VLOOKUP(TargetsPercent23[[#This Row],[KEY]],[1]!HistoricalData[#Data],5,FALSE)</f>
        <v>57349270</v>
      </c>
      <c r="F212" s="18">
        <f>VLOOKUP(TargetsPercent23[[#This Row],[KEY]],[1]!HistoricalData[#Data],6,FALSE)</f>
        <v>58414577</v>
      </c>
      <c r="G212" s="19">
        <f>VLOOKUP(TargetsPercent23[[#This Row],[KEY]],[1]!HistoricalData[#Data],7,FALSE)</f>
        <v>0</v>
      </c>
      <c r="H212" s="11">
        <f>AVERAGE(TargetsPercent23[[#This Row],[2016–17 Historical data]],TargetsPercent23[[#This Row],[2017–18 Historical data]],TargetsPercent23[[#This Row],[2018–19 Historical data]])</f>
        <v>56649338.333333336</v>
      </c>
      <c r="I212" s="2">
        <f>ABS((TargetsPercent23[[#This Row],[2017–18 Historical data]]-TargetsPercent23[[#This Row],[2016–17 Historical data]])/TargetsPercent23[[#This Row],[2016–17 Historical data]])</f>
        <v>5.8413778725918609E-2</v>
      </c>
      <c r="J212" s="2">
        <f>ABS((TargetsPercent23[[#This Row],[2018–19 Historical data]]-TargetsPercent23[[#This Row],[2017–18 Historical data]])/TargetsPercent23[[#This Row],[2017–18 Historical data]])</f>
        <v>1.8575772629712637E-2</v>
      </c>
      <c r="K212" s="2">
        <f>IF(MIN(TargetsPercent23[[#This Row],[ABS 2016-17 to 2017-18 (calculated)]:[ABS 2017-18 to 2018-19 (calculated)]])&lt;0.01,0.01,MIN(TargetsPercent23[[#This Row],[ABS 2016-17 to 2017-18 (calculated)]:[ABS 2017-18 to 2018-19 (calculated)]]))</f>
        <v>1.8575772629712637E-2</v>
      </c>
      <c r="L212" s="10">
        <f>TargetsPercent23[[#This Row],[Average (calculated)]]-TargetsPercent23[[#This Row],[Band of Tolerance (calculated)]]</f>
        <v>56649338.314757563</v>
      </c>
      <c r="M212" s="11">
        <f>TargetsPercent23[[#This Row],[2020–21
Allowable
performance
target]]-TargetsPercent23[[#This Row],[Target Floor (calculated)]]</f>
        <v>-56649338.314757563</v>
      </c>
    </row>
    <row r="213" spans="1:13" x14ac:dyDescent="0.2">
      <c r="A213" t="str">
        <f>_xlfn.CONCAT(TargetsPercent23[[#This Row],[University]],":",TargetsPercent23[[#This Row],[Metric]])</f>
        <v>Wilfrid Laurier University:01. Graduate employment rate in a related field</v>
      </c>
      <c r="B213" t="s">
        <v>48</v>
      </c>
      <c r="C213" t="s">
        <v>19</v>
      </c>
      <c r="D213" s="6">
        <f>VLOOKUP(TargetsPercent23[[#This Row],[KEY]],[1]!HistoricalData[#Data],4,FALSE)</f>
        <v>0.87739999999999996</v>
      </c>
      <c r="E213" s="6">
        <f>VLOOKUP(TargetsPercent23[[#This Row],[KEY]],[1]!HistoricalData[#Data],5,FALSE)</f>
        <v>0.89039999999999997</v>
      </c>
      <c r="F213" s="6">
        <f>VLOOKUP(TargetsPercent23[[#This Row],[KEY]],[1]!HistoricalData[#Data],6,FALSE)</f>
        <v>0.86919999999999997</v>
      </c>
      <c r="G213" s="5">
        <f>VLOOKUP(TargetsPercent23[[#This Row],[KEY]],[1]!HistoricalData[#Data],7,FALSE)</f>
        <v>0.87470000000000003</v>
      </c>
      <c r="H213" s="2">
        <f>AVERAGE(TargetsPercent23[[#This Row],[2016–17 Historical data]],TargetsPercent23[[#This Row],[2017–18 Historical data]],TargetsPercent23[[#This Row],[2018–19 Historical data]])</f>
        <v>0.87899999999999989</v>
      </c>
      <c r="I213" s="2">
        <f>ABS(TargetsPercent23[[#This Row],[2016–17 Historical data]]-TargetsPercent23[[#This Row],[2017–18 Historical data]])</f>
        <v>1.3000000000000012E-2</v>
      </c>
      <c r="J213" s="2">
        <f>ABS(TargetsPercent23[[#This Row],[2017–18 Historical data]]-TargetsPercent23[[#This Row],[2018–19 Historical data]])</f>
        <v>2.1199999999999997E-2</v>
      </c>
      <c r="K213" s="2">
        <f>IF(MIN(TargetsPercent23[[#This Row],[ABS 2016-17 to 2017-18 (calculated)]:[ABS 2017-18 to 2018-19 (calculated)]])&lt;0.01,0.01,MIN(TargetsPercent23[[#This Row],[ABS 2016-17 to 2017-18 (calculated)]:[ABS 2017-18 to 2018-19 (calculated)]]))</f>
        <v>1.3000000000000012E-2</v>
      </c>
      <c r="L213" s="23">
        <f>TargetsPercent23[[#This Row],[Average (calculated)]]-TargetsPercent23[[#This Row],[Band of Tolerance (calculated)]]</f>
        <v>0.86599999999999988</v>
      </c>
      <c r="M213" s="22">
        <f>TargetsPercent23[[#This Row],[2020–21
Allowable
performance
target]]-TargetsPercent23[[#This Row],[Target Floor (calculated)]]</f>
        <v>8.7000000000001521E-3</v>
      </c>
    </row>
    <row r="214" spans="1:13" x14ac:dyDescent="0.2">
      <c r="A214" t="str">
        <f>_xlfn.CONCAT(TargetsPercent23[[#This Row],[University]],":",TargetsPercent23[[#This Row],[Metric]])</f>
        <v>Wilfrid Laurier University:02. Institutional strength and focus</v>
      </c>
      <c r="B214" t="s">
        <v>48</v>
      </c>
      <c r="C214" t="s">
        <v>20</v>
      </c>
      <c r="D214" s="6">
        <f>VLOOKUP(TargetsPercent23[[#This Row],[KEY]],[1]!HistoricalData[#Data],4,FALSE)</f>
        <v>0.53680000000000005</v>
      </c>
      <c r="E214" s="6">
        <f>VLOOKUP(TargetsPercent23[[#This Row],[KEY]],[1]!HistoricalData[#Data],5,FALSE)</f>
        <v>0.53290000000000004</v>
      </c>
      <c r="F214" s="6">
        <f>VLOOKUP(TargetsPercent23[[#This Row],[KEY]],[1]!HistoricalData[#Data],6,FALSE)</f>
        <v>0.52029999999999998</v>
      </c>
      <c r="G214" s="5">
        <f>VLOOKUP(TargetsPercent23[[#This Row],[KEY]],[1]!HistoricalData[#Data],7,FALSE)</f>
        <v>0.50449999999999995</v>
      </c>
      <c r="H214" s="2">
        <f>AVERAGE(TargetsPercent23[[#This Row],[2016–17 Historical data]],TargetsPercent23[[#This Row],[2017–18 Historical data]],TargetsPercent23[[#This Row],[2018–19 Historical data]])</f>
        <v>0.53</v>
      </c>
      <c r="I214" s="2">
        <f>ABS(TargetsPercent23[[#This Row],[2016–17 Historical data]]-TargetsPercent23[[#This Row],[2017–18 Historical data]])</f>
        <v>3.9000000000000146E-3</v>
      </c>
      <c r="J214" s="2">
        <f>ABS(TargetsPercent23[[#This Row],[2017–18 Historical data]]-TargetsPercent23[[#This Row],[2018–19 Historical data]])</f>
        <v>1.2600000000000056E-2</v>
      </c>
      <c r="K21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4" s="23">
        <f>TargetsPercent23[[#This Row],[Average (calculated)]]-TargetsPercent23[[#This Row],[Band of Tolerance (calculated)]]</f>
        <v>0.52</v>
      </c>
      <c r="M214" s="22">
        <f>TargetsPercent23[[#This Row],[2020–21
Allowable
performance
target]]-TargetsPercent23[[#This Row],[Target Floor (calculated)]]</f>
        <v>-1.5500000000000069E-2</v>
      </c>
    </row>
    <row r="215" spans="1:13" x14ac:dyDescent="0.2">
      <c r="A215" t="str">
        <f>_xlfn.CONCAT(TargetsPercent23[[#This Row],[University]],":",TargetsPercent23[[#This Row],[Metric]])</f>
        <v>Wilfrid Laurier University:03. Graduation rate</v>
      </c>
      <c r="B215" t="s">
        <v>48</v>
      </c>
      <c r="C215" t="s">
        <v>21</v>
      </c>
      <c r="D215" s="6">
        <f>VLOOKUP(TargetsPercent23[[#This Row],[KEY]],[1]!HistoricalData[#Data],4,FALSE)</f>
        <v>0.75409999999999999</v>
      </c>
      <c r="E215" s="6">
        <f>VLOOKUP(TargetsPercent23[[#This Row],[KEY]],[1]!HistoricalData[#Data],5,FALSE)</f>
        <v>0.75160000000000005</v>
      </c>
      <c r="F215" s="6">
        <f>VLOOKUP(TargetsPercent23[[#This Row],[KEY]],[1]!HistoricalData[#Data],6,FALSE)</f>
        <v>0.74409999999999998</v>
      </c>
      <c r="G215" s="5">
        <f>VLOOKUP(TargetsPercent23[[#This Row],[KEY]],[1]!HistoricalData[#Data],7,FALSE)</f>
        <v>0.74490000000000001</v>
      </c>
      <c r="H215" s="2">
        <f>AVERAGE(TargetsPercent23[[#This Row],[2016–17 Historical data]],TargetsPercent23[[#This Row],[2017–18 Historical data]],TargetsPercent23[[#This Row],[2018–19 Historical data]])</f>
        <v>0.74993333333333334</v>
      </c>
      <c r="I215" s="2">
        <f>ABS(TargetsPercent23[[#This Row],[2016–17 Historical data]]-TargetsPercent23[[#This Row],[2017–18 Historical data]])</f>
        <v>2.4999999999999467E-3</v>
      </c>
      <c r="J215" s="2">
        <f>ABS(TargetsPercent23[[#This Row],[2017–18 Historical data]]-TargetsPercent23[[#This Row],[2018–19 Historical data]])</f>
        <v>7.5000000000000622E-3</v>
      </c>
      <c r="K21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5" s="23">
        <f>TargetsPercent23[[#This Row],[Average (calculated)]]-TargetsPercent23[[#This Row],[Band of Tolerance (calculated)]]</f>
        <v>0.73993333333333333</v>
      </c>
      <c r="M215" s="22">
        <f>TargetsPercent23[[#This Row],[2020–21
Allowable
performance
target]]-TargetsPercent23[[#This Row],[Target Floor (calculated)]]</f>
        <v>4.9666666666666748E-3</v>
      </c>
    </row>
    <row r="216" spans="1:13" x14ac:dyDescent="0.2">
      <c r="A216" t="str">
        <f>_xlfn.CONCAT(TargetsPercent23[[#This Row],[University]],":",TargetsPercent23[[#This Row],[Metric]])</f>
        <v>Wilfrid Laurier University:04. Community and local impact of student enrolment</v>
      </c>
      <c r="B216" t="s">
        <v>48</v>
      </c>
      <c r="C216" t="s">
        <v>22</v>
      </c>
      <c r="D216" s="6">
        <f>VLOOKUP(TargetsPercent23[[#This Row],[KEY]],[1]!HistoricalData[#Data],4,FALSE)</f>
        <v>0.18640000000000001</v>
      </c>
      <c r="E216" s="6">
        <f>VLOOKUP(TargetsPercent23[[#This Row],[KEY]],[1]!HistoricalData[#Data],5,FALSE)</f>
        <v>0.19769999999999999</v>
      </c>
      <c r="F216" s="6">
        <f>VLOOKUP(TargetsPercent23[[#This Row],[KEY]],[1]!HistoricalData[#Data],6,FALSE)</f>
        <v>0.2029</v>
      </c>
      <c r="G216" s="5">
        <f>VLOOKUP(TargetsPercent23[[#This Row],[KEY]],[1]!HistoricalData[#Data],7,FALSE)</f>
        <v>0.19220000000000001</v>
      </c>
      <c r="H216" s="2">
        <f>AVERAGE(TargetsPercent23[[#This Row],[2016–17 Historical data]],TargetsPercent23[[#This Row],[2017–18 Historical data]],TargetsPercent23[[#This Row],[2018–19 Historical data]])</f>
        <v>0.19566666666666666</v>
      </c>
      <c r="I216" s="2">
        <f>ABS(TargetsPercent23[[#This Row],[2016–17 Historical data]]-TargetsPercent23[[#This Row],[2017–18 Historical data]])</f>
        <v>1.1299999999999977E-2</v>
      </c>
      <c r="J216" s="2">
        <f>ABS(TargetsPercent23[[#This Row],[2017–18 Historical data]]-TargetsPercent23[[#This Row],[2018–19 Historical data]])</f>
        <v>5.2000000000000102E-3</v>
      </c>
      <c r="K216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6" s="24">
        <f>TargetsPercent23[[#This Row],[Average (calculated)]]-TargetsPercent23[[#This Row],[Band of Tolerance (calculated)]]</f>
        <v>0.18566666666666665</v>
      </c>
      <c r="M216" s="25">
        <f>TargetsPercent23[[#This Row],[2020–21
Allowable
performance
target]]-TargetsPercent23[[#This Row],[Target Floor (calculated)]]</f>
        <v>6.5333333333333632E-3</v>
      </c>
    </row>
    <row r="217" spans="1:13" x14ac:dyDescent="0.2">
      <c r="A217" t="str">
        <f>_xlfn.CONCAT(TargetsPercent23[[#This Row],[University]],":",TargetsPercent23[[#This Row],[Metric]])</f>
        <v>Wilfrid Laurier University:05. Economic impact (institution-specific)</v>
      </c>
      <c r="B217" t="s">
        <v>48</v>
      </c>
      <c r="C217" t="s">
        <v>23</v>
      </c>
      <c r="D217" s="18">
        <f>VLOOKUP(TargetsPercent23[[#This Row],[KEY]],[1]!HistoricalData[#Data],4,FALSE)</f>
        <v>88902177</v>
      </c>
      <c r="E217" s="18">
        <f>VLOOKUP(TargetsPercent23[[#This Row],[KEY]],[1]!HistoricalData[#Data],5,FALSE)</f>
        <v>95993775</v>
      </c>
      <c r="F217" s="18">
        <f>VLOOKUP(TargetsPercent23[[#This Row],[KEY]],[1]!HistoricalData[#Data],6,FALSE)</f>
        <v>107655900</v>
      </c>
      <c r="G217" s="19">
        <f>VLOOKUP(TargetsPercent23[[#This Row],[KEY]],[1]!HistoricalData[#Data],7,FALSE)</f>
        <v>94082252</v>
      </c>
      <c r="H217" s="11">
        <f>AVERAGE(TargetsPercent23[[#This Row],[2016–17 Historical data]],TargetsPercent23[[#This Row],[2017–18 Historical data]],TargetsPercent23[[#This Row],[2018–19 Historical data]])</f>
        <v>97517284</v>
      </c>
      <c r="I217" s="2">
        <f>ABS((TargetsPercent23[[#This Row],[2017–18 Historical data]]-TargetsPercent23[[#This Row],[2016–17 Historical data]])/TargetsPercent23[[#This Row],[2016–17 Historical data]])</f>
        <v>7.9768552799331344E-2</v>
      </c>
      <c r="J217" s="2">
        <f>ABS((TargetsPercent23[[#This Row],[2018–19 Historical data]]-TargetsPercent23[[#This Row],[2017–18 Historical data]])/TargetsPercent23[[#This Row],[2017–18 Historical data]])</f>
        <v>0.12148834650996901</v>
      </c>
      <c r="K217" s="2">
        <f>IF(MIN(TargetsPercent23[[#This Row],[ABS 2016-17 to 2017-18 (calculated)]:[ABS 2017-18 to 2018-19 (calculated)]])&lt;0.01,0.01,MIN(TargetsPercent23[[#This Row],[ABS 2016-17 to 2017-18 (calculated)]:[ABS 2017-18 to 2018-19 (calculated)]]))</f>
        <v>7.9768552799331344E-2</v>
      </c>
      <c r="L217" s="10">
        <f>TargetsPercent23[[#This Row],[Average (calculated)]]-TargetsPercent23[[#This Row],[Band of Tolerance (calculated)]]</f>
        <v>97517283.920231447</v>
      </c>
      <c r="M217" s="11">
        <f>TargetsPercent23[[#This Row],[2020–21
Allowable
performance
target]]-TargetsPercent23[[#This Row],[Target Floor (calculated)]]</f>
        <v>-3435031.9202314466</v>
      </c>
    </row>
    <row r="218" spans="1:13" x14ac:dyDescent="0.2">
      <c r="A218" t="str">
        <f>_xlfn.CONCAT(TargetsPercent23[[#This Row],[University]],":",TargetsPercent23[[#This Row],[Metric]])</f>
        <v>Wilfrid Laurier University:06. Research funding and capacity: federal tri-agency funding secured</v>
      </c>
      <c r="B218" t="s">
        <v>48</v>
      </c>
      <c r="C218" t="s">
        <v>24</v>
      </c>
      <c r="D218" s="18">
        <f>VLOOKUP(TargetsPercent23[[#This Row],[KEY]],[1]!HistoricalData[#Data],4,FALSE)</f>
        <v>8.0999999999999996E-3</v>
      </c>
      <c r="E218" s="18">
        <f>VLOOKUP(TargetsPercent23[[#This Row],[KEY]],[1]!HistoricalData[#Data],5,FALSE)</f>
        <v>8.3999999999999995E-3</v>
      </c>
      <c r="F218" s="18">
        <f>VLOOKUP(TargetsPercent23[[#This Row],[KEY]],[1]!HistoricalData[#Data],6,FALSE)</f>
        <v>8.6E-3</v>
      </c>
      <c r="G218" s="19">
        <f>VLOOKUP(TargetsPercent23[[#This Row],[KEY]],[1]!HistoricalData[#Data],7,FALSE)</f>
        <v>8.3000000000000001E-3</v>
      </c>
      <c r="H218" s="11">
        <f>AVERAGE(TargetsPercent23[[#This Row],[2016–17 Historical data]],TargetsPercent23[[#This Row],[2017–18 Historical data]],TargetsPercent23[[#This Row],[2018–19 Historical data]])</f>
        <v>8.3666666666666663E-3</v>
      </c>
      <c r="I218" s="2">
        <f>ABS((TargetsPercent23[[#This Row],[2017–18 Historical data]]-TargetsPercent23[[#This Row],[2016–17 Historical data]])/TargetsPercent23[[#This Row],[2016–17 Historical data]])</f>
        <v>3.7037037037037028E-2</v>
      </c>
      <c r="J218" s="2">
        <f>ABS((TargetsPercent23[[#This Row],[2018–19 Historical data]]-TargetsPercent23[[#This Row],[2017–18 Historical data]])/TargetsPercent23[[#This Row],[2017–18 Historical data]])</f>
        <v>2.3809523809523874E-2</v>
      </c>
      <c r="K218" s="2">
        <f>IF(MIN(TargetsPercent23[[#This Row],[ABS 2016-17 to 2017-18 (calculated)]:[ABS 2017-18 to 2018-19 (calculated)]])&lt;0.01,0.01,MIN(TargetsPercent23[[#This Row],[ABS 2016-17 to 2017-18 (calculated)]:[ABS 2017-18 to 2018-19 (calculated)]]))</f>
        <v>2.3809523809523874E-2</v>
      </c>
      <c r="L218" s="10">
        <f>TargetsPercent23[[#This Row],[Average (calculated)]]-TargetsPercent23[[#This Row],[Band of Tolerance (calculated)]]</f>
        <v>-1.5442857142857208E-2</v>
      </c>
      <c r="M218" s="11">
        <f>TargetsPercent23[[#This Row],[2020–21
Allowable
performance
target]]-TargetsPercent23[[#This Row],[Target Floor (calculated)]]</f>
        <v>2.3742857142857208E-2</v>
      </c>
    </row>
    <row r="219" spans="1:13" x14ac:dyDescent="0.2">
      <c r="A219" t="str">
        <f>_xlfn.CONCAT(TargetsPercent23[[#This Row],[University]],":",TargetsPercent23[[#This Row],[Metric]])</f>
        <v>Wilfrid Laurier University:07. Experiential learning</v>
      </c>
      <c r="B219" t="s">
        <v>48</v>
      </c>
      <c r="C219" t="s">
        <v>25</v>
      </c>
      <c r="D219" s="6">
        <f>VLOOKUP(TargetsPercent23[[#This Row],[KEY]],[1]!HistoricalData[#Data],4,FALSE)</f>
        <v>0</v>
      </c>
      <c r="E219" s="6">
        <f>VLOOKUP(TargetsPercent23[[#This Row],[KEY]],[1]!HistoricalData[#Data],5,FALSE)</f>
        <v>0</v>
      </c>
      <c r="F219" s="6">
        <f>VLOOKUP(TargetsPercent23[[#This Row],[KEY]],[1]!HistoricalData[#Data],6,FALSE)</f>
        <v>0</v>
      </c>
      <c r="G219" s="5">
        <f>VLOOKUP(TargetsPercent23[[#This Row],[KEY]],[1]!HistoricalData[#Data],7,FALSE)</f>
        <v>0</v>
      </c>
      <c r="H219" s="9">
        <f>AVERAGE(TargetsPercent23[[#This Row],[2016–17 Historical data]],TargetsPercent23[[#This Row],[2017–18 Historical data]],TargetsPercent23[[#This Row],[2018–19 Historical data]])</f>
        <v>0</v>
      </c>
      <c r="I219" s="9">
        <f>ABS(TargetsPercent23[[#This Row],[2016–17 Historical data]]-TargetsPercent23[[#This Row],[2017–18 Historical data]])</f>
        <v>0</v>
      </c>
      <c r="J219" s="2">
        <f>ABS(TargetsPercent23[[#This Row],[2017–18 Historical data]]-TargetsPercent23[[#This Row],[2018–19 Historical data]])</f>
        <v>0</v>
      </c>
      <c r="K219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19" s="26">
        <f>TargetsPercent23[[#This Row],[Average (calculated)]]-TargetsPercent23[[#This Row],[Band of Tolerance (calculated)]]</f>
        <v>-0.01</v>
      </c>
      <c r="M219" s="22">
        <f>TargetsPercent23[[#This Row],[2020–21
Allowable
performance
target]]-TargetsPercent23[[#This Row],[Target Floor (calculated)]]</f>
        <v>0.01</v>
      </c>
    </row>
    <row r="220" spans="1:13" x14ac:dyDescent="0.2">
      <c r="A220" t="str">
        <f>_xlfn.CONCAT(TargetsPercent23[[#This Row],[University]],":",TargetsPercent23[[#This Row],[Metric]])</f>
        <v>Wilfrid Laurier University:08. Research revenue attracted from private sector sources</v>
      </c>
      <c r="B220" t="s">
        <v>48</v>
      </c>
      <c r="C220" t="s">
        <v>26</v>
      </c>
      <c r="D220" s="18">
        <f>VLOOKUP(TargetsPercent23[[#This Row],[KEY]],[1]!HistoricalData[#Data],4,FALSE)</f>
        <v>0</v>
      </c>
      <c r="E220" s="18">
        <f>VLOOKUP(TargetsPercent23[[#This Row],[KEY]],[1]!HistoricalData[#Data],5,FALSE)</f>
        <v>0</v>
      </c>
      <c r="F220" s="18">
        <f>VLOOKUP(TargetsPercent23[[#This Row],[KEY]],[1]!HistoricalData[#Data],6,FALSE)</f>
        <v>0</v>
      </c>
      <c r="G220" s="19">
        <f>VLOOKUP(TargetsPercent23[[#This Row],[KEY]],[1]!HistoricalData[#Data],7,FALSE)</f>
        <v>0</v>
      </c>
      <c r="H220" s="11">
        <f>AVERAGE(TargetsPercent23[[#This Row],[2016–17 Historical data]],TargetsPercent23[[#This Row],[2017–18 Historical data]],TargetsPercent23[[#This Row],[2018–19 Historical data]])</f>
        <v>0</v>
      </c>
      <c r="I220" s="2" t="e">
        <f>ABS((TargetsPercent23[[#This Row],[2017–18 Historical data]]-TargetsPercent23[[#This Row],[2016–17 Historical data]])/TargetsPercent23[[#This Row],[2016–17 Historical data]])</f>
        <v>#DIV/0!</v>
      </c>
      <c r="J220" s="2" t="e">
        <f>ABS((TargetsPercent23[[#This Row],[2018–19 Historical data]]-TargetsPercent23[[#This Row],[2017–18 Historical data]])/TargetsPercent23[[#This Row],[2017–18 Historical data]])</f>
        <v>#DIV/0!</v>
      </c>
      <c r="K220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220" s="10" t="e">
        <f>TargetsPercent23[[#This Row],[Average (calculated)]]-TargetsPercent23[[#This Row],[Band of Tolerance (calculated)]]</f>
        <v>#DIV/0!</v>
      </c>
      <c r="M220" s="11" t="e">
        <f>TargetsPercent23[[#This Row],[2020–21
Allowable
performance
target]]-TargetsPercent23[[#This Row],[Target Floor (calculated)]]</f>
        <v>#DIV/0!</v>
      </c>
    </row>
    <row r="221" spans="1:13" x14ac:dyDescent="0.2">
      <c r="A221" t="str">
        <f>_xlfn.CONCAT(TargetsPercent23[[#This Row],[University]],":",TargetsPercent23[[#This Row],[Metric]])</f>
        <v>Wilfrid Laurier University:09. Graduate employment earnings</v>
      </c>
      <c r="B221" t="s">
        <v>48</v>
      </c>
      <c r="C221" t="s">
        <v>27</v>
      </c>
      <c r="D221" s="6">
        <f>VLOOKUP(TargetsPercent23[[#This Row],[KEY]],[1]!HistoricalData[#Data],4,FALSE)</f>
        <v>0</v>
      </c>
      <c r="E221" s="6">
        <f>VLOOKUP(TargetsPercent23[[#This Row],[KEY]],[1]!HistoricalData[#Data],5,FALSE)</f>
        <v>0</v>
      </c>
      <c r="F221" s="6">
        <f>VLOOKUP(TargetsPercent23[[#This Row],[KEY]],[1]!HistoricalData[#Data],6,FALSE)</f>
        <v>0</v>
      </c>
      <c r="G221" s="5">
        <f>VLOOKUP(TargetsPercent23[[#This Row],[KEY]],[1]!HistoricalData[#Data],7,FALSE)</f>
        <v>0</v>
      </c>
      <c r="H221" s="9">
        <f>AVERAGE(TargetsPercent23[[#This Row],[2016–17 Historical data]],TargetsPercent23[[#This Row],[2017–18 Historical data]],TargetsPercent23[[#This Row],[2018–19 Historical data]])</f>
        <v>0</v>
      </c>
      <c r="I221" s="9">
        <f>ABS(TargetsPercent23[[#This Row],[2016–17 Historical data]]-TargetsPercent23[[#This Row],[2017–18 Historical data]])</f>
        <v>0</v>
      </c>
      <c r="J221" s="2">
        <f>ABS(TargetsPercent23[[#This Row],[2017–18 Historical data]]-TargetsPercent23[[#This Row],[2018–19 Historical data]])</f>
        <v>0</v>
      </c>
      <c r="K221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21" s="26">
        <f>TargetsPercent23[[#This Row],[Average (calculated)]]-TargetsPercent23[[#This Row],[Band of Tolerance (calculated)]]</f>
        <v>-0.01</v>
      </c>
      <c r="M221" s="22">
        <f>TargetsPercent23[[#This Row],[2020–21
Allowable
performance
target]]-TargetsPercent23[[#This Row],[Target Floor (calculated)]]</f>
        <v>0.01</v>
      </c>
    </row>
    <row r="222" spans="1:13" x14ac:dyDescent="0.2">
      <c r="A222" t="str">
        <f>_xlfn.CONCAT(TargetsPercent23[[#This Row],[University]],":",TargetsPercent23[[#This Row],[Metric]])</f>
        <v>Wilfrid Laurier University:10. Skills and competencies</v>
      </c>
      <c r="B222" t="s">
        <v>48</v>
      </c>
      <c r="C222" t="s">
        <v>28</v>
      </c>
      <c r="D222" s="6">
        <f>VLOOKUP(TargetsPercent23[[#This Row],[KEY]],[1]!HistoricalData[#Data],4,FALSE)</f>
        <v>0</v>
      </c>
      <c r="E222" s="6">
        <f>VLOOKUP(TargetsPercent23[[#This Row],[KEY]],[1]!HistoricalData[#Data],5,FALSE)</f>
        <v>0</v>
      </c>
      <c r="F222" s="6">
        <f>VLOOKUP(TargetsPercent23[[#This Row],[KEY]],[1]!HistoricalData[#Data],6,FALSE)</f>
        <v>0</v>
      </c>
      <c r="G222" s="5">
        <f>VLOOKUP(TargetsPercent23[[#This Row],[KEY]],[1]!HistoricalData[#Data],7,FALSE)</f>
        <v>0</v>
      </c>
      <c r="H222" s="9">
        <f>AVERAGE(TargetsPercent23[[#This Row],[2016–17 Historical data]],TargetsPercent23[[#This Row],[2017–18 Historical data]],TargetsPercent23[[#This Row],[2018–19 Historical data]])</f>
        <v>0</v>
      </c>
      <c r="I222" s="9">
        <f>ABS(TargetsPercent23[[#This Row],[2016–17 Historical data]]-TargetsPercent23[[#This Row],[2017–18 Historical data]])</f>
        <v>0</v>
      </c>
      <c r="J222" s="2">
        <f>ABS(TargetsPercent23[[#This Row],[2017–18 Historical data]]-TargetsPercent23[[#This Row],[2018–19 Historical data]])</f>
        <v>0</v>
      </c>
      <c r="K22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22" s="26">
        <f>TargetsPercent23[[#This Row],[Average (calculated)]]-TargetsPercent23[[#This Row],[Band of Tolerance (calculated)]]</f>
        <v>-0.01</v>
      </c>
      <c r="M222" s="22">
        <f>TargetsPercent23[[#This Row],[2020–21
Allowable
performance
target]]-TargetsPercent23[[#This Row],[Target Floor (calculated)]]</f>
        <v>0.01</v>
      </c>
    </row>
    <row r="223" spans="1:13" x14ac:dyDescent="0.2">
      <c r="A223" t="str">
        <f>_xlfn.CONCAT(TargetsPercent23[[#This Row],[University]],":",TargetsPercent23[[#This Row],[Metric]])</f>
        <v>Wilfrid Laurier University:Tri-agency research funding</v>
      </c>
      <c r="B223" t="s">
        <v>48</v>
      </c>
      <c r="C223" t="s">
        <v>29</v>
      </c>
      <c r="D223" s="18">
        <f>VLOOKUP(TargetsPercent23[[#This Row],[KEY]],[1]!HistoricalData[#Data],4,FALSE)</f>
        <v>5175430</v>
      </c>
      <c r="E223" s="18">
        <f>VLOOKUP(TargetsPercent23[[#This Row],[KEY]],[1]!HistoricalData[#Data],5,FALSE)</f>
        <v>5580312</v>
      </c>
      <c r="F223" s="18">
        <f>VLOOKUP(TargetsPercent23[[#This Row],[KEY]],[1]!HistoricalData[#Data],6,FALSE)</f>
        <v>5870716</v>
      </c>
      <c r="G223" s="19">
        <f>VLOOKUP(TargetsPercent23[[#This Row],[KEY]],[1]!HistoricalData[#Data],7,FALSE)</f>
        <v>0</v>
      </c>
      <c r="H223" s="11">
        <f>AVERAGE(TargetsPercent23[[#This Row],[2016–17 Historical data]],TargetsPercent23[[#This Row],[2017–18 Historical data]],TargetsPercent23[[#This Row],[2018–19 Historical data]])</f>
        <v>5542152.666666667</v>
      </c>
      <c r="I223" s="2">
        <f>ABS((TargetsPercent23[[#This Row],[2017–18 Historical data]]-TargetsPercent23[[#This Row],[2016–17 Historical data]])/TargetsPercent23[[#This Row],[2016–17 Historical data]])</f>
        <v>7.823156723209472E-2</v>
      </c>
      <c r="J223" s="2">
        <f>ABS((TargetsPercent23[[#This Row],[2018–19 Historical data]]-TargetsPercent23[[#This Row],[2017–18 Historical data]])/TargetsPercent23[[#This Row],[2017–18 Historical data]])</f>
        <v>5.204081778939959E-2</v>
      </c>
      <c r="K223" s="2">
        <f>IF(MIN(TargetsPercent23[[#This Row],[ABS 2016-17 to 2017-18 (calculated)]:[ABS 2017-18 to 2018-19 (calculated)]])&lt;0.01,0.01,MIN(TargetsPercent23[[#This Row],[ABS 2016-17 to 2017-18 (calculated)]:[ABS 2017-18 to 2018-19 (calculated)]]))</f>
        <v>5.204081778939959E-2</v>
      </c>
      <c r="L223" s="10">
        <f>TargetsPercent23[[#This Row],[Average (calculated)]]-TargetsPercent23[[#This Row],[Band of Tolerance (calculated)]]</f>
        <v>5542152.6146258488</v>
      </c>
      <c r="M223" s="11">
        <f>TargetsPercent23[[#This Row],[2020–21
Allowable
performance
target]]-TargetsPercent23[[#This Row],[Target Floor (calculated)]]</f>
        <v>-5542152.6146258488</v>
      </c>
    </row>
    <row r="224" spans="1:13" x14ac:dyDescent="0.2">
      <c r="A224" t="str">
        <f>_xlfn.CONCAT(TargetsPercent23[[#This Row],[University]],":",TargetsPercent23[[#This Row],[Metric]])</f>
        <v>York University:01. Graduate employment rate in a related field</v>
      </c>
      <c r="B224" t="s">
        <v>49</v>
      </c>
      <c r="C224" t="s">
        <v>19</v>
      </c>
      <c r="D224" s="6">
        <f>VLOOKUP(TargetsPercent23[[#This Row],[KEY]],[1]!HistoricalData[#Data],4,FALSE)</f>
        <v>0.83250000000000002</v>
      </c>
      <c r="E224" s="6">
        <f>VLOOKUP(TargetsPercent23[[#This Row],[KEY]],[1]!HistoricalData[#Data],5,FALSE)</f>
        <v>0.8367</v>
      </c>
      <c r="F224" s="6">
        <f>VLOOKUP(TargetsPercent23[[#This Row],[KEY]],[1]!HistoricalData[#Data],6,FALSE)</f>
        <v>0.82540000000000002</v>
      </c>
      <c r="G224" s="5">
        <f>VLOOKUP(TargetsPercent23[[#This Row],[KEY]],[1]!HistoricalData[#Data],7,FALSE)</f>
        <v>0.82730000000000004</v>
      </c>
      <c r="H224" s="2">
        <f>AVERAGE(TargetsPercent23[[#This Row],[2016–17 Historical data]],TargetsPercent23[[#This Row],[2017–18 Historical data]],TargetsPercent23[[#This Row],[2018–19 Historical data]])</f>
        <v>0.83153333333333335</v>
      </c>
      <c r="I224" s="2">
        <f>ABS(TargetsPercent23[[#This Row],[2016–17 Historical data]]-TargetsPercent23[[#This Row],[2017–18 Historical data]])</f>
        <v>4.1999999999999815E-3</v>
      </c>
      <c r="J224" s="2">
        <f>ABS(TargetsPercent23[[#This Row],[2017–18 Historical data]]-TargetsPercent23[[#This Row],[2018–19 Historical data]])</f>
        <v>1.1299999999999977E-2</v>
      </c>
      <c r="K22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24" s="23">
        <f>TargetsPercent23[[#This Row],[Average (calculated)]]-TargetsPercent23[[#This Row],[Band of Tolerance (calculated)]]</f>
        <v>0.82153333333333334</v>
      </c>
      <c r="M224" s="22">
        <f>TargetsPercent23[[#This Row],[2020–21
Allowable
performance
target]]-TargetsPercent23[[#This Row],[Target Floor (calculated)]]</f>
        <v>5.7666666666666977E-3</v>
      </c>
    </row>
    <row r="225" spans="1:13" x14ac:dyDescent="0.2">
      <c r="A225" t="str">
        <f>_xlfn.CONCAT(TargetsPercent23[[#This Row],[University]],":",TargetsPercent23[[#This Row],[Metric]])</f>
        <v>York University:02. Institutional strength and focus</v>
      </c>
      <c r="B225" t="s">
        <v>49</v>
      </c>
      <c r="C225" t="s">
        <v>20</v>
      </c>
      <c r="D225" s="6">
        <f>VLOOKUP(TargetsPercent23[[#This Row],[KEY]],[1]!HistoricalData[#Data],4,FALSE)</f>
        <v>0.48249999999999998</v>
      </c>
      <c r="E225" s="6">
        <f>VLOOKUP(TargetsPercent23[[#This Row],[KEY]],[1]!HistoricalData[#Data],5,FALSE)</f>
        <v>0.49209999999999998</v>
      </c>
      <c r="F225" s="6">
        <f>VLOOKUP(TargetsPercent23[[#This Row],[KEY]],[1]!HistoricalData[#Data],6,FALSE)</f>
        <v>0.50290000000000001</v>
      </c>
      <c r="G225" s="5">
        <f>VLOOKUP(TargetsPercent23[[#This Row],[KEY]],[1]!HistoricalData[#Data],7,FALSE)</f>
        <v>0.49220000000000003</v>
      </c>
      <c r="H225" s="2">
        <f>AVERAGE(TargetsPercent23[[#This Row],[2016–17 Historical data]],TargetsPercent23[[#This Row],[2017–18 Historical data]],TargetsPercent23[[#This Row],[2018–19 Historical data]])</f>
        <v>0.49249999999999999</v>
      </c>
      <c r="I225" s="2">
        <f>ABS(TargetsPercent23[[#This Row],[2016–17 Historical data]]-TargetsPercent23[[#This Row],[2017–18 Historical data]])</f>
        <v>9.5999999999999974E-3</v>
      </c>
      <c r="J225" s="2">
        <f>ABS(TargetsPercent23[[#This Row],[2017–18 Historical data]]-TargetsPercent23[[#This Row],[2018–19 Historical data]])</f>
        <v>1.0800000000000032E-2</v>
      </c>
      <c r="K225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25" s="23">
        <f>TargetsPercent23[[#This Row],[Average (calculated)]]-TargetsPercent23[[#This Row],[Band of Tolerance (calculated)]]</f>
        <v>0.48249999999999998</v>
      </c>
      <c r="M225" s="22">
        <f>TargetsPercent23[[#This Row],[2020–21
Allowable
performance
target]]-TargetsPercent23[[#This Row],[Target Floor (calculated)]]</f>
        <v>9.7000000000000419E-3</v>
      </c>
    </row>
    <row r="226" spans="1:13" x14ac:dyDescent="0.2">
      <c r="A226" t="str">
        <f>_xlfn.CONCAT(TargetsPercent23[[#This Row],[University]],":",TargetsPercent23[[#This Row],[Metric]])</f>
        <v>York University:03. Graduation rate</v>
      </c>
      <c r="B226" t="s">
        <v>49</v>
      </c>
      <c r="C226" t="s">
        <v>21</v>
      </c>
      <c r="D226" s="6">
        <f>VLOOKUP(TargetsPercent23[[#This Row],[KEY]],[1]!HistoricalData[#Data],4,FALSE)</f>
        <v>0.68289999999999995</v>
      </c>
      <c r="E226" s="6">
        <f>VLOOKUP(TargetsPercent23[[#This Row],[KEY]],[1]!HistoricalData[#Data],5,FALSE)</f>
        <v>0.69669999999999999</v>
      </c>
      <c r="F226" s="6">
        <f>VLOOKUP(TargetsPercent23[[#This Row],[KEY]],[1]!HistoricalData[#Data],6,FALSE)</f>
        <v>0.67989999999999995</v>
      </c>
      <c r="G226" s="5">
        <f>VLOOKUP(TargetsPercent23[[#This Row],[KEY]],[1]!HistoricalData[#Data],7,FALSE)</f>
        <v>0.68479999999999996</v>
      </c>
      <c r="H226" s="2">
        <f>AVERAGE(TargetsPercent23[[#This Row],[2016–17 Historical data]],TargetsPercent23[[#This Row],[2017–18 Historical data]],TargetsPercent23[[#This Row],[2018–19 Historical data]])</f>
        <v>0.6865</v>
      </c>
      <c r="I226" s="2">
        <f>ABS(TargetsPercent23[[#This Row],[2016–17 Historical data]]-TargetsPercent23[[#This Row],[2017–18 Historical data]])</f>
        <v>1.3800000000000034E-2</v>
      </c>
      <c r="J226" s="2">
        <f>ABS(TargetsPercent23[[#This Row],[2017–18 Historical data]]-TargetsPercent23[[#This Row],[2018–19 Historical data]])</f>
        <v>1.6800000000000037E-2</v>
      </c>
      <c r="K226" s="2">
        <f>IF(MIN(TargetsPercent23[[#This Row],[ABS 2016-17 to 2017-18 (calculated)]:[ABS 2017-18 to 2018-19 (calculated)]])&lt;0.01,0.01,MIN(TargetsPercent23[[#This Row],[ABS 2016-17 to 2017-18 (calculated)]:[ABS 2017-18 to 2018-19 (calculated)]]))</f>
        <v>1.3800000000000034E-2</v>
      </c>
      <c r="L226" s="23">
        <f>TargetsPercent23[[#This Row],[Average (calculated)]]-TargetsPercent23[[#This Row],[Band of Tolerance (calculated)]]</f>
        <v>0.67269999999999996</v>
      </c>
      <c r="M226" s="22">
        <f>TargetsPercent23[[#This Row],[2020–21
Allowable
performance
target]]-TargetsPercent23[[#This Row],[Target Floor (calculated)]]</f>
        <v>1.21E-2</v>
      </c>
    </row>
    <row r="227" spans="1:13" x14ac:dyDescent="0.2">
      <c r="A227" t="str">
        <f>_xlfn.CONCAT(TargetsPercent23[[#This Row],[University]],":",TargetsPercent23[[#This Row],[Metric]])</f>
        <v>York University:04. Community and local impact of student enrolment</v>
      </c>
      <c r="B227" t="s">
        <v>49</v>
      </c>
      <c r="C227" t="s">
        <v>22</v>
      </c>
      <c r="D227" s="6">
        <f>VLOOKUP(TargetsPercent23[[#This Row],[KEY]],[1]!HistoricalData[#Data],4,FALSE)</f>
        <v>2.7300000000000001E-2</v>
      </c>
      <c r="E227" s="6">
        <f>VLOOKUP(TargetsPercent23[[#This Row],[KEY]],[1]!HistoricalData[#Data],5,FALSE)</f>
        <v>2.7900000000000001E-2</v>
      </c>
      <c r="F227" s="6">
        <f>VLOOKUP(TargetsPercent23[[#This Row],[KEY]],[1]!HistoricalData[#Data],6,FALSE)</f>
        <v>2.9100000000000001E-2</v>
      </c>
      <c r="G227" s="5">
        <f>VLOOKUP(TargetsPercent23[[#This Row],[KEY]],[1]!HistoricalData[#Data],7,FALSE)</f>
        <v>2.7799999999999998E-2</v>
      </c>
      <c r="H227" s="2">
        <f>AVERAGE(TargetsPercent23[[#This Row],[2016–17 Historical data]],TargetsPercent23[[#This Row],[2017–18 Historical data]],TargetsPercent23[[#This Row],[2018–19 Historical data]])</f>
        <v>2.81E-2</v>
      </c>
      <c r="I227" s="2">
        <f>ABS(TargetsPercent23[[#This Row],[2016–17 Historical data]]-TargetsPercent23[[#This Row],[2017–18 Historical data]])</f>
        <v>5.9999999999999984E-4</v>
      </c>
      <c r="J227" s="2">
        <f>ABS(TargetsPercent23[[#This Row],[2017–18 Historical data]]-TargetsPercent23[[#This Row],[2018–19 Historical data]])</f>
        <v>1.1999999999999997E-3</v>
      </c>
      <c r="K227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27" s="24">
        <f>TargetsPercent23[[#This Row],[Average (calculated)]]-TargetsPercent23[[#This Row],[Band of Tolerance (calculated)]]</f>
        <v>1.8099999999999998E-2</v>
      </c>
      <c r="M227" s="25">
        <f>TargetsPercent23[[#This Row],[2020–21
Allowable
performance
target]]-TargetsPercent23[[#This Row],[Target Floor (calculated)]]</f>
        <v>9.7000000000000003E-3</v>
      </c>
    </row>
    <row r="228" spans="1:13" x14ac:dyDescent="0.2">
      <c r="A228" t="str">
        <f>_xlfn.CONCAT(TargetsPercent23[[#This Row],[University]],":",TargetsPercent23[[#This Row],[Metric]])</f>
        <v>York University:05. Economic impact (institution-specific)</v>
      </c>
      <c r="B228" t="s">
        <v>49</v>
      </c>
      <c r="C228" t="s">
        <v>23</v>
      </c>
      <c r="D228" s="18">
        <f>VLOOKUP(TargetsPercent23[[#This Row],[KEY]],[1]!HistoricalData[#Data],4,FALSE)</f>
        <v>17.329999999999998</v>
      </c>
      <c r="E228" s="18">
        <f>VLOOKUP(TargetsPercent23[[#This Row],[KEY]],[1]!HistoricalData[#Data],5,FALSE)</f>
        <v>35</v>
      </c>
      <c r="F228" s="18">
        <f>VLOOKUP(TargetsPercent23[[#This Row],[KEY]],[1]!HistoricalData[#Data],6,FALSE)</f>
        <v>49.33</v>
      </c>
      <c r="G228" s="19">
        <f>VLOOKUP(TargetsPercent23[[#This Row],[KEY]],[1]!HistoricalData[#Data],7,FALSE)</f>
        <v>13.77</v>
      </c>
      <c r="H228" s="11">
        <f>AVERAGE(TargetsPercent23[[#This Row],[2016–17 Historical data]],TargetsPercent23[[#This Row],[2017–18 Historical data]],TargetsPercent23[[#This Row],[2018–19 Historical data]])</f>
        <v>33.886666666666663</v>
      </c>
      <c r="I228" s="2">
        <f>ABS((TargetsPercent23[[#This Row],[2017–18 Historical data]]-TargetsPercent23[[#This Row],[2016–17 Historical data]])/TargetsPercent23[[#This Row],[2016–17 Historical data]])</f>
        <v>1.0196191575302944</v>
      </c>
      <c r="J228" s="2">
        <f>ABS((TargetsPercent23[[#This Row],[2018–19 Historical data]]-TargetsPercent23[[#This Row],[2017–18 Historical data]])/TargetsPercent23[[#This Row],[2017–18 Historical data]])</f>
        <v>0.40942857142857136</v>
      </c>
      <c r="K228" s="2">
        <f>IF(MIN(TargetsPercent23[[#This Row],[ABS 2016-17 to 2017-18 (calculated)]:[ABS 2017-18 to 2018-19 (calculated)]])&lt;0.01,0.01,MIN(TargetsPercent23[[#This Row],[ABS 2016-17 to 2017-18 (calculated)]:[ABS 2017-18 to 2018-19 (calculated)]]))</f>
        <v>0.40942857142857136</v>
      </c>
      <c r="L228" s="10">
        <f>TargetsPercent23[[#This Row],[Average (calculated)]]-TargetsPercent23[[#This Row],[Band of Tolerance (calculated)]]</f>
        <v>33.477238095238093</v>
      </c>
      <c r="M228" s="11">
        <f>TargetsPercent23[[#This Row],[2020–21
Allowable
performance
target]]-TargetsPercent23[[#This Row],[Target Floor (calculated)]]</f>
        <v>-19.707238095238093</v>
      </c>
    </row>
    <row r="229" spans="1:13" x14ac:dyDescent="0.2">
      <c r="A229" t="str">
        <f>_xlfn.CONCAT(TargetsPercent23[[#This Row],[University]],":",TargetsPercent23[[#This Row],[Metric]])</f>
        <v>York University:06. Research funding and capacity: federal tri-agency funding secured</v>
      </c>
      <c r="B229" t="s">
        <v>49</v>
      </c>
      <c r="C229" t="s">
        <v>24</v>
      </c>
      <c r="D229" s="18">
        <f>VLOOKUP(TargetsPercent23[[#This Row],[KEY]],[1]!HistoricalData[#Data],4,FALSE)</f>
        <v>3.49E-2</v>
      </c>
      <c r="E229" s="18">
        <f>VLOOKUP(TargetsPercent23[[#This Row],[KEY]],[1]!HistoricalData[#Data],5,FALSE)</f>
        <v>3.4500000000000003E-2</v>
      </c>
      <c r="F229" s="18">
        <f>VLOOKUP(TargetsPercent23[[#This Row],[KEY]],[1]!HistoricalData[#Data],6,FALSE)</f>
        <v>3.3500000000000002E-2</v>
      </c>
      <c r="G229" s="19">
        <f>VLOOKUP(TargetsPercent23[[#This Row],[KEY]],[1]!HistoricalData[#Data],7,FALSE)</f>
        <v>3.3300000000000003E-2</v>
      </c>
      <c r="H229" s="11">
        <f>AVERAGE(TargetsPercent23[[#This Row],[2016–17 Historical data]],TargetsPercent23[[#This Row],[2017–18 Historical data]],TargetsPercent23[[#This Row],[2018–19 Historical data]])</f>
        <v>3.4300000000000004E-2</v>
      </c>
      <c r="I229" s="2">
        <f>ABS((TargetsPercent23[[#This Row],[2017–18 Historical data]]-TargetsPercent23[[#This Row],[2016–17 Historical data]])/TargetsPercent23[[#This Row],[2016–17 Historical data]])</f>
        <v>1.1461318051575861E-2</v>
      </c>
      <c r="J229" s="2">
        <f>ABS((TargetsPercent23[[#This Row],[2018–19 Historical data]]-TargetsPercent23[[#This Row],[2017–18 Historical data]])/TargetsPercent23[[#This Row],[2017–18 Historical data]])</f>
        <v>2.8985507246376836E-2</v>
      </c>
      <c r="K229" s="2">
        <f>IF(MIN(TargetsPercent23[[#This Row],[ABS 2016-17 to 2017-18 (calculated)]:[ABS 2017-18 to 2018-19 (calculated)]])&lt;0.01,0.01,MIN(TargetsPercent23[[#This Row],[ABS 2016-17 to 2017-18 (calculated)]:[ABS 2017-18 to 2018-19 (calculated)]]))</f>
        <v>1.1461318051575861E-2</v>
      </c>
      <c r="L229" s="10">
        <f>TargetsPercent23[[#This Row],[Average (calculated)]]-TargetsPercent23[[#This Row],[Band of Tolerance (calculated)]]</f>
        <v>2.2838681948424144E-2</v>
      </c>
      <c r="M229" s="11">
        <f>TargetsPercent23[[#This Row],[2020–21
Allowable
performance
target]]-TargetsPercent23[[#This Row],[Target Floor (calculated)]]</f>
        <v>1.0461318051575859E-2</v>
      </c>
    </row>
    <row r="230" spans="1:13" x14ac:dyDescent="0.2">
      <c r="A230" t="str">
        <f>_xlfn.CONCAT(TargetsPercent23[[#This Row],[University]],":",TargetsPercent23[[#This Row],[Metric]])</f>
        <v>York University:07. Experiential learning</v>
      </c>
      <c r="B230" t="s">
        <v>49</v>
      </c>
      <c r="C230" t="s">
        <v>25</v>
      </c>
      <c r="D230" s="6">
        <f>VLOOKUP(TargetsPercent23[[#This Row],[KEY]],[1]!HistoricalData[#Data],4,FALSE)</f>
        <v>0</v>
      </c>
      <c r="E230" s="6">
        <f>VLOOKUP(TargetsPercent23[[#This Row],[KEY]],[1]!HistoricalData[#Data],5,FALSE)</f>
        <v>0</v>
      </c>
      <c r="F230" s="6">
        <f>VLOOKUP(TargetsPercent23[[#This Row],[KEY]],[1]!HistoricalData[#Data],6,FALSE)</f>
        <v>0</v>
      </c>
      <c r="G230" s="5">
        <f>VLOOKUP(TargetsPercent23[[#This Row],[KEY]],[1]!HistoricalData[#Data],7,FALSE)</f>
        <v>0</v>
      </c>
      <c r="H230" s="9">
        <f>AVERAGE(TargetsPercent23[[#This Row],[2016–17 Historical data]],TargetsPercent23[[#This Row],[2017–18 Historical data]],TargetsPercent23[[#This Row],[2018–19 Historical data]])</f>
        <v>0</v>
      </c>
      <c r="I230" s="9">
        <f>ABS(TargetsPercent23[[#This Row],[2016–17 Historical data]]-TargetsPercent23[[#This Row],[2017–18 Historical data]])</f>
        <v>0</v>
      </c>
      <c r="J230" s="2">
        <f>ABS(TargetsPercent23[[#This Row],[2017–18 Historical data]]-TargetsPercent23[[#This Row],[2018–19 Historical data]])</f>
        <v>0</v>
      </c>
      <c r="K230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30" s="26">
        <f>TargetsPercent23[[#This Row],[Average (calculated)]]-TargetsPercent23[[#This Row],[Band of Tolerance (calculated)]]</f>
        <v>-0.01</v>
      </c>
      <c r="M230" s="22">
        <f>TargetsPercent23[[#This Row],[2020–21
Allowable
performance
target]]-TargetsPercent23[[#This Row],[Target Floor (calculated)]]</f>
        <v>0.01</v>
      </c>
    </row>
    <row r="231" spans="1:13" x14ac:dyDescent="0.2">
      <c r="A231" t="str">
        <f>_xlfn.CONCAT(TargetsPercent23[[#This Row],[University]],":",TargetsPercent23[[#This Row],[Metric]])</f>
        <v>York University:08. Research revenue attracted from private sector sources</v>
      </c>
      <c r="B231" t="s">
        <v>49</v>
      </c>
      <c r="C231" t="s">
        <v>26</v>
      </c>
      <c r="D231" s="18">
        <f>VLOOKUP(TargetsPercent23[[#This Row],[KEY]],[1]!HistoricalData[#Data],4,FALSE)</f>
        <v>0</v>
      </c>
      <c r="E231" s="18">
        <f>VLOOKUP(TargetsPercent23[[#This Row],[KEY]],[1]!HistoricalData[#Data],5,FALSE)</f>
        <v>0</v>
      </c>
      <c r="F231" s="18">
        <f>VLOOKUP(TargetsPercent23[[#This Row],[KEY]],[1]!HistoricalData[#Data],6,FALSE)</f>
        <v>0</v>
      </c>
      <c r="G231" s="19">
        <f>VLOOKUP(TargetsPercent23[[#This Row],[KEY]],[1]!HistoricalData[#Data],7,FALSE)</f>
        <v>0</v>
      </c>
      <c r="H231" s="11">
        <f>AVERAGE(TargetsPercent23[[#This Row],[2016–17 Historical data]],TargetsPercent23[[#This Row],[2017–18 Historical data]],TargetsPercent23[[#This Row],[2018–19 Historical data]])</f>
        <v>0</v>
      </c>
      <c r="I231" s="2" t="e">
        <f>ABS((TargetsPercent23[[#This Row],[2017–18 Historical data]]-TargetsPercent23[[#This Row],[2016–17 Historical data]])/TargetsPercent23[[#This Row],[2016–17 Historical data]])</f>
        <v>#DIV/0!</v>
      </c>
      <c r="J231" s="2" t="e">
        <f>ABS((TargetsPercent23[[#This Row],[2018–19 Historical data]]-TargetsPercent23[[#This Row],[2017–18 Historical data]])/TargetsPercent23[[#This Row],[2017–18 Historical data]])</f>
        <v>#DIV/0!</v>
      </c>
      <c r="K231" s="2" t="e">
        <f>IF(MIN(TargetsPercent23[[#This Row],[ABS 2016-17 to 2017-18 (calculated)]:[ABS 2017-18 to 2018-19 (calculated)]])&lt;0.01,0.01,MIN(TargetsPercent23[[#This Row],[ABS 2016-17 to 2017-18 (calculated)]:[ABS 2017-18 to 2018-19 (calculated)]]))</f>
        <v>#DIV/0!</v>
      </c>
      <c r="L231" s="10" t="e">
        <f>TargetsPercent23[[#This Row],[Average (calculated)]]-TargetsPercent23[[#This Row],[Band of Tolerance (calculated)]]</f>
        <v>#DIV/0!</v>
      </c>
      <c r="M231" s="11" t="e">
        <f>TargetsPercent23[[#This Row],[2020–21
Allowable
performance
target]]-TargetsPercent23[[#This Row],[Target Floor (calculated)]]</f>
        <v>#DIV/0!</v>
      </c>
    </row>
    <row r="232" spans="1:13" x14ac:dyDescent="0.2">
      <c r="A232" t="str">
        <f>_xlfn.CONCAT(TargetsPercent23[[#This Row],[University]],":",TargetsPercent23[[#This Row],[Metric]])</f>
        <v>York University:09. Graduate employment earnings</v>
      </c>
      <c r="B232" t="s">
        <v>49</v>
      </c>
      <c r="C232" t="s">
        <v>27</v>
      </c>
      <c r="D232" s="6">
        <f>VLOOKUP(TargetsPercent23[[#This Row],[KEY]],[1]!HistoricalData[#Data],4,FALSE)</f>
        <v>0</v>
      </c>
      <c r="E232" s="6">
        <f>VLOOKUP(TargetsPercent23[[#This Row],[KEY]],[1]!HistoricalData[#Data],5,FALSE)</f>
        <v>0</v>
      </c>
      <c r="F232" s="6">
        <f>VLOOKUP(TargetsPercent23[[#This Row],[KEY]],[1]!HistoricalData[#Data],6,FALSE)</f>
        <v>0</v>
      </c>
      <c r="G232" s="5">
        <f>VLOOKUP(TargetsPercent23[[#This Row],[KEY]],[1]!HistoricalData[#Data],7,FALSE)</f>
        <v>0</v>
      </c>
      <c r="H232" s="9">
        <f>AVERAGE(TargetsPercent23[[#This Row],[2016–17 Historical data]],TargetsPercent23[[#This Row],[2017–18 Historical data]],TargetsPercent23[[#This Row],[2018–19 Historical data]])</f>
        <v>0</v>
      </c>
      <c r="I232" s="9">
        <f>ABS(TargetsPercent23[[#This Row],[2016–17 Historical data]]-TargetsPercent23[[#This Row],[2017–18 Historical data]])</f>
        <v>0</v>
      </c>
      <c r="J232" s="2">
        <f>ABS(TargetsPercent23[[#This Row],[2017–18 Historical data]]-TargetsPercent23[[#This Row],[2018–19 Historical data]])</f>
        <v>0</v>
      </c>
      <c r="K232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32" s="26">
        <f>TargetsPercent23[[#This Row],[Average (calculated)]]-TargetsPercent23[[#This Row],[Band of Tolerance (calculated)]]</f>
        <v>-0.01</v>
      </c>
      <c r="M232" s="22">
        <f>TargetsPercent23[[#This Row],[2020–21
Allowable
performance
target]]-TargetsPercent23[[#This Row],[Target Floor (calculated)]]</f>
        <v>0.01</v>
      </c>
    </row>
    <row r="233" spans="1:13" x14ac:dyDescent="0.2">
      <c r="A233" t="str">
        <f>_xlfn.CONCAT(TargetsPercent23[[#This Row],[University]],":",TargetsPercent23[[#This Row],[Metric]])</f>
        <v>York University:10. Skills and competencies</v>
      </c>
      <c r="B233" t="s">
        <v>49</v>
      </c>
      <c r="C233" t="s">
        <v>28</v>
      </c>
      <c r="D233" s="6">
        <f>VLOOKUP(TargetsPercent23[[#This Row],[KEY]],[1]!HistoricalData[#Data],4,FALSE)</f>
        <v>0</v>
      </c>
      <c r="E233" s="6">
        <f>VLOOKUP(TargetsPercent23[[#This Row],[KEY]],[1]!HistoricalData[#Data],5,FALSE)</f>
        <v>0</v>
      </c>
      <c r="F233" s="6">
        <f>VLOOKUP(TargetsPercent23[[#This Row],[KEY]],[1]!HistoricalData[#Data],6,FALSE)</f>
        <v>0</v>
      </c>
      <c r="G233" s="5">
        <f>VLOOKUP(TargetsPercent23[[#This Row],[KEY]],[1]!HistoricalData[#Data],7,FALSE)</f>
        <v>0</v>
      </c>
      <c r="H233" s="9">
        <f>AVERAGE(TargetsPercent23[[#This Row],[2016–17 Historical data]],TargetsPercent23[[#This Row],[2017–18 Historical data]],TargetsPercent23[[#This Row],[2018–19 Historical data]])</f>
        <v>0</v>
      </c>
      <c r="I233" s="9">
        <f>ABS(TargetsPercent23[[#This Row],[2016–17 Historical data]]-TargetsPercent23[[#This Row],[2017–18 Historical data]])</f>
        <v>0</v>
      </c>
      <c r="J233" s="2">
        <f>ABS(TargetsPercent23[[#This Row],[2017–18 Historical data]]-TargetsPercent23[[#This Row],[2018–19 Historical data]])</f>
        <v>0</v>
      </c>
      <c r="K233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33" s="26">
        <f>TargetsPercent23[[#This Row],[Average (calculated)]]-TargetsPercent23[[#This Row],[Band of Tolerance (calculated)]]</f>
        <v>-0.01</v>
      </c>
      <c r="M233" s="22">
        <f>TargetsPercent23[[#This Row],[2020–21
Allowable
performance
target]]-TargetsPercent23[[#This Row],[Target Floor (calculated)]]</f>
        <v>0.01</v>
      </c>
    </row>
    <row r="234" spans="1:13" x14ac:dyDescent="0.2">
      <c r="A234" t="str">
        <f>_xlfn.CONCAT(TargetsPercent23[[#This Row],[University]],":",TargetsPercent23[[#This Row],[Metric]])</f>
        <v>York University:Tri-agency research funding</v>
      </c>
      <c r="B234" t="s">
        <v>49</v>
      </c>
      <c r="C234" t="s">
        <v>29</v>
      </c>
      <c r="D234" s="18">
        <f>VLOOKUP(TargetsPercent23[[#This Row],[KEY]],[1]!HistoricalData[#Data],4,FALSE)</f>
        <v>22263839</v>
      </c>
      <c r="E234" s="18">
        <f>VLOOKUP(TargetsPercent23[[#This Row],[KEY]],[1]!HistoricalData[#Data],5,FALSE)</f>
        <v>22980232</v>
      </c>
      <c r="F234" s="18">
        <f>VLOOKUP(TargetsPercent23[[#This Row],[KEY]],[1]!HistoricalData[#Data],6,FALSE)</f>
        <v>22756101</v>
      </c>
      <c r="G234" s="19">
        <f>VLOOKUP(TargetsPercent23[[#This Row],[KEY]],[1]!HistoricalData[#Data],7,FALSE)</f>
        <v>0</v>
      </c>
      <c r="H234" s="11">
        <f>AVERAGE(TargetsPercent23[[#This Row],[2016–17 Historical data]],TargetsPercent23[[#This Row],[2017–18 Historical data]],TargetsPercent23[[#This Row],[2018–19 Historical data]])</f>
        <v>22666724</v>
      </c>
      <c r="I234" s="2">
        <f>ABS((TargetsPercent23[[#This Row],[2017–18 Historical data]]-TargetsPercent23[[#This Row],[2016–17 Historical data]])/TargetsPercent23[[#This Row],[2016–17 Historical data]])</f>
        <v>3.2177424567254552E-2</v>
      </c>
      <c r="J234" s="2">
        <f>ABS((TargetsPercent23[[#This Row],[2018–19 Historical data]]-TargetsPercent23[[#This Row],[2017–18 Historical data]])/TargetsPercent23[[#This Row],[2017–18 Historical data]])</f>
        <v>9.7532087578576232E-3</v>
      </c>
      <c r="K234" s="2">
        <f>IF(MIN(TargetsPercent23[[#This Row],[ABS 2016-17 to 2017-18 (calculated)]:[ABS 2017-18 to 2018-19 (calculated)]])&lt;0.01,0.01,MIN(TargetsPercent23[[#This Row],[ABS 2016-17 to 2017-18 (calculated)]:[ABS 2017-18 to 2018-19 (calculated)]]))</f>
        <v>0.01</v>
      </c>
      <c r="L234" s="10">
        <f>TargetsPercent23[[#This Row],[Average (calculated)]]-TargetsPercent23[[#This Row],[Band of Tolerance (calculated)]]</f>
        <v>22666723.989999998</v>
      </c>
      <c r="M234" s="11">
        <f>TargetsPercent23[[#This Row],[2020–21
Allowable
performance
target]]-TargetsPercent23[[#This Row],[Target Floor (calculated)]]</f>
        <v>-22666723.989999998</v>
      </c>
    </row>
  </sheetData>
  <conditionalFormatting sqref="M1:M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7CF3-FB95-7440-9415-D469EA1A3CD4}">
  <dimension ref="A1:N234"/>
  <sheetViews>
    <sheetView topLeftCell="B2" workbookViewId="0">
      <selection activeCell="B2" sqref="B2:H229"/>
    </sheetView>
  </sheetViews>
  <sheetFormatPr baseColWidth="10" defaultColWidth="8.83203125" defaultRowHeight="15" x14ac:dyDescent="0.2"/>
  <cols>
    <col min="1" max="1" width="0" hidden="1" customWidth="1"/>
    <col min="2" max="2" width="25.33203125" customWidth="1"/>
    <col min="3" max="3" width="56.1640625" bestFit="1" customWidth="1"/>
    <col min="4" max="11" width="14.1640625" customWidth="1"/>
    <col min="12" max="12" width="14.1640625" style="2" customWidth="1"/>
    <col min="13" max="13" width="14.1640625" customWidth="1"/>
  </cols>
  <sheetData>
    <row r="1" spans="1:14" ht="24" x14ac:dyDescent="0.3">
      <c r="B1" s="1" t="s">
        <v>0</v>
      </c>
      <c r="D1" t="s">
        <v>1</v>
      </c>
    </row>
    <row r="2" spans="1:14" ht="80" x14ac:dyDescent="0.2">
      <c r="A2" t="s">
        <v>2</v>
      </c>
      <c r="B2" t="s">
        <v>3</v>
      </c>
      <c r="C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  <c r="M2" s="4" t="s">
        <v>14</v>
      </c>
      <c r="N2" s="3" t="s">
        <v>15</v>
      </c>
    </row>
    <row r="3" spans="1:14" x14ac:dyDescent="0.2">
      <c r="A3" t="str">
        <f>_xlfn.CONCAT(TargetsPercent[[#This Row],[University]],":",TargetsPercent[[#This Row],[Metric]])</f>
        <v>Institution A:Example: Graduation rate</v>
      </c>
      <c r="B3" t="s">
        <v>16</v>
      </c>
      <c r="C3" t="s">
        <v>17</v>
      </c>
      <c r="D3" s="6">
        <f>VLOOKUP(TargetsPercent[[#This Row],[KEY]],[1]!HistoricalData[#Data],4,FALSE)</f>
        <v>0.76</v>
      </c>
      <c r="E3" s="6">
        <f>VLOOKUP(TargetsPercent[[#This Row],[KEY]],[1]!HistoricalData[#Data],5,FALSE)</f>
        <v>0.79</v>
      </c>
      <c r="F3" s="6">
        <f>VLOOKUP(TargetsPercent[[#This Row],[KEY]],[1]!HistoricalData[#Data],6,FALSE)</f>
        <v>0.77</v>
      </c>
      <c r="G3" s="5">
        <f>VLOOKUP(TargetsPercent[[#This Row],[KEY]],[1]!HistoricalData[#Data],7,FALSE)</f>
        <v>0.79300000000000004</v>
      </c>
      <c r="H3" s="7">
        <f>AVERAGE(TargetsPercent[[#This Row],[2016–17 Historical data]],TargetsPercent[[#This Row],[2017–18 Historical data]],TargetsPercent[[#This Row],[2018–19 Historical data]])</f>
        <v>0.77333333333333343</v>
      </c>
      <c r="I3" s="7">
        <f>ABS(TargetsPercent[[#This Row],[2016–17 Historical data]]-TargetsPercent[[#This Row],[2017–18 Historical data]])</f>
        <v>3.0000000000000027E-2</v>
      </c>
      <c r="J3" s="7">
        <f>ABS(TargetsPercent[[#This Row],[2017–18 Historical data]]-TargetsPercent[[#This Row],[2018–19 Historical data]])</f>
        <v>2.0000000000000018E-2</v>
      </c>
      <c r="K3" s="7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0.79333333333333345</v>
      </c>
      <c r="L3" s="5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3.2395069953364448E-2</v>
      </c>
      <c r="M3" s="5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0.76763324450366432</v>
      </c>
      <c r="N3" s="8">
        <f>ABS(TargetsPercent[[#This Row],[2020–21
Allowable
performance
target]]-TargetsPercent[[#This Row],[Target Floor % (calculated)]])</f>
        <v>2.5366755496335713E-2</v>
      </c>
    </row>
    <row r="4" spans="1:14" x14ac:dyDescent="0.2">
      <c r="A4" t="str">
        <f>_xlfn.CONCAT(TargetsPercent[[#This Row],[University]],":",TargetsPercent[[#This Row],[Metric]])</f>
        <v>Algoma University:01. Graduate employment rate in a related field</v>
      </c>
      <c r="B4" t="s">
        <v>18</v>
      </c>
      <c r="C4" t="s">
        <v>19</v>
      </c>
      <c r="D4" s="6">
        <f>VLOOKUP(TargetsPercent[[#This Row],[KEY]],[1]!HistoricalData[#Data],4,FALSE)</f>
        <v>0.87880000000000003</v>
      </c>
      <c r="E4" s="6">
        <f>VLOOKUP(TargetsPercent[[#This Row],[KEY]],[1]!HistoricalData[#Data],5,FALSE)</f>
        <v>0.8871</v>
      </c>
      <c r="F4" s="6">
        <f>VLOOKUP(TargetsPercent[[#This Row],[KEY]],[1]!HistoricalData[#Data],6,FALSE)</f>
        <v>0.8448</v>
      </c>
      <c r="G4" s="5">
        <f>VLOOKUP(TargetsPercent[[#This Row],[KEY]],[1]!HistoricalData[#Data],7,FALSE)</f>
        <v>0.85350000000000004</v>
      </c>
      <c r="H4" s="2">
        <f>AVERAGE(TargetsPercent[[#This Row],[2016–17 Historical data]],TargetsPercent[[#This Row],[2017–18 Historical data]],TargetsPercent[[#This Row],[2018–19 Historical data]])</f>
        <v>0.8702333333333333</v>
      </c>
      <c r="I4" s="2">
        <f>ABS(TargetsPercent[[#This Row],[2016–17 Historical data]]-TargetsPercent[[#This Row],[2017–18 Historical data]])</f>
        <v>8.2999999999999741E-3</v>
      </c>
      <c r="J4" s="2">
        <f>ABS(TargetsPercent[[#This Row],[2017–18 Historical data]]-TargetsPercent[[#This Row],[2018–19 Historical data]])</f>
        <v>4.2300000000000004E-2</v>
      </c>
      <c r="K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0.87853333333333328</v>
      </c>
      <c r="L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2.8564080141872672E-2</v>
      </c>
      <c r="M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0.85343883679269339</v>
      </c>
      <c r="N4" s="8">
        <f>ABS(TargetsPercent[[#This Row],[2020–21
Allowable
performance
target]]-TargetsPercent[[#This Row],[Target Floor % (calculated)]])</f>
        <v>6.1163207306647038E-5</v>
      </c>
    </row>
    <row r="5" spans="1:14" x14ac:dyDescent="0.2">
      <c r="A5" t="str">
        <f>_xlfn.CONCAT(TargetsPercent[[#This Row],[University]],":",TargetsPercent[[#This Row],[Metric]])</f>
        <v>Algoma University:02. Institutional strength and focus</v>
      </c>
      <c r="B5" t="s">
        <v>18</v>
      </c>
      <c r="C5" t="s">
        <v>20</v>
      </c>
      <c r="D5" s="6">
        <f>VLOOKUP(TargetsPercent[[#This Row],[KEY]],[1]!HistoricalData[#Data],4,FALSE)</f>
        <v>0.375</v>
      </c>
      <c r="E5" s="6">
        <f>VLOOKUP(TargetsPercent[[#This Row],[KEY]],[1]!HistoricalData[#Data],5,FALSE)</f>
        <v>0.38240000000000002</v>
      </c>
      <c r="F5" s="6">
        <f>VLOOKUP(TargetsPercent[[#This Row],[KEY]],[1]!HistoricalData[#Data],6,FALSE)</f>
        <v>0.34949999999999998</v>
      </c>
      <c r="G5" s="5">
        <f>VLOOKUP(TargetsPercent[[#This Row],[KEY]],[1]!HistoricalData[#Data],7,FALSE)</f>
        <v>0.33040000000000003</v>
      </c>
      <c r="H5" s="2">
        <f>AVERAGE(TargetsPercent[[#This Row],[2016–17 Historical data]],TargetsPercent[[#This Row],[2017–18 Historical data]],TargetsPercent[[#This Row],[2018–19 Historical data]])</f>
        <v>0.36896666666666667</v>
      </c>
      <c r="I5" s="2">
        <f>ABS(TargetsPercent[[#This Row],[2016–17 Historical data]]-TargetsPercent[[#This Row],[2017–18 Historical data]])</f>
        <v>7.4000000000000177E-3</v>
      </c>
      <c r="J5" s="2">
        <f>ABS(TargetsPercent[[#This Row],[2017–18 Historical data]]-TargetsPercent[[#This Row],[2018–19 Historical data]])</f>
        <v>3.290000000000004E-2</v>
      </c>
      <c r="K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0.37636666666666668</v>
      </c>
      <c r="L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5.2884449093444981E-2</v>
      </c>
      <c r="M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0.35646272284286379</v>
      </c>
      <c r="N5" s="8">
        <f>ABS(TargetsPercent[[#This Row],[2020–21
Allowable
performance
target]]-TargetsPercent[[#This Row],[Target Floor % (calculated)]])</f>
        <v>2.6062722842863761E-2</v>
      </c>
    </row>
    <row r="6" spans="1:14" x14ac:dyDescent="0.2">
      <c r="A6" t="str">
        <f>_xlfn.CONCAT(TargetsPercent[[#This Row],[University]],":",TargetsPercent[[#This Row],[Metric]])</f>
        <v>Algoma University:03. Graduation rate</v>
      </c>
      <c r="B6" t="s">
        <v>18</v>
      </c>
      <c r="C6" t="s">
        <v>21</v>
      </c>
      <c r="D6" s="6">
        <f>VLOOKUP(TargetsPercent[[#This Row],[KEY]],[1]!HistoricalData[#Data],4,FALSE)</f>
        <v>0.54190000000000005</v>
      </c>
      <c r="E6" s="6">
        <f>VLOOKUP(TargetsPercent[[#This Row],[KEY]],[1]!HistoricalData[#Data],5,FALSE)</f>
        <v>0.57789999999999997</v>
      </c>
      <c r="F6" s="6">
        <f>VLOOKUP(TargetsPercent[[#This Row],[KEY]],[1]!HistoricalData[#Data],6,FALSE)</f>
        <v>0.55430000000000001</v>
      </c>
      <c r="G6" s="5">
        <f>VLOOKUP(TargetsPercent[[#This Row],[KEY]],[1]!HistoricalData[#Data],7,FALSE)</f>
        <v>0.5504</v>
      </c>
      <c r="H6" s="2">
        <f>AVERAGE(TargetsPercent[[#This Row],[2016–17 Historical data]],TargetsPercent[[#This Row],[2017–18 Historical data]],TargetsPercent[[#This Row],[2018–19 Historical data]])</f>
        <v>0.55803333333333338</v>
      </c>
      <c r="I6" s="2">
        <f>ABS(TargetsPercent[[#This Row],[2016–17 Historical data]]-TargetsPercent[[#This Row],[2017–18 Historical data]])</f>
        <v>3.5999999999999921E-2</v>
      </c>
      <c r="J6" s="2">
        <f>ABS(TargetsPercent[[#This Row],[2017–18 Historical data]]-TargetsPercent[[#This Row],[2018–19 Historical data]])</f>
        <v>2.3599999999999954E-2</v>
      </c>
      <c r="K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0.58163333333333334</v>
      </c>
      <c r="L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5.3635218172100818E-2</v>
      </c>
      <c r="M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0.55043730260383372</v>
      </c>
      <c r="N6" s="8">
        <f>ABS(TargetsPercent[[#This Row],[2020–21
Allowable
performance
target]]-TargetsPercent[[#This Row],[Target Floor % (calculated)]])</f>
        <v>3.7302603833722081E-5</v>
      </c>
    </row>
    <row r="7" spans="1:14" x14ac:dyDescent="0.2">
      <c r="A7" t="str">
        <f>_xlfn.CONCAT(TargetsPercent[[#This Row],[University]],":",TargetsPercent[[#This Row],[Metric]])</f>
        <v>Algoma University:04. Community and local impact of student enrolment</v>
      </c>
      <c r="B7" t="s">
        <v>18</v>
      </c>
      <c r="C7" t="s">
        <v>22</v>
      </c>
      <c r="D7" s="6">
        <f>VLOOKUP(TargetsPercent[[#This Row],[KEY]],[1]!HistoricalData[#Data],4,FALSE)</f>
        <v>2.3E-2</v>
      </c>
      <c r="E7" s="6">
        <f>VLOOKUP(TargetsPercent[[#This Row],[KEY]],[1]!HistoricalData[#Data],5,FALSE)</f>
        <v>2.0899999999999998E-2</v>
      </c>
      <c r="F7" s="6">
        <f>VLOOKUP(TargetsPercent[[#This Row],[KEY]],[1]!HistoricalData[#Data],6,FALSE)</f>
        <v>1.7600000000000001E-2</v>
      </c>
      <c r="G7" s="5">
        <f>VLOOKUP(TargetsPercent[[#This Row],[KEY]],[1]!HistoricalData[#Data],7,FALSE)</f>
        <v>1.9800000000000002E-2</v>
      </c>
      <c r="H7" s="2">
        <f>AVERAGE(TargetsPercent[[#This Row],[2016–17 Historical data]],TargetsPercent[[#This Row],[2017–18 Historical data]],TargetsPercent[[#This Row],[2018–19 Historical data]])</f>
        <v>2.0500000000000001E-2</v>
      </c>
      <c r="I7" s="2">
        <f>ABS(TargetsPercent[[#This Row],[2016–17 Historical data]]-TargetsPercent[[#This Row],[2017–18 Historical data]])</f>
        <v>2.1000000000000012E-3</v>
      </c>
      <c r="J7" s="2">
        <f>ABS(TargetsPercent[[#This Row],[2017–18 Historical data]]-TargetsPercent[[#This Row],[2018–19 Historical data]])</f>
        <v>3.2999999999999974E-3</v>
      </c>
      <c r="K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2.2600000000000002E-2</v>
      </c>
      <c r="L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0.12459954233409608</v>
      </c>
      <c r="M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1.978405034324943E-2</v>
      </c>
      <c r="N7" s="9">
        <f>ABS(TargetsPercent[[#This Row],[2020–21
Allowable
performance
target]]-TargetsPercent[[#This Row],[Target Floor % (calculated)]])</f>
        <v>1.5949656750571806E-5</v>
      </c>
    </row>
    <row r="8" spans="1:14" x14ac:dyDescent="0.2">
      <c r="A8" t="str">
        <f>_xlfn.CONCAT(TargetsPercent[[#This Row],[University]],":",TargetsPercent[[#This Row],[Metric]])</f>
        <v>Algoma University:05. Economic impact (institution-specific)</v>
      </c>
      <c r="B8" t="s">
        <v>18</v>
      </c>
      <c r="C8" t="s">
        <v>23</v>
      </c>
      <c r="D8" s="6">
        <f>VLOOKUP(TargetsPercent[[#This Row],[KEY]],[1]!HistoricalData[#Data],4,FALSE)</f>
        <v>13098880</v>
      </c>
      <c r="E8" s="6">
        <f>VLOOKUP(TargetsPercent[[#This Row],[KEY]],[1]!HistoricalData[#Data],5,FALSE)</f>
        <v>10514800</v>
      </c>
      <c r="F8" s="6">
        <f>VLOOKUP(TargetsPercent[[#This Row],[KEY]],[1]!HistoricalData[#Data],6,FALSE)</f>
        <v>13997100</v>
      </c>
      <c r="G8" s="5">
        <f>VLOOKUP(TargetsPercent[[#This Row],[KEY]],[1]!HistoricalData[#Data],7,FALSE)</f>
        <v>11125616</v>
      </c>
      <c r="H8" s="10">
        <f>AVERAGE(TargetsPercent[[#This Row],[2016–17 Historical data]],TargetsPercent[[#This Row],[2017–18 Historical data]],TargetsPercent[[#This Row],[2018–19 Historical data]])</f>
        <v>12536926.666666666</v>
      </c>
      <c r="I8" s="2">
        <f>ABS((TargetsPercent[[#This Row],[2017–18 Historical data]]-TargetsPercent[[#This Row],[2016–17 Historical data]])/TargetsPercent[[#This Row],[2016–17 Historical data]])</f>
        <v>0.19727488151658767</v>
      </c>
      <c r="J8" s="10">
        <f>ABS(TargetsPercent[[#This Row],[2017–18 Historical data]]-TargetsPercent[[#This Row],[2018–19 Historical data]])</f>
        <v>3482300</v>
      </c>
      <c r="K8" s="10">
        <f>AVERAGE(TargetsPercent[[#This Row],[2016–17 Historical data]:[2018–19 Historical data]])</f>
        <v>12536926.666666666</v>
      </c>
      <c r="L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0.26422784666235288</v>
      </c>
      <c r="M8" s="11"/>
      <c r="N8" s="8">
        <f>ABS(TargetsPercent[[#This Row],[2020–21
Allowable
performance
target]]-TargetsPercent[[#This Row],[Target Floor % (calculated)]])</f>
        <v>11125616</v>
      </c>
    </row>
    <row r="9" spans="1:14" x14ac:dyDescent="0.2">
      <c r="A9" t="str">
        <f>_xlfn.CONCAT(TargetsPercent[[#This Row],[University]],":",TargetsPercent[[#This Row],[Metric]])</f>
        <v>Algoma University:06. Research funding and capacity: federal tri-agency funding secured</v>
      </c>
      <c r="B9" t="s">
        <v>18</v>
      </c>
      <c r="C9" t="s">
        <v>24</v>
      </c>
      <c r="D9" s="6">
        <f>VLOOKUP(TargetsPercent[[#This Row],[KEY]],[1]!HistoricalData[#Data],4,FALSE)</f>
        <v>5.0000000000000001E-4</v>
      </c>
      <c r="E9" s="6">
        <f>VLOOKUP(TargetsPercent[[#This Row],[KEY]],[1]!HistoricalData[#Data],5,FALSE)</f>
        <v>4.0000000000000002E-4</v>
      </c>
      <c r="F9" s="6">
        <f>VLOOKUP(TargetsPercent[[#This Row],[KEY]],[1]!HistoricalData[#Data],6,FALSE)</f>
        <v>4.0000000000000002E-4</v>
      </c>
      <c r="G9" s="5">
        <f>VLOOKUP(TargetsPercent[[#This Row],[KEY]],[1]!HistoricalData[#Data],7,FALSE)</f>
        <v>4.0000000000000002E-4</v>
      </c>
      <c r="H9" s="10">
        <f>AVERAGE(TargetsPercent[[#This Row],[2016–17 Historical data]],TargetsPercent[[#This Row],[2017–18 Historical data]],TargetsPercent[[#This Row],[2018–19 Historical data]])</f>
        <v>4.3333333333333331E-4</v>
      </c>
      <c r="I9" s="10">
        <f>ABS(TargetsPercent[[#This Row],[2016–17 Historical data]]-TargetsPercent[[#This Row],[2017–18 Historical data]])</f>
        <v>9.9999999999999991E-5</v>
      </c>
      <c r="J9" s="10">
        <f>ABS(TargetsPercent[[#This Row],[2017–18 Historical data]]-TargetsPercent[[#This Row],[2018–19 Historical data]])</f>
        <v>0</v>
      </c>
      <c r="K9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4.3333333333333331E-4</v>
      </c>
      <c r="L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9.9999999999999992E-2</v>
      </c>
      <c r="M9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4.0000000000000002E-4</v>
      </c>
      <c r="N9" s="8">
        <f>ABS(TargetsPercent[[#This Row],[2020–21
Allowable
performance
target]]-TargetsPercent[[#This Row],[Target Floor % (calculated)]])</f>
        <v>0</v>
      </c>
    </row>
    <row r="10" spans="1:14" x14ac:dyDescent="0.2">
      <c r="A10" t="str">
        <f>_xlfn.CONCAT(TargetsPercent[[#This Row],[University]],":",TargetsPercent[[#This Row],[Metric]])</f>
        <v>Algoma University:07. Experiential learning</v>
      </c>
      <c r="B10" t="s">
        <v>18</v>
      </c>
      <c r="C10" t="s">
        <v>25</v>
      </c>
      <c r="D10" s="6">
        <f>VLOOKUP(TargetsPercent[[#This Row],[KEY]],[1]!HistoricalData[#Data],4,FALSE)</f>
        <v>0</v>
      </c>
      <c r="E10" s="6">
        <f>VLOOKUP(TargetsPercent[[#This Row],[KEY]],[1]!HistoricalData[#Data],5,FALSE)</f>
        <v>0</v>
      </c>
      <c r="F10" s="6">
        <f>VLOOKUP(TargetsPercent[[#This Row],[KEY]],[1]!HistoricalData[#Data],6,FALSE)</f>
        <v>0</v>
      </c>
      <c r="G10" s="5">
        <f>VLOOKUP(TargetsPercent[[#This Row],[KEY]],[1]!HistoricalData[#Data],7,FALSE)</f>
        <v>0</v>
      </c>
      <c r="H10" s="8">
        <f>AVERAGE(TargetsPercent[[#This Row],[2016–17 Historical data]],TargetsPercent[[#This Row],[2017–18 Historical data]],TargetsPercent[[#This Row],[2018–19 Historical data]])</f>
        <v>0</v>
      </c>
      <c r="I10" s="8">
        <f>ABS(TargetsPercent[[#This Row],[2016–17 Historical data]]-TargetsPercent[[#This Row],[2017–18 Historical data]])</f>
        <v>0</v>
      </c>
      <c r="J10" s="12">
        <f>ABS(TargetsPercent[[#This Row],[2017–18 Historical data]]-TargetsPercent[[#This Row],[2018–19 Historical data]])</f>
        <v>0</v>
      </c>
      <c r="K10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0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0" s="8" t="e">
        <f>ABS(TargetsPercent[[#This Row],[2020–21
Allowable
performance
target]]-TargetsPercent[[#This Row],[Target Floor % (calculated)]])</f>
        <v>#DIV/0!</v>
      </c>
    </row>
    <row r="11" spans="1:14" x14ac:dyDescent="0.2">
      <c r="A11" t="str">
        <f>_xlfn.CONCAT(TargetsPercent[[#This Row],[University]],":",TargetsPercent[[#This Row],[Metric]])</f>
        <v>Algoma University:08. Research revenue attracted from private sector sources</v>
      </c>
      <c r="B11" t="s">
        <v>18</v>
      </c>
      <c r="C11" t="s">
        <v>26</v>
      </c>
      <c r="D11" s="6">
        <f>VLOOKUP(TargetsPercent[[#This Row],[KEY]],[1]!HistoricalData[#Data],4,FALSE)</f>
        <v>0</v>
      </c>
      <c r="E11" s="6">
        <f>VLOOKUP(TargetsPercent[[#This Row],[KEY]],[1]!HistoricalData[#Data],5,FALSE)</f>
        <v>0</v>
      </c>
      <c r="F11" s="6">
        <f>VLOOKUP(TargetsPercent[[#This Row],[KEY]],[1]!HistoricalData[#Data],6,FALSE)</f>
        <v>0</v>
      </c>
      <c r="G11" s="5">
        <f>VLOOKUP(TargetsPercent[[#This Row],[KEY]],[1]!HistoricalData[#Data],7,FALSE)</f>
        <v>0</v>
      </c>
      <c r="H11" s="11">
        <f>AVERAGE(TargetsPercent[[#This Row],[2016–17 Historical data]],TargetsPercent[[#This Row],[2017–18 Historical data]],TargetsPercent[[#This Row],[2018–19 Historical data]])</f>
        <v>0</v>
      </c>
      <c r="I11" s="11">
        <f>ABS(TargetsPercent[[#This Row],[2016–17 Historical data]]-TargetsPercent[[#This Row],[2017–18 Historical data]])</f>
        <v>0</v>
      </c>
      <c r="J11" s="11">
        <f>ABS(TargetsPercent[[#This Row],[2017–18 Historical data]]-TargetsPercent[[#This Row],[2018–19 Historical data]])</f>
        <v>0</v>
      </c>
      <c r="K11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1" s="11"/>
      <c r="N11" s="8">
        <f>ABS(TargetsPercent[[#This Row],[2020–21
Allowable
performance
target]]-TargetsPercent[[#This Row],[Target Floor % (calculated)]])</f>
        <v>0</v>
      </c>
    </row>
    <row r="12" spans="1:14" x14ac:dyDescent="0.2">
      <c r="A12" t="str">
        <f>_xlfn.CONCAT(TargetsPercent[[#This Row],[University]],":",TargetsPercent[[#This Row],[Metric]])</f>
        <v>Algoma University:09. Graduate employment earnings</v>
      </c>
      <c r="B12" t="s">
        <v>18</v>
      </c>
      <c r="C12" t="s">
        <v>27</v>
      </c>
      <c r="D12" s="6">
        <f>VLOOKUP(TargetsPercent[[#This Row],[KEY]],[1]!HistoricalData[#Data],4,FALSE)</f>
        <v>0</v>
      </c>
      <c r="E12" s="6">
        <f>VLOOKUP(TargetsPercent[[#This Row],[KEY]],[1]!HistoricalData[#Data],5,FALSE)</f>
        <v>0</v>
      </c>
      <c r="F12" s="6">
        <f>VLOOKUP(TargetsPercent[[#This Row],[KEY]],[1]!HistoricalData[#Data],6,FALSE)</f>
        <v>0</v>
      </c>
      <c r="G12" s="5">
        <f>VLOOKUP(TargetsPercent[[#This Row],[KEY]],[1]!HistoricalData[#Data],7,FALSE)</f>
        <v>0</v>
      </c>
      <c r="H12" s="11">
        <f>AVERAGE(TargetsPercent[[#This Row],[2016–17 Historical data]],TargetsPercent[[#This Row],[2017–18 Historical data]],TargetsPercent[[#This Row],[2018–19 Historical data]])</f>
        <v>0</v>
      </c>
      <c r="I12" s="11">
        <f>ABS(TargetsPercent[[#This Row],[2016–17 Historical data]]-TargetsPercent[[#This Row],[2017–18 Historical data]])</f>
        <v>0</v>
      </c>
      <c r="J12" s="11">
        <f>ABS(TargetsPercent[[#This Row],[2017–18 Historical data]]-TargetsPercent[[#This Row],[2018–19 Historical data]])</f>
        <v>0</v>
      </c>
      <c r="K12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2" s="11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2" s="8" t="e">
        <f>ABS(TargetsPercent[[#This Row],[2020–21
Allowable
performance
target]]-TargetsPercent[[#This Row],[Target Floor % (calculated)]])</f>
        <v>#DIV/0!</v>
      </c>
    </row>
    <row r="13" spans="1:14" x14ac:dyDescent="0.2">
      <c r="A13" t="str">
        <f>_xlfn.CONCAT(TargetsPercent[[#This Row],[University]],":",TargetsPercent[[#This Row],[Metric]])</f>
        <v>Algoma University:10. Skills and competencies</v>
      </c>
      <c r="B13" t="s">
        <v>18</v>
      </c>
      <c r="C13" t="s">
        <v>28</v>
      </c>
      <c r="D13" s="6">
        <f>VLOOKUP(TargetsPercent[[#This Row],[KEY]],[1]!HistoricalData[#Data],4,FALSE)</f>
        <v>0</v>
      </c>
      <c r="E13" s="6">
        <f>VLOOKUP(TargetsPercent[[#This Row],[KEY]],[1]!HistoricalData[#Data],5,FALSE)</f>
        <v>0</v>
      </c>
      <c r="F13" s="6">
        <f>VLOOKUP(TargetsPercent[[#This Row],[KEY]],[1]!HistoricalData[#Data],6,FALSE)</f>
        <v>0</v>
      </c>
      <c r="G13" s="5">
        <f>VLOOKUP(TargetsPercent[[#This Row],[KEY]],[1]!HistoricalData[#Data],7,FALSE)</f>
        <v>0</v>
      </c>
      <c r="H13" s="8">
        <f>AVERAGE(TargetsPercent[[#This Row],[2016–17 Historical data]],TargetsPercent[[#This Row],[2017–18 Historical data]],TargetsPercent[[#This Row],[2018–19 Historical data]])</f>
        <v>0</v>
      </c>
      <c r="I13" s="8">
        <f>ABS(TargetsPercent[[#This Row],[2016–17 Historical data]]-TargetsPercent[[#This Row],[2017–18 Historical data]])</f>
        <v>0</v>
      </c>
      <c r="J13" s="12">
        <f>ABS(TargetsPercent[[#This Row],[2017–18 Historical data]]-TargetsPercent[[#This Row],[2018–19 Historical data]])</f>
        <v>0</v>
      </c>
      <c r="K13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" s="8" t="e">
        <f>ABS(TargetsPercent[[#This Row],[2020–21
Allowable
performance
target]]-TargetsPercent[[#This Row],[Target Floor % (calculated)]])</f>
        <v>#DIV/0!</v>
      </c>
    </row>
    <row r="14" spans="1:14" x14ac:dyDescent="0.2">
      <c r="A14" t="str">
        <f>_xlfn.CONCAT(TargetsPercent[[#This Row],[University]],":",TargetsPercent[[#This Row],[Metric]])</f>
        <v>Algoma University:Tri-agency research funding</v>
      </c>
      <c r="B14" t="s">
        <v>18</v>
      </c>
      <c r="C14" t="s">
        <v>29</v>
      </c>
      <c r="D14" s="6">
        <f>VLOOKUP(TargetsPercent[[#This Row],[KEY]],[1]!HistoricalData[#Data],4,FALSE)</f>
        <v>289297</v>
      </c>
      <c r="E14" s="6">
        <f>VLOOKUP(TargetsPercent[[#This Row],[KEY]],[1]!HistoricalData[#Data],5,FALSE)</f>
        <v>273208</v>
      </c>
      <c r="F14" s="6">
        <f>VLOOKUP(TargetsPercent[[#This Row],[KEY]],[1]!HistoricalData[#Data],6,FALSE)</f>
        <v>272161</v>
      </c>
      <c r="G14" s="5">
        <f>VLOOKUP(TargetsPercent[[#This Row],[KEY]],[1]!HistoricalData[#Data],7,FALSE)</f>
        <v>0</v>
      </c>
      <c r="H14" s="13">
        <f>AVERAGE(TargetsPercent[[#This Row],[2016–17 Historical data]],TargetsPercent[[#This Row],[2017–18 Historical data]],TargetsPercent[[#This Row],[2018–19 Historical data]])</f>
        <v>278222</v>
      </c>
      <c r="I14" s="13">
        <f>ABS(TargetsPercent[[#This Row],[2016–17 Historical data]]-TargetsPercent[[#This Row],[2017–18 Historical data]])</f>
        <v>16089</v>
      </c>
      <c r="J14" s="12">
        <f>ABS(TargetsPercent[[#This Row],[2017–18 Historical data]]-TargetsPercent[[#This Row],[2018–19 Historical data]])</f>
        <v>1047</v>
      </c>
      <c r="K14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279269</v>
      </c>
      <c r="L1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2.9723185844095286E-2</v>
      </c>
      <c r="M14" s="1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272161</v>
      </c>
      <c r="N14" s="8">
        <f>ABS(TargetsPercent[[#This Row],[2020–21
Allowable
performance
target]]-TargetsPercent[[#This Row],[Target Floor % (calculated)]])</f>
        <v>272161</v>
      </c>
    </row>
    <row r="15" spans="1:14" x14ac:dyDescent="0.2">
      <c r="A15" t="str">
        <f>_xlfn.CONCAT(TargetsPercent[[#This Row],[University]],":",TargetsPercent[[#This Row],[Metric]])</f>
        <v>Brock University:01. Graduate employment rate in a related field</v>
      </c>
      <c r="B15" t="s">
        <v>30</v>
      </c>
      <c r="C15" t="s">
        <v>19</v>
      </c>
      <c r="D15" s="6">
        <f>VLOOKUP(TargetsPercent[[#This Row],[KEY]],[1]!HistoricalData[#Data],4,FALSE)</f>
        <v>0.87270000000000003</v>
      </c>
      <c r="E15" s="6">
        <f>VLOOKUP(TargetsPercent[[#This Row],[KEY]],[1]!HistoricalData[#Data],5,FALSE)</f>
        <v>0.89229999999999998</v>
      </c>
      <c r="F15" s="6">
        <f>VLOOKUP(TargetsPercent[[#This Row],[KEY]],[1]!HistoricalData[#Data],6,FALSE)</f>
        <v>0.88519999999999999</v>
      </c>
      <c r="G15" s="5">
        <f>VLOOKUP(TargetsPercent[[#This Row],[KEY]],[1]!HistoricalData[#Data],7,FALSE)</f>
        <v>0.877</v>
      </c>
      <c r="H15" s="2">
        <f>AVERAGE(TargetsPercent[[#This Row],[2016–17 Historical data]],TargetsPercent[[#This Row],[2017–18 Historical data]],TargetsPercent[[#This Row],[2018–19 Historical data]])</f>
        <v>0.88339999999999996</v>
      </c>
      <c r="I15" s="2">
        <f>ABS(TargetsPercent[[#This Row],[2016–17 Historical data]]-TargetsPercent[[#This Row],[2017–18 Historical data]])</f>
        <v>1.9599999999999951E-2</v>
      </c>
      <c r="J15" s="2">
        <f>ABS(TargetsPercent[[#This Row],[2017–18 Historical data]]-TargetsPercent[[#This Row],[2018–19 Historical data]])</f>
        <v>7.0999999999999952E-3</v>
      </c>
      <c r="K1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0.89049999999999996</v>
      </c>
      <c r="L1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1.5208000162216927E-2</v>
      </c>
      <c r="M1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0.87695727585554584</v>
      </c>
      <c r="N15" s="8">
        <f>ABS(TargetsPercent[[#This Row],[2020–21
Allowable
performance
target]]-TargetsPercent[[#This Row],[Target Floor % (calculated)]])</f>
        <v>4.2724144454164836E-5</v>
      </c>
    </row>
    <row r="16" spans="1:14" x14ac:dyDescent="0.2">
      <c r="A16" t="str">
        <f>_xlfn.CONCAT(TargetsPercent[[#This Row],[University]],":",TargetsPercent[[#This Row],[Metric]])</f>
        <v>Brock University:02. Institutional strength and focus</v>
      </c>
      <c r="B16" t="s">
        <v>30</v>
      </c>
      <c r="C16" t="s">
        <v>20</v>
      </c>
      <c r="D16" s="6">
        <f>VLOOKUP(TargetsPercent[[#This Row],[KEY]],[1]!HistoricalData[#Data],4,FALSE)</f>
        <v>0.4703</v>
      </c>
      <c r="E16" s="6">
        <f>VLOOKUP(TargetsPercent[[#This Row],[KEY]],[1]!HistoricalData[#Data],5,FALSE)</f>
        <v>0.48699999999999999</v>
      </c>
      <c r="F16" s="6">
        <f>VLOOKUP(TargetsPercent[[#This Row],[KEY]],[1]!HistoricalData[#Data],6,FALSE)</f>
        <v>0.505</v>
      </c>
      <c r="G16" s="5">
        <f>VLOOKUP(TargetsPercent[[#This Row],[KEY]],[1]!HistoricalData[#Data],7,FALSE)</f>
        <v>0.49180000000000001</v>
      </c>
      <c r="H16" s="2">
        <f>AVERAGE(TargetsPercent[[#This Row],[2016–17 Historical data]],TargetsPercent[[#This Row],[2017–18 Historical data]],TargetsPercent[[#This Row],[2018–19 Historical data]])</f>
        <v>0.48743333333333333</v>
      </c>
      <c r="I16" s="2">
        <f>ABS(TargetsPercent[[#This Row],[2016–17 Historical data]]-TargetsPercent[[#This Row],[2017–18 Historical data]])</f>
        <v>1.6699999999999993E-2</v>
      </c>
      <c r="J16" s="2">
        <f>ABS(TargetsPercent[[#This Row],[2017–18 Historical data]]-TargetsPercent[[#This Row],[2018–19 Historical data]])</f>
        <v>1.8000000000000016E-2</v>
      </c>
      <c r="K1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0.50413333333333332</v>
      </c>
      <c r="L1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3.6235117520775115E-2</v>
      </c>
      <c r="M1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0.48586600275385988</v>
      </c>
      <c r="N16" s="8">
        <f>ABS(TargetsPercent[[#This Row],[2020–21
Allowable
performance
target]]-TargetsPercent[[#This Row],[Target Floor % (calculated)]])</f>
        <v>5.9339972461401325E-3</v>
      </c>
    </row>
    <row r="17" spans="1:14" x14ac:dyDescent="0.2">
      <c r="A17" t="str">
        <f>_xlfn.CONCAT(TargetsPercent[[#This Row],[University]],":",TargetsPercent[[#This Row],[Metric]])</f>
        <v>Brock University:03. Graduation rate</v>
      </c>
      <c r="B17" t="s">
        <v>30</v>
      </c>
      <c r="C17" t="s">
        <v>21</v>
      </c>
      <c r="D17" s="6">
        <f>VLOOKUP(TargetsPercent[[#This Row],[KEY]],[1]!HistoricalData[#Data],4,FALSE)</f>
        <v>0.73870000000000002</v>
      </c>
      <c r="E17" s="6">
        <f>VLOOKUP(TargetsPercent[[#This Row],[KEY]],[1]!HistoricalData[#Data],5,FALSE)</f>
        <v>0.74780000000000002</v>
      </c>
      <c r="F17" s="6">
        <f>VLOOKUP(TargetsPercent[[#This Row],[KEY]],[1]!HistoricalData[#Data],6,FALSE)</f>
        <v>0.75760000000000005</v>
      </c>
      <c r="G17" s="5">
        <f>VLOOKUP(TargetsPercent[[#This Row],[KEY]],[1]!HistoricalData[#Data],7,FALSE)</f>
        <v>0.74750000000000005</v>
      </c>
      <c r="H17" s="2">
        <f>AVERAGE(TargetsPercent[[#This Row],[2016–17 Historical data]],TargetsPercent[[#This Row],[2017–18 Historical data]],TargetsPercent[[#This Row],[2018–19 Historical data]])</f>
        <v>0.74803333333333333</v>
      </c>
      <c r="I17" s="2">
        <f>ABS(TargetsPercent[[#This Row],[2016–17 Historical data]]-TargetsPercent[[#This Row],[2017–18 Historical data]])</f>
        <v>9.099999999999997E-3</v>
      </c>
      <c r="J17" s="2">
        <f>ABS(TargetsPercent[[#This Row],[2017–18 Historical data]]-TargetsPercent[[#This Row],[2018–19 Historical data]])</f>
        <v>9.8000000000000309E-3</v>
      </c>
      <c r="K1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0.75713333333333332</v>
      </c>
      <c r="L1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1.2712023496892287E-2</v>
      </c>
      <c r="M1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0.74750863660971956</v>
      </c>
      <c r="N17" s="8">
        <f>ABS(TargetsPercent[[#This Row],[2020–21
Allowable
performance
target]]-TargetsPercent[[#This Row],[Target Floor % (calculated)]])</f>
        <v>8.6366097195034186E-6</v>
      </c>
    </row>
    <row r="18" spans="1:14" x14ac:dyDescent="0.2">
      <c r="A18" t="str">
        <f>_xlfn.CONCAT(TargetsPercent[[#This Row],[University]],":",TargetsPercent[[#This Row],[Metric]])</f>
        <v>Brock University:04. Community and local impact of student enrolment</v>
      </c>
      <c r="B18" t="s">
        <v>30</v>
      </c>
      <c r="C18" t="s">
        <v>22</v>
      </c>
      <c r="D18" s="6">
        <f>VLOOKUP(TargetsPercent[[#This Row],[KEY]],[1]!HistoricalData[#Data],4,FALSE)</f>
        <v>0.2024</v>
      </c>
      <c r="E18" s="6">
        <f>VLOOKUP(TargetsPercent[[#This Row],[KEY]],[1]!HistoricalData[#Data],5,FALSE)</f>
        <v>0.20399999999999999</v>
      </c>
      <c r="F18" s="6">
        <f>VLOOKUP(TargetsPercent[[#This Row],[KEY]],[1]!HistoricalData[#Data],6,FALSE)</f>
        <v>0.20660000000000001</v>
      </c>
      <c r="G18" s="5">
        <f>VLOOKUP(TargetsPercent[[#This Row],[KEY]],[1]!HistoricalData[#Data],7,FALSE)</f>
        <v>0.20380000000000001</v>
      </c>
      <c r="H18" s="2">
        <f>AVERAGE(TargetsPercent[[#This Row],[2016–17 Historical data]],TargetsPercent[[#This Row],[2017–18 Historical data]],TargetsPercent[[#This Row],[2018–19 Historical data]])</f>
        <v>0.20433333333333334</v>
      </c>
      <c r="I18" s="2">
        <f>ABS(TargetsPercent[[#This Row],[2016–17 Historical data]]-TargetsPercent[[#This Row],[2017–18 Historical data]])</f>
        <v>1.5999999999999903E-3</v>
      </c>
      <c r="J18" s="2">
        <f>ABS(TargetsPercent[[#This Row],[2017–18 Historical data]]-TargetsPercent[[#This Row],[2018–19 Historical data]])</f>
        <v>2.600000000000019E-3</v>
      </c>
      <c r="K1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0.20593333333333333</v>
      </c>
      <c r="L1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1.0325118189568341E-2</v>
      </c>
      <c r="M1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0.20380704732749488</v>
      </c>
      <c r="N18" s="9">
        <f>ABS(TargetsPercent[[#This Row],[2020–21
Allowable
performance
target]]-TargetsPercent[[#This Row],[Target Floor % (calculated)]])</f>
        <v>7.0473274948745779E-6</v>
      </c>
    </row>
    <row r="19" spans="1:14" x14ac:dyDescent="0.2">
      <c r="A19" t="str">
        <f>_xlfn.CONCAT(TargetsPercent[[#This Row],[University]],":",TargetsPercent[[#This Row],[Metric]])</f>
        <v>Brock University:05. Economic impact (institution-specific)</v>
      </c>
      <c r="B19" t="s">
        <v>30</v>
      </c>
      <c r="C19" t="s">
        <v>23</v>
      </c>
      <c r="D19" s="6">
        <f>VLOOKUP(TargetsPercent[[#This Row],[KEY]],[1]!HistoricalData[#Data],4,FALSE)</f>
        <v>1614</v>
      </c>
      <c r="E19" s="6">
        <f>VLOOKUP(TargetsPercent[[#This Row],[KEY]],[1]!HistoricalData[#Data],5,FALSE)</f>
        <v>1577</v>
      </c>
      <c r="F19" s="6">
        <f>VLOOKUP(TargetsPercent[[#This Row],[KEY]],[1]!HistoricalData[#Data],6,FALSE)</f>
        <v>1637</v>
      </c>
      <c r="G19" s="5">
        <f>VLOOKUP(TargetsPercent[[#This Row],[KEY]],[1]!HistoricalData[#Data],7,FALSE)</f>
        <v>1596</v>
      </c>
      <c r="H19" s="13">
        <f>AVERAGE(TargetsPercent[[#This Row],[2016–17 Historical data]],TargetsPercent[[#This Row],[2017–18 Historical data]],TargetsPercent[[#This Row],[2018–19 Historical data]])</f>
        <v>1609.3333333333333</v>
      </c>
      <c r="I19" s="13">
        <f>ABS(TargetsPercent[[#This Row],[2016–17 Historical data]]-TargetsPercent[[#This Row],[2017–18 Historical data]])</f>
        <v>37</v>
      </c>
      <c r="J19" s="12">
        <f>ABS(TargetsPercent[[#This Row],[2017–18 Historical data]]-TargetsPercent[[#This Row],[2018–19 Historical data]])</f>
        <v>60</v>
      </c>
      <c r="K19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1646.3333333333333</v>
      </c>
      <c r="L1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3.0485667970257077E-2</v>
      </c>
      <c r="M19" s="13"/>
      <c r="N19" s="8">
        <f>ABS(TargetsPercent[[#This Row],[2020–21
Allowable
performance
target]]-TargetsPercent[[#This Row],[Target Floor % (calculated)]])</f>
        <v>1596</v>
      </c>
    </row>
    <row r="20" spans="1:14" x14ac:dyDescent="0.2">
      <c r="A20" t="str">
        <f>_xlfn.CONCAT(TargetsPercent[[#This Row],[University]],":",TargetsPercent[[#This Row],[Metric]])</f>
        <v>Brock University:06. Research funding and capacity: federal tri-agency funding secured</v>
      </c>
      <c r="B20" t="s">
        <v>30</v>
      </c>
      <c r="C20" t="s">
        <v>24</v>
      </c>
      <c r="D20" s="6">
        <f>VLOOKUP(TargetsPercent[[#This Row],[KEY]],[1]!HistoricalData[#Data],4,FALSE)</f>
        <v>6.7999999999999996E-3</v>
      </c>
      <c r="E20" s="6">
        <f>VLOOKUP(TargetsPercent[[#This Row],[KEY]],[1]!HistoricalData[#Data],5,FALSE)</f>
        <v>7.3000000000000001E-3</v>
      </c>
      <c r="F20" s="6">
        <f>VLOOKUP(TargetsPercent[[#This Row],[KEY]],[1]!HistoricalData[#Data],6,FALSE)</f>
        <v>7.1999999999999998E-3</v>
      </c>
      <c r="G20" s="5">
        <f>VLOOKUP(TargetsPercent[[#This Row],[KEY]],[1]!HistoricalData[#Data],7,FALSE)</f>
        <v>6.8999999999999999E-3</v>
      </c>
      <c r="H20" s="11">
        <f>AVERAGE(TargetsPercent[[#This Row],[2016–17 Historical data]],TargetsPercent[[#This Row],[2017–18 Historical data]],TargetsPercent[[#This Row],[2018–19 Historical data]])</f>
        <v>7.0999999999999995E-3</v>
      </c>
      <c r="I20" s="11">
        <f>ABS(TargetsPercent[[#This Row],[2016–17 Historical data]]-TargetsPercent[[#This Row],[2017–18 Historical data]])</f>
        <v>5.0000000000000044E-4</v>
      </c>
      <c r="J20" s="11">
        <f>ABS(TargetsPercent[[#This Row],[2017–18 Historical data]]-TargetsPercent[[#This Row],[2018–19 Historical data]])</f>
        <v>1.0000000000000026E-4</v>
      </c>
      <c r="K20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7.1999999999999998E-3</v>
      </c>
      <c r="L2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4.3614020950846148E-2</v>
      </c>
      <c r="M20" s="11"/>
      <c r="N20" s="8">
        <f>ABS(TargetsPercent[[#This Row],[2020–21
Allowable
performance
target]]-TargetsPercent[[#This Row],[Target Floor % (calculated)]])</f>
        <v>6.8999999999999999E-3</v>
      </c>
    </row>
    <row r="21" spans="1:14" x14ac:dyDescent="0.2">
      <c r="A21" t="str">
        <f>_xlfn.CONCAT(TargetsPercent[[#This Row],[University]],":",TargetsPercent[[#This Row],[Metric]])</f>
        <v>Brock University:07. Experiential learning</v>
      </c>
      <c r="B21" t="s">
        <v>30</v>
      </c>
      <c r="C21" t="s">
        <v>25</v>
      </c>
      <c r="D21" s="6">
        <f>VLOOKUP(TargetsPercent[[#This Row],[KEY]],[1]!HistoricalData[#Data],4,FALSE)</f>
        <v>0</v>
      </c>
      <c r="E21" s="6">
        <f>VLOOKUP(TargetsPercent[[#This Row],[KEY]],[1]!HistoricalData[#Data],5,FALSE)</f>
        <v>0</v>
      </c>
      <c r="F21" s="6">
        <f>VLOOKUP(TargetsPercent[[#This Row],[KEY]],[1]!HistoricalData[#Data],6,FALSE)</f>
        <v>0</v>
      </c>
      <c r="G21" s="5">
        <f>VLOOKUP(TargetsPercent[[#This Row],[KEY]],[1]!HistoricalData[#Data],7,FALSE)</f>
        <v>0</v>
      </c>
      <c r="H21" s="9">
        <f>AVERAGE(TargetsPercent[[#This Row],[2016–17 Historical data]],TargetsPercent[[#This Row],[2017–18 Historical data]],TargetsPercent[[#This Row],[2018–19 Historical data]])</f>
        <v>0</v>
      </c>
      <c r="I21" s="9">
        <f>ABS(TargetsPercent[[#This Row],[2016–17 Historical data]]-TargetsPercent[[#This Row],[2017–18 Historical data]])</f>
        <v>0</v>
      </c>
      <c r="J21" s="2">
        <f>ABS(TargetsPercent[[#This Row],[2017–18 Historical data]]-TargetsPercent[[#This Row],[2018–19 Historical data]])</f>
        <v>0</v>
      </c>
      <c r="K2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1" s="8" t="e">
        <f>ABS(TargetsPercent[[#This Row],[2020–21
Allowable
performance
target]]-TargetsPercent[[#This Row],[Target Floor % (calculated)]])</f>
        <v>#DIV/0!</v>
      </c>
    </row>
    <row r="22" spans="1:14" x14ac:dyDescent="0.2">
      <c r="A22" t="str">
        <f>_xlfn.CONCAT(TargetsPercent[[#This Row],[University]],":",TargetsPercent[[#This Row],[Metric]])</f>
        <v>Brock University:08. Research revenue attracted from private sector sources</v>
      </c>
      <c r="B22" t="s">
        <v>30</v>
      </c>
      <c r="C22" t="s">
        <v>26</v>
      </c>
      <c r="D22" s="6">
        <f>VLOOKUP(TargetsPercent[[#This Row],[KEY]],[1]!HistoricalData[#Data],4,FALSE)</f>
        <v>0</v>
      </c>
      <c r="E22" s="6">
        <f>VLOOKUP(TargetsPercent[[#This Row],[KEY]],[1]!HistoricalData[#Data],5,FALSE)</f>
        <v>0</v>
      </c>
      <c r="F22" s="6">
        <f>VLOOKUP(TargetsPercent[[#This Row],[KEY]],[1]!HistoricalData[#Data],6,FALSE)</f>
        <v>0</v>
      </c>
      <c r="G22" s="5">
        <f>VLOOKUP(TargetsPercent[[#This Row],[KEY]],[1]!HistoricalData[#Data],7,FALSE)</f>
        <v>0</v>
      </c>
      <c r="H22" s="9">
        <f>AVERAGE(TargetsPercent[[#This Row],[2016–17 Historical data]],TargetsPercent[[#This Row],[2017–18 Historical data]],TargetsPercent[[#This Row],[2018–19 Historical data]])</f>
        <v>0</v>
      </c>
      <c r="I22" s="9">
        <f>ABS(TargetsPercent[[#This Row],[2016–17 Historical data]]-TargetsPercent[[#This Row],[2017–18 Historical data]])</f>
        <v>0</v>
      </c>
      <c r="J22" s="2">
        <f>ABS(TargetsPercent[[#This Row],[2017–18 Historical data]]-TargetsPercent[[#This Row],[2018–19 Historical data]])</f>
        <v>0</v>
      </c>
      <c r="K22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2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2" s="8" t="e">
        <f>ABS(TargetsPercent[[#This Row],[2020–21
Allowable
performance
target]]-TargetsPercent[[#This Row],[Target Floor % (calculated)]])</f>
        <v>#DIV/0!</v>
      </c>
    </row>
    <row r="23" spans="1:14" x14ac:dyDescent="0.2">
      <c r="A23" t="str">
        <f>_xlfn.CONCAT(TargetsPercent[[#This Row],[University]],":",TargetsPercent[[#This Row],[Metric]])</f>
        <v>Brock University:09. Graduate employment earnings</v>
      </c>
      <c r="B23" t="s">
        <v>30</v>
      </c>
      <c r="C23" t="s">
        <v>27</v>
      </c>
      <c r="D23" s="6">
        <f>VLOOKUP(TargetsPercent[[#This Row],[KEY]],[1]!HistoricalData[#Data],4,FALSE)</f>
        <v>0</v>
      </c>
      <c r="E23" s="6">
        <f>VLOOKUP(TargetsPercent[[#This Row],[KEY]],[1]!HistoricalData[#Data],5,FALSE)</f>
        <v>0</v>
      </c>
      <c r="F23" s="6">
        <f>VLOOKUP(TargetsPercent[[#This Row],[KEY]],[1]!HistoricalData[#Data],6,FALSE)</f>
        <v>0</v>
      </c>
      <c r="G23" s="5">
        <f>VLOOKUP(TargetsPercent[[#This Row],[KEY]],[1]!HistoricalData[#Data],7,FALSE)</f>
        <v>0</v>
      </c>
      <c r="H23" s="9">
        <f>AVERAGE(TargetsPercent[[#This Row],[2016–17 Historical data]],TargetsPercent[[#This Row],[2017–18 Historical data]],TargetsPercent[[#This Row],[2018–19 Historical data]])</f>
        <v>0</v>
      </c>
      <c r="I23" s="9">
        <f>ABS(TargetsPercent[[#This Row],[2016–17 Historical data]]-TargetsPercent[[#This Row],[2017–18 Historical data]])</f>
        <v>0</v>
      </c>
      <c r="J23" s="2">
        <f>ABS(TargetsPercent[[#This Row],[2017–18 Historical data]]-TargetsPercent[[#This Row],[2018–19 Historical data]])</f>
        <v>0</v>
      </c>
      <c r="K2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3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3" s="8" t="e">
        <f>ABS(TargetsPercent[[#This Row],[2020–21
Allowable
performance
target]]-TargetsPercent[[#This Row],[Target Floor % (calculated)]])</f>
        <v>#DIV/0!</v>
      </c>
    </row>
    <row r="24" spans="1:14" x14ac:dyDescent="0.2">
      <c r="A24" t="str">
        <f>_xlfn.CONCAT(TargetsPercent[[#This Row],[University]],":",TargetsPercent[[#This Row],[Metric]])</f>
        <v>Brock University:10. Skills and competencies</v>
      </c>
      <c r="B24" t="s">
        <v>30</v>
      </c>
      <c r="C24" t="s">
        <v>28</v>
      </c>
      <c r="D24" s="6">
        <f>VLOOKUP(TargetsPercent[[#This Row],[KEY]],[1]!HistoricalData[#Data],4,FALSE)</f>
        <v>0</v>
      </c>
      <c r="E24" s="6">
        <f>VLOOKUP(TargetsPercent[[#This Row],[KEY]],[1]!HistoricalData[#Data],5,FALSE)</f>
        <v>0</v>
      </c>
      <c r="F24" s="6">
        <f>VLOOKUP(TargetsPercent[[#This Row],[KEY]],[1]!HistoricalData[#Data],6,FALSE)</f>
        <v>0</v>
      </c>
      <c r="G24" s="5">
        <f>VLOOKUP(TargetsPercent[[#This Row],[KEY]],[1]!HistoricalData[#Data],7,FALSE)</f>
        <v>0</v>
      </c>
      <c r="H24" s="9">
        <f>AVERAGE(TargetsPercent[[#This Row],[2016–17 Historical data]],TargetsPercent[[#This Row],[2017–18 Historical data]],TargetsPercent[[#This Row],[2018–19 Historical data]])</f>
        <v>0</v>
      </c>
      <c r="I24" s="9">
        <f>ABS(TargetsPercent[[#This Row],[2016–17 Historical data]]-TargetsPercent[[#This Row],[2017–18 Historical data]])</f>
        <v>0</v>
      </c>
      <c r="J24" s="2">
        <f>ABS(TargetsPercent[[#This Row],[2017–18 Historical data]]-TargetsPercent[[#This Row],[2018–19 Historical data]])</f>
        <v>0</v>
      </c>
      <c r="K24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4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4" s="8" t="e">
        <f>ABS(TargetsPercent[[#This Row],[2020–21
Allowable
performance
target]]-TargetsPercent[[#This Row],[Target Floor % (calculated)]])</f>
        <v>#DIV/0!</v>
      </c>
    </row>
    <row r="25" spans="1:14" x14ac:dyDescent="0.2">
      <c r="A25" t="str">
        <f>_xlfn.CONCAT(TargetsPercent[[#This Row],[University]],":",TargetsPercent[[#This Row],[Metric]])</f>
        <v>:Tri-agency research funding</v>
      </c>
      <c r="C25" t="s">
        <v>29</v>
      </c>
      <c r="D25" s="6" t="e">
        <f>VLOOKUP(TargetsPercent[[#This Row],[KEY]],[1]!HistoricalData[#Data],4,FALSE)</f>
        <v>#N/A</v>
      </c>
      <c r="E25" s="6" t="e">
        <f>VLOOKUP(TargetsPercent[[#This Row],[KEY]],[1]!HistoricalData[#Data],5,FALSE)</f>
        <v>#N/A</v>
      </c>
      <c r="F25" s="6" t="e">
        <f>VLOOKUP(TargetsPercent[[#This Row],[KEY]],[1]!HistoricalData[#Data],6,FALSE)</f>
        <v>#N/A</v>
      </c>
      <c r="G25" s="5" t="e">
        <f>VLOOKUP(TargetsPercent[[#This Row],[KEY]],[1]!HistoricalData[#Data],7,FALSE)</f>
        <v>#N/A</v>
      </c>
      <c r="H25" s="13" t="e">
        <f>AVERAGE(TargetsPercent[[#This Row],[2016–17 Historical data]],TargetsPercent[[#This Row],[2017–18 Historical data]],TargetsPercent[[#This Row],[2018–19 Historical data]])</f>
        <v>#N/A</v>
      </c>
      <c r="I25" s="13" t="e">
        <f>ABS(TargetsPercent[[#This Row],[2016–17 Historical data]]-TargetsPercent[[#This Row],[2017–18 Historical data]])</f>
        <v>#N/A</v>
      </c>
      <c r="J25" s="12" t="e">
        <f>ABS(TargetsPercent[[#This Row],[2017–18 Historical data]]-TargetsPercent[[#This Row],[2018–19 Historical data]])</f>
        <v>#N/A</v>
      </c>
      <c r="K25" s="13" t="e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#N/A</v>
      </c>
      <c r="L2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#N/A</v>
      </c>
      <c r="M25" s="13"/>
      <c r="N25" s="8" t="e">
        <f>ABS(TargetsPercent[[#This Row],[2020–21
Allowable
performance
target]]-TargetsPercent[[#This Row],[Target Floor % (calculated)]])</f>
        <v>#N/A</v>
      </c>
    </row>
    <row r="26" spans="1:14" x14ac:dyDescent="0.2">
      <c r="A26" t="str">
        <f>_xlfn.CONCAT(TargetsPercent[[#This Row],[University]],":",TargetsPercent[[#This Row],[Metric]])</f>
        <v>Carleton University:01. Graduate employment rate in a related field</v>
      </c>
      <c r="B26" t="s">
        <v>31</v>
      </c>
      <c r="C26" t="s">
        <v>19</v>
      </c>
      <c r="D26" s="6">
        <f>VLOOKUP(TargetsPercent[[#This Row],[KEY]],[1]!HistoricalData[#Data],4,FALSE)</f>
        <v>0.84560000000000002</v>
      </c>
      <c r="E26" s="6">
        <f>VLOOKUP(TargetsPercent[[#This Row],[KEY]],[1]!HistoricalData[#Data],5,FALSE)</f>
        <v>0.85550000000000004</v>
      </c>
      <c r="F26" s="6">
        <f>VLOOKUP(TargetsPercent[[#This Row],[KEY]],[1]!HistoricalData[#Data],6,FALSE)</f>
        <v>0.83189999999999997</v>
      </c>
      <c r="G26" s="5">
        <f>VLOOKUP(TargetsPercent[[#This Row],[KEY]],[1]!HistoricalData[#Data],7,FALSE)</f>
        <v>0.83750000000000002</v>
      </c>
      <c r="H26" s="2">
        <f>AVERAGE(TargetsPercent[[#This Row],[2016–17 Historical data]],TargetsPercent[[#This Row],[2017–18 Historical data]],TargetsPercent[[#This Row],[2018–19 Historical data]])</f>
        <v>0.84433333333333327</v>
      </c>
      <c r="I26" s="2">
        <f>ABS(TargetsPercent[[#This Row],[2016–17 Historical data]]-TargetsPercent[[#This Row],[2017–18 Historical data]])</f>
        <v>9.9000000000000199E-3</v>
      </c>
      <c r="J26" s="2">
        <f>ABS(TargetsPercent[[#This Row],[2017–18 Historical data]]-TargetsPercent[[#This Row],[2018–19 Historical data]])</f>
        <v>2.3600000000000065E-2</v>
      </c>
      <c r="K2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0.85423333333333329</v>
      </c>
      <c r="L2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1.9646935047140622E-2</v>
      </c>
      <c r="M2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0.83745026651823085</v>
      </c>
      <c r="N26" s="8">
        <f>ABS(TargetsPercent[[#This Row],[2020–21
Allowable
performance
target]]-TargetsPercent[[#This Row],[Target Floor % (calculated)]])</f>
        <v>4.9733481769176358E-5</v>
      </c>
    </row>
    <row r="27" spans="1:14" x14ac:dyDescent="0.2">
      <c r="A27" t="str">
        <f>_xlfn.CONCAT(TargetsPercent[[#This Row],[University]],":",TargetsPercent[[#This Row],[Metric]])</f>
        <v>Carleton University:02. Institutional strength and focus</v>
      </c>
      <c r="B27" t="s">
        <v>31</v>
      </c>
      <c r="C27" t="s">
        <v>20</v>
      </c>
      <c r="D27" s="6">
        <f>VLOOKUP(TargetsPercent[[#This Row],[KEY]],[1]!HistoricalData[#Data],4,FALSE)</f>
        <v>0.44140000000000001</v>
      </c>
      <c r="E27" s="6">
        <f>VLOOKUP(TargetsPercent[[#This Row],[KEY]],[1]!HistoricalData[#Data],5,FALSE)</f>
        <v>0.4501</v>
      </c>
      <c r="F27" s="6">
        <f>VLOOKUP(TargetsPercent[[#This Row],[KEY]],[1]!HistoricalData[#Data],6,FALSE)</f>
        <v>0.45610000000000001</v>
      </c>
      <c r="G27" s="5">
        <f>VLOOKUP(TargetsPercent[[#This Row],[KEY]],[1]!HistoricalData[#Data],7,FALSE)</f>
        <v>0.4521</v>
      </c>
      <c r="H27" s="2">
        <f>AVERAGE(TargetsPercent[[#This Row],[2016–17 Historical data]],TargetsPercent[[#This Row],[2017–18 Historical data]],TargetsPercent[[#This Row],[2018–19 Historical data]])</f>
        <v>0.44919999999999999</v>
      </c>
      <c r="I27" s="2">
        <f>ABS(TargetsPercent[[#This Row],[2016–17 Historical data]]-TargetsPercent[[#This Row],[2017–18 Historical data]])</f>
        <v>8.6999999999999855E-3</v>
      </c>
      <c r="J27" s="2">
        <f>ABS(TargetsPercent[[#This Row],[2017–18 Historical data]]-TargetsPercent[[#This Row],[2018–19 Historical data]])</f>
        <v>6.0000000000000053E-3</v>
      </c>
      <c r="K2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0.45519999999999999</v>
      </c>
      <c r="L2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1.6520192310886549E-2</v>
      </c>
      <c r="M2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0.44768000846008443</v>
      </c>
      <c r="N27" s="8">
        <f>ABS(TargetsPercent[[#This Row],[2020–21
Allowable
performance
target]]-TargetsPercent[[#This Row],[Target Floor % (calculated)]])</f>
        <v>4.4199915399155687E-3</v>
      </c>
    </row>
    <row r="28" spans="1:14" x14ac:dyDescent="0.2">
      <c r="A28" t="str">
        <f>_xlfn.CONCAT(TargetsPercent[[#This Row],[University]],":",TargetsPercent[[#This Row],[Metric]])</f>
        <v>Carleton University:03. Graduation rate</v>
      </c>
      <c r="B28" t="s">
        <v>31</v>
      </c>
      <c r="C28" t="s">
        <v>21</v>
      </c>
      <c r="D28" s="6">
        <f>VLOOKUP(TargetsPercent[[#This Row],[KEY]],[1]!HistoricalData[#Data],4,FALSE)</f>
        <v>0.6764</v>
      </c>
      <c r="E28" s="6">
        <f>VLOOKUP(TargetsPercent[[#This Row],[KEY]],[1]!HistoricalData[#Data],5,FALSE)</f>
        <v>0.67679999999999996</v>
      </c>
      <c r="F28" s="6">
        <f>VLOOKUP(TargetsPercent[[#This Row],[KEY]],[1]!HistoricalData[#Data],6,FALSE)</f>
        <v>0.68510000000000004</v>
      </c>
      <c r="G28" s="5">
        <f>VLOOKUP(TargetsPercent[[#This Row],[KEY]],[1]!HistoricalData[#Data],7,FALSE)</f>
        <v>0.67300000000000004</v>
      </c>
      <c r="H28" s="2">
        <f>AVERAGE(TargetsPercent[[#This Row],[2016–17 Historical data]],TargetsPercent[[#This Row],[2017–18 Historical data]],TargetsPercent[[#This Row],[2018–19 Historical data]])</f>
        <v>0.67943333333333333</v>
      </c>
      <c r="I28" s="2">
        <f>ABS(TargetsPercent[[#This Row],[2016–17 Historical data]]-TargetsPercent[[#This Row],[2017–18 Historical data]])</f>
        <v>3.9999999999995595E-4</v>
      </c>
      <c r="J28" s="2">
        <f>ABS(TargetsPercent[[#This Row],[2017–18 Historical data]]-TargetsPercent[[#This Row],[2018–19 Historical data]])</f>
        <v>8.3000000000000851E-3</v>
      </c>
      <c r="K2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0.67983333333333329</v>
      </c>
      <c r="L2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0.6764</v>
      </c>
      <c r="N28" s="8">
        <f>ABS(TargetsPercent[[#This Row],[2020–21
Allowable
performance
target]]-TargetsPercent[[#This Row],[Target Floor % (calculated)]])</f>
        <v>3.3999999999999586E-3</v>
      </c>
    </row>
    <row r="29" spans="1:14" x14ac:dyDescent="0.2">
      <c r="A29" t="str">
        <f>_xlfn.CONCAT(TargetsPercent[[#This Row],[University]],":",TargetsPercent[[#This Row],[Metric]])</f>
        <v>Carleton University:04. Community and local impact of student enrolment</v>
      </c>
      <c r="B29" t="s">
        <v>31</v>
      </c>
      <c r="C29" t="s">
        <v>22</v>
      </c>
      <c r="D29" s="6">
        <f>VLOOKUP(TargetsPercent[[#This Row],[KEY]],[1]!HistoricalData[#Data],4,FALSE)</f>
        <v>4.7300000000000002E-2</v>
      </c>
      <c r="E29" s="6">
        <f>VLOOKUP(TargetsPercent[[#This Row],[KEY]],[1]!HistoricalData[#Data],5,FALSE)</f>
        <v>4.87E-2</v>
      </c>
      <c r="F29" s="6">
        <f>VLOOKUP(TargetsPercent[[#This Row],[KEY]],[1]!HistoricalData[#Data],6,FALSE)</f>
        <v>4.9299999999999997E-2</v>
      </c>
      <c r="G29" s="5">
        <f>VLOOKUP(TargetsPercent[[#This Row],[KEY]],[1]!HistoricalData[#Data],7,FALSE)</f>
        <v>4.8000000000000001E-2</v>
      </c>
      <c r="H29" s="2">
        <f>AVERAGE(TargetsPercent[[#This Row],[2016–17 Historical data]],TargetsPercent[[#This Row],[2017–18 Historical data]],TargetsPercent[[#This Row],[2018–19 Historical data]])</f>
        <v>4.8433333333333328E-2</v>
      </c>
      <c r="I29" s="2">
        <f>ABS(TargetsPercent[[#This Row],[2016–17 Historical data]]-TargetsPercent[[#This Row],[2017–18 Historical data]])</f>
        <v>1.3999999999999985E-3</v>
      </c>
      <c r="J29" s="2">
        <f>ABS(TargetsPercent[[#This Row],[2017–18 Historical data]]-TargetsPercent[[#This Row],[2018–19 Historical data]])</f>
        <v>5.9999999999999637E-4</v>
      </c>
      <c r="K2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4.9033333333333325E-2</v>
      </c>
      <c r="L2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2.095931860508523E-2</v>
      </c>
      <c r="M2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4.8005628077730643E-2</v>
      </c>
      <c r="N29" s="9">
        <f>ABS(TargetsPercent[[#This Row],[2020–21
Allowable
performance
target]]-TargetsPercent[[#This Row],[Target Floor % (calculated)]])</f>
        <v>5.6280777306419449E-6</v>
      </c>
    </row>
    <row r="30" spans="1:14" x14ac:dyDescent="0.2">
      <c r="A30" t="str">
        <f>_xlfn.CONCAT(TargetsPercent[[#This Row],[University]],":",TargetsPercent[[#This Row],[Metric]])</f>
        <v>Carleton University:05. Economic impact (institution-specific)</v>
      </c>
      <c r="B30" t="s">
        <v>31</v>
      </c>
      <c r="C30" t="s">
        <v>23</v>
      </c>
      <c r="D30" s="6">
        <f>VLOOKUP(TargetsPercent[[#This Row],[KEY]],[1]!HistoricalData[#Data],4,FALSE)</f>
        <v>25</v>
      </c>
      <c r="E30" s="6">
        <f>VLOOKUP(TargetsPercent[[#This Row],[KEY]],[1]!HistoricalData[#Data],5,FALSE)</f>
        <v>29</v>
      </c>
      <c r="F30" s="6">
        <f>VLOOKUP(TargetsPercent[[#This Row],[KEY]],[1]!HistoricalData[#Data],6,FALSE)</f>
        <v>22</v>
      </c>
      <c r="G30" s="5">
        <f>VLOOKUP(TargetsPercent[[#This Row],[KEY]],[1]!HistoricalData[#Data],7,FALSE)</f>
        <v>23.45</v>
      </c>
      <c r="H30" s="14">
        <f>AVERAGE(TargetsPercent[[#This Row],[2016–17 Historical data]],TargetsPercent[[#This Row],[2017–18 Historical data]],TargetsPercent[[#This Row],[2018–19 Historical data]])</f>
        <v>25.333333333333332</v>
      </c>
      <c r="I30" s="14">
        <f>ABS(TargetsPercent[[#This Row],[2016–17 Historical data]]-TargetsPercent[[#This Row],[2017–18 Historical data]])</f>
        <v>4</v>
      </c>
      <c r="J30" s="14">
        <f>ABS(TargetsPercent[[#This Row],[2017–18 Historical data]]-TargetsPercent[[#This Row],[2018–19 Historical data]])</f>
        <v>7</v>
      </c>
      <c r="K30" s="14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29.333333333333332</v>
      </c>
      <c r="L30" s="14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0.2006896551724138</v>
      </c>
      <c r="M30" s="14"/>
      <c r="N30" s="8">
        <f>ABS(TargetsPercent[[#This Row],[2020–21
Allowable
performance
target]]-TargetsPercent[[#This Row],[Target Floor % (calculated)]])</f>
        <v>23.45</v>
      </c>
    </row>
    <row r="31" spans="1:14" x14ac:dyDescent="0.2">
      <c r="A31" t="str">
        <f>_xlfn.CONCAT(TargetsPercent[[#This Row],[University]],":",TargetsPercent[[#This Row],[Metric]])</f>
        <v>Carleton University:06. Research funding and capacity: federal tri-agency funding secured</v>
      </c>
      <c r="B31" t="s">
        <v>31</v>
      </c>
      <c r="C31" t="s">
        <v>24</v>
      </c>
      <c r="D31" s="6">
        <f>VLOOKUP(TargetsPercent[[#This Row],[KEY]],[1]!HistoricalData[#Data],4,FALSE)</f>
        <v>2.4799999999999999E-2</v>
      </c>
      <c r="E31" s="6">
        <f>VLOOKUP(TargetsPercent[[#This Row],[KEY]],[1]!HistoricalData[#Data],5,FALSE)</f>
        <v>2.5100000000000001E-2</v>
      </c>
      <c r="F31" s="6">
        <f>VLOOKUP(TargetsPercent[[#This Row],[KEY]],[1]!HistoricalData[#Data],6,FALSE)</f>
        <v>2.6200000000000001E-2</v>
      </c>
      <c r="G31" s="5">
        <f>VLOOKUP(TargetsPercent[[#This Row],[KEY]],[1]!HistoricalData[#Data],7,FALSE)</f>
        <v>2.47E-2</v>
      </c>
      <c r="H31" s="2">
        <f>AVERAGE(TargetsPercent[[#This Row],[2016–17 Historical data]],TargetsPercent[[#This Row],[2017–18 Historical data]],TargetsPercent[[#This Row],[2018–19 Historical data]])</f>
        <v>2.5366666666666666E-2</v>
      </c>
      <c r="I31" s="2">
        <f>ABS(TargetsPercent[[#This Row],[2016–17 Historical data]]-TargetsPercent[[#This Row],[2017–18 Historical data]])</f>
        <v>3.0000000000000165E-4</v>
      </c>
      <c r="J31" s="2">
        <f>ABS(TargetsPercent[[#This Row],[2017–18 Historical data]]-TargetsPercent[[#This Row],[2018–19 Historical data]])</f>
        <v>1.1000000000000003E-3</v>
      </c>
      <c r="K3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2.5666666666666667E-2</v>
      </c>
      <c r="L3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2.7960737694383793E-2</v>
      </c>
      <c r="M31" s="2"/>
      <c r="N31" s="8">
        <f>ABS(TargetsPercent[[#This Row],[2020–21
Allowable
performance
target]]-TargetsPercent[[#This Row],[Target Floor % (calculated)]])</f>
        <v>2.47E-2</v>
      </c>
    </row>
    <row r="32" spans="1:14" x14ac:dyDescent="0.2">
      <c r="A32" t="str">
        <f>_xlfn.CONCAT(TargetsPercent[[#This Row],[University]],":",TargetsPercent[[#This Row],[Metric]])</f>
        <v>Carleton University:07. Experiential learning</v>
      </c>
      <c r="B32" t="s">
        <v>31</v>
      </c>
      <c r="C32" t="s">
        <v>25</v>
      </c>
      <c r="D32" s="6">
        <f>VLOOKUP(TargetsPercent[[#This Row],[KEY]],[1]!HistoricalData[#Data],4,FALSE)</f>
        <v>0</v>
      </c>
      <c r="E32" s="6">
        <f>VLOOKUP(TargetsPercent[[#This Row],[KEY]],[1]!HistoricalData[#Data],5,FALSE)</f>
        <v>0</v>
      </c>
      <c r="F32" s="6">
        <f>VLOOKUP(TargetsPercent[[#This Row],[KEY]],[1]!HistoricalData[#Data],6,FALSE)</f>
        <v>0</v>
      </c>
      <c r="G32" s="5">
        <f>VLOOKUP(TargetsPercent[[#This Row],[KEY]],[1]!HistoricalData[#Data],7,FALSE)</f>
        <v>0</v>
      </c>
      <c r="H32" s="8">
        <f>AVERAGE(TargetsPercent[[#This Row],[2016–17 Historical data]],TargetsPercent[[#This Row],[2017–18 Historical data]],TargetsPercent[[#This Row],[2018–19 Historical data]])</f>
        <v>0</v>
      </c>
      <c r="I32" s="8">
        <f>ABS(TargetsPercent[[#This Row],[2016–17 Historical data]]-TargetsPercent[[#This Row],[2017–18 Historical data]])</f>
        <v>0</v>
      </c>
      <c r="J32" s="12">
        <f>ABS(TargetsPercent[[#This Row],[2017–18 Historical data]]-TargetsPercent[[#This Row],[2018–19 Historical data]])</f>
        <v>0</v>
      </c>
      <c r="K32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3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32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32" s="8" t="e">
        <f>ABS(TargetsPercent[[#This Row],[2020–21
Allowable
performance
target]]-TargetsPercent[[#This Row],[Target Floor % (calculated)]])</f>
        <v>#DIV/0!</v>
      </c>
    </row>
    <row r="33" spans="1:14" x14ac:dyDescent="0.2">
      <c r="A33" t="str">
        <f>_xlfn.CONCAT(TargetsPercent[[#This Row],[University]],":",TargetsPercent[[#This Row],[Metric]])</f>
        <v>Carleton University:08. Research revenue attracted from private sector sources</v>
      </c>
      <c r="B33" t="s">
        <v>31</v>
      </c>
      <c r="C33" t="s">
        <v>26</v>
      </c>
      <c r="D33" s="6">
        <f>VLOOKUP(TargetsPercent[[#This Row],[KEY]],[1]!HistoricalData[#Data],4,FALSE)</f>
        <v>0</v>
      </c>
      <c r="E33" s="6">
        <f>VLOOKUP(TargetsPercent[[#This Row],[KEY]],[1]!HistoricalData[#Data],5,FALSE)</f>
        <v>0</v>
      </c>
      <c r="F33" s="6">
        <f>VLOOKUP(TargetsPercent[[#This Row],[KEY]],[1]!HistoricalData[#Data],6,FALSE)</f>
        <v>0</v>
      </c>
      <c r="G33" s="5">
        <f>VLOOKUP(TargetsPercent[[#This Row],[KEY]],[1]!HistoricalData[#Data],7,FALSE)</f>
        <v>0</v>
      </c>
      <c r="H33" s="8">
        <f>AVERAGE(TargetsPercent[[#This Row],[2016–17 Historical data]],TargetsPercent[[#This Row],[2017–18 Historical data]],TargetsPercent[[#This Row],[2018–19 Historical data]])</f>
        <v>0</v>
      </c>
      <c r="I33" s="8">
        <f>ABS(TargetsPercent[[#This Row],[2016–17 Historical data]]-TargetsPercent[[#This Row],[2017–18 Historical data]])</f>
        <v>0</v>
      </c>
      <c r="J33" s="12">
        <f>ABS(TargetsPercent[[#This Row],[2017–18 Historical data]]-TargetsPercent[[#This Row],[2018–19 Historical data]])</f>
        <v>0</v>
      </c>
      <c r="K33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3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33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33" s="8" t="e">
        <f>ABS(TargetsPercent[[#This Row],[2020–21
Allowable
performance
target]]-TargetsPercent[[#This Row],[Target Floor % (calculated)]])</f>
        <v>#DIV/0!</v>
      </c>
    </row>
    <row r="34" spans="1:14" x14ac:dyDescent="0.2">
      <c r="A34" t="str">
        <f>_xlfn.CONCAT(TargetsPercent[[#This Row],[University]],":",TargetsPercent[[#This Row],[Metric]])</f>
        <v>Carleton University:09. Graduate employment earnings</v>
      </c>
      <c r="B34" t="s">
        <v>31</v>
      </c>
      <c r="C34" t="s">
        <v>27</v>
      </c>
      <c r="D34" s="6">
        <f>VLOOKUP(TargetsPercent[[#This Row],[KEY]],[1]!HistoricalData[#Data],4,FALSE)</f>
        <v>0</v>
      </c>
      <c r="E34" s="6">
        <f>VLOOKUP(TargetsPercent[[#This Row],[KEY]],[1]!HistoricalData[#Data],5,FALSE)</f>
        <v>0</v>
      </c>
      <c r="F34" s="6">
        <f>VLOOKUP(TargetsPercent[[#This Row],[KEY]],[1]!HistoricalData[#Data],6,FALSE)</f>
        <v>0</v>
      </c>
      <c r="G34" s="5">
        <f>VLOOKUP(TargetsPercent[[#This Row],[KEY]],[1]!HistoricalData[#Data],7,FALSE)</f>
        <v>0</v>
      </c>
      <c r="H34" s="8">
        <f>AVERAGE(TargetsPercent[[#This Row],[2016–17 Historical data]],TargetsPercent[[#This Row],[2017–18 Historical data]],TargetsPercent[[#This Row],[2018–19 Historical data]])</f>
        <v>0</v>
      </c>
      <c r="I34" s="8">
        <f>ABS(TargetsPercent[[#This Row],[2016–17 Historical data]]-TargetsPercent[[#This Row],[2017–18 Historical data]])</f>
        <v>0</v>
      </c>
      <c r="J34" s="12">
        <f>ABS(TargetsPercent[[#This Row],[2017–18 Historical data]]-TargetsPercent[[#This Row],[2018–19 Historical data]])</f>
        <v>0</v>
      </c>
      <c r="K34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3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34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34" s="8" t="e">
        <f>ABS(TargetsPercent[[#This Row],[2020–21
Allowable
performance
target]]-TargetsPercent[[#This Row],[Target Floor % (calculated)]])</f>
        <v>#DIV/0!</v>
      </c>
    </row>
    <row r="35" spans="1:14" x14ac:dyDescent="0.2">
      <c r="A35" t="str">
        <f>_xlfn.CONCAT(TargetsPercent[[#This Row],[University]],":",TargetsPercent[[#This Row],[Metric]])</f>
        <v>Carleton University:10. Skills and competencies</v>
      </c>
      <c r="B35" t="s">
        <v>31</v>
      </c>
      <c r="C35" t="s">
        <v>28</v>
      </c>
      <c r="D35" s="6">
        <f>VLOOKUP(TargetsPercent[[#This Row],[KEY]],[1]!HistoricalData[#Data],4,FALSE)</f>
        <v>0</v>
      </c>
      <c r="E35" s="6">
        <f>VLOOKUP(TargetsPercent[[#This Row],[KEY]],[1]!HistoricalData[#Data],5,FALSE)</f>
        <v>0</v>
      </c>
      <c r="F35" s="6">
        <f>VLOOKUP(TargetsPercent[[#This Row],[KEY]],[1]!HistoricalData[#Data],6,FALSE)</f>
        <v>0</v>
      </c>
      <c r="G35" s="5">
        <f>VLOOKUP(TargetsPercent[[#This Row],[KEY]],[1]!HistoricalData[#Data],7,FALSE)</f>
        <v>0</v>
      </c>
      <c r="H35" s="8">
        <f>AVERAGE(TargetsPercent[[#This Row],[2016–17 Historical data]],TargetsPercent[[#This Row],[2017–18 Historical data]],TargetsPercent[[#This Row],[2018–19 Historical data]])</f>
        <v>0</v>
      </c>
      <c r="I35" s="8">
        <f>ABS(TargetsPercent[[#This Row],[2016–17 Historical data]]-TargetsPercent[[#This Row],[2017–18 Historical data]])</f>
        <v>0</v>
      </c>
      <c r="J35" s="12">
        <f>ABS(TargetsPercent[[#This Row],[2017–18 Historical data]]-TargetsPercent[[#This Row],[2018–19 Historical data]])</f>
        <v>0</v>
      </c>
      <c r="K35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3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35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35" s="8" t="e">
        <f>ABS(TargetsPercent[[#This Row],[2020–21
Allowable
performance
target]]-TargetsPercent[[#This Row],[Target Floor % (calculated)]])</f>
        <v>#DIV/0!</v>
      </c>
    </row>
    <row r="36" spans="1:14" x14ac:dyDescent="0.2">
      <c r="A36" t="str">
        <f>_xlfn.CONCAT(TargetsPercent[[#This Row],[University]],":",TargetsPercent[[#This Row],[Metric]])</f>
        <v>Carleton University:Tri-agency research funding</v>
      </c>
      <c r="B36" t="s">
        <v>31</v>
      </c>
      <c r="C36" t="s">
        <v>29</v>
      </c>
      <c r="D36" s="6">
        <f>VLOOKUP(TargetsPercent[[#This Row],[KEY]],[1]!HistoricalData[#Data],4,FALSE)</f>
        <v>15796236</v>
      </c>
      <c r="E36" s="6">
        <f>VLOOKUP(TargetsPercent[[#This Row],[KEY]],[1]!HistoricalData[#Data],5,FALSE)</f>
        <v>16702350</v>
      </c>
      <c r="F36" s="6">
        <f>VLOOKUP(TargetsPercent[[#This Row],[KEY]],[1]!HistoricalData[#Data],6,FALSE)</f>
        <v>17791861</v>
      </c>
      <c r="G36" s="5">
        <f>VLOOKUP(TargetsPercent[[#This Row],[KEY]],[1]!HistoricalData[#Data],7,FALSE)</f>
        <v>0</v>
      </c>
      <c r="H36" s="13">
        <f>AVERAGE(TargetsPercent[[#This Row],[2016–17 Historical data]],TargetsPercent[[#This Row],[2017–18 Historical data]],TargetsPercent[[#This Row],[2018–19 Historical data]])</f>
        <v>16763482.333333334</v>
      </c>
      <c r="I36" s="13">
        <f>ABS(TargetsPercent[[#This Row],[2016–17 Historical data]]-TargetsPercent[[#This Row],[2017–18 Historical data]])</f>
        <v>906114</v>
      </c>
      <c r="J36" s="12">
        <f>ABS(TargetsPercent[[#This Row],[2017–18 Historical data]]-TargetsPercent[[#This Row],[2018–19 Historical data]])</f>
        <v>1089511</v>
      </c>
      <c r="K36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17669596.333333336</v>
      </c>
      <c r="L3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6.1296826575587611E-2</v>
      </c>
      <c r="M36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16586506.151228365</v>
      </c>
      <c r="N36" s="8">
        <f>ABS(TargetsPercent[[#This Row],[2020–21
Allowable
performance
target]]-TargetsPercent[[#This Row],[Target Floor % (calculated)]])</f>
        <v>16586506.151228365</v>
      </c>
    </row>
    <row r="37" spans="1:14" x14ac:dyDescent="0.2">
      <c r="A37" t="str">
        <f>_xlfn.CONCAT(TargetsPercent[[#This Row],[University]],":",TargetsPercent[[#This Row],[Metric]])</f>
        <v>Lakehead University:01. Graduate employment rate in a related field</v>
      </c>
      <c r="B37" t="s">
        <v>32</v>
      </c>
      <c r="C37" t="s">
        <v>19</v>
      </c>
      <c r="D37" s="6">
        <f>VLOOKUP(TargetsPercent[[#This Row],[KEY]],[1]!HistoricalData[#Data],4,FALSE)</f>
        <v>0.90339999999999998</v>
      </c>
      <c r="E37" s="6">
        <f>VLOOKUP(TargetsPercent[[#This Row],[KEY]],[1]!HistoricalData[#Data],5,FALSE)</f>
        <v>0.88770000000000004</v>
      </c>
      <c r="F37" s="6">
        <f>VLOOKUP(TargetsPercent[[#This Row],[KEY]],[1]!HistoricalData[#Data],6,FALSE)</f>
        <v>92.04</v>
      </c>
      <c r="G37" s="5">
        <f>VLOOKUP(TargetsPercent[[#This Row],[KEY]],[1]!HistoricalData[#Data],7,FALSE)</f>
        <v>0.89459999999999995</v>
      </c>
      <c r="H37" s="2">
        <f>AVERAGE(TargetsPercent[[#This Row],[2016–17 Historical data]],TargetsPercent[[#This Row],[2017–18 Historical data]],TargetsPercent[[#This Row],[2018–19 Historical data]])</f>
        <v>31.277033333333335</v>
      </c>
      <c r="I37" s="2">
        <f>ABS(TargetsPercent[[#This Row],[2016–17 Historical data]]-TargetsPercent[[#This Row],[2017–18 Historical data]])</f>
        <v>1.5699999999999936E-2</v>
      </c>
      <c r="J37" s="2">
        <f>ABS(TargetsPercent[[#This Row],[2017–18 Historical data]]-TargetsPercent[[#This Row],[2018–19 Historical data]])</f>
        <v>91.152300000000011</v>
      </c>
      <c r="K3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31.292733333333334</v>
      </c>
      <c r="L3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51.350527854555388</v>
      </c>
      <c r="M3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0.88770000000000004</v>
      </c>
      <c r="N37" s="8">
        <f>ABS(TargetsPercent[[#This Row],[2020–21
Allowable
performance
target]]-TargetsPercent[[#This Row],[Target Floor % (calculated)]])</f>
        <v>6.8999999999999062E-3</v>
      </c>
    </row>
    <row r="38" spans="1:14" x14ac:dyDescent="0.2">
      <c r="A38" t="str">
        <f>_xlfn.CONCAT(TargetsPercent[[#This Row],[University]],":",TargetsPercent[[#This Row],[Metric]])</f>
        <v>Lakehead University:02. Institutional strength and focus</v>
      </c>
      <c r="B38" t="s">
        <v>32</v>
      </c>
      <c r="C38" t="s">
        <v>20</v>
      </c>
      <c r="D38" s="6">
        <f>VLOOKUP(TargetsPercent[[#This Row],[KEY]],[1]!HistoricalData[#Data],4,FALSE)</f>
        <v>0.26229999999999998</v>
      </c>
      <c r="E38" s="6">
        <f>VLOOKUP(TargetsPercent[[#This Row],[KEY]],[1]!HistoricalData[#Data],5,FALSE)</f>
        <v>0.25269999999999998</v>
      </c>
      <c r="F38" s="6">
        <f>VLOOKUP(TargetsPercent[[#This Row],[KEY]],[1]!HistoricalData[#Data],6,FALSE)</f>
        <v>0.2555</v>
      </c>
      <c r="G38" s="5">
        <f>VLOOKUP(TargetsPercent[[#This Row],[KEY]],[1]!HistoricalData[#Data],7,FALSE)</f>
        <v>0.26090000000000002</v>
      </c>
      <c r="H38" s="2">
        <f>AVERAGE(TargetsPercent[[#This Row],[2016–17 Historical data]],TargetsPercent[[#This Row],[2017–18 Historical data]],TargetsPercent[[#This Row],[2018–19 Historical data]])</f>
        <v>0.2568333333333333</v>
      </c>
      <c r="I38" s="2">
        <f>ABS(TargetsPercent[[#This Row],[2016–17 Historical data]]-TargetsPercent[[#This Row],[2017–18 Historical data]])</f>
        <v>9.5999999999999974E-3</v>
      </c>
      <c r="J38" s="2">
        <f>ABS(TargetsPercent[[#This Row],[2017–18 Historical data]]-TargetsPercent[[#This Row],[2018–19 Historical data]])</f>
        <v>2.8000000000000247E-3</v>
      </c>
      <c r="K3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0.25963333333333333</v>
      </c>
      <c r="L3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2.3839823086419666E-2</v>
      </c>
      <c r="M3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0.25344372059932924</v>
      </c>
      <c r="N38" s="8">
        <f>ABS(TargetsPercent[[#This Row],[2020–21
Allowable
performance
target]]-TargetsPercent[[#This Row],[Target Floor % (calculated)]])</f>
        <v>7.4562794006707844E-3</v>
      </c>
    </row>
    <row r="39" spans="1:14" x14ac:dyDescent="0.2">
      <c r="A39" t="str">
        <f>_xlfn.CONCAT(TargetsPercent[[#This Row],[University]],":",TargetsPercent[[#This Row],[Metric]])</f>
        <v>Lakehead University:03. Graduation rate</v>
      </c>
      <c r="B39" t="s">
        <v>32</v>
      </c>
      <c r="C39" t="s">
        <v>21</v>
      </c>
      <c r="D39" s="6">
        <f>VLOOKUP(TargetsPercent[[#This Row],[KEY]],[1]!HistoricalData[#Data],4,FALSE)</f>
        <v>0.81</v>
      </c>
      <c r="E39" s="6">
        <f>VLOOKUP(TargetsPercent[[#This Row],[KEY]],[1]!HistoricalData[#Data],5,FALSE)</f>
        <v>0.76729999999999998</v>
      </c>
      <c r="F39" s="6">
        <f>VLOOKUP(TargetsPercent[[#This Row],[KEY]],[1]!HistoricalData[#Data],6,FALSE)</f>
        <v>0.74429999999999996</v>
      </c>
      <c r="G39" s="5">
        <f>VLOOKUP(TargetsPercent[[#This Row],[KEY]],[1]!HistoricalData[#Data],7,FALSE)</f>
        <v>0.76390000000000002</v>
      </c>
      <c r="H39" s="2">
        <f>AVERAGE(TargetsPercent[[#This Row],[2016–17 Historical data]],TargetsPercent[[#This Row],[2017–18 Historical data]],TargetsPercent[[#This Row],[2018–19 Historical data]])</f>
        <v>0.7738666666666667</v>
      </c>
      <c r="I39" s="2">
        <f>ABS(TargetsPercent[[#This Row],[2016–17 Historical data]]-TargetsPercent[[#This Row],[2017–18 Historical data]])</f>
        <v>4.2700000000000071E-2</v>
      </c>
      <c r="J39" s="2">
        <f>ABS(TargetsPercent[[#This Row],[2017–18 Historical data]]-TargetsPercent[[#This Row],[2018–19 Historical data]])</f>
        <v>2.300000000000002E-2</v>
      </c>
      <c r="K3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0.79686666666666672</v>
      </c>
      <c r="L3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4.1345643614856056E-2</v>
      </c>
      <c r="M3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0.76391970145810839</v>
      </c>
      <c r="N39" s="8">
        <f>ABS(TargetsPercent[[#This Row],[2020–21
Allowable
performance
target]]-TargetsPercent[[#This Row],[Target Floor % (calculated)]])</f>
        <v>1.9701458108367653E-5</v>
      </c>
    </row>
    <row r="40" spans="1:14" x14ac:dyDescent="0.2">
      <c r="A40" t="str">
        <f>_xlfn.CONCAT(TargetsPercent[[#This Row],[University]],":",TargetsPercent[[#This Row],[Metric]])</f>
        <v>Lakehead University:04. Community and local impact of student enrolment</v>
      </c>
      <c r="B40" t="s">
        <v>32</v>
      </c>
      <c r="C40" t="s">
        <v>22</v>
      </c>
      <c r="D40" s="6">
        <f>VLOOKUP(TargetsPercent[[#This Row],[KEY]],[1]!HistoricalData[#Data],4,FALSE)</f>
        <v>8.43E-2</v>
      </c>
      <c r="E40" s="6">
        <f>VLOOKUP(TargetsPercent[[#This Row],[KEY]],[1]!HistoricalData[#Data],5,FALSE)</f>
        <v>8.2799999999999999E-2</v>
      </c>
      <c r="F40" s="6">
        <f>VLOOKUP(TargetsPercent[[#This Row],[KEY]],[1]!HistoricalData[#Data],6,FALSE)</f>
        <v>8.43E-2</v>
      </c>
      <c r="G40" s="5">
        <f>VLOOKUP(TargetsPercent[[#This Row],[KEY]],[1]!HistoricalData[#Data],7,FALSE)</f>
        <v>8.3799999999999999E-2</v>
      </c>
      <c r="H40" s="2">
        <f>AVERAGE(TargetsPercent[[#This Row],[2016–17 Historical data]],TargetsPercent[[#This Row],[2017–18 Historical data]],TargetsPercent[[#This Row],[2018–19 Historical data]])</f>
        <v>8.3799999999999999E-2</v>
      </c>
      <c r="I40" s="2">
        <f>ABS(TargetsPercent[[#This Row],[2016–17 Historical data]]-TargetsPercent[[#This Row],[2017–18 Historical data]])</f>
        <v>1.5000000000000013E-3</v>
      </c>
      <c r="J40" s="2">
        <f>ABS(TargetsPercent[[#This Row],[2017–18 Historical data]]-TargetsPercent[[#This Row],[2018–19 Historical data]])</f>
        <v>1.5000000000000013E-3</v>
      </c>
      <c r="K4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8.5300000000000001E-2</v>
      </c>
      <c r="L4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1.7954768167517683E-2</v>
      </c>
      <c r="M4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8.3768458275310737E-2</v>
      </c>
      <c r="N40" s="9">
        <f>ABS(TargetsPercent[[#This Row],[2020–21
Allowable
performance
target]]-TargetsPercent[[#This Row],[Target Floor % (calculated)]])</f>
        <v>3.1541724689262973E-5</v>
      </c>
    </row>
    <row r="41" spans="1:14" x14ac:dyDescent="0.2">
      <c r="A41" t="str">
        <f>_xlfn.CONCAT(TargetsPercent[[#This Row],[University]],":",TargetsPercent[[#This Row],[Metric]])</f>
        <v>Lakehead University:05. Economic impact (institution-specific)</v>
      </c>
      <c r="B41" t="s">
        <v>32</v>
      </c>
      <c r="C41" t="s">
        <v>23</v>
      </c>
      <c r="D41" s="6">
        <f>VLOOKUP(TargetsPercent[[#This Row],[KEY]],[1]!HistoricalData[#Data],4,FALSE)</f>
        <v>1425000000</v>
      </c>
      <c r="E41" s="6">
        <f>VLOOKUP(TargetsPercent[[#This Row],[KEY]],[1]!HistoricalData[#Data],5,FALSE)</f>
        <v>1469500000</v>
      </c>
      <c r="F41" s="6">
        <f>VLOOKUP(TargetsPercent[[#This Row],[KEY]],[1]!HistoricalData[#Data],6,FALSE)</f>
        <v>1545100000</v>
      </c>
      <c r="G41" s="5">
        <f>VLOOKUP(TargetsPercent[[#This Row],[KEY]],[1]!HistoricalData[#Data],7,FALSE)</f>
        <v>1461353815</v>
      </c>
      <c r="H41" s="13">
        <f>AVERAGE(TargetsPercent[[#This Row],[2016–17 Historical data]],TargetsPercent[[#This Row],[2017–18 Historical data]],TargetsPercent[[#This Row],[2018–19 Historical data]])</f>
        <v>1479866666.6666667</v>
      </c>
      <c r="I41" s="13">
        <f>ABS(TargetsPercent[[#This Row],[2016–17 Historical data]]-TargetsPercent[[#This Row],[2017–18 Historical data]])</f>
        <v>44500000</v>
      </c>
      <c r="J41" s="12">
        <f>ABS(TargetsPercent[[#This Row],[2017–18 Historical data]]-TargetsPercent[[#This Row],[2018–19 Historical data]])</f>
        <v>75600000</v>
      </c>
      <c r="K41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1524366666.6666667</v>
      </c>
      <c r="L4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4.1337070133653286E-2</v>
      </c>
      <c r="M41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1461353814.8572636</v>
      </c>
      <c r="N41" s="8">
        <f>ABS(TargetsPercent[[#This Row],[2020–21
Allowable
performance
target]]-TargetsPercent[[#This Row],[Target Floor % (calculated)]])</f>
        <v>0.14273643493652344</v>
      </c>
    </row>
    <row r="42" spans="1:14" x14ac:dyDescent="0.2">
      <c r="A42" t="str">
        <f>_xlfn.CONCAT(TargetsPercent[[#This Row],[University]],":",TargetsPercent[[#This Row],[Metric]])</f>
        <v>Lakehead University:06. Research funding and capacity: federal tri-agency funding secured</v>
      </c>
      <c r="B42" t="s">
        <v>32</v>
      </c>
      <c r="C42" t="s">
        <v>24</v>
      </c>
      <c r="D42" s="6">
        <f>VLOOKUP(TargetsPercent[[#This Row],[KEY]],[1]!HistoricalData[#Data],4,FALSE)</f>
        <v>7.1999999999999998E-3</v>
      </c>
      <c r="E42" s="6">
        <f>VLOOKUP(TargetsPercent[[#This Row],[KEY]],[1]!HistoricalData[#Data],5,FALSE)</f>
        <v>6.7000000000000002E-3</v>
      </c>
      <c r="F42" s="6">
        <f>VLOOKUP(TargetsPercent[[#This Row],[KEY]],[1]!HistoricalData[#Data],6,FALSE)</f>
        <v>6.4999999999999997E-3</v>
      </c>
      <c r="G42" s="5">
        <f>VLOOKUP(TargetsPercent[[#This Row],[KEY]],[1]!HistoricalData[#Data],7,FALSE)</f>
        <v>6.7000000000000002E-3</v>
      </c>
      <c r="H42" s="2">
        <f>AVERAGE(TargetsPercent[[#This Row],[2016–17 Historical data]],TargetsPercent[[#This Row],[2017–18 Historical data]],TargetsPercent[[#This Row],[2018–19 Historical data]])</f>
        <v>6.7999999999999996E-3</v>
      </c>
      <c r="I42" s="2">
        <f>ABS(TargetsPercent[[#This Row],[2016–17 Historical data]]-TargetsPercent[[#This Row],[2017–18 Historical data]])</f>
        <v>4.9999999999999958E-4</v>
      </c>
      <c r="J42" s="2">
        <f>ABS(TargetsPercent[[#This Row],[2017–18 Historical data]]-TargetsPercent[[#This Row],[2018–19 Historical data]])</f>
        <v>2.0000000000000052E-4</v>
      </c>
      <c r="K4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7.0000000000000001E-3</v>
      </c>
      <c r="L4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4.964759535655059E-2</v>
      </c>
      <c r="M4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6.6524668325041465E-3</v>
      </c>
      <c r="N42" s="8">
        <f>ABS(TargetsPercent[[#This Row],[2020–21
Allowable
performance
target]]-TargetsPercent[[#This Row],[Target Floor % (calculated)]])</f>
        <v>4.7533167495853769E-5</v>
      </c>
    </row>
    <row r="43" spans="1:14" x14ac:dyDescent="0.2">
      <c r="A43" t="str">
        <f>_xlfn.CONCAT(TargetsPercent[[#This Row],[University]],":",TargetsPercent[[#This Row],[Metric]])</f>
        <v>Lakehead University:07. Experiential learning</v>
      </c>
      <c r="B43" t="s">
        <v>32</v>
      </c>
      <c r="C43" t="s">
        <v>25</v>
      </c>
      <c r="D43" s="6">
        <f>VLOOKUP(TargetsPercent[[#This Row],[KEY]],[1]!HistoricalData[#Data],4,FALSE)</f>
        <v>0</v>
      </c>
      <c r="E43" s="6">
        <f>VLOOKUP(TargetsPercent[[#This Row],[KEY]],[1]!HistoricalData[#Data],5,FALSE)</f>
        <v>0</v>
      </c>
      <c r="F43" s="6">
        <f>VLOOKUP(TargetsPercent[[#This Row],[KEY]],[1]!HistoricalData[#Data],6,FALSE)</f>
        <v>0</v>
      </c>
      <c r="G43" s="5">
        <f>VLOOKUP(TargetsPercent[[#This Row],[KEY]],[1]!HistoricalData[#Data],7,FALSE)</f>
        <v>0</v>
      </c>
      <c r="H43" s="9">
        <f>AVERAGE(TargetsPercent[[#This Row],[2016–17 Historical data]],TargetsPercent[[#This Row],[2017–18 Historical data]],TargetsPercent[[#This Row],[2018–19 Historical data]])</f>
        <v>0</v>
      </c>
      <c r="I43" s="9">
        <f>ABS(TargetsPercent[[#This Row],[2016–17 Historical data]]-TargetsPercent[[#This Row],[2017–18 Historical data]])</f>
        <v>0</v>
      </c>
      <c r="J43" s="2">
        <f>ABS(TargetsPercent[[#This Row],[2017–18 Historical data]]-TargetsPercent[[#This Row],[2018–19 Historical data]])</f>
        <v>0</v>
      </c>
      <c r="K4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4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43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43" s="8" t="e">
        <f>ABS(TargetsPercent[[#This Row],[2020–21
Allowable
performance
target]]-TargetsPercent[[#This Row],[Target Floor % (calculated)]])</f>
        <v>#DIV/0!</v>
      </c>
    </row>
    <row r="44" spans="1:14" x14ac:dyDescent="0.2">
      <c r="A44" t="str">
        <f>_xlfn.CONCAT(TargetsPercent[[#This Row],[University]],":",TargetsPercent[[#This Row],[Metric]])</f>
        <v>Lakehead University:08. Research revenue attracted from private sector sources</v>
      </c>
      <c r="B44" t="s">
        <v>32</v>
      </c>
      <c r="C44" t="s">
        <v>26</v>
      </c>
      <c r="D44" s="6">
        <f>VLOOKUP(TargetsPercent[[#This Row],[KEY]],[1]!HistoricalData[#Data],4,FALSE)</f>
        <v>0</v>
      </c>
      <c r="E44" s="6">
        <f>VLOOKUP(TargetsPercent[[#This Row],[KEY]],[1]!HistoricalData[#Data],5,FALSE)</f>
        <v>0</v>
      </c>
      <c r="F44" s="6">
        <f>VLOOKUP(TargetsPercent[[#This Row],[KEY]],[1]!HistoricalData[#Data],6,FALSE)</f>
        <v>0</v>
      </c>
      <c r="G44" s="5">
        <f>VLOOKUP(TargetsPercent[[#This Row],[KEY]],[1]!HistoricalData[#Data],7,FALSE)</f>
        <v>0</v>
      </c>
      <c r="H44" s="9">
        <f>AVERAGE(TargetsPercent[[#This Row],[2016–17 Historical data]],TargetsPercent[[#This Row],[2017–18 Historical data]],TargetsPercent[[#This Row],[2018–19 Historical data]])</f>
        <v>0</v>
      </c>
      <c r="I44" s="9">
        <f>ABS(TargetsPercent[[#This Row],[2016–17 Historical data]]-TargetsPercent[[#This Row],[2017–18 Historical data]])</f>
        <v>0</v>
      </c>
      <c r="J44" s="2">
        <f>ABS(TargetsPercent[[#This Row],[2017–18 Historical data]]-TargetsPercent[[#This Row],[2018–19 Historical data]])</f>
        <v>0</v>
      </c>
      <c r="K44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4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44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44" s="8" t="e">
        <f>ABS(TargetsPercent[[#This Row],[2020–21
Allowable
performance
target]]-TargetsPercent[[#This Row],[Target Floor % (calculated)]])</f>
        <v>#DIV/0!</v>
      </c>
    </row>
    <row r="45" spans="1:14" x14ac:dyDescent="0.2">
      <c r="A45" t="str">
        <f>_xlfn.CONCAT(TargetsPercent[[#This Row],[University]],":",TargetsPercent[[#This Row],[Metric]])</f>
        <v>Lakehead University:09. Graduate employment earnings</v>
      </c>
      <c r="B45" t="s">
        <v>32</v>
      </c>
      <c r="C45" t="s">
        <v>27</v>
      </c>
      <c r="D45" s="6">
        <f>VLOOKUP(TargetsPercent[[#This Row],[KEY]],[1]!HistoricalData[#Data],4,FALSE)</f>
        <v>0</v>
      </c>
      <c r="E45" s="6">
        <f>VLOOKUP(TargetsPercent[[#This Row],[KEY]],[1]!HistoricalData[#Data],5,FALSE)</f>
        <v>0</v>
      </c>
      <c r="F45" s="6">
        <f>VLOOKUP(TargetsPercent[[#This Row],[KEY]],[1]!HistoricalData[#Data],6,FALSE)</f>
        <v>0</v>
      </c>
      <c r="G45" s="5">
        <f>VLOOKUP(TargetsPercent[[#This Row],[KEY]],[1]!HistoricalData[#Data],7,FALSE)</f>
        <v>0</v>
      </c>
      <c r="H45" s="9">
        <f>AVERAGE(TargetsPercent[[#This Row],[2016–17 Historical data]],TargetsPercent[[#This Row],[2017–18 Historical data]],TargetsPercent[[#This Row],[2018–19 Historical data]])</f>
        <v>0</v>
      </c>
      <c r="I45" s="9">
        <f>ABS(TargetsPercent[[#This Row],[2016–17 Historical data]]-TargetsPercent[[#This Row],[2017–18 Historical data]])</f>
        <v>0</v>
      </c>
      <c r="J45" s="2">
        <f>ABS(TargetsPercent[[#This Row],[2017–18 Historical data]]-TargetsPercent[[#This Row],[2018–19 Historical data]])</f>
        <v>0</v>
      </c>
      <c r="K4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4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4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45" s="8" t="e">
        <f>ABS(TargetsPercent[[#This Row],[2020–21
Allowable
performance
target]]-TargetsPercent[[#This Row],[Target Floor % (calculated)]])</f>
        <v>#DIV/0!</v>
      </c>
    </row>
    <row r="46" spans="1:14" x14ac:dyDescent="0.2">
      <c r="A46" t="str">
        <f>_xlfn.CONCAT(TargetsPercent[[#This Row],[University]],":",TargetsPercent[[#This Row],[Metric]])</f>
        <v>Lakehead University:10. Skills and competencies</v>
      </c>
      <c r="B46" t="s">
        <v>32</v>
      </c>
      <c r="C46" t="s">
        <v>28</v>
      </c>
      <c r="D46" s="6">
        <f>VLOOKUP(TargetsPercent[[#This Row],[KEY]],[1]!HistoricalData[#Data],4,FALSE)</f>
        <v>0</v>
      </c>
      <c r="E46" s="6">
        <f>VLOOKUP(TargetsPercent[[#This Row],[KEY]],[1]!HistoricalData[#Data],5,FALSE)</f>
        <v>0</v>
      </c>
      <c r="F46" s="6">
        <f>VLOOKUP(TargetsPercent[[#This Row],[KEY]],[1]!HistoricalData[#Data],6,FALSE)</f>
        <v>0</v>
      </c>
      <c r="G46" s="5">
        <f>VLOOKUP(TargetsPercent[[#This Row],[KEY]],[1]!HistoricalData[#Data],7,FALSE)</f>
        <v>0</v>
      </c>
      <c r="H46" s="9">
        <f>AVERAGE(TargetsPercent[[#This Row],[2016–17 Historical data]],TargetsPercent[[#This Row],[2017–18 Historical data]],TargetsPercent[[#This Row],[2018–19 Historical data]])</f>
        <v>0</v>
      </c>
      <c r="I46" s="9">
        <f>ABS(TargetsPercent[[#This Row],[2016–17 Historical data]]-TargetsPercent[[#This Row],[2017–18 Historical data]])</f>
        <v>0</v>
      </c>
      <c r="J46" s="2">
        <f>ABS(TargetsPercent[[#This Row],[2017–18 Historical data]]-TargetsPercent[[#This Row],[2018–19 Historical data]])</f>
        <v>0</v>
      </c>
      <c r="K4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4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4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46" s="8" t="e">
        <f>ABS(TargetsPercent[[#This Row],[2020–21
Allowable
performance
target]]-TargetsPercent[[#This Row],[Target Floor % (calculated)]])</f>
        <v>#DIV/0!</v>
      </c>
    </row>
    <row r="47" spans="1:14" x14ac:dyDescent="0.2">
      <c r="A47" t="str">
        <f>_xlfn.CONCAT(TargetsPercent[[#This Row],[University]],":",TargetsPercent[[#This Row],[Metric]])</f>
        <v>Lakehead University:Tri-agency research funding</v>
      </c>
      <c r="B47" t="s">
        <v>32</v>
      </c>
      <c r="C47" t="s">
        <v>29</v>
      </c>
      <c r="D47" s="6">
        <f>VLOOKUP(TargetsPercent[[#This Row],[KEY]],[1]!HistoricalData[#Data],4,FALSE)</f>
        <v>4559027</v>
      </c>
      <c r="E47" s="6">
        <f>VLOOKUP(TargetsPercent[[#This Row],[KEY]],[1]!HistoricalData[#Data],5,FALSE)</f>
        <v>4479774</v>
      </c>
      <c r="F47" s="6">
        <f>VLOOKUP(TargetsPercent[[#This Row],[KEY]],[1]!HistoricalData[#Data],6,FALSE)</f>
        <v>4439049</v>
      </c>
      <c r="G47" s="5">
        <f>VLOOKUP(TargetsPercent[[#This Row],[KEY]],[1]!HistoricalData[#Data],7,FALSE)</f>
        <v>0</v>
      </c>
      <c r="H47" s="13">
        <f>AVERAGE(TargetsPercent[[#This Row],[2016–17 Historical data]],TargetsPercent[[#This Row],[2017–18 Historical data]],TargetsPercent[[#This Row],[2018–19 Historical data]])</f>
        <v>4492616.666666667</v>
      </c>
      <c r="I47" s="13">
        <f>ABS(TargetsPercent[[#This Row],[2016–17 Historical data]]-TargetsPercent[[#This Row],[2017–18 Historical data]])</f>
        <v>79253</v>
      </c>
      <c r="J47" s="12">
        <f>ABS(TargetsPercent[[#This Row],[2017–18 Historical data]]-TargetsPercent[[#This Row],[2018–19 Historical data]])</f>
        <v>40725</v>
      </c>
      <c r="K47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4533341.666666667</v>
      </c>
      <c r="L4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1.3237306771627266E-2</v>
      </c>
      <c r="M47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4473332.4323244002</v>
      </c>
      <c r="N47" s="8">
        <f>ABS(TargetsPercent[[#This Row],[2020–21
Allowable
performance
target]]-TargetsPercent[[#This Row],[Target Floor % (calculated)]])</f>
        <v>4473332.4323244002</v>
      </c>
    </row>
    <row r="48" spans="1:14" x14ac:dyDescent="0.2">
      <c r="A48" t="str">
        <f>_xlfn.CONCAT(TargetsPercent[[#This Row],[University]],":",TargetsPercent[[#This Row],[Metric]])</f>
        <v>Laurentian University:01. Graduate employment rate in a related field</v>
      </c>
      <c r="B48" t="s">
        <v>33</v>
      </c>
      <c r="C48" t="s">
        <v>19</v>
      </c>
      <c r="D48" s="6">
        <f>VLOOKUP(TargetsPercent[[#This Row],[KEY]],[1]!HistoricalData[#Data],4,FALSE)</f>
        <v>0.91759999999999997</v>
      </c>
      <c r="E48" s="6">
        <f>VLOOKUP(TargetsPercent[[#This Row],[KEY]],[1]!HistoricalData[#Data],5,FALSE)</f>
        <v>0.91359999999999997</v>
      </c>
      <c r="F48" s="6">
        <f>VLOOKUP(TargetsPercent[[#This Row],[KEY]],[1]!HistoricalData[#Data],6,FALSE)</f>
        <v>0.94330000000000003</v>
      </c>
      <c r="G48" s="5">
        <f>VLOOKUP(TargetsPercent[[#This Row],[KEY]],[1]!HistoricalData[#Data],7,FALSE)</f>
        <v>0.90780000000000005</v>
      </c>
      <c r="H48" s="2">
        <f>AVERAGE(TargetsPercent[[#This Row],[2016–17 Historical data]],TargetsPercent[[#This Row],[2017–18 Historical data]],TargetsPercent[[#This Row],[2018–19 Historical data]])</f>
        <v>0.92483333333333329</v>
      </c>
      <c r="I48" s="2">
        <f>ABS(TargetsPercent[[#This Row],[2016–17 Historical data]]-TargetsPercent[[#This Row],[2017–18 Historical data]])</f>
        <v>4.0000000000000036E-3</v>
      </c>
      <c r="J48" s="2">
        <f>ABS(TargetsPercent[[#This Row],[2017–18 Historical data]]-TargetsPercent[[#This Row],[2018–19 Historical data]])</f>
        <v>2.970000000000006E-2</v>
      </c>
      <c r="K4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0.92883333333333329</v>
      </c>
      <c r="L4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1.8433977237505322E-2</v>
      </c>
      <c r="M4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0.91359999999999997</v>
      </c>
      <c r="N48" s="8">
        <f>ABS(TargetsPercent[[#This Row],[2020–21
Allowable
performance
target]]-TargetsPercent[[#This Row],[Target Floor % (calculated)]])</f>
        <v>5.7999999999999163E-3</v>
      </c>
    </row>
    <row r="49" spans="1:14" x14ac:dyDescent="0.2">
      <c r="A49" t="str">
        <f>_xlfn.CONCAT(TargetsPercent[[#This Row],[University]],":",TargetsPercent[[#This Row],[Metric]])</f>
        <v>Laurentian University:02. Institutional strength and focus</v>
      </c>
      <c r="B49" t="s">
        <v>33</v>
      </c>
      <c r="C49" t="s">
        <v>20</v>
      </c>
      <c r="D49" s="6">
        <f>VLOOKUP(TargetsPercent[[#This Row],[KEY]],[1]!HistoricalData[#Data],4,FALSE)</f>
        <v>0.4657</v>
      </c>
      <c r="E49" s="6">
        <f>VLOOKUP(TargetsPercent[[#This Row],[KEY]],[1]!HistoricalData[#Data],5,FALSE)</f>
        <v>0.4864</v>
      </c>
      <c r="F49" s="6">
        <f>VLOOKUP(TargetsPercent[[#This Row],[KEY]],[1]!HistoricalData[#Data],6,FALSE)</f>
        <v>0.50619999999999998</v>
      </c>
      <c r="G49" s="5">
        <f>VLOOKUP(TargetsPercent[[#This Row],[KEY]],[1]!HistoricalData[#Data],7,FALSE)</f>
        <v>0.50680000000000003</v>
      </c>
      <c r="H49" s="2">
        <f>AVERAGE(TargetsPercent[[#This Row],[2016–17 Historical data]],TargetsPercent[[#This Row],[2017–18 Historical data]],TargetsPercent[[#This Row],[2018–19 Historical data]])</f>
        <v>0.48609999999999998</v>
      </c>
      <c r="I49" s="2">
        <f>ABS(TargetsPercent[[#This Row],[2016–17 Historical data]]-TargetsPercent[[#This Row],[2017–18 Historical data]])</f>
        <v>2.0699999999999996E-2</v>
      </c>
      <c r="J49" s="2">
        <f>ABS(TargetsPercent[[#This Row],[2017–18 Historical data]]-TargetsPercent[[#This Row],[2018–19 Historical data]])</f>
        <v>1.9799999999999984E-2</v>
      </c>
      <c r="K4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0.50590000000000002</v>
      </c>
      <c r="L4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4.2578226537866012E-2</v>
      </c>
      <c r="M4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0.48435967519449358</v>
      </c>
      <c r="N49" s="8">
        <f>ABS(TargetsPercent[[#This Row],[2020–21
Allowable
performance
target]]-TargetsPercent[[#This Row],[Target Floor % (calculated)]])</f>
        <v>2.2440324805506451E-2</v>
      </c>
    </row>
    <row r="50" spans="1:14" x14ac:dyDescent="0.2">
      <c r="A50" t="str">
        <f>_xlfn.CONCAT(TargetsPercent[[#This Row],[University]],":",TargetsPercent[[#This Row],[Metric]])</f>
        <v>Laurentian University:03. Graduation rate</v>
      </c>
      <c r="B50" t="s">
        <v>33</v>
      </c>
      <c r="C50" t="s">
        <v>21</v>
      </c>
      <c r="D50" s="6">
        <f>VLOOKUP(TargetsPercent[[#This Row],[KEY]],[1]!HistoricalData[#Data],4,FALSE)</f>
        <v>0.72</v>
      </c>
      <c r="E50" s="6">
        <f>VLOOKUP(TargetsPercent[[#This Row],[KEY]],[1]!HistoricalData[#Data],5,FALSE)</f>
        <v>0.71640000000000004</v>
      </c>
      <c r="F50" s="6">
        <f>VLOOKUP(TargetsPercent[[#This Row],[KEY]],[1]!HistoricalData[#Data],6,FALSE)</f>
        <v>0.68340000000000001</v>
      </c>
      <c r="G50" s="5">
        <f>VLOOKUP(TargetsPercent[[#This Row],[KEY]],[1]!HistoricalData[#Data],7,FALSE)</f>
        <v>0.69199999999999995</v>
      </c>
      <c r="H50" s="2">
        <f>AVERAGE(TargetsPercent[[#This Row],[2016–17 Historical data]],TargetsPercent[[#This Row],[2017–18 Historical data]],TargetsPercent[[#This Row],[2018–19 Historical data]])</f>
        <v>0.70659999999999989</v>
      </c>
      <c r="I50" s="2">
        <f>ABS(TargetsPercent[[#This Row],[2016–17 Historical data]]-TargetsPercent[[#This Row],[2017–18 Historical data]])</f>
        <v>3.5999999999999366E-3</v>
      </c>
      <c r="J50" s="2">
        <f>ABS(TargetsPercent[[#This Row],[2017–18 Historical data]]-TargetsPercent[[#This Row],[2018–19 Historical data]])</f>
        <v>3.3000000000000029E-2</v>
      </c>
      <c r="K5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0.71019999999999983</v>
      </c>
      <c r="L5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2.5531825795644867E-2</v>
      </c>
      <c r="M5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0.69206729731993288</v>
      </c>
      <c r="N50" s="8">
        <f>ABS(TargetsPercent[[#This Row],[2020–21
Allowable
performance
target]]-TargetsPercent[[#This Row],[Target Floor % (calculated)]])</f>
        <v>6.7297319932935196E-5</v>
      </c>
    </row>
    <row r="51" spans="1:14" x14ac:dyDescent="0.2">
      <c r="A51" t="str">
        <f>_xlfn.CONCAT(TargetsPercent[[#This Row],[University]],":",TargetsPercent[[#This Row],[Metric]])</f>
        <v>Laurentian University:04. Community and local impact of student enrolment</v>
      </c>
      <c r="B51" t="s">
        <v>33</v>
      </c>
      <c r="C51" t="s">
        <v>22</v>
      </c>
      <c r="D51" s="6">
        <f>VLOOKUP(TargetsPercent[[#This Row],[KEY]],[1]!HistoricalData[#Data],4,FALSE)</f>
        <v>8.6400000000000005E-2</v>
      </c>
      <c r="E51" s="6">
        <f>VLOOKUP(TargetsPercent[[#This Row],[KEY]],[1]!HistoricalData[#Data],5,FALSE)</f>
        <v>8.4099999999999994E-2</v>
      </c>
      <c r="F51" s="6">
        <f>VLOOKUP(TargetsPercent[[#This Row],[KEY]],[1]!HistoricalData[#Data],6,FALSE)</f>
        <v>8.2600000000000007E-2</v>
      </c>
      <c r="G51" s="5">
        <f>VLOOKUP(TargetsPercent[[#This Row],[KEY]],[1]!HistoricalData[#Data],7,FALSE)</f>
        <v>8.3900000000000002E-2</v>
      </c>
      <c r="H51" s="2">
        <f>AVERAGE(TargetsPercent[[#This Row],[2016–17 Historical data]],TargetsPercent[[#This Row],[2017–18 Historical data]],TargetsPercent[[#This Row],[2018–19 Historical data]])</f>
        <v>8.4366666666666659E-2</v>
      </c>
      <c r="I51" s="2">
        <f>ABS(TargetsPercent[[#This Row],[2016–17 Historical data]]-TargetsPercent[[#This Row],[2017–18 Historical data]])</f>
        <v>2.3000000000000104E-3</v>
      </c>
      <c r="J51" s="2">
        <f>ABS(TargetsPercent[[#This Row],[2017–18 Historical data]]-TargetsPercent[[#This Row],[2018–19 Historical data]])</f>
        <v>1.4999999999999875E-3</v>
      </c>
      <c r="K5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8.5866666666666647E-2</v>
      </c>
      <c r="L5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2.2228140000880772E-2</v>
      </c>
      <c r="M5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8.3958010378591019E-2</v>
      </c>
      <c r="N51" s="9">
        <f>ABS(TargetsPercent[[#This Row],[2020–21
Allowable
performance
target]]-TargetsPercent[[#This Row],[Target Floor % (calculated)]])</f>
        <v>5.8010378591016876E-5</v>
      </c>
    </row>
    <row r="52" spans="1:14" x14ac:dyDescent="0.2">
      <c r="A52" t="str">
        <f>_xlfn.CONCAT(TargetsPercent[[#This Row],[University]],":",TargetsPercent[[#This Row],[Metric]])</f>
        <v>Laurentian University:05. Economic impact (institution-specific)</v>
      </c>
      <c r="B52" t="s">
        <v>33</v>
      </c>
      <c r="C52" t="s">
        <v>23</v>
      </c>
      <c r="D52" s="6">
        <f>VLOOKUP(TargetsPercent[[#This Row],[KEY]],[1]!HistoricalData[#Data],4,FALSE)</f>
        <v>1381</v>
      </c>
      <c r="E52" s="6">
        <f>VLOOKUP(TargetsPercent[[#This Row],[KEY]],[1]!HistoricalData[#Data],5,FALSE)</f>
        <v>1567</v>
      </c>
      <c r="F52" s="6">
        <f>VLOOKUP(TargetsPercent[[#This Row],[KEY]],[1]!HistoricalData[#Data],6,FALSE)</f>
        <v>1729</v>
      </c>
      <c r="G52" s="5">
        <f>VLOOKUP(TargetsPercent[[#This Row],[KEY]],[1]!HistoricalData[#Data],7,FALSE)</f>
        <v>1516.14</v>
      </c>
      <c r="H52" s="11">
        <f>AVERAGE(TargetsPercent[[#This Row],[2016–17 Historical data]],TargetsPercent[[#This Row],[2017–18 Historical data]],TargetsPercent[[#This Row],[2018–19 Historical data]])</f>
        <v>1559</v>
      </c>
      <c r="I52" s="11">
        <f>ABS(TargetsPercent[[#This Row],[2016–17 Historical data]]-TargetsPercent[[#This Row],[2017–18 Historical data]])</f>
        <v>186</v>
      </c>
      <c r="J52" s="11">
        <f>ABS(TargetsPercent[[#This Row],[2017–18 Historical data]]-TargetsPercent[[#This Row],[2018–19 Historical data]])</f>
        <v>162</v>
      </c>
      <c r="K52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1721</v>
      </c>
      <c r="L5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0.11903363497775213</v>
      </c>
      <c r="M52" s="15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1516.1431142032886</v>
      </c>
      <c r="N52" s="8">
        <f>ABS(TargetsPercent[[#This Row],[2020–21
Allowable
performance
target]]-TargetsPercent[[#This Row],[Target Floor % (calculated)]])</f>
        <v>3.1142032885327353E-3</v>
      </c>
    </row>
    <row r="53" spans="1:14" x14ac:dyDescent="0.2">
      <c r="A53" t="str">
        <f>_xlfn.CONCAT(TargetsPercent[[#This Row],[University]],":",TargetsPercent[[#This Row],[Metric]])</f>
        <v>Laurentian University:06. Research funding and capacity: federal tri-agency funding secured</v>
      </c>
      <c r="B53" t="s">
        <v>33</v>
      </c>
      <c r="C53" t="s">
        <v>24</v>
      </c>
      <c r="D53" s="6">
        <f>VLOOKUP(TargetsPercent[[#This Row],[KEY]],[1]!HistoricalData[#Data],4,FALSE)</f>
        <v>6.8999999999999999E-3</v>
      </c>
      <c r="E53" s="6">
        <f>VLOOKUP(TargetsPercent[[#This Row],[KEY]],[1]!HistoricalData[#Data],5,FALSE)</f>
        <v>7.1999999999999998E-3</v>
      </c>
      <c r="F53" s="6">
        <f>VLOOKUP(TargetsPercent[[#This Row],[KEY]],[1]!HistoricalData[#Data],6,FALSE)</f>
        <v>7.7000000000000002E-3</v>
      </c>
      <c r="G53" s="5">
        <f>VLOOKUP(TargetsPercent[[#This Row],[KEY]],[1]!HistoricalData[#Data],7,FALSE)</f>
        <v>7.1000000000000004E-3</v>
      </c>
      <c r="H53" s="2">
        <f>AVERAGE(TargetsPercent[[#This Row],[2016–17 Historical data]],TargetsPercent[[#This Row],[2017–18 Historical data]],TargetsPercent[[#This Row],[2018–19 Historical data]])</f>
        <v>7.2666666666666669E-3</v>
      </c>
      <c r="I53" s="2">
        <f>ABS(TargetsPercent[[#This Row],[2016–17 Historical data]]-TargetsPercent[[#This Row],[2017–18 Historical data]])</f>
        <v>2.9999999999999992E-4</v>
      </c>
      <c r="J53" s="2">
        <f>ABS(TargetsPercent[[#This Row],[2017–18 Historical data]]-TargetsPercent[[#This Row],[2018–19 Historical data]])</f>
        <v>5.0000000000000044E-4</v>
      </c>
      <c r="K5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7.5666666666666669E-3</v>
      </c>
      <c r="L5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5.646135265700486E-2</v>
      </c>
      <c r="M5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7.1394424315619964E-3</v>
      </c>
      <c r="N53" s="8">
        <f>ABS(TargetsPercent[[#This Row],[2020–21
Allowable
performance
target]]-TargetsPercent[[#This Row],[Target Floor % (calculated)]])</f>
        <v>3.9442431561995984E-5</v>
      </c>
    </row>
    <row r="54" spans="1:14" x14ac:dyDescent="0.2">
      <c r="A54" t="str">
        <f>_xlfn.CONCAT(TargetsPercent[[#This Row],[University]],":",TargetsPercent[[#This Row],[Metric]])</f>
        <v>Laurentian University:07. Experiential learning</v>
      </c>
      <c r="B54" t="s">
        <v>33</v>
      </c>
      <c r="C54" t="s">
        <v>25</v>
      </c>
      <c r="D54" s="6">
        <f>VLOOKUP(TargetsPercent[[#This Row],[KEY]],[1]!HistoricalData[#Data],4,FALSE)</f>
        <v>0</v>
      </c>
      <c r="E54" s="6">
        <f>VLOOKUP(TargetsPercent[[#This Row],[KEY]],[1]!HistoricalData[#Data],5,FALSE)</f>
        <v>0</v>
      </c>
      <c r="F54" s="6">
        <f>VLOOKUP(TargetsPercent[[#This Row],[KEY]],[1]!HistoricalData[#Data],6,FALSE)</f>
        <v>0</v>
      </c>
      <c r="G54" s="5">
        <f>VLOOKUP(TargetsPercent[[#This Row],[KEY]],[1]!HistoricalData[#Data],7,FALSE)</f>
        <v>0</v>
      </c>
      <c r="H54" s="9">
        <f>AVERAGE(TargetsPercent[[#This Row],[2016–17 Historical data]],TargetsPercent[[#This Row],[2017–18 Historical data]],TargetsPercent[[#This Row],[2018–19 Historical data]])</f>
        <v>0</v>
      </c>
      <c r="I54" s="9">
        <f>ABS(TargetsPercent[[#This Row],[2016–17 Historical data]]-TargetsPercent[[#This Row],[2017–18 Historical data]])</f>
        <v>0</v>
      </c>
      <c r="J54" s="2">
        <f>ABS(TargetsPercent[[#This Row],[2017–18 Historical data]]-TargetsPercent[[#This Row],[2018–19 Historical data]])</f>
        <v>0</v>
      </c>
      <c r="K54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5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54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54" s="8" t="e">
        <f>ABS(TargetsPercent[[#This Row],[2020–21
Allowable
performance
target]]-TargetsPercent[[#This Row],[Target Floor % (calculated)]])</f>
        <v>#DIV/0!</v>
      </c>
    </row>
    <row r="55" spans="1:14" x14ac:dyDescent="0.2">
      <c r="A55" t="str">
        <f>_xlfn.CONCAT(TargetsPercent[[#This Row],[University]],":",TargetsPercent[[#This Row],[Metric]])</f>
        <v>Laurentian University:08. Research revenue attracted from private sector sources</v>
      </c>
      <c r="B55" t="s">
        <v>33</v>
      </c>
      <c r="C55" t="s">
        <v>26</v>
      </c>
      <c r="D55" s="6">
        <f>VLOOKUP(TargetsPercent[[#This Row],[KEY]],[1]!HistoricalData[#Data],4,FALSE)</f>
        <v>0</v>
      </c>
      <c r="E55" s="6">
        <f>VLOOKUP(TargetsPercent[[#This Row],[KEY]],[1]!HistoricalData[#Data],5,FALSE)</f>
        <v>0</v>
      </c>
      <c r="F55" s="6">
        <f>VLOOKUP(TargetsPercent[[#This Row],[KEY]],[1]!HistoricalData[#Data],6,FALSE)</f>
        <v>0</v>
      </c>
      <c r="G55" s="5">
        <f>VLOOKUP(TargetsPercent[[#This Row],[KEY]],[1]!HistoricalData[#Data],7,FALSE)</f>
        <v>0</v>
      </c>
      <c r="H55" s="9">
        <f>AVERAGE(TargetsPercent[[#This Row],[2016–17 Historical data]],TargetsPercent[[#This Row],[2017–18 Historical data]],TargetsPercent[[#This Row],[2018–19 Historical data]])</f>
        <v>0</v>
      </c>
      <c r="I55" s="9">
        <f>ABS(TargetsPercent[[#This Row],[2016–17 Historical data]]-TargetsPercent[[#This Row],[2017–18 Historical data]])</f>
        <v>0</v>
      </c>
      <c r="J55" s="2">
        <f>ABS(TargetsPercent[[#This Row],[2017–18 Historical data]]-TargetsPercent[[#This Row],[2018–19 Historical data]])</f>
        <v>0</v>
      </c>
      <c r="K5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5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5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55" s="8" t="e">
        <f>ABS(TargetsPercent[[#This Row],[2020–21
Allowable
performance
target]]-TargetsPercent[[#This Row],[Target Floor % (calculated)]])</f>
        <v>#DIV/0!</v>
      </c>
    </row>
    <row r="56" spans="1:14" x14ac:dyDescent="0.2">
      <c r="A56" t="str">
        <f>_xlfn.CONCAT(TargetsPercent[[#This Row],[University]],":",TargetsPercent[[#This Row],[Metric]])</f>
        <v>Laurentian University:09. Graduate employment earnings</v>
      </c>
      <c r="B56" t="s">
        <v>33</v>
      </c>
      <c r="C56" t="s">
        <v>27</v>
      </c>
      <c r="D56" s="6">
        <f>VLOOKUP(TargetsPercent[[#This Row],[KEY]],[1]!HistoricalData[#Data],4,FALSE)</f>
        <v>0</v>
      </c>
      <c r="E56" s="6">
        <f>VLOOKUP(TargetsPercent[[#This Row],[KEY]],[1]!HistoricalData[#Data],5,FALSE)</f>
        <v>0</v>
      </c>
      <c r="F56" s="6">
        <f>VLOOKUP(TargetsPercent[[#This Row],[KEY]],[1]!HistoricalData[#Data],6,FALSE)</f>
        <v>0</v>
      </c>
      <c r="G56" s="5">
        <f>VLOOKUP(TargetsPercent[[#This Row],[KEY]],[1]!HistoricalData[#Data],7,FALSE)</f>
        <v>0</v>
      </c>
      <c r="H56" s="9">
        <f>AVERAGE(TargetsPercent[[#This Row],[2016–17 Historical data]],TargetsPercent[[#This Row],[2017–18 Historical data]],TargetsPercent[[#This Row],[2018–19 Historical data]])</f>
        <v>0</v>
      </c>
      <c r="I56" s="9">
        <f>ABS(TargetsPercent[[#This Row],[2016–17 Historical data]]-TargetsPercent[[#This Row],[2017–18 Historical data]])</f>
        <v>0</v>
      </c>
      <c r="J56" s="2">
        <f>ABS(TargetsPercent[[#This Row],[2017–18 Historical data]]-TargetsPercent[[#This Row],[2018–19 Historical data]])</f>
        <v>0</v>
      </c>
      <c r="K5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5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5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56" s="8" t="e">
        <f>ABS(TargetsPercent[[#This Row],[2020–21
Allowable
performance
target]]-TargetsPercent[[#This Row],[Target Floor % (calculated)]])</f>
        <v>#DIV/0!</v>
      </c>
    </row>
    <row r="57" spans="1:14" x14ac:dyDescent="0.2">
      <c r="A57" t="str">
        <f>_xlfn.CONCAT(TargetsPercent[[#This Row],[University]],":",TargetsPercent[[#This Row],[Metric]])</f>
        <v>Laurentian University:10. Skills and competencies</v>
      </c>
      <c r="B57" t="s">
        <v>33</v>
      </c>
      <c r="C57" t="s">
        <v>28</v>
      </c>
      <c r="D57" s="6">
        <f>VLOOKUP(TargetsPercent[[#This Row],[KEY]],[1]!HistoricalData[#Data],4,FALSE)</f>
        <v>0</v>
      </c>
      <c r="E57" s="6">
        <f>VLOOKUP(TargetsPercent[[#This Row],[KEY]],[1]!HistoricalData[#Data],5,FALSE)</f>
        <v>0</v>
      </c>
      <c r="F57" s="6">
        <f>VLOOKUP(TargetsPercent[[#This Row],[KEY]],[1]!HistoricalData[#Data],6,FALSE)</f>
        <v>0</v>
      </c>
      <c r="G57" s="5">
        <f>VLOOKUP(TargetsPercent[[#This Row],[KEY]],[1]!HistoricalData[#Data],7,FALSE)</f>
        <v>0</v>
      </c>
      <c r="H57" s="9">
        <f>AVERAGE(TargetsPercent[[#This Row],[2016–17 Historical data]],TargetsPercent[[#This Row],[2017–18 Historical data]],TargetsPercent[[#This Row],[2018–19 Historical data]])</f>
        <v>0</v>
      </c>
      <c r="I57" s="9">
        <f>ABS(TargetsPercent[[#This Row],[2016–17 Historical data]]-TargetsPercent[[#This Row],[2017–18 Historical data]])</f>
        <v>0</v>
      </c>
      <c r="J57" s="2">
        <f>ABS(TargetsPercent[[#This Row],[2017–18 Historical data]]-TargetsPercent[[#This Row],[2018–19 Historical data]])</f>
        <v>0</v>
      </c>
      <c r="K5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5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5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57" s="8" t="e">
        <f>ABS(TargetsPercent[[#This Row],[2020–21
Allowable
performance
target]]-TargetsPercent[[#This Row],[Target Floor % (calculated)]])</f>
        <v>#DIV/0!</v>
      </c>
    </row>
    <row r="58" spans="1:14" x14ac:dyDescent="0.2">
      <c r="A58" t="str">
        <f>_xlfn.CONCAT(TargetsPercent[[#This Row],[University]],":",TargetsPercent[[#This Row],[Metric]])</f>
        <v>Laurentian University:Tri-agency research funding</v>
      </c>
      <c r="B58" t="s">
        <v>33</v>
      </c>
      <c r="C58" t="s">
        <v>29</v>
      </c>
      <c r="D58" s="6">
        <f>VLOOKUP(TargetsPercent[[#This Row],[KEY]],[1]!HistoricalData[#Data],4,FALSE)</f>
        <v>4407741</v>
      </c>
      <c r="E58" s="6">
        <f>VLOOKUP(TargetsPercent[[#This Row],[KEY]],[1]!HistoricalData[#Data],5,FALSE)</f>
        <v>4787361</v>
      </c>
      <c r="F58" s="6">
        <f>VLOOKUP(TargetsPercent[[#This Row],[KEY]],[1]!HistoricalData[#Data],6,FALSE)</f>
        <v>5220886</v>
      </c>
      <c r="G58" s="5">
        <f>VLOOKUP(TargetsPercent[[#This Row],[KEY]],[1]!HistoricalData[#Data],7,FALSE)</f>
        <v>0</v>
      </c>
      <c r="H58" s="13">
        <f>AVERAGE(TargetsPercent[[#This Row],[2016–17 Historical data]],TargetsPercent[[#This Row],[2017–18 Historical data]],TargetsPercent[[#This Row],[2018–19 Historical data]])</f>
        <v>4805329.333333333</v>
      </c>
      <c r="I58" s="13">
        <f>ABS(TargetsPercent[[#This Row],[2016–17 Historical data]]-TargetsPercent[[#This Row],[2017–18 Historical data]])</f>
        <v>379620</v>
      </c>
      <c r="J58" s="12">
        <f>ABS(TargetsPercent[[#This Row],[2017–18 Historical data]]-TargetsPercent[[#This Row],[2018–19 Historical data]])</f>
        <v>433525</v>
      </c>
      <c r="K58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5184949.333333333</v>
      </c>
      <c r="L5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8.8340952067749556E-2</v>
      </c>
      <c r="M58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4726905.9728036234</v>
      </c>
      <c r="N58" s="8">
        <f>ABS(TargetsPercent[[#This Row],[2020–21
Allowable
performance
target]]-TargetsPercent[[#This Row],[Target Floor % (calculated)]])</f>
        <v>4726905.9728036234</v>
      </c>
    </row>
    <row r="59" spans="1:14" x14ac:dyDescent="0.2">
      <c r="A59" t="str">
        <f>_xlfn.CONCAT(TargetsPercent[[#This Row],[University]],":",TargetsPercent[[#This Row],[Metric]])</f>
        <v>McMaster University:01. Graduate employment rate in a related field</v>
      </c>
      <c r="B59" t="s">
        <v>34</v>
      </c>
      <c r="C59" t="s">
        <v>19</v>
      </c>
      <c r="D59" s="6">
        <f>VLOOKUP(TargetsPercent[[#This Row],[KEY]],[1]!HistoricalData[#Data],4,FALSE)</f>
        <v>0.91349999999999998</v>
      </c>
      <c r="E59" s="6">
        <f>VLOOKUP(TargetsPercent[[#This Row],[KEY]],[1]!HistoricalData[#Data],5,FALSE)</f>
        <v>0.91069999999999995</v>
      </c>
      <c r="F59" s="6">
        <f>VLOOKUP(TargetsPercent[[#This Row],[KEY]],[1]!HistoricalData[#Data],6,FALSE)</f>
        <v>0.9093</v>
      </c>
      <c r="G59" s="5">
        <f>VLOOKUP(TargetsPercent[[#This Row],[KEY]],[1]!HistoricalData[#Data],7,FALSE)</f>
        <v>0.90210000000000001</v>
      </c>
      <c r="H59" s="2">
        <f>AVERAGE(TargetsPercent[[#This Row],[2016–17 Historical data]],TargetsPercent[[#This Row],[2017–18 Historical data]],TargetsPercent[[#This Row],[2018–19 Historical data]])</f>
        <v>0.91116666666666657</v>
      </c>
      <c r="I59" s="2">
        <f>ABS(TargetsPercent[[#This Row],[2016–17 Historical data]]-TargetsPercent[[#This Row],[2017–18 Historical data]])</f>
        <v>2.8000000000000247E-3</v>
      </c>
      <c r="J59" s="2">
        <f>ABS(TargetsPercent[[#This Row],[2017–18 Historical data]]-TargetsPercent[[#This Row],[2018–19 Historical data]])</f>
        <v>1.3999999999999568E-3</v>
      </c>
      <c r="K5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0.91256666666666653</v>
      </c>
      <c r="L5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5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0.9093</v>
      </c>
      <c r="N59" s="8">
        <f>ABS(TargetsPercent[[#This Row],[2020–21
Allowable
performance
target]]-TargetsPercent[[#This Row],[Target Floor % (calculated)]])</f>
        <v>7.1999999999999842E-3</v>
      </c>
    </row>
    <row r="60" spans="1:14" x14ac:dyDescent="0.2">
      <c r="A60" t="str">
        <f>_xlfn.CONCAT(TargetsPercent[[#This Row],[University]],":",TargetsPercent[[#This Row],[Metric]])</f>
        <v>McMaster University:02. Institutional strength and focus</v>
      </c>
      <c r="B60" t="s">
        <v>34</v>
      </c>
      <c r="C60" t="s">
        <v>20</v>
      </c>
      <c r="D60" s="6">
        <f>VLOOKUP(TargetsPercent[[#This Row],[KEY]],[1]!HistoricalData[#Data],4,FALSE)</f>
        <v>0.51459999999999995</v>
      </c>
      <c r="E60" s="6">
        <f>VLOOKUP(TargetsPercent[[#This Row],[KEY]],[1]!HistoricalData[#Data],5,FALSE)</f>
        <v>0.51219999999999999</v>
      </c>
      <c r="F60" s="6">
        <f>VLOOKUP(TargetsPercent[[#This Row],[KEY]],[1]!HistoricalData[#Data],6,FALSE)</f>
        <v>0.52039999999999997</v>
      </c>
      <c r="G60" s="5">
        <f>VLOOKUP(TargetsPercent[[#This Row],[KEY]],[1]!HistoricalData[#Data],7,FALSE)</f>
        <v>0.50419999999999998</v>
      </c>
      <c r="H60" s="2">
        <f>AVERAGE(TargetsPercent[[#This Row],[2016–17 Historical data]],TargetsPercent[[#This Row],[2017–18 Historical data]],TargetsPercent[[#This Row],[2018–19 Historical data]])</f>
        <v>0.51573333333333327</v>
      </c>
      <c r="I60" s="2">
        <f>ABS(TargetsPercent[[#This Row],[2016–17 Historical data]]-TargetsPercent[[#This Row],[2017–18 Historical data]])</f>
        <v>2.3999999999999577E-3</v>
      </c>
      <c r="J60" s="2">
        <f>ABS(TargetsPercent[[#This Row],[2017–18 Historical data]]-TargetsPercent[[#This Row],[2018–19 Historical data]])</f>
        <v>8.1999999999999851E-3</v>
      </c>
      <c r="K6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0.51813333333333322</v>
      </c>
      <c r="L6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1.0336593947934621E-2</v>
      </c>
      <c r="M6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0.51277759945577672</v>
      </c>
      <c r="N60" s="8">
        <f>ABS(TargetsPercent[[#This Row],[2020–21
Allowable
performance
target]]-TargetsPercent[[#This Row],[Target Floor % (calculated)]])</f>
        <v>8.577599455776741E-3</v>
      </c>
    </row>
    <row r="61" spans="1:14" x14ac:dyDescent="0.2">
      <c r="A61" t="str">
        <f>_xlfn.CONCAT(TargetsPercent[[#This Row],[University]],":",TargetsPercent[[#This Row],[Metric]])</f>
        <v>McMaster University:03. Graduation rate</v>
      </c>
      <c r="B61" t="s">
        <v>34</v>
      </c>
      <c r="C61" t="s">
        <v>21</v>
      </c>
      <c r="D61" s="6">
        <f>VLOOKUP(TargetsPercent[[#This Row],[KEY]],[1]!HistoricalData[#Data],4,FALSE)</f>
        <v>0.8085</v>
      </c>
      <c r="E61" s="6">
        <f>VLOOKUP(TargetsPercent[[#This Row],[KEY]],[1]!HistoricalData[#Data],5,FALSE)</f>
        <v>0.7883</v>
      </c>
      <c r="F61" s="6">
        <f>VLOOKUP(TargetsPercent[[#This Row],[KEY]],[1]!HistoricalData[#Data],6,FALSE)</f>
        <v>0.80779999999999996</v>
      </c>
      <c r="G61" s="5">
        <f>VLOOKUP(TargetsPercent[[#This Row],[KEY]],[1]!HistoricalData[#Data],7,FALSE)</f>
        <v>0.80059999999999998</v>
      </c>
      <c r="H61" s="2">
        <f>AVERAGE(TargetsPercent[[#This Row],[2016–17 Historical data]],TargetsPercent[[#This Row],[2017–18 Historical data]],TargetsPercent[[#This Row],[2018–19 Historical data]])</f>
        <v>0.80153333333333332</v>
      </c>
      <c r="I61" s="2">
        <f>ABS(TargetsPercent[[#This Row],[2016–17 Historical data]]-TargetsPercent[[#This Row],[2017–18 Historical data]])</f>
        <v>2.0199999999999996E-2</v>
      </c>
      <c r="J61" s="2">
        <f>ABS(TargetsPercent[[#This Row],[2017–18 Historical data]]-TargetsPercent[[#This Row],[2018–19 Historical data]])</f>
        <v>1.9499999999999962E-2</v>
      </c>
      <c r="K6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0.82103333333333328</v>
      </c>
      <c r="L6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2.4860657304795662E-2</v>
      </c>
      <c r="M6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0.80062190499751917</v>
      </c>
      <c r="N61" s="8">
        <f>ABS(TargetsPercent[[#This Row],[2020–21
Allowable
performance
target]]-TargetsPercent[[#This Row],[Target Floor % (calculated)]])</f>
        <v>2.1904997519195391E-5</v>
      </c>
    </row>
    <row r="62" spans="1:14" x14ac:dyDescent="0.2">
      <c r="A62" t="str">
        <f>_xlfn.CONCAT(TargetsPercent[[#This Row],[University]],":",TargetsPercent[[#This Row],[Metric]])</f>
        <v>McMaster University:04. Community and local impact of student enrolment</v>
      </c>
      <c r="B62" t="s">
        <v>34</v>
      </c>
      <c r="C62" t="s">
        <v>22</v>
      </c>
      <c r="D62" s="6">
        <f>VLOOKUP(TargetsPercent[[#This Row],[KEY]],[1]!HistoricalData[#Data],4,FALSE)</f>
        <v>8.2100000000000006E-2</v>
      </c>
      <c r="E62" s="6">
        <f>VLOOKUP(TargetsPercent[[#This Row],[KEY]],[1]!HistoricalData[#Data],5,FALSE)</f>
        <v>8.4099999999999994E-2</v>
      </c>
      <c r="F62" s="6">
        <f>VLOOKUP(TargetsPercent[[#This Row],[KEY]],[1]!HistoricalData[#Data],6,FALSE)</f>
        <v>8.7599999999999997E-2</v>
      </c>
      <c r="G62" s="5">
        <f>VLOOKUP(TargetsPercent[[#This Row],[KEY]],[1]!HistoricalData[#Data],7,FALSE)</f>
        <v>8.3799999999999999E-2</v>
      </c>
      <c r="H62" s="2">
        <f>AVERAGE(TargetsPercent[[#This Row],[2016–17 Historical data]],TargetsPercent[[#This Row],[2017–18 Historical data]],TargetsPercent[[#This Row],[2018–19 Historical data]])</f>
        <v>8.4600000000000009E-2</v>
      </c>
      <c r="I62" s="2">
        <f>ABS(TargetsPercent[[#This Row],[2016–17 Historical data]]-TargetsPercent[[#This Row],[2017–18 Historical data]])</f>
        <v>1.9999999999999879E-3</v>
      </c>
      <c r="J62" s="2">
        <f>ABS(TargetsPercent[[#This Row],[2017–18 Historical data]]-TargetsPercent[[#This Row],[2018–19 Historical data]])</f>
        <v>3.5000000000000031E-3</v>
      </c>
      <c r="K6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8.6599999999999996E-2</v>
      </c>
      <c r="L6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3.2988829202518263E-2</v>
      </c>
      <c r="M6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8.3743167391061912E-2</v>
      </c>
      <c r="N62" s="9">
        <f>ABS(TargetsPercent[[#This Row],[2020–21
Allowable
performance
target]]-TargetsPercent[[#This Row],[Target Floor % (calculated)]])</f>
        <v>5.683260893808717E-5</v>
      </c>
    </row>
    <row r="63" spans="1:14" x14ac:dyDescent="0.2">
      <c r="A63" t="str">
        <f>_xlfn.CONCAT(TargetsPercent[[#This Row],[University]],":",TargetsPercent[[#This Row],[Metric]])</f>
        <v>McMaster University:05. Economic impact (institution-specific)</v>
      </c>
      <c r="B63" t="s">
        <v>34</v>
      </c>
      <c r="C63" t="s">
        <v>23</v>
      </c>
      <c r="D63" s="6">
        <f>VLOOKUP(TargetsPercent[[#This Row],[KEY]],[1]!HistoricalData[#Data],4,FALSE)</f>
        <v>81</v>
      </c>
      <c r="E63" s="6">
        <f>VLOOKUP(TargetsPercent[[#This Row],[KEY]],[1]!HistoricalData[#Data],5,FALSE)</f>
        <v>81</v>
      </c>
      <c r="F63" s="6">
        <f>VLOOKUP(TargetsPercent[[#This Row],[KEY]],[1]!HistoricalData[#Data],6,FALSE)</f>
        <v>94</v>
      </c>
      <c r="G63" s="5">
        <f>VLOOKUP(TargetsPercent[[#This Row],[KEY]],[1]!HistoricalData[#Data],7,FALSE)</f>
        <v>78</v>
      </c>
      <c r="H63" s="9">
        <f>AVERAGE(TargetsPercent[[#This Row],[2016–17 Historical data]],TargetsPercent[[#This Row],[2017–18 Historical data]],TargetsPercent[[#This Row],[2018–19 Historical data]])</f>
        <v>85.333333333333329</v>
      </c>
      <c r="I63" s="9">
        <f>ABS(TargetsPercent[[#This Row],[2016–17 Historical data]]-TargetsPercent[[#This Row],[2017–18 Historical data]])</f>
        <v>0</v>
      </c>
      <c r="J63" s="2">
        <f>ABS(TargetsPercent[[#This Row],[2017–18 Historical data]]-TargetsPercent[[#This Row],[2018–19 Historical data]])</f>
        <v>13</v>
      </c>
      <c r="K6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85.333333333333329</v>
      </c>
      <c r="L6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8.0246913580246909E-2</v>
      </c>
      <c r="M63" s="9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81</v>
      </c>
      <c r="N63" s="8">
        <f>ABS(TargetsPercent[[#This Row],[2020–21
Allowable
performance
target]]-TargetsPercent[[#This Row],[Target Floor % (calculated)]])</f>
        <v>3</v>
      </c>
    </row>
    <row r="64" spans="1:14" x14ac:dyDescent="0.2">
      <c r="A64" t="str">
        <f>_xlfn.CONCAT(TargetsPercent[[#This Row],[University]],":",TargetsPercent[[#This Row],[Metric]])</f>
        <v>McMaster University:06. Research funding and capacity: federal tri-agency funding secured</v>
      </c>
      <c r="B64" t="s">
        <v>34</v>
      </c>
      <c r="C64" t="s">
        <v>24</v>
      </c>
      <c r="D64" s="6">
        <f>VLOOKUP(TargetsPercent[[#This Row],[KEY]],[1]!HistoricalData[#Data],4,FALSE)</f>
        <v>0.105</v>
      </c>
      <c r="E64" s="6">
        <f>VLOOKUP(TargetsPercent[[#This Row],[KEY]],[1]!HistoricalData[#Data],5,FALSE)</f>
        <v>0.10539999999999999</v>
      </c>
      <c r="F64" s="6">
        <f>VLOOKUP(TargetsPercent[[#This Row],[KEY]],[1]!HistoricalData[#Data],6,FALSE)</f>
        <v>0.1038</v>
      </c>
      <c r="G64" s="5">
        <f>VLOOKUP(TargetsPercent[[#This Row],[KEY]],[1]!HistoricalData[#Data],7,FALSE)</f>
        <v>0.10059999999999999</v>
      </c>
      <c r="H64" s="2">
        <f>AVERAGE(TargetsPercent[[#This Row],[2016–17 Historical data]],TargetsPercent[[#This Row],[2017–18 Historical data]],TargetsPercent[[#This Row],[2018–19 Historical data]])</f>
        <v>0.10473333333333333</v>
      </c>
      <c r="I64" s="2">
        <f>ABS(TargetsPercent[[#This Row],[2016–17 Historical data]]-TargetsPercent[[#This Row],[2017–18 Historical data]])</f>
        <v>3.9999999999999758E-4</v>
      </c>
      <c r="J64" s="2">
        <f>ABS(TargetsPercent[[#This Row],[2017–18 Historical data]]-TargetsPercent[[#This Row],[2018–19 Historical data]])</f>
        <v>1.5999999999999903E-3</v>
      </c>
      <c r="K6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0.10513333333333333</v>
      </c>
      <c r="L6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6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0.10408199999999999</v>
      </c>
      <c r="N64" s="8">
        <f>ABS(TargetsPercent[[#This Row],[2020–21
Allowable
performance
target]]-TargetsPercent[[#This Row],[Target Floor % (calculated)]])</f>
        <v>3.481999999999999E-3</v>
      </c>
    </row>
    <row r="65" spans="1:14" x14ac:dyDescent="0.2">
      <c r="A65" t="str">
        <f>_xlfn.CONCAT(TargetsPercent[[#This Row],[University]],":",TargetsPercent[[#This Row],[Metric]])</f>
        <v>McMaster University:07. Experiential learning</v>
      </c>
      <c r="B65" t="s">
        <v>34</v>
      </c>
      <c r="C65" t="s">
        <v>25</v>
      </c>
      <c r="D65" s="6">
        <f>VLOOKUP(TargetsPercent[[#This Row],[KEY]],[1]!HistoricalData[#Data],4,FALSE)</f>
        <v>0</v>
      </c>
      <c r="E65" s="6">
        <f>VLOOKUP(TargetsPercent[[#This Row],[KEY]],[1]!HistoricalData[#Data],5,FALSE)</f>
        <v>0</v>
      </c>
      <c r="F65" s="6">
        <f>VLOOKUP(TargetsPercent[[#This Row],[KEY]],[1]!HistoricalData[#Data],6,FALSE)</f>
        <v>0</v>
      </c>
      <c r="G65" s="5">
        <f>VLOOKUP(TargetsPercent[[#This Row],[KEY]],[1]!HistoricalData[#Data],7,FALSE)</f>
        <v>0</v>
      </c>
      <c r="H65" s="9">
        <f>AVERAGE(TargetsPercent[[#This Row],[2016–17 Historical data]],TargetsPercent[[#This Row],[2017–18 Historical data]],TargetsPercent[[#This Row],[2018–19 Historical data]])</f>
        <v>0</v>
      </c>
      <c r="I65" s="9">
        <f>ABS(TargetsPercent[[#This Row],[2016–17 Historical data]]-TargetsPercent[[#This Row],[2017–18 Historical data]])</f>
        <v>0</v>
      </c>
      <c r="J65" s="2">
        <f>ABS(TargetsPercent[[#This Row],[2017–18 Historical data]]-TargetsPercent[[#This Row],[2018–19 Historical data]])</f>
        <v>0</v>
      </c>
      <c r="K6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6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6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65" s="8" t="e">
        <f>ABS(TargetsPercent[[#This Row],[2020–21
Allowable
performance
target]]-TargetsPercent[[#This Row],[Target Floor % (calculated)]])</f>
        <v>#DIV/0!</v>
      </c>
    </row>
    <row r="66" spans="1:14" x14ac:dyDescent="0.2">
      <c r="A66" t="str">
        <f>_xlfn.CONCAT(TargetsPercent[[#This Row],[University]],":",TargetsPercent[[#This Row],[Metric]])</f>
        <v>McMaster University:08. Research revenue attracted from private sector sources</v>
      </c>
      <c r="B66" t="s">
        <v>34</v>
      </c>
      <c r="C66" t="s">
        <v>26</v>
      </c>
      <c r="D66" s="6">
        <f>VLOOKUP(TargetsPercent[[#This Row],[KEY]],[1]!HistoricalData[#Data],4,FALSE)</f>
        <v>0</v>
      </c>
      <c r="E66" s="6">
        <f>VLOOKUP(TargetsPercent[[#This Row],[KEY]],[1]!HistoricalData[#Data],5,FALSE)</f>
        <v>0</v>
      </c>
      <c r="F66" s="6">
        <f>VLOOKUP(TargetsPercent[[#This Row],[KEY]],[1]!HistoricalData[#Data],6,FALSE)</f>
        <v>0</v>
      </c>
      <c r="G66" s="5">
        <f>VLOOKUP(TargetsPercent[[#This Row],[KEY]],[1]!HistoricalData[#Data],7,FALSE)</f>
        <v>0</v>
      </c>
      <c r="H66" s="9">
        <f>AVERAGE(TargetsPercent[[#This Row],[2016–17 Historical data]],TargetsPercent[[#This Row],[2017–18 Historical data]],TargetsPercent[[#This Row],[2018–19 Historical data]])</f>
        <v>0</v>
      </c>
      <c r="I66" s="9">
        <f>ABS(TargetsPercent[[#This Row],[2016–17 Historical data]]-TargetsPercent[[#This Row],[2017–18 Historical data]])</f>
        <v>0</v>
      </c>
      <c r="J66" s="2">
        <f>ABS(TargetsPercent[[#This Row],[2017–18 Historical data]]-TargetsPercent[[#This Row],[2018–19 Historical data]])</f>
        <v>0</v>
      </c>
      <c r="K6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6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6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66" s="8" t="e">
        <f>ABS(TargetsPercent[[#This Row],[2020–21
Allowable
performance
target]]-TargetsPercent[[#This Row],[Target Floor % (calculated)]])</f>
        <v>#DIV/0!</v>
      </c>
    </row>
    <row r="67" spans="1:14" x14ac:dyDescent="0.2">
      <c r="A67" t="str">
        <f>_xlfn.CONCAT(TargetsPercent[[#This Row],[University]],":",TargetsPercent[[#This Row],[Metric]])</f>
        <v>McMaster University:09. Graduate employment earnings</v>
      </c>
      <c r="B67" t="s">
        <v>34</v>
      </c>
      <c r="C67" t="s">
        <v>27</v>
      </c>
      <c r="D67" s="6">
        <f>VLOOKUP(TargetsPercent[[#This Row],[KEY]],[1]!HistoricalData[#Data],4,FALSE)</f>
        <v>0</v>
      </c>
      <c r="E67" s="6">
        <f>VLOOKUP(TargetsPercent[[#This Row],[KEY]],[1]!HistoricalData[#Data],5,FALSE)</f>
        <v>0</v>
      </c>
      <c r="F67" s="6">
        <f>VLOOKUP(TargetsPercent[[#This Row],[KEY]],[1]!HistoricalData[#Data],6,FALSE)</f>
        <v>0</v>
      </c>
      <c r="G67" s="5">
        <f>VLOOKUP(TargetsPercent[[#This Row],[KEY]],[1]!HistoricalData[#Data],7,FALSE)</f>
        <v>0</v>
      </c>
      <c r="H67" s="9">
        <f>AVERAGE(TargetsPercent[[#This Row],[2016–17 Historical data]],TargetsPercent[[#This Row],[2017–18 Historical data]],TargetsPercent[[#This Row],[2018–19 Historical data]])</f>
        <v>0</v>
      </c>
      <c r="I67" s="9">
        <f>ABS(TargetsPercent[[#This Row],[2016–17 Historical data]]-TargetsPercent[[#This Row],[2017–18 Historical data]])</f>
        <v>0</v>
      </c>
      <c r="J67" s="2">
        <f>ABS(TargetsPercent[[#This Row],[2017–18 Historical data]]-TargetsPercent[[#This Row],[2018–19 Historical data]])</f>
        <v>0</v>
      </c>
      <c r="K6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6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6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67" s="8" t="e">
        <f>ABS(TargetsPercent[[#This Row],[2020–21
Allowable
performance
target]]-TargetsPercent[[#This Row],[Target Floor % (calculated)]])</f>
        <v>#DIV/0!</v>
      </c>
    </row>
    <row r="68" spans="1:14" x14ac:dyDescent="0.2">
      <c r="A68" t="str">
        <f>_xlfn.CONCAT(TargetsPercent[[#This Row],[University]],":",TargetsPercent[[#This Row],[Metric]])</f>
        <v>McMaster University:10. Skills and competencies</v>
      </c>
      <c r="B68" t="s">
        <v>34</v>
      </c>
      <c r="C68" t="s">
        <v>28</v>
      </c>
      <c r="D68" s="6">
        <f>VLOOKUP(TargetsPercent[[#This Row],[KEY]],[1]!HistoricalData[#Data],4,FALSE)</f>
        <v>0</v>
      </c>
      <c r="E68" s="6">
        <f>VLOOKUP(TargetsPercent[[#This Row],[KEY]],[1]!HistoricalData[#Data],5,FALSE)</f>
        <v>0</v>
      </c>
      <c r="F68" s="6">
        <f>VLOOKUP(TargetsPercent[[#This Row],[KEY]],[1]!HistoricalData[#Data],6,FALSE)</f>
        <v>0</v>
      </c>
      <c r="G68" s="5">
        <f>VLOOKUP(TargetsPercent[[#This Row],[KEY]],[1]!HistoricalData[#Data],7,FALSE)</f>
        <v>0</v>
      </c>
      <c r="H68" s="9">
        <f>AVERAGE(TargetsPercent[[#This Row],[2016–17 Historical data]],TargetsPercent[[#This Row],[2017–18 Historical data]],TargetsPercent[[#This Row],[2018–19 Historical data]])</f>
        <v>0</v>
      </c>
      <c r="I68" s="9">
        <f>ABS(TargetsPercent[[#This Row],[2016–17 Historical data]]-TargetsPercent[[#This Row],[2017–18 Historical data]])</f>
        <v>0</v>
      </c>
      <c r="J68" s="2">
        <f>ABS(TargetsPercent[[#This Row],[2017–18 Historical data]]-TargetsPercent[[#This Row],[2018–19 Historical data]])</f>
        <v>0</v>
      </c>
      <c r="K6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6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6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68" s="8" t="e">
        <f>ABS(TargetsPercent[[#This Row],[2020–21
Allowable
performance
target]]-TargetsPercent[[#This Row],[Target Floor % (calculated)]])</f>
        <v>#DIV/0!</v>
      </c>
    </row>
    <row r="69" spans="1:14" x14ac:dyDescent="0.2">
      <c r="A69" t="str">
        <f>_xlfn.CONCAT(TargetsPercent[[#This Row],[University]],":",TargetsPercent[[#This Row],[Metric]])</f>
        <v>McMaster University:Tri-agency research funding</v>
      </c>
      <c r="B69" t="s">
        <v>34</v>
      </c>
      <c r="C69" t="s">
        <v>29</v>
      </c>
      <c r="D69" s="6">
        <f>VLOOKUP(TargetsPercent[[#This Row],[KEY]],[1]!HistoricalData[#Data],4,FALSE)</f>
        <v>66947518</v>
      </c>
      <c r="E69" s="6">
        <f>VLOOKUP(TargetsPercent[[#This Row],[KEY]],[1]!HistoricalData[#Data],5,FALSE)</f>
        <v>70167132</v>
      </c>
      <c r="F69" s="6">
        <f>VLOOKUP(TargetsPercent[[#This Row],[KEY]],[1]!HistoricalData[#Data],6,FALSE)</f>
        <v>70469233</v>
      </c>
      <c r="G69" s="5">
        <f>VLOOKUP(TargetsPercent[[#This Row],[KEY]],[1]!HistoricalData[#Data],7,FALSE)</f>
        <v>0</v>
      </c>
      <c r="H69" s="13">
        <f>AVERAGE(TargetsPercent[[#This Row],[2016–17 Historical data]],TargetsPercent[[#This Row],[2017–18 Historical data]],TargetsPercent[[#This Row],[2018–19 Historical data]])</f>
        <v>69194627.666666672</v>
      </c>
      <c r="I69" s="13">
        <f>ABS(TargetsPercent[[#This Row],[2016–17 Historical data]]-TargetsPercent[[#This Row],[2017–18 Historical data]])</f>
        <v>3219614</v>
      </c>
      <c r="J69" s="12">
        <f>ABS(TargetsPercent[[#This Row],[2017–18 Historical data]]-TargetsPercent[[#This Row],[2018–19 Historical data]])</f>
        <v>302101</v>
      </c>
      <c r="K69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69496728.666666672</v>
      </c>
      <c r="L6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2.619852999258511E-2</v>
      </c>
      <c r="M69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67676016.536306456</v>
      </c>
      <c r="N69" s="8">
        <f>ABS(TargetsPercent[[#This Row],[2020–21
Allowable
performance
target]]-TargetsPercent[[#This Row],[Target Floor % (calculated)]])</f>
        <v>67676016.536306456</v>
      </c>
    </row>
    <row r="70" spans="1:14" x14ac:dyDescent="0.2">
      <c r="A70" t="str">
        <f>_xlfn.CONCAT(TargetsPercent[[#This Row],[University]],":",TargetsPercent[[#This Row],[Metric]])</f>
        <v>Nipissing University:01. Graduate employment rate in a related field</v>
      </c>
      <c r="B70" t="s">
        <v>35</v>
      </c>
      <c r="C70" t="s">
        <v>19</v>
      </c>
      <c r="D70" s="6">
        <f>VLOOKUP(TargetsPercent[[#This Row],[KEY]],[1]!HistoricalData[#Data],4,FALSE)</f>
        <v>0.89910000000000001</v>
      </c>
      <c r="E70" s="6">
        <f>VLOOKUP(TargetsPercent[[#This Row],[KEY]],[1]!HistoricalData[#Data],5,FALSE)</f>
        <v>0.89980000000000004</v>
      </c>
      <c r="F70" s="6">
        <f>VLOOKUP(TargetsPercent[[#This Row],[KEY]],[1]!HistoricalData[#Data],6,FALSE)</f>
        <v>0.94389999999999996</v>
      </c>
      <c r="G70" s="5">
        <f>VLOOKUP(TargetsPercent[[#This Row],[KEY]],[1]!HistoricalData[#Data],7,FALSE)</f>
        <v>0.89219999999999999</v>
      </c>
      <c r="H70" s="2">
        <f>AVERAGE(TargetsPercent[[#This Row],[2016–17 Historical data]],TargetsPercent[[#This Row],[2017–18 Historical data]],TargetsPercent[[#This Row],[2018–19 Historical data]])</f>
        <v>0.91426666666666667</v>
      </c>
      <c r="I70" s="2">
        <f>ABS(TargetsPercent[[#This Row],[2016–17 Historical data]]-TargetsPercent[[#This Row],[2017–18 Historical data]])</f>
        <v>7.0000000000003393E-4</v>
      </c>
      <c r="J70" s="2">
        <f>ABS(TargetsPercent[[#This Row],[2017–18 Historical data]]-TargetsPercent[[#This Row],[2018–19 Historical data]])</f>
        <v>4.4099999999999917E-2</v>
      </c>
      <c r="K7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0.91496666666666671</v>
      </c>
      <c r="L7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2.4894723821645825E-2</v>
      </c>
      <c r="M7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0.89910000000000001</v>
      </c>
      <c r="N70" s="8">
        <f>ABS(TargetsPercent[[#This Row],[2020–21
Allowable
performance
target]]-TargetsPercent[[#This Row],[Target Floor % (calculated)]])</f>
        <v>6.9000000000000172E-3</v>
      </c>
    </row>
    <row r="71" spans="1:14" x14ac:dyDescent="0.2">
      <c r="A71" t="str">
        <f>_xlfn.CONCAT(TargetsPercent[[#This Row],[University]],":",TargetsPercent[[#This Row],[Metric]])</f>
        <v>Nipissing University:02. Institutional strength and focus</v>
      </c>
      <c r="B71" t="s">
        <v>35</v>
      </c>
      <c r="C71" t="s">
        <v>20</v>
      </c>
      <c r="D71" s="6">
        <f>VLOOKUP(TargetsPercent[[#This Row],[KEY]],[1]!HistoricalData[#Data],4,FALSE)</f>
        <v>0.18579999999999999</v>
      </c>
      <c r="E71" s="6">
        <f>VLOOKUP(TargetsPercent[[#This Row],[KEY]],[1]!HistoricalData[#Data],5,FALSE)</f>
        <v>0.17230000000000001</v>
      </c>
      <c r="F71" s="6">
        <f>VLOOKUP(TargetsPercent[[#This Row],[KEY]],[1]!HistoricalData[#Data],6,FALSE)</f>
        <v>0.16880000000000001</v>
      </c>
      <c r="G71" s="5">
        <f>VLOOKUP(TargetsPercent[[#This Row],[KEY]],[1]!HistoricalData[#Data],7,FALSE)</f>
        <v>0.1983</v>
      </c>
      <c r="H71" s="2">
        <f>AVERAGE(TargetsPercent[[#This Row],[2016–17 Historical data]],TargetsPercent[[#This Row],[2017–18 Historical data]],TargetsPercent[[#This Row],[2018–19 Historical data]])</f>
        <v>0.17563333333333331</v>
      </c>
      <c r="I71" s="2">
        <f>ABS(TargetsPercent[[#This Row],[2016–17 Historical data]]-TargetsPercent[[#This Row],[2017–18 Historical data]])</f>
        <v>1.3499999999999984E-2</v>
      </c>
      <c r="J71" s="2">
        <f>ABS(TargetsPercent[[#This Row],[2017–18 Historical data]]-TargetsPercent[[#This Row],[2018–19 Historical data]])</f>
        <v>3.5000000000000031E-3</v>
      </c>
      <c r="K7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0.17913333333333331</v>
      </c>
      <c r="L7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4.6486089861289041E-2</v>
      </c>
      <c r="M7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0.17080612510284773</v>
      </c>
      <c r="N71" s="8">
        <f>ABS(TargetsPercent[[#This Row],[2020–21
Allowable
performance
target]]-TargetsPercent[[#This Row],[Target Floor % (calculated)]])</f>
        <v>2.7493874897152271E-2</v>
      </c>
    </row>
    <row r="72" spans="1:14" x14ac:dyDescent="0.2">
      <c r="A72" t="str">
        <f>_xlfn.CONCAT(TargetsPercent[[#This Row],[University]],":",TargetsPercent[[#This Row],[Metric]])</f>
        <v>Nipissing University:03. Graduation rate</v>
      </c>
      <c r="B72" t="s">
        <v>35</v>
      </c>
      <c r="C72" t="s">
        <v>21</v>
      </c>
      <c r="D72" s="6">
        <f>VLOOKUP(TargetsPercent[[#This Row],[KEY]],[1]!HistoricalData[#Data],4,FALSE)</f>
        <v>0.86250000000000004</v>
      </c>
      <c r="E72" s="6">
        <f>VLOOKUP(TargetsPercent[[#This Row],[KEY]],[1]!HistoricalData[#Data],5,FALSE)</f>
        <v>0.83799999999999997</v>
      </c>
      <c r="F72" s="6">
        <f>VLOOKUP(TargetsPercent[[#This Row],[KEY]],[1]!HistoricalData[#Data],6,FALSE)</f>
        <v>0.83289999999999997</v>
      </c>
      <c r="G72" s="5">
        <f>VLOOKUP(TargetsPercent[[#This Row],[KEY]],[1]!HistoricalData[#Data],7,FALSE)</f>
        <v>0.82989999999999997</v>
      </c>
      <c r="H72" s="2">
        <f>AVERAGE(TargetsPercent[[#This Row],[2016–17 Historical data]],TargetsPercent[[#This Row],[2017–18 Historical data]],TargetsPercent[[#This Row],[2018–19 Historical data]])</f>
        <v>0.84446666666666659</v>
      </c>
      <c r="I72" s="2">
        <f>ABS(TargetsPercent[[#This Row],[2016–17 Historical data]]-TargetsPercent[[#This Row],[2017–18 Historical data]])</f>
        <v>2.4500000000000077E-2</v>
      </c>
      <c r="J72" s="2">
        <f>ABS(TargetsPercent[[#This Row],[2017–18 Historical data]]-TargetsPercent[[#This Row],[2018–19 Historical data]])</f>
        <v>5.0999999999999934E-3</v>
      </c>
      <c r="K7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0.84956666666666658</v>
      </c>
      <c r="L7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1.7245857977932315E-2</v>
      </c>
      <c r="M7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0.83491516059054793</v>
      </c>
      <c r="N72" s="8">
        <f>ABS(TargetsPercent[[#This Row],[2020–21
Allowable
performance
target]]-TargetsPercent[[#This Row],[Target Floor % (calculated)]])</f>
        <v>5.0151605905479624E-3</v>
      </c>
    </row>
    <row r="73" spans="1:14" x14ac:dyDescent="0.2">
      <c r="A73" t="str">
        <f>_xlfn.CONCAT(TargetsPercent[[#This Row],[University]],":",TargetsPercent[[#This Row],[Metric]])</f>
        <v>Nipissing University:04. Community and local impact of student enrolment</v>
      </c>
      <c r="B73" t="s">
        <v>35</v>
      </c>
      <c r="C73" t="s">
        <v>22</v>
      </c>
      <c r="D73" s="6">
        <f>VLOOKUP(TargetsPercent[[#This Row],[KEY]],[1]!HistoricalData[#Data],4,FALSE)</f>
        <v>0.13300000000000001</v>
      </c>
      <c r="E73" s="6">
        <f>VLOOKUP(TargetsPercent[[#This Row],[KEY]],[1]!HistoricalData[#Data],5,FALSE)</f>
        <v>0.13850000000000001</v>
      </c>
      <c r="F73" s="6">
        <f>VLOOKUP(TargetsPercent[[#This Row],[KEY]],[1]!HistoricalData[#Data],6,FALSE)</f>
        <v>0.1444</v>
      </c>
      <c r="G73" s="5">
        <f>VLOOKUP(TargetsPercent[[#This Row],[KEY]],[1]!HistoricalData[#Data],7,FALSE)</f>
        <v>0.13800000000000001</v>
      </c>
      <c r="H73" s="2">
        <f>AVERAGE(TargetsPercent[[#This Row],[2016–17 Historical data]],TargetsPercent[[#This Row],[2017–18 Historical data]],TargetsPercent[[#This Row],[2018–19 Historical data]])</f>
        <v>0.13863333333333336</v>
      </c>
      <c r="I73" s="2">
        <f>ABS(TargetsPercent[[#This Row],[2016–17 Historical data]]-TargetsPercent[[#This Row],[2017–18 Historical data]])</f>
        <v>5.5000000000000049E-3</v>
      </c>
      <c r="J73" s="2">
        <f>ABS(TargetsPercent[[#This Row],[2017–18 Historical data]]-TargetsPercent[[#This Row],[2018–19 Historical data]])</f>
        <v>5.8999999999999886E-3</v>
      </c>
      <c r="K7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0.14413333333333336</v>
      </c>
      <c r="L7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4.1976330718492952E-2</v>
      </c>
      <c r="M7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0.13808314486577458</v>
      </c>
      <c r="N73" s="9">
        <f>ABS(TargetsPercent[[#This Row],[2020–21
Allowable
performance
target]]-TargetsPercent[[#This Row],[Target Floor % (calculated)]])</f>
        <v>8.3144865774570365E-5</v>
      </c>
    </row>
    <row r="74" spans="1:14" x14ac:dyDescent="0.2">
      <c r="A74" t="str">
        <f>_xlfn.CONCAT(TargetsPercent[[#This Row],[University]],":",TargetsPercent[[#This Row],[Metric]])</f>
        <v>Nipissing University:05. Economic impact (institution-specific)</v>
      </c>
      <c r="B74" t="s">
        <v>35</v>
      </c>
      <c r="C74" t="s">
        <v>23</v>
      </c>
      <c r="D74" s="16">
        <f>VLOOKUP(TargetsPercent[[#This Row],[KEY]],[1]!HistoricalData[#Data],4,FALSE)</f>
        <v>35985642</v>
      </c>
      <c r="E74" s="16">
        <f>VLOOKUP(TargetsPercent[[#This Row],[KEY]],[1]!HistoricalData[#Data],5,FALSE)</f>
        <v>36400293</v>
      </c>
      <c r="F74" s="16">
        <f>VLOOKUP(TargetsPercent[[#This Row],[KEY]],[1]!HistoricalData[#Data],6,FALSE)</f>
        <v>36341889</v>
      </c>
      <c r="G74" s="17">
        <f>VLOOKUP(TargetsPercent[[#This Row],[KEY]],[1]!HistoricalData[#Data],7,FALSE)</f>
        <v>35938002</v>
      </c>
      <c r="H74" s="10">
        <f>AVERAGE(TargetsPercent[[#This Row],[2016–17 Historical data]],TargetsPercent[[#This Row],[2017–18 Historical data]],TargetsPercent[[#This Row],[2018–19 Historical data]])</f>
        <v>36242608</v>
      </c>
      <c r="I74" s="10">
        <f>ABS(TargetsPercent[[#This Row],[2016–17 Historical data]]-TargetsPercent[[#This Row],[2017–18 Historical data]])</f>
        <v>414651</v>
      </c>
      <c r="J74" s="10">
        <f>ABS(TargetsPercent[[#This Row],[2017–18 Historical data]]-TargetsPercent[[#This Row],[2018–19 Historical data]])</f>
        <v>58404</v>
      </c>
      <c r="K74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36301012</v>
      </c>
      <c r="L7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74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35985642</v>
      </c>
      <c r="N74" s="8">
        <f>ABS(TargetsPercent[[#This Row],[2020–21
Allowable
performance
target]]-TargetsPercent[[#This Row],[Target Floor % (calculated)]])</f>
        <v>47640</v>
      </c>
    </row>
    <row r="75" spans="1:14" x14ac:dyDescent="0.2">
      <c r="A75" t="str">
        <f>_xlfn.CONCAT(TargetsPercent[[#This Row],[University]],":",TargetsPercent[[#This Row],[Metric]])</f>
        <v>Nipissing University:06. Research funding and capacity: federal tri-agency funding secured</v>
      </c>
      <c r="B75" t="s">
        <v>35</v>
      </c>
      <c r="C75" t="s">
        <v>24</v>
      </c>
      <c r="D75" s="6">
        <f>VLOOKUP(TargetsPercent[[#This Row],[KEY]],[1]!HistoricalData[#Data],4,FALSE)</f>
        <v>1.1999999999999999E-3</v>
      </c>
      <c r="E75" s="6">
        <f>VLOOKUP(TargetsPercent[[#This Row],[KEY]],[1]!HistoricalData[#Data],5,FALSE)</f>
        <v>1.1999999999999999E-3</v>
      </c>
      <c r="F75" s="6">
        <f>VLOOKUP(TargetsPercent[[#This Row],[KEY]],[1]!HistoricalData[#Data],6,FALSE)</f>
        <v>1.2999999999999999E-3</v>
      </c>
      <c r="G75" s="5">
        <f>VLOOKUP(TargetsPercent[[#This Row],[KEY]],[1]!HistoricalData[#Data],7,FALSE)</f>
        <v>1.1999999999999999E-3</v>
      </c>
      <c r="H75" s="12">
        <f>AVERAGE(TargetsPercent[[#This Row],[2016–17 Historical data]],TargetsPercent[[#This Row],[2017–18 Historical data]],TargetsPercent[[#This Row],[2018–19 Historical data]])</f>
        <v>1.2333333333333332E-3</v>
      </c>
      <c r="I75" s="12">
        <f>ABS(TargetsPercent[[#This Row],[2016–17 Historical data]]-TargetsPercent[[#This Row],[2017–18 Historical data]])</f>
        <v>0</v>
      </c>
      <c r="J75" s="12">
        <f>ABS(TargetsPercent[[#This Row],[2017–18 Historical data]]-TargetsPercent[[#This Row],[2018–19 Historical data]])</f>
        <v>1.0000000000000005E-4</v>
      </c>
      <c r="K75" s="1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1.2333333333333332E-3</v>
      </c>
      <c r="L7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4.1666666666666692E-2</v>
      </c>
      <c r="M75" s="1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1.1999999999999999E-3</v>
      </c>
      <c r="N75" s="8">
        <f>ABS(TargetsPercent[[#This Row],[2020–21
Allowable
performance
target]]-TargetsPercent[[#This Row],[Target Floor % (calculated)]])</f>
        <v>0</v>
      </c>
    </row>
    <row r="76" spans="1:14" x14ac:dyDescent="0.2">
      <c r="A76" t="str">
        <f>_xlfn.CONCAT(TargetsPercent[[#This Row],[University]],":",TargetsPercent[[#This Row],[Metric]])</f>
        <v>Nipissing University:07. Experiential learning</v>
      </c>
      <c r="B76" t="s">
        <v>35</v>
      </c>
      <c r="C76" t="s">
        <v>25</v>
      </c>
      <c r="D76" s="6">
        <f>VLOOKUP(TargetsPercent[[#This Row],[KEY]],[1]!HistoricalData[#Data],4,FALSE)</f>
        <v>0</v>
      </c>
      <c r="E76" s="6">
        <f>VLOOKUP(TargetsPercent[[#This Row],[KEY]],[1]!HistoricalData[#Data],5,FALSE)</f>
        <v>0</v>
      </c>
      <c r="F76" s="6">
        <f>VLOOKUP(TargetsPercent[[#This Row],[KEY]],[1]!HistoricalData[#Data],6,FALSE)</f>
        <v>0</v>
      </c>
      <c r="G76" s="5">
        <f>VLOOKUP(TargetsPercent[[#This Row],[KEY]],[1]!HistoricalData[#Data],7,FALSE)</f>
        <v>0</v>
      </c>
      <c r="H76" s="8">
        <f>AVERAGE(TargetsPercent[[#This Row],[2016–17 Historical data]],TargetsPercent[[#This Row],[2017–18 Historical data]],TargetsPercent[[#This Row],[2018–19 Historical data]])</f>
        <v>0</v>
      </c>
      <c r="I76" s="8">
        <f>ABS(TargetsPercent[[#This Row],[2016–17 Historical data]]-TargetsPercent[[#This Row],[2017–18 Historical data]])</f>
        <v>0</v>
      </c>
      <c r="J76" s="12">
        <f>ABS(TargetsPercent[[#This Row],[2017–18 Historical data]]-TargetsPercent[[#This Row],[2018–19 Historical data]])</f>
        <v>0</v>
      </c>
      <c r="K76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7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76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76" s="8" t="e">
        <f>ABS(TargetsPercent[[#This Row],[2020–21
Allowable
performance
target]]-TargetsPercent[[#This Row],[Target Floor % (calculated)]])</f>
        <v>#DIV/0!</v>
      </c>
    </row>
    <row r="77" spans="1:14" x14ac:dyDescent="0.2">
      <c r="A77" t="str">
        <f>_xlfn.CONCAT(TargetsPercent[[#This Row],[University]],":",TargetsPercent[[#This Row],[Metric]])</f>
        <v>Nipissing University:08. Research revenue attracted from private sector sources</v>
      </c>
      <c r="B77" t="s">
        <v>35</v>
      </c>
      <c r="C77" t="s">
        <v>26</v>
      </c>
      <c r="D77" s="6">
        <f>VLOOKUP(TargetsPercent[[#This Row],[KEY]],[1]!HistoricalData[#Data],4,FALSE)</f>
        <v>0</v>
      </c>
      <c r="E77" s="6">
        <f>VLOOKUP(TargetsPercent[[#This Row],[KEY]],[1]!HistoricalData[#Data],5,FALSE)</f>
        <v>0</v>
      </c>
      <c r="F77" s="6">
        <f>VLOOKUP(TargetsPercent[[#This Row],[KEY]],[1]!HistoricalData[#Data],6,FALSE)</f>
        <v>0</v>
      </c>
      <c r="G77" s="5">
        <f>VLOOKUP(TargetsPercent[[#This Row],[KEY]],[1]!HistoricalData[#Data],7,FALSE)</f>
        <v>0</v>
      </c>
      <c r="H77" s="8">
        <f>AVERAGE(TargetsPercent[[#This Row],[2016–17 Historical data]],TargetsPercent[[#This Row],[2017–18 Historical data]],TargetsPercent[[#This Row],[2018–19 Historical data]])</f>
        <v>0</v>
      </c>
      <c r="I77" s="8">
        <f>ABS(TargetsPercent[[#This Row],[2016–17 Historical data]]-TargetsPercent[[#This Row],[2017–18 Historical data]])</f>
        <v>0</v>
      </c>
      <c r="J77" s="12">
        <f>ABS(TargetsPercent[[#This Row],[2017–18 Historical data]]-TargetsPercent[[#This Row],[2018–19 Historical data]])</f>
        <v>0</v>
      </c>
      <c r="K77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7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77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77" s="8" t="e">
        <f>ABS(TargetsPercent[[#This Row],[2020–21
Allowable
performance
target]]-TargetsPercent[[#This Row],[Target Floor % (calculated)]])</f>
        <v>#DIV/0!</v>
      </c>
    </row>
    <row r="78" spans="1:14" x14ac:dyDescent="0.2">
      <c r="A78" t="str">
        <f>_xlfn.CONCAT(TargetsPercent[[#This Row],[University]],":",TargetsPercent[[#This Row],[Metric]])</f>
        <v>Nipissing University:09. Graduate employment earnings</v>
      </c>
      <c r="B78" t="s">
        <v>35</v>
      </c>
      <c r="C78" t="s">
        <v>27</v>
      </c>
      <c r="D78" s="6">
        <f>VLOOKUP(TargetsPercent[[#This Row],[KEY]],[1]!HistoricalData[#Data],4,FALSE)</f>
        <v>0</v>
      </c>
      <c r="E78" s="6">
        <f>VLOOKUP(TargetsPercent[[#This Row],[KEY]],[1]!HistoricalData[#Data],5,FALSE)</f>
        <v>0</v>
      </c>
      <c r="F78" s="6">
        <f>VLOOKUP(TargetsPercent[[#This Row],[KEY]],[1]!HistoricalData[#Data],6,FALSE)</f>
        <v>0</v>
      </c>
      <c r="G78" s="5">
        <f>VLOOKUP(TargetsPercent[[#This Row],[KEY]],[1]!HistoricalData[#Data],7,FALSE)</f>
        <v>0</v>
      </c>
      <c r="H78" s="8">
        <f>AVERAGE(TargetsPercent[[#This Row],[2016–17 Historical data]],TargetsPercent[[#This Row],[2017–18 Historical data]],TargetsPercent[[#This Row],[2018–19 Historical data]])</f>
        <v>0</v>
      </c>
      <c r="I78" s="8">
        <f>ABS(TargetsPercent[[#This Row],[2016–17 Historical data]]-TargetsPercent[[#This Row],[2017–18 Historical data]])</f>
        <v>0</v>
      </c>
      <c r="J78" s="12">
        <f>ABS(TargetsPercent[[#This Row],[2017–18 Historical data]]-TargetsPercent[[#This Row],[2018–19 Historical data]])</f>
        <v>0</v>
      </c>
      <c r="K78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7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78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78" s="8" t="e">
        <f>ABS(TargetsPercent[[#This Row],[2020–21
Allowable
performance
target]]-TargetsPercent[[#This Row],[Target Floor % (calculated)]])</f>
        <v>#DIV/0!</v>
      </c>
    </row>
    <row r="79" spans="1:14" x14ac:dyDescent="0.2">
      <c r="A79" t="str">
        <f>_xlfn.CONCAT(TargetsPercent[[#This Row],[University]],":",TargetsPercent[[#This Row],[Metric]])</f>
        <v>Nipissing University:10. Skills and competencies</v>
      </c>
      <c r="B79" t="s">
        <v>35</v>
      </c>
      <c r="C79" t="s">
        <v>28</v>
      </c>
      <c r="D79" s="6">
        <f>VLOOKUP(TargetsPercent[[#This Row],[KEY]],[1]!HistoricalData[#Data],4,FALSE)</f>
        <v>0</v>
      </c>
      <c r="E79" s="6">
        <f>VLOOKUP(TargetsPercent[[#This Row],[KEY]],[1]!HistoricalData[#Data],5,FALSE)</f>
        <v>0</v>
      </c>
      <c r="F79" s="6">
        <f>VLOOKUP(TargetsPercent[[#This Row],[KEY]],[1]!HistoricalData[#Data],6,FALSE)</f>
        <v>0</v>
      </c>
      <c r="G79" s="5">
        <f>VLOOKUP(TargetsPercent[[#This Row],[KEY]],[1]!HistoricalData[#Data],7,FALSE)</f>
        <v>0</v>
      </c>
      <c r="H79" s="8">
        <f>AVERAGE(TargetsPercent[[#This Row],[2016–17 Historical data]],TargetsPercent[[#This Row],[2017–18 Historical data]],TargetsPercent[[#This Row],[2018–19 Historical data]])</f>
        <v>0</v>
      </c>
      <c r="I79" s="8">
        <f>ABS(TargetsPercent[[#This Row],[2016–17 Historical data]]-TargetsPercent[[#This Row],[2017–18 Historical data]])</f>
        <v>0</v>
      </c>
      <c r="J79" s="12">
        <f>ABS(TargetsPercent[[#This Row],[2017–18 Historical data]]-TargetsPercent[[#This Row],[2018–19 Historical data]])</f>
        <v>0</v>
      </c>
      <c r="K79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7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79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79" s="8" t="e">
        <f>ABS(TargetsPercent[[#This Row],[2020–21
Allowable
performance
target]]-TargetsPercent[[#This Row],[Target Floor % (calculated)]])</f>
        <v>#DIV/0!</v>
      </c>
    </row>
    <row r="80" spans="1:14" x14ac:dyDescent="0.2">
      <c r="A80" t="str">
        <f>_xlfn.CONCAT(TargetsPercent[[#This Row],[University]],":",TargetsPercent[[#This Row],[Metric]])</f>
        <v>Nipissing University:Tri-agency research funding</v>
      </c>
      <c r="B80" t="s">
        <v>35</v>
      </c>
      <c r="C80" t="s">
        <v>29</v>
      </c>
      <c r="D80" s="6">
        <f>VLOOKUP(TargetsPercent[[#This Row],[KEY]],[1]!HistoricalData[#Data],4,FALSE)</f>
        <v>766673</v>
      </c>
      <c r="E80" s="6">
        <f>VLOOKUP(TargetsPercent[[#This Row],[KEY]],[1]!HistoricalData[#Data],5,FALSE)</f>
        <v>792481</v>
      </c>
      <c r="F80" s="6">
        <f>VLOOKUP(TargetsPercent[[#This Row],[KEY]],[1]!HistoricalData[#Data],6,FALSE)</f>
        <v>890406</v>
      </c>
      <c r="G80" s="5">
        <f>VLOOKUP(TargetsPercent[[#This Row],[KEY]],[1]!HistoricalData[#Data],7,FALSE)</f>
        <v>0</v>
      </c>
      <c r="H80" s="13">
        <f>AVERAGE(TargetsPercent[[#This Row],[2016–17 Historical data]],TargetsPercent[[#This Row],[2017–18 Historical data]],TargetsPercent[[#This Row],[2018–19 Historical data]])</f>
        <v>816520</v>
      </c>
      <c r="I80" s="13">
        <f>ABS(TargetsPercent[[#This Row],[2016–17 Historical data]]-TargetsPercent[[#This Row],[2017–18 Historical data]])</f>
        <v>25808</v>
      </c>
      <c r="J80" s="12">
        <f>ABS(TargetsPercent[[#This Row],[2017–18 Historical data]]-TargetsPercent[[#This Row],[2018–19 Historical data]])</f>
        <v>97925</v>
      </c>
      <c r="K80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842328</v>
      </c>
      <c r="L8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7.8614980944985174E-2</v>
      </c>
      <c r="M80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776108.40033057251</v>
      </c>
      <c r="N80" s="8">
        <f>ABS(TargetsPercent[[#This Row],[2020–21
Allowable
performance
target]]-TargetsPercent[[#This Row],[Target Floor % (calculated)]])</f>
        <v>776108.40033057251</v>
      </c>
    </row>
    <row r="81" spans="1:14" x14ac:dyDescent="0.2">
      <c r="A81" t="str">
        <f>_xlfn.CONCAT(TargetsPercent[[#This Row],[University]],":",TargetsPercent[[#This Row],[Metric]])</f>
        <v>OCADu:01. Graduate employment rate in a related field</v>
      </c>
      <c r="B81" t="s">
        <v>36</v>
      </c>
      <c r="C81" t="s">
        <v>19</v>
      </c>
      <c r="D81" s="6">
        <f>VLOOKUP(TargetsPercent[[#This Row],[KEY]],[1]!HistoricalData[#Data],4,FALSE)</f>
        <v>0.82479999999999998</v>
      </c>
      <c r="E81" s="6">
        <f>VLOOKUP(TargetsPercent[[#This Row],[KEY]],[1]!HistoricalData[#Data],5,FALSE)</f>
        <v>0.8095</v>
      </c>
      <c r="F81" s="6">
        <f>VLOOKUP(TargetsPercent[[#This Row],[KEY]],[1]!HistoricalData[#Data],6,FALSE)</f>
        <v>0.81620000000000004</v>
      </c>
      <c r="G81" s="5">
        <f>VLOOKUP(TargetsPercent[[#This Row],[KEY]],[1]!HistoricalData[#Data],7,FALSE)</f>
        <v>0.8125</v>
      </c>
      <c r="H81" s="2">
        <f>AVERAGE(TargetsPercent[[#This Row],[2016–17 Historical data]],TargetsPercent[[#This Row],[2017–18 Historical data]],TargetsPercent[[#This Row],[2018–19 Historical data]])</f>
        <v>0.8168333333333333</v>
      </c>
      <c r="I81" s="2">
        <f>ABS(TargetsPercent[[#This Row],[2016–17 Historical data]]-TargetsPercent[[#This Row],[2017–18 Historical data]])</f>
        <v>1.529999999999998E-2</v>
      </c>
      <c r="J81" s="2">
        <f>ABS(TargetsPercent[[#This Row],[2017–18 Historical data]]-TargetsPercent[[#This Row],[2018–19 Historical data]])</f>
        <v>6.7000000000000393E-3</v>
      </c>
      <c r="K8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0.82353333333333334</v>
      </c>
      <c r="L8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1.3413332762197701E-2</v>
      </c>
      <c r="M8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0.81248700669257146</v>
      </c>
      <c r="N81" s="8">
        <f>ABS(TargetsPercent[[#This Row],[2020–21
Allowable
performance
target]]-TargetsPercent[[#This Row],[Target Floor % (calculated)]])</f>
        <v>1.2993307428543766E-5</v>
      </c>
    </row>
    <row r="82" spans="1:14" x14ac:dyDescent="0.2">
      <c r="A82" t="str">
        <f>_xlfn.CONCAT(TargetsPercent[[#This Row],[University]],":",TargetsPercent[[#This Row],[Metric]])</f>
        <v>OCADu:02. Institutional strength and focus</v>
      </c>
      <c r="B82" t="s">
        <v>36</v>
      </c>
      <c r="C82" t="s">
        <v>20</v>
      </c>
      <c r="D82" s="6">
        <f>VLOOKUP(TargetsPercent[[#This Row],[KEY]],[1]!HistoricalData[#Data],4,FALSE)</f>
        <v>0.54690000000000005</v>
      </c>
      <c r="E82" s="6">
        <f>VLOOKUP(TargetsPercent[[#This Row],[KEY]],[1]!HistoricalData[#Data],5,FALSE)</f>
        <v>0.54800000000000004</v>
      </c>
      <c r="F82" s="6">
        <f>VLOOKUP(TargetsPercent[[#This Row],[KEY]],[1]!HistoricalData[#Data],6,FALSE)</f>
        <v>0.54300000000000004</v>
      </c>
      <c r="G82" s="5">
        <f>VLOOKUP(TargetsPercent[[#This Row],[KEY]],[1]!HistoricalData[#Data],7,FALSE)</f>
        <v>0.51790000000000003</v>
      </c>
      <c r="H82" s="2">
        <f>AVERAGE(TargetsPercent[[#This Row],[2016–17 Historical data]],TargetsPercent[[#This Row],[2017–18 Historical data]],TargetsPercent[[#This Row],[2018–19 Historical data]])</f>
        <v>0.54596666666666671</v>
      </c>
      <c r="I82" s="2">
        <f>ABS(TargetsPercent[[#This Row],[2016–17 Historical data]]-TargetsPercent[[#This Row],[2017–18 Historical data]])</f>
        <v>1.0999999999999899E-3</v>
      </c>
      <c r="J82" s="2">
        <f>ABS(TargetsPercent[[#This Row],[2017–18 Historical data]]-TargetsPercent[[#This Row],[2018–19 Historical data]])</f>
        <v>5.0000000000000044E-3</v>
      </c>
      <c r="K8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0.5470666666666667</v>
      </c>
      <c r="L8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8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0.54300000000000004</v>
      </c>
      <c r="N82" s="8">
        <f>ABS(TargetsPercent[[#This Row],[2020–21
Allowable
performance
target]]-TargetsPercent[[#This Row],[Target Floor % (calculated)]])</f>
        <v>2.5100000000000011E-2</v>
      </c>
    </row>
    <row r="83" spans="1:14" x14ac:dyDescent="0.2">
      <c r="A83" t="str">
        <f>_xlfn.CONCAT(TargetsPercent[[#This Row],[University]],":",TargetsPercent[[#This Row],[Metric]])</f>
        <v>OCADu:03. Graduation rate</v>
      </c>
      <c r="B83" t="s">
        <v>36</v>
      </c>
      <c r="C83" t="s">
        <v>21</v>
      </c>
      <c r="D83" s="6">
        <f>VLOOKUP(TargetsPercent[[#This Row],[KEY]],[1]!HistoricalData[#Data],4,FALSE)</f>
        <v>0.68200000000000005</v>
      </c>
      <c r="E83" s="6">
        <f>VLOOKUP(TargetsPercent[[#This Row],[KEY]],[1]!HistoricalData[#Data],5,FALSE)</f>
        <v>0.64690000000000003</v>
      </c>
      <c r="F83" s="6">
        <f>VLOOKUP(TargetsPercent[[#This Row],[KEY]],[1]!HistoricalData[#Data],6,FALSE)</f>
        <v>0.68799999999999994</v>
      </c>
      <c r="G83" s="5">
        <f>VLOOKUP(TargetsPercent[[#This Row],[KEY]],[1]!HistoricalData[#Data],7,FALSE)</f>
        <v>0.66669999999999996</v>
      </c>
      <c r="H83" s="2">
        <f>AVERAGE(TargetsPercent[[#This Row],[2016–17 Historical data]],TargetsPercent[[#This Row],[2017–18 Historical data]],TargetsPercent[[#This Row],[2018–19 Historical data]])</f>
        <v>0.6722999999999999</v>
      </c>
      <c r="I83" s="2">
        <f>ABS(TargetsPercent[[#This Row],[2016–17 Historical data]]-TargetsPercent[[#This Row],[2017–18 Historical data]])</f>
        <v>3.510000000000002E-2</v>
      </c>
      <c r="J83" s="2">
        <f>ABS(TargetsPercent[[#This Row],[2017–18 Historical data]]-TargetsPercent[[#This Row],[2018–19 Historical data]])</f>
        <v>4.1099999999999914E-2</v>
      </c>
      <c r="K8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0.70739999999999992</v>
      </c>
      <c r="L8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5.7500026066115401E-2</v>
      </c>
      <c r="M8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0.66672448156082986</v>
      </c>
      <c r="N83" s="8">
        <f>ABS(TargetsPercent[[#This Row],[2020–21
Allowable
performance
target]]-TargetsPercent[[#This Row],[Target Floor % (calculated)]])</f>
        <v>2.448156082990316E-5</v>
      </c>
    </row>
    <row r="84" spans="1:14" x14ac:dyDescent="0.2">
      <c r="A84" t="str">
        <f>_xlfn.CONCAT(TargetsPercent[[#This Row],[University]],":",TargetsPercent[[#This Row],[Metric]])</f>
        <v>OCADu:04. Community and local impact of student enrolment</v>
      </c>
      <c r="B84" t="s">
        <v>36</v>
      </c>
      <c r="C84" t="s">
        <v>22</v>
      </c>
      <c r="D84" s="6">
        <f>VLOOKUP(TargetsPercent[[#This Row],[KEY]],[1]!HistoricalData[#Data],4,FALSE)</f>
        <v>2.3999999999999998E-3</v>
      </c>
      <c r="E84" s="6">
        <f>VLOOKUP(TargetsPercent[[#This Row],[KEY]],[1]!HistoricalData[#Data],5,FALSE)</f>
        <v>2.3999999999999998E-3</v>
      </c>
      <c r="F84" s="6">
        <f>VLOOKUP(TargetsPercent[[#This Row],[KEY]],[1]!HistoricalData[#Data],6,FALSE)</f>
        <v>2.3999999999999998E-3</v>
      </c>
      <c r="G84" s="5">
        <f>VLOOKUP(TargetsPercent[[#This Row],[KEY]],[1]!HistoricalData[#Data],7,FALSE)</f>
        <v>2.3E-3</v>
      </c>
      <c r="H84" s="2">
        <f>AVERAGE(TargetsPercent[[#This Row],[2016–17 Historical data]],TargetsPercent[[#This Row],[2017–18 Historical data]],TargetsPercent[[#This Row],[2018–19 Historical data]])</f>
        <v>2.3999999999999998E-3</v>
      </c>
      <c r="I84" s="2">
        <f>ABS(TargetsPercent[[#This Row],[2016–17 Historical data]]-TargetsPercent[[#This Row],[2017–18 Historical data]])</f>
        <v>0</v>
      </c>
      <c r="J84" s="2">
        <f>ABS(TargetsPercent[[#This Row],[2017–18 Historical data]]-TargetsPercent[[#This Row],[2018–19 Historical data]])</f>
        <v>0</v>
      </c>
      <c r="K8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2.3999999999999998E-3</v>
      </c>
      <c r="L8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8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2.3999999999999998E-3</v>
      </c>
      <c r="N84" s="9">
        <f>ABS(TargetsPercent[[#This Row],[2020–21
Allowable
performance
target]]-TargetsPercent[[#This Row],[Target Floor % (calculated)]])</f>
        <v>9.9999999999999829E-5</v>
      </c>
    </row>
    <row r="85" spans="1:14" x14ac:dyDescent="0.2">
      <c r="A85" t="str">
        <f>_xlfn.CONCAT(TargetsPercent[[#This Row],[University]],":",TargetsPercent[[#This Row],[Metric]])</f>
        <v>OCADu:05. Economic impact (institution-specific)</v>
      </c>
      <c r="B85" t="s">
        <v>36</v>
      </c>
      <c r="C85" t="s">
        <v>23</v>
      </c>
      <c r="D85" s="18">
        <f>VLOOKUP(TargetsPercent[[#This Row],[KEY]],[1]!HistoricalData[#Data],4,FALSE)</f>
        <v>183</v>
      </c>
      <c r="E85" s="18">
        <f>VLOOKUP(TargetsPercent[[#This Row],[KEY]],[1]!HistoricalData[#Data],5,FALSE)</f>
        <v>216</v>
      </c>
      <c r="F85" s="18">
        <f>VLOOKUP(TargetsPercent[[#This Row],[KEY]],[1]!HistoricalData[#Data],6,FALSE)</f>
        <v>261</v>
      </c>
      <c r="G85" s="19">
        <f>VLOOKUP(TargetsPercent[[#This Row],[KEY]],[1]!HistoricalData[#Data],7,FALSE)</f>
        <v>203.83</v>
      </c>
      <c r="H85" s="11">
        <f>AVERAGE(TargetsPercent[[#This Row],[2016–17 Historical data]],TargetsPercent[[#This Row],[2017–18 Historical data]],TargetsPercent[[#This Row],[2018–19 Historical data]])</f>
        <v>220</v>
      </c>
      <c r="I85" s="11">
        <f>ABS(TargetsPercent[[#This Row],[2016–17 Historical data]]-TargetsPercent[[#This Row],[2017–18 Historical data]])</f>
        <v>33</v>
      </c>
      <c r="J85" s="11">
        <f>ABS(TargetsPercent[[#This Row],[2017–18 Historical data]]-TargetsPercent[[#This Row],[2018–19 Historical data]])</f>
        <v>45</v>
      </c>
      <c r="K85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253</v>
      </c>
      <c r="L85" s="11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0.19433060109289618</v>
      </c>
      <c r="M85" s="11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203.83435792349727</v>
      </c>
      <c r="N85" s="8">
        <f>ABS(TargetsPercent[[#This Row],[2020–21
Allowable
performance
target]]-TargetsPercent[[#This Row],[Target Floor % (calculated)]])</f>
        <v>4.3579234972526137E-3</v>
      </c>
    </row>
    <row r="86" spans="1:14" x14ac:dyDescent="0.2">
      <c r="A86" t="str">
        <f>_xlfn.CONCAT(TargetsPercent[[#This Row],[University]],":",TargetsPercent[[#This Row],[Metric]])</f>
        <v>OCADu:06. Research funding and capacity: federal tri-agency funding secured</v>
      </c>
      <c r="B86" t="s">
        <v>36</v>
      </c>
      <c r="C86" t="s">
        <v>24</v>
      </c>
      <c r="D86" s="6">
        <f>VLOOKUP(TargetsPercent[[#This Row],[KEY]],[1]!HistoricalData[#Data],4,FALSE)</f>
        <v>8.0000000000000004E-4</v>
      </c>
      <c r="E86" s="6">
        <f>VLOOKUP(TargetsPercent[[#This Row],[KEY]],[1]!HistoricalData[#Data],5,FALSE)</f>
        <v>8.0000000000000004E-4</v>
      </c>
      <c r="F86" s="6">
        <f>VLOOKUP(TargetsPercent[[#This Row],[KEY]],[1]!HistoricalData[#Data],6,FALSE)</f>
        <v>8.0000000000000004E-4</v>
      </c>
      <c r="G86" s="5">
        <f>VLOOKUP(TargetsPercent[[#This Row],[KEY]],[1]!HistoricalData[#Data],7,FALSE)</f>
        <v>8.0000000000000004E-4</v>
      </c>
      <c r="H86" s="2">
        <f>AVERAGE(TargetsPercent[[#This Row],[2016–17 Historical data]],TargetsPercent[[#This Row],[2017–18 Historical data]],TargetsPercent[[#This Row],[2018–19 Historical data]])</f>
        <v>8.0000000000000004E-4</v>
      </c>
      <c r="I86" s="2">
        <f>ABS(TargetsPercent[[#This Row],[2016–17 Historical data]]-TargetsPercent[[#This Row],[2017–18 Historical data]])</f>
        <v>0</v>
      </c>
      <c r="J86" s="2">
        <f>ABS(TargetsPercent[[#This Row],[2017–18 Historical data]]-TargetsPercent[[#This Row],[2018–19 Historical data]])</f>
        <v>0</v>
      </c>
      <c r="K8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8.0000000000000004E-4</v>
      </c>
      <c r="L8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8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8.0000000000000004E-4</v>
      </c>
      <c r="N86" s="8">
        <f>ABS(TargetsPercent[[#This Row],[2020–21
Allowable
performance
target]]-TargetsPercent[[#This Row],[Target Floor % (calculated)]])</f>
        <v>0</v>
      </c>
    </row>
    <row r="87" spans="1:14" x14ac:dyDescent="0.2">
      <c r="A87" t="str">
        <f>_xlfn.CONCAT(TargetsPercent[[#This Row],[University]],":",TargetsPercent[[#This Row],[Metric]])</f>
        <v>OCADu:07. Experiential learning</v>
      </c>
      <c r="B87" t="s">
        <v>36</v>
      </c>
      <c r="C87" t="s">
        <v>25</v>
      </c>
      <c r="D87" s="6">
        <f>VLOOKUP(TargetsPercent[[#This Row],[KEY]],[1]!HistoricalData[#Data],4,FALSE)</f>
        <v>0</v>
      </c>
      <c r="E87" s="6">
        <f>VLOOKUP(TargetsPercent[[#This Row],[KEY]],[1]!HistoricalData[#Data],5,FALSE)</f>
        <v>0</v>
      </c>
      <c r="F87" s="6">
        <f>VLOOKUP(TargetsPercent[[#This Row],[KEY]],[1]!HistoricalData[#Data],6,FALSE)</f>
        <v>0</v>
      </c>
      <c r="G87" s="5">
        <f>VLOOKUP(TargetsPercent[[#This Row],[KEY]],[1]!HistoricalData[#Data],7,FALSE)</f>
        <v>0</v>
      </c>
      <c r="H87" s="9">
        <f>AVERAGE(TargetsPercent[[#This Row],[2016–17 Historical data]],TargetsPercent[[#This Row],[2017–18 Historical data]],TargetsPercent[[#This Row],[2018–19 Historical data]])</f>
        <v>0</v>
      </c>
      <c r="I87" s="9">
        <f>ABS(TargetsPercent[[#This Row],[2016–17 Historical data]]-TargetsPercent[[#This Row],[2017–18 Historical data]])</f>
        <v>0</v>
      </c>
      <c r="J87" s="2">
        <f>ABS(TargetsPercent[[#This Row],[2017–18 Historical data]]-TargetsPercent[[#This Row],[2018–19 Historical data]])</f>
        <v>0</v>
      </c>
      <c r="K8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8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8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87" s="8" t="e">
        <f>ABS(TargetsPercent[[#This Row],[2020–21
Allowable
performance
target]]-TargetsPercent[[#This Row],[Target Floor % (calculated)]])</f>
        <v>#DIV/0!</v>
      </c>
    </row>
    <row r="88" spans="1:14" x14ac:dyDescent="0.2">
      <c r="A88" t="str">
        <f>_xlfn.CONCAT(TargetsPercent[[#This Row],[University]],":",TargetsPercent[[#This Row],[Metric]])</f>
        <v>OCADu:08. Research revenue attracted from private sector sources</v>
      </c>
      <c r="B88" t="s">
        <v>36</v>
      </c>
      <c r="C88" t="s">
        <v>26</v>
      </c>
      <c r="D88" s="6">
        <f>VLOOKUP(TargetsPercent[[#This Row],[KEY]],[1]!HistoricalData[#Data],4,FALSE)</f>
        <v>0</v>
      </c>
      <c r="E88" s="6">
        <f>VLOOKUP(TargetsPercent[[#This Row],[KEY]],[1]!HistoricalData[#Data],5,FALSE)</f>
        <v>0</v>
      </c>
      <c r="F88" s="6">
        <f>VLOOKUP(TargetsPercent[[#This Row],[KEY]],[1]!HistoricalData[#Data],6,FALSE)</f>
        <v>0</v>
      </c>
      <c r="G88" s="5">
        <f>VLOOKUP(TargetsPercent[[#This Row],[KEY]],[1]!HistoricalData[#Data],7,FALSE)</f>
        <v>0</v>
      </c>
      <c r="H88" s="9">
        <f>AVERAGE(TargetsPercent[[#This Row],[2016–17 Historical data]],TargetsPercent[[#This Row],[2017–18 Historical data]],TargetsPercent[[#This Row],[2018–19 Historical data]])</f>
        <v>0</v>
      </c>
      <c r="I88" s="9">
        <f>ABS(TargetsPercent[[#This Row],[2016–17 Historical data]]-TargetsPercent[[#This Row],[2017–18 Historical data]])</f>
        <v>0</v>
      </c>
      <c r="J88" s="2">
        <f>ABS(TargetsPercent[[#This Row],[2017–18 Historical data]]-TargetsPercent[[#This Row],[2018–19 Historical data]])</f>
        <v>0</v>
      </c>
      <c r="K8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8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8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88" s="8" t="e">
        <f>ABS(TargetsPercent[[#This Row],[2020–21
Allowable
performance
target]]-TargetsPercent[[#This Row],[Target Floor % (calculated)]])</f>
        <v>#DIV/0!</v>
      </c>
    </row>
    <row r="89" spans="1:14" x14ac:dyDescent="0.2">
      <c r="A89" t="str">
        <f>_xlfn.CONCAT(TargetsPercent[[#This Row],[University]],":",TargetsPercent[[#This Row],[Metric]])</f>
        <v>OCADu:09. Graduate employment earnings</v>
      </c>
      <c r="B89" t="s">
        <v>36</v>
      </c>
      <c r="C89" t="s">
        <v>27</v>
      </c>
      <c r="D89" s="6">
        <f>VLOOKUP(TargetsPercent[[#This Row],[KEY]],[1]!HistoricalData[#Data],4,FALSE)</f>
        <v>0</v>
      </c>
      <c r="E89" s="6">
        <f>VLOOKUP(TargetsPercent[[#This Row],[KEY]],[1]!HistoricalData[#Data],5,FALSE)</f>
        <v>0</v>
      </c>
      <c r="F89" s="6">
        <f>VLOOKUP(TargetsPercent[[#This Row],[KEY]],[1]!HistoricalData[#Data],6,FALSE)</f>
        <v>0</v>
      </c>
      <c r="G89" s="5">
        <f>VLOOKUP(TargetsPercent[[#This Row],[KEY]],[1]!HistoricalData[#Data],7,FALSE)</f>
        <v>0</v>
      </c>
      <c r="H89" s="9">
        <f>AVERAGE(TargetsPercent[[#This Row],[2016–17 Historical data]],TargetsPercent[[#This Row],[2017–18 Historical data]],TargetsPercent[[#This Row],[2018–19 Historical data]])</f>
        <v>0</v>
      </c>
      <c r="I89" s="9">
        <f>ABS(TargetsPercent[[#This Row],[2016–17 Historical data]]-TargetsPercent[[#This Row],[2017–18 Historical data]])</f>
        <v>0</v>
      </c>
      <c r="J89" s="2">
        <f>ABS(TargetsPercent[[#This Row],[2017–18 Historical data]]-TargetsPercent[[#This Row],[2018–19 Historical data]])</f>
        <v>0</v>
      </c>
      <c r="K8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8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8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89" s="8" t="e">
        <f>ABS(TargetsPercent[[#This Row],[2020–21
Allowable
performance
target]]-TargetsPercent[[#This Row],[Target Floor % (calculated)]])</f>
        <v>#DIV/0!</v>
      </c>
    </row>
    <row r="90" spans="1:14" x14ac:dyDescent="0.2">
      <c r="A90" t="str">
        <f>_xlfn.CONCAT(TargetsPercent[[#This Row],[University]],":",TargetsPercent[[#This Row],[Metric]])</f>
        <v>OCADu:10. Skills and competencies</v>
      </c>
      <c r="B90" t="s">
        <v>36</v>
      </c>
      <c r="C90" t="s">
        <v>28</v>
      </c>
      <c r="D90" s="6">
        <f>VLOOKUP(TargetsPercent[[#This Row],[KEY]],[1]!HistoricalData[#Data],4,FALSE)</f>
        <v>0</v>
      </c>
      <c r="E90" s="6">
        <f>VLOOKUP(TargetsPercent[[#This Row],[KEY]],[1]!HistoricalData[#Data],5,FALSE)</f>
        <v>0</v>
      </c>
      <c r="F90" s="6">
        <f>VLOOKUP(TargetsPercent[[#This Row],[KEY]],[1]!HistoricalData[#Data],6,FALSE)</f>
        <v>0</v>
      </c>
      <c r="G90" s="5">
        <f>VLOOKUP(TargetsPercent[[#This Row],[KEY]],[1]!HistoricalData[#Data],7,FALSE)</f>
        <v>0</v>
      </c>
      <c r="H90" s="9">
        <f>AVERAGE(TargetsPercent[[#This Row],[2016–17 Historical data]],TargetsPercent[[#This Row],[2017–18 Historical data]],TargetsPercent[[#This Row],[2018–19 Historical data]])</f>
        <v>0</v>
      </c>
      <c r="I90" s="9">
        <f>ABS(TargetsPercent[[#This Row],[2016–17 Historical data]]-TargetsPercent[[#This Row],[2017–18 Historical data]])</f>
        <v>0</v>
      </c>
      <c r="J90" s="2">
        <f>ABS(TargetsPercent[[#This Row],[2017–18 Historical data]]-TargetsPercent[[#This Row],[2018–19 Historical data]])</f>
        <v>0</v>
      </c>
      <c r="K9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9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9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90" s="8" t="e">
        <f>ABS(TargetsPercent[[#This Row],[2020–21
Allowable
performance
target]]-TargetsPercent[[#This Row],[Target Floor % (calculated)]])</f>
        <v>#DIV/0!</v>
      </c>
    </row>
    <row r="91" spans="1:14" x14ac:dyDescent="0.2">
      <c r="A91" t="str">
        <f>_xlfn.CONCAT(TargetsPercent[[#This Row],[University]],":",TargetsPercent[[#This Row],[Metric]])</f>
        <v>OCADu:Tri-agency research funding</v>
      </c>
      <c r="B91" t="s">
        <v>36</v>
      </c>
      <c r="C91" t="s">
        <v>29</v>
      </c>
      <c r="D91" s="6">
        <f>VLOOKUP(TargetsPercent[[#This Row],[KEY]],[1]!HistoricalData[#Data],4,FALSE)</f>
        <v>527607</v>
      </c>
      <c r="E91" s="6">
        <f>VLOOKUP(TargetsPercent[[#This Row],[KEY]],[1]!HistoricalData[#Data],5,FALSE)</f>
        <v>512718</v>
      </c>
      <c r="F91" s="6">
        <f>VLOOKUP(TargetsPercent[[#This Row],[KEY]],[1]!HistoricalData[#Data],6,FALSE)</f>
        <v>539877</v>
      </c>
      <c r="G91" s="5">
        <f>VLOOKUP(TargetsPercent[[#This Row],[KEY]],[1]!HistoricalData[#Data],7,FALSE)</f>
        <v>0</v>
      </c>
      <c r="H91" s="13">
        <f>AVERAGE(TargetsPercent[[#This Row],[2016–17 Historical data]],TargetsPercent[[#This Row],[2017–18 Historical data]],TargetsPercent[[#This Row],[2018–19 Historical data]])</f>
        <v>526734</v>
      </c>
      <c r="I91" s="13">
        <f>ABS(TargetsPercent[[#This Row],[2016–17 Historical data]]-TargetsPercent[[#This Row],[2017–18 Historical data]])</f>
        <v>14889</v>
      </c>
      <c r="J91" s="12">
        <f>ABS(TargetsPercent[[#This Row],[2017–18 Historical data]]-TargetsPercent[[#This Row],[2018–19 Historical data]])</f>
        <v>27159</v>
      </c>
      <c r="K91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541623</v>
      </c>
      <c r="L9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4.0595253514026847E-2</v>
      </c>
      <c r="M91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519635.67700597225</v>
      </c>
      <c r="N91" s="8">
        <f>ABS(TargetsPercent[[#This Row],[2020–21
Allowable
performance
target]]-TargetsPercent[[#This Row],[Target Floor % (calculated)]])</f>
        <v>519635.67700597225</v>
      </c>
    </row>
    <row r="92" spans="1:14" x14ac:dyDescent="0.2">
      <c r="A92" t="str">
        <f>_xlfn.CONCAT(TargetsPercent[[#This Row],[University]],":",TargetsPercent[[#This Row],[Metric]])</f>
        <v>Queen's University:01. Graduate employment rate in a related field</v>
      </c>
      <c r="B92" t="s">
        <v>37</v>
      </c>
      <c r="C92" t="s">
        <v>19</v>
      </c>
      <c r="D92" s="6">
        <f>VLOOKUP(TargetsPercent[[#This Row],[KEY]],[1]!HistoricalData[#Data],4,FALSE)</f>
        <v>0.93420000000000003</v>
      </c>
      <c r="E92" s="6">
        <f>VLOOKUP(TargetsPercent[[#This Row],[KEY]],[1]!HistoricalData[#Data],5,FALSE)</f>
        <v>0.94499999999999995</v>
      </c>
      <c r="F92" s="6">
        <f>VLOOKUP(TargetsPercent[[#This Row],[KEY]],[1]!HistoricalData[#Data],6,FALSE)</f>
        <v>0.9446</v>
      </c>
      <c r="G92" s="5">
        <f>VLOOKUP(TargetsPercent[[#This Row],[KEY]],[1]!HistoricalData[#Data],7,FALSE)</f>
        <v>0.93189999999999995</v>
      </c>
      <c r="H92" s="2">
        <f>AVERAGE(TargetsPercent[[#This Row],[2016–17 Historical data]],TargetsPercent[[#This Row],[2017–18 Historical data]],TargetsPercent[[#This Row],[2018–19 Historical data]])</f>
        <v>0.94126666666666658</v>
      </c>
      <c r="I92" s="2">
        <f>ABS(TargetsPercent[[#This Row],[2016–17 Historical data]]-TargetsPercent[[#This Row],[2017–18 Historical data]])</f>
        <v>1.0799999999999921E-2</v>
      </c>
      <c r="J92" s="2">
        <f>ABS(TargetsPercent[[#This Row],[2017–18 Historical data]]-TargetsPercent[[#This Row],[2018–19 Historical data]])</f>
        <v>3.9999999999995595E-4</v>
      </c>
      <c r="K9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0.94166666666666654</v>
      </c>
      <c r="L9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9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0.93420000000000003</v>
      </c>
      <c r="N92" s="8">
        <f>ABS(TargetsPercent[[#This Row],[2020–21
Allowable
performance
target]]-TargetsPercent[[#This Row],[Target Floor % (calculated)]])</f>
        <v>2.3000000000000798E-3</v>
      </c>
    </row>
    <row r="93" spans="1:14" x14ac:dyDescent="0.2">
      <c r="A93" t="str">
        <f>_xlfn.CONCAT(TargetsPercent[[#This Row],[University]],":",TargetsPercent[[#This Row],[Metric]])</f>
        <v>Queen's University:02. Institutional strength and focus</v>
      </c>
      <c r="B93" t="s">
        <v>37</v>
      </c>
      <c r="C93" t="s">
        <v>20</v>
      </c>
      <c r="D93" s="6">
        <f>VLOOKUP(TargetsPercent[[#This Row],[KEY]],[1]!HistoricalData[#Data],4,FALSE)</f>
        <v>0.43990000000000001</v>
      </c>
      <c r="E93" s="6">
        <f>VLOOKUP(TargetsPercent[[#This Row],[KEY]],[1]!HistoricalData[#Data],5,FALSE)</f>
        <v>0.43859999999999999</v>
      </c>
      <c r="F93" s="6">
        <f>VLOOKUP(TargetsPercent[[#This Row],[KEY]],[1]!HistoricalData[#Data],6,FALSE)</f>
        <v>0.42630000000000001</v>
      </c>
      <c r="G93" s="5">
        <f>VLOOKUP(TargetsPercent[[#This Row],[KEY]],[1]!HistoricalData[#Data],7,FALSE)</f>
        <v>0.40620000000000001</v>
      </c>
      <c r="H93" s="2">
        <f>AVERAGE(TargetsPercent[[#This Row],[2016–17 Historical data]],TargetsPercent[[#This Row],[2017–18 Historical data]],TargetsPercent[[#This Row],[2018–19 Historical data]])</f>
        <v>0.43493333333333339</v>
      </c>
      <c r="I93" s="2">
        <f>ABS(TargetsPercent[[#This Row],[2016–17 Historical data]]-TargetsPercent[[#This Row],[2017–18 Historical data]])</f>
        <v>1.3000000000000234E-3</v>
      </c>
      <c r="J93" s="2">
        <f>ABS(TargetsPercent[[#This Row],[2017–18 Historical data]]-TargetsPercent[[#This Row],[2018–19 Historical data]])</f>
        <v>1.2299999999999978E-2</v>
      </c>
      <c r="K9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0.43623333333333342</v>
      </c>
      <c r="L9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1.5499496372294539E-2</v>
      </c>
      <c r="M9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0.42947193636585945</v>
      </c>
      <c r="N93" s="8">
        <f>ABS(TargetsPercent[[#This Row],[2020–21
Allowable
performance
target]]-TargetsPercent[[#This Row],[Target Floor % (calculated)]])</f>
        <v>2.3271936365859447E-2</v>
      </c>
    </row>
    <row r="94" spans="1:14" x14ac:dyDescent="0.2">
      <c r="A94" t="str">
        <f>_xlfn.CONCAT(TargetsPercent[[#This Row],[University]],":",TargetsPercent[[#This Row],[Metric]])</f>
        <v>Queen's University:03. Graduation rate</v>
      </c>
      <c r="B94" t="s">
        <v>37</v>
      </c>
      <c r="C94" t="s">
        <v>21</v>
      </c>
      <c r="D94" s="6">
        <f>VLOOKUP(TargetsPercent[[#This Row],[KEY]],[1]!HistoricalData[#Data],4,FALSE)</f>
        <v>0.8952</v>
      </c>
      <c r="E94" s="6">
        <f>VLOOKUP(TargetsPercent[[#This Row],[KEY]],[1]!HistoricalData[#Data],5,FALSE)</f>
        <v>0.88600000000000001</v>
      </c>
      <c r="F94" s="6">
        <f>VLOOKUP(TargetsPercent[[#This Row],[KEY]],[1]!HistoricalData[#Data],6,FALSE)</f>
        <v>0.89080000000000004</v>
      </c>
      <c r="G94" s="5">
        <f>VLOOKUP(TargetsPercent[[#This Row],[KEY]],[1]!HistoricalData[#Data],7,FALSE)</f>
        <v>0.88180000000000003</v>
      </c>
      <c r="H94" s="2">
        <f>AVERAGE(TargetsPercent[[#This Row],[2016–17 Historical data]],TargetsPercent[[#This Row],[2017–18 Historical data]],TargetsPercent[[#This Row],[2018–19 Historical data]])</f>
        <v>0.89066666666666672</v>
      </c>
      <c r="I94" s="2">
        <f>ABS(TargetsPercent[[#This Row],[2016–17 Historical data]]-TargetsPercent[[#This Row],[2017–18 Historical data]])</f>
        <v>9.199999999999986E-3</v>
      </c>
      <c r="J94" s="2">
        <f>ABS(TargetsPercent[[#This Row],[2017–18 Historical data]]-TargetsPercent[[#This Row],[2018–19 Historical data]])</f>
        <v>4.8000000000000265E-3</v>
      </c>
      <c r="K9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0.89546666666666674</v>
      </c>
      <c r="L9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9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0.88651200000000008</v>
      </c>
      <c r="N94" s="8">
        <f>ABS(TargetsPercent[[#This Row],[2020–21
Allowable
performance
target]]-TargetsPercent[[#This Row],[Target Floor % (calculated)]])</f>
        <v>4.7120000000000495E-3</v>
      </c>
    </row>
    <row r="95" spans="1:14" x14ac:dyDescent="0.2">
      <c r="A95" t="str">
        <f>_xlfn.CONCAT(TargetsPercent[[#This Row],[University]],":",TargetsPercent[[#This Row],[Metric]])</f>
        <v>Queen's University:04. Community and local impact of student enrolment</v>
      </c>
      <c r="B95" t="s">
        <v>37</v>
      </c>
      <c r="C95" t="s">
        <v>22</v>
      </c>
      <c r="D95" s="6">
        <f>VLOOKUP(TargetsPercent[[#This Row],[KEY]],[1]!HistoricalData[#Data],4,FALSE)</f>
        <v>0.33239999999999997</v>
      </c>
      <c r="E95" s="6">
        <f>VLOOKUP(TargetsPercent[[#This Row],[KEY]],[1]!HistoricalData[#Data],5,FALSE)</f>
        <v>0.34610000000000002</v>
      </c>
      <c r="F95" s="6">
        <f>VLOOKUP(TargetsPercent[[#This Row],[KEY]],[1]!HistoricalData[#Data],6,FALSE)</f>
        <v>0.36249999999999999</v>
      </c>
      <c r="G95" s="5">
        <f>VLOOKUP(TargetsPercent[[#This Row],[KEY]],[1]!HistoricalData[#Data],7,FALSE)</f>
        <v>0.3448</v>
      </c>
      <c r="H95" s="2">
        <f>AVERAGE(TargetsPercent[[#This Row],[2016–17 Historical data]],TargetsPercent[[#This Row],[2017–18 Historical data]],TargetsPercent[[#This Row],[2018–19 Historical data]])</f>
        <v>0.34699999999999998</v>
      </c>
      <c r="I95" s="2">
        <f>ABS(TargetsPercent[[#This Row],[2016–17 Historical data]]-TargetsPercent[[#This Row],[2017–18 Historical data]])</f>
        <v>1.3700000000000045E-2</v>
      </c>
      <c r="J95" s="2">
        <f>ABS(TargetsPercent[[#This Row],[2017–18 Historical data]]-TargetsPercent[[#This Row],[2018–19 Historical data]])</f>
        <v>1.639999999999997E-2</v>
      </c>
      <c r="K9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0.36070000000000002</v>
      </c>
      <c r="L9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4.4300275964842581E-2</v>
      </c>
      <c r="M9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0.34472089045948129</v>
      </c>
      <c r="N95" s="9">
        <f>ABS(TargetsPercent[[#This Row],[2020–21
Allowable
performance
target]]-TargetsPercent[[#This Row],[Target Floor % (calculated)]])</f>
        <v>7.9109540518707E-5</v>
      </c>
    </row>
    <row r="96" spans="1:14" x14ac:dyDescent="0.2">
      <c r="A96" t="str">
        <f>_xlfn.CONCAT(TargetsPercent[[#This Row],[University]],":",TargetsPercent[[#This Row],[Metric]])</f>
        <v>Queen's University:05. Economic impact (institution-specific)</v>
      </c>
      <c r="B96" t="s">
        <v>37</v>
      </c>
      <c r="C96" t="s">
        <v>23</v>
      </c>
      <c r="D96" s="18">
        <f>VLOOKUP(TargetsPercent[[#This Row],[KEY]],[1]!HistoricalData[#Data],4,FALSE)</f>
        <v>84</v>
      </c>
      <c r="E96" s="18">
        <f>VLOOKUP(TargetsPercent[[#This Row],[KEY]],[1]!HistoricalData[#Data],5,FALSE)</f>
        <v>92</v>
      </c>
      <c r="F96" s="18">
        <f>VLOOKUP(TargetsPercent[[#This Row],[KEY]],[1]!HistoricalData[#Data],6,FALSE)</f>
        <v>97</v>
      </c>
      <c r="G96" s="19">
        <f>VLOOKUP(TargetsPercent[[#This Row],[KEY]],[1]!HistoricalData[#Data],7,FALSE)</f>
        <v>88.82</v>
      </c>
      <c r="H96" s="11">
        <f>AVERAGE(TargetsPercent[[#This Row],[2016–17 Historical data]],TargetsPercent[[#This Row],[2017–18 Historical data]],TargetsPercent[[#This Row],[2018–19 Historical data]])</f>
        <v>91</v>
      </c>
      <c r="I96" s="11">
        <f>ABS(TargetsPercent[[#This Row],[2016–17 Historical data]]-TargetsPercent[[#This Row],[2017–18 Historical data]])</f>
        <v>8</v>
      </c>
      <c r="J96" s="11">
        <f>ABS(TargetsPercent[[#This Row],[2017–18 Historical data]]-TargetsPercent[[#This Row],[2018–19 Historical data]])</f>
        <v>5</v>
      </c>
      <c r="K96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96</v>
      </c>
      <c r="L96" s="11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7.4792960662525873E-2</v>
      </c>
      <c r="M96" s="11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88.81987577639751</v>
      </c>
      <c r="N96" s="8">
        <f>ABS(TargetsPercent[[#This Row],[2020–21
Allowable
performance
target]]-TargetsPercent[[#This Row],[Target Floor % (calculated)]])</f>
        <v>1.2422360248365294E-4</v>
      </c>
    </row>
    <row r="97" spans="1:14" x14ac:dyDescent="0.2">
      <c r="A97" t="str">
        <f>_xlfn.CONCAT(TargetsPercent[[#This Row],[University]],":",TargetsPercent[[#This Row],[Metric]])</f>
        <v>Queen's University:06. Research funding and capacity: federal tri-agency funding secured</v>
      </c>
      <c r="B97" t="s">
        <v>37</v>
      </c>
      <c r="C97" t="s">
        <v>24</v>
      </c>
      <c r="D97" s="6">
        <f>VLOOKUP(TargetsPercent[[#This Row],[KEY]],[1]!HistoricalData[#Data],4,FALSE)</f>
        <v>7.0499999999999993E-2</v>
      </c>
      <c r="E97" s="6">
        <f>VLOOKUP(TargetsPercent[[#This Row],[KEY]],[1]!HistoricalData[#Data],5,FALSE)</f>
        <v>6.7599999999999993E-2</v>
      </c>
      <c r="F97" s="6">
        <f>VLOOKUP(TargetsPercent[[#This Row],[KEY]],[1]!HistoricalData[#Data],6,FALSE)</f>
        <v>6.3E-2</v>
      </c>
      <c r="G97" s="5">
        <f>VLOOKUP(TargetsPercent[[#This Row],[KEY]],[1]!HistoricalData[#Data],7,FALSE)</f>
        <v>6.6100000000000006E-2</v>
      </c>
      <c r="H97" s="2">
        <f>AVERAGE(TargetsPercent[[#This Row],[2016–17 Historical data]],TargetsPercent[[#This Row],[2017–18 Historical data]],TargetsPercent[[#This Row],[2018–19 Historical data]])</f>
        <v>6.7033333333333334E-2</v>
      </c>
      <c r="I97" s="2">
        <f>ABS(TargetsPercent[[#This Row],[2016–17 Historical data]]-TargetsPercent[[#This Row],[2017–18 Historical data]])</f>
        <v>2.8999999999999998E-3</v>
      </c>
      <c r="J97" s="2">
        <f>ABS(TargetsPercent[[#This Row],[2017–18 Historical data]]-TargetsPercent[[#This Row],[2018–19 Historical data]])</f>
        <v>4.599999999999993E-3</v>
      </c>
      <c r="K9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6.9933333333333333E-2</v>
      </c>
      <c r="L9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5.4591044525578031E-2</v>
      </c>
      <c r="M9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6.6115599619511245E-2</v>
      </c>
      <c r="N97" s="8">
        <f>ABS(TargetsPercent[[#This Row],[2020–21
Allowable
performance
target]]-TargetsPercent[[#This Row],[Target Floor % (calculated)]])</f>
        <v>1.5599619511239005E-5</v>
      </c>
    </row>
    <row r="98" spans="1:14" x14ac:dyDescent="0.2">
      <c r="A98" t="str">
        <f>_xlfn.CONCAT(TargetsPercent[[#This Row],[University]],":",TargetsPercent[[#This Row],[Metric]])</f>
        <v>Queen's University:07. Experiential learning</v>
      </c>
      <c r="B98" t="s">
        <v>37</v>
      </c>
      <c r="C98" t="s">
        <v>25</v>
      </c>
      <c r="D98" s="6">
        <f>VLOOKUP(TargetsPercent[[#This Row],[KEY]],[1]!HistoricalData[#Data],4,FALSE)</f>
        <v>0</v>
      </c>
      <c r="E98" s="6">
        <f>VLOOKUP(TargetsPercent[[#This Row],[KEY]],[1]!HistoricalData[#Data],5,FALSE)</f>
        <v>0</v>
      </c>
      <c r="F98" s="6">
        <f>VLOOKUP(TargetsPercent[[#This Row],[KEY]],[1]!HistoricalData[#Data],6,FALSE)</f>
        <v>0</v>
      </c>
      <c r="G98" s="5">
        <f>VLOOKUP(TargetsPercent[[#This Row],[KEY]],[1]!HistoricalData[#Data],7,FALSE)</f>
        <v>0</v>
      </c>
      <c r="H98" s="9">
        <f>AVERAGE(TargetsPercent[[#This Row],[2016–17 Historical data]],TargetsPercent[[#This Row],[2017–18 Historical data]],TargetsPercent[[#This Row],[2018–19 Historical data]])</f>
        <v>0</v>
      </c>
      <c r="I98" s="9">
        <f>ABS(TargetsPercent[[#This Row],[2016–17 Historical data]]-TargetsPercent[[#This Row],[2017–18 Historical data]])</f>
        <v>0</v>
      </c>
      <c r="J98" s="2">
        <f>ABS(TargetsPercent[[#This Row],[2017–18 Historical data]]-TargetsPercent[[#This Row],[2018–19 Historical data]])</f>
        <v>0</v>
      </c>
      <c r="K9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9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9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98" s="8" t="e">
        <f>ABS(TargetsPercent[[#This Row],[2020–21
Allowable
performance
target]]-TargetsPercent[[#This Row],[Target Floor % (calculated)]])</f>
        <v>#DIV/0!</v>
      </c>
    </row>
    <row r="99" spans="1:14" x14ac:dyDescent="0.2">
      <c r="A99" t="str">
        <f>_xlfn.CONCAT(TargetsPercent[[#This Row],[University]],":",TargetsPercent[[#This Row],[Metric]])</f>
        <v>Queen's University:08. Research revenue attracted from private sector sources</v>
      </c>
      <c r="B99" t="s">
        <v>37</v>
      </c>
      <c r="C99" t="s">
        <v>26</v>
      </c>
      <c r="D99" s="6">
        <f>VLOOKUP(TargetsPercent[[#This Row],[KEY]],[1]!HistoricalData[#Data],4,FALSE)</f>
        <v>0</v>
      </c>
      <c r="E99" s="6">
        <f>VLOOKUP(TargetsPercent[[#This Row],[KEY]],[1]!HistoricalData[#Data],5,FALSE)</f>
        <v>0</v>
      </c>
      <c r="F99" s="6">
        <f>VLOOKUP(TargetsPercent[[#This Row],[KEY]],[1]!HistoricalData[#Data],6,FALSE)</f>
        <v>0</v>
      </c>
      <c r="G99" s="5">
        <f>VLOOKUP(TargetsPercent[[#This Row],[KEY]],[1]!HistoricalData[#Data],7,FALSE)</f>
        <v>0</v>
      </c>
      <c r="H99" s="9">
        <f>AVERAGE(TargetsPercent[[#This Row],[2016–17 Historical data]],TargetsPercent[[#This Row],[2017–18 Historical data]],TargetsPercent[[#This Row],[2018–19 Historical data]])</f>
        <v>0</v>
      </c>
      <c r="I99" s="9">
        <f>ABS(TargetsPercent[[#This Row],[2016–17 Historical data]]-TargetsPercent[[#This Row],[2017–18 Historical data]])</f>
        <v>0</v>
      </c>
      <c r="J99" s="2">
        <f>ABS(TargetsPercent[[#This Row],[2017–18 Historical data]]-TargetsPercent[[#This Row],[2018–19 Historical data]])</f>
        <v>0</v>
      </c>
      <c r="K9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9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9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99" s="8" t="e">
        <f>ABS(TargetsPercent[[#This Row],[2020–21
Allowable
performance
target]]-TargetsPercent[[#This Row],[Target Floor % (calculated)]])</f>
        <v>#DIV/0!</v>
      </c>
    </row>
    <row r="100" spans="1:14" x14ac:dyDescent="0.2">
      <c r="A100" t="str">
        <f>_xlfn.CONCAT(TargetsPercent[[#This Row],[University]],":",TargetsPercent[[#This Row],[Metric]])</f>
        <v>Queen's University:09. Graduate employment earnings</v>
      </c>
      <c r="B100" t="s">
        <v>37</v>
      </c>
      <c r="C100" t="s">
        <v>27</v>
      </c>
      <c r="D100" s="6">
        <f>VLOOKUP(TargetsPercent[[#This Row],[KEY]],[1]!HistoricalData[#Data],4,FALSE)</f>
        <v>0</v>
      </c>
      <c r="E100" s="6">
        <f>VLOOKUP(TargetsPercent[[#This Row],[KEY]],[1]!HistoricalData[#Data],5,FALSE)</f>
        <v>0</v>
      </c>
      <c r="F100" s="6">
        <f>VLOOKUP(TargetsPercent[[#This Row],[KEY]],[1]!HistoricalData[#Data],6,FALSE)</f>
        <v>0</v>
      </c>
      <c r="G100" s="5">
        <f>VLOOKUP(TargetsPercent[[#This Row],[KEY]],[1]!HistoricalData[#Data],7,FALSE)</f>
        <v>0</v>
      </c>
      <c r="H100" s="9">
        <f>AVERAGE(TargetsPercent[[#This Row],[2016–17 Historical data]],TargetsPercent[[#This Row],[2017–18 Historical data]],TargetsPercent[[#This Row],[2018–19 Historical data]])</f>
        <v>0</v>
      </c>
      <c r="I100" s="9">
        <f>ABS(TargetsPercent[[#This Row],[2016–17 Historical data]]-TargetsPercent[[#This Row],[2017–18 Historical data]])</f>
        <v>0</v>
      </c>
      <c r="J100" s="2">
        <f>ABS(TargetsPercent[[#This Row],[2017–18 Historical data]]-TargetsPercent[[#This Row],[2018–19 Historical data]])</f>
        <v>0</v>
      </c>
      <c r="K10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0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0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00" s="8" t="e">
        <f>ABS(TargetsPercent[[#This Row],[2020–21
Allowable
performance
target]]-TargetsPercent[[#This Row],[Target Floor % (calculated)]])</f>
        <v>#DIV/0!</v>
      </c>
    </row>
    <row r="101" spans="1:14" x14ac:dyDescent="0.2">
      <c r="A101" t="str">
        <f>_xlfn.CONCAT(TargetsPercent[[#This Row],[University]],":",TargetsPercent[[#This Row],[Metric]])</f>
        <v>Queen's University:10. Skills and competencies</v>
      </c>
      <c r="B101" t="s">
        <v>37</v>
      </c>
      <c r="C101" t="s">
        <v>28</v>
      </c>
      <c r="D101" s="6">
        <f>VLOOKUP(TargetsPercent[[#This Row],[KEY]],[1]!HistoricalData[#Data],4,FALSE)</f>
        <v>0</v>
      </c>
      <c r="E101" s="6">
        <f>VLOOKUP(TargetsPercent[[#This Row],[KEY]],[1]!HistoricalData[#Data],5,FALSE)</f>
        <v>0</v>
      </c>
      <c r="F101" s="6">
        <f>VLOOKUP(TargetsPercent[[#This Row],[KEY]],[1]!HistoricalData[#Data],6,FALSE)</f>
        <v>0</v>
      </c>
      <c r="G101" s="5">
        <f>VLOOKUP(TargetsPercent[[#This Row],[KEY]],[1]!HistoricalData[#Data],7,FALSE)</f>
        <v>0</v>
      </c>
      <c r="H101" s="9">
        <f>AVERAGE(TargetsPercent[[#This Row],[2016–17 Historical data]],TargetsPercent[[#This Row],[2017–18 Historical data]],TargetsPercent[[#This Row],[2018–19 Historical data]])</f>
        <v>0</v>
      </c>
      <c r="I101" s="9">
        <f>ABS(TargetsPercent[[#This Row],[2016–17 Historical data]]-TargetsPercent[[#This Row],[2017–18 Historical data]])</f>
        <v>0</v>
      </c>
      <c r="J101" s="2">
        <f>ABS(TargetsPercent[[#This Row],[2017–18 Historical data]]-TargetsPercent[[#This Row],[2018–19 Historical data]])</f>
        <v>0</v>
      </c>
      <c r="K10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0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0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01" s="8" t="e">
        <f>ABS(TargetsPercent[[#This Row],[2020–21
Allowable
performance
target]]-TargetsPercent[[#This Row],[Target Floor % (calculated)]])</f>
        <v>#DIV/0!</v>
      </c>
    </row>
    <row r="102" spans="1:14" x14ac:dyDescent="0.2">
      <c r="A102" t="str">
        <f>_xlfn.CONCAT(TargetsPercent[[#This Row],[University]],":",TargetsPercent[[#This Row],[Metric]])</f>
        <v>Queen's University:Tri-agency research funding</v>
      </c>
      <c r="B102" t="s">
        <v>37</v>
      </c>
      <c r="C102" t="s">
        <v>29</v>
      </c>
      <c r="D102" s="6">
        <f>VLOOKUP(TargetsPercent[[#This Row],[KEY]],[1]!HistoricalData[#Data],4,FALSE)</f>
        <v>44945368</v>
      </c>
      <c r="E102" s="6">
        <f>VLOOKUP(TargetsPercent[[#This Row],[KEY]],[1]!HistoricalData[#Data],5,FALSE)</f>
        <v>44983900</v>
      </c>
      <c r="F102" s="6">
        <f>VLOOKUP(TargetsPercent[[#This Row],[KEY]],[1]!HistoricalData[#Data],6,FALSE)</f>
        <v>42789327</v>
      </c>
      <c r="G102" s="5">
        <f>VLOOKUP(TargetsPercent[[#This Row],[KEY]],[1]!HistoricalData[#Data],7,FALSE)</f>
        <v>0</v>
      </c>
      <c r="H102" s="13">
        <f>AVERAGE(TargetsPercent[[#This Row],[2016–17 Historical data]],TargetsPercent[[#This Row],[2017–18 Historical data]],TargetsPercent[[#This Row],[2018–19 Historical data]])</f>
        <v>44239531.666666664</v>
      </c>
      <c r="I102" s="13">
        <f>ABS(TargetsPercent[[#This Row],[2016–17 Historical data]]-TargetsPercent[[#This Row],[2017–18 Historical data]])</f>
        <v>38532</v>
      </c>
      <c r="J102" s="12">
        <f>ABS(TargetsPercent[[#This Row],[2017–18 Historical data]]-TargetsPercent[[#This Row],[2018–19 Historical data]])</f>
        <v>2194573</v>
      </c>
      <c r="K102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44278063.666666664</v>
      </c>
      <c r="L10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2.4821525409887395E-2</v>
      </c>
      <c r="M102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43179014.584263884</v>
      </c>
      <c r="N102" s="8">
        <f>ABS(TargetsPercent[[#This Row],[2020–21
Allowable
performance
target]]-TargetsPercent[[#This Row],[Target Floor % (calculated)]])</f>
        <v>43179014.584263884</v>
      </c>
    </row>
    <row r="103" spans="1:14" x14ac:dyDescent="0.2">
      <c r="A103" t="str">
        <f>_xlfn.CONCAT(TargetsPercent[[#This Row],[University]],":",TargetsPercent[[#This Row],[Metric]])</f>
        <v>Ryerson University:01. Graduate employment rate in a related field</v>
      </c>
      <c r="B103" t="s">
        <v>38</v>
      </c>
      <c r="C103" t="s">
        <v>19</v>
      </c>
      <c r="D103" s="6">
        <f>VLOOKUP(TargetsPercent[[#This Row],[KEY]],[1]!HistoricalData[#Data],4,FALSE)</f>
        <v>0.90949999999999998</v>
      </c>
      <c r="E103" s="6">
        <f>VLOOKUP(TargetsPercent[[#This Row],[KEY]],[1]!HistoricalData[#Data],5,FALSE)</f>
        <v>0.89049999999999996</v>
      </c>
      <c r="F103" s="6">
        <f>VLOOKUP(TargetsPercent[[#This Row],[KEY]],[1]!HistoricalData[#Data],6,FALSE)</f>
        <v>0.89410000000000001</v>
      </c>
      <c r="G103" s="5">
        <f>VLOOKUP(TargetsPercent[[#This Row],[KEY]],[1]!HistoricalData[#Data],7,FALSE)</f>
        <v>0.89039999999999997</v>
      </c>
      <c r="H103" s="2">
        <f>AVERAGE(TargetsPercent[[#This Row],[2016–17 Historical data]],TargetsPercent[[#This Row],[2017–18 Historical data]],TargetsPercent[[#This Row],[2018–19 Historical data]])</f>
        <v>0.89803333333333324</v>
      </c>
      <c r="I103" s="2">
        <f>ABS(TargetsPercent[[#This Row],[2016–17 Historical data]]-TargetsPercent[[#This Row],[2017–18 Historical data]])</f>
        <v>1.9000000000000017E-2</v>
      </c>
      <c r="J103" s="2">
        <f>ABS(TargetsPercent[[#This Row],[2017–18 Historical data]]-TargetsPercent[[#This Row],[2018–19 Historical data]])</f>
        <v>3.6000000000000476E-3</v>
      </c>
      <c r="K10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0.90163333333333329</v>
      </c>
      <c r="L10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1.2466635943078879E-2</v>
      </c>
      <c r="M10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0.89049999999999996</v>
      </c>
      <c r="N103" s="8">
        <f>ABS(TargetsPercent[[#This Row],[2020–21
Allowable
performance
target]]-TargetsPercent[[#This Row],[Target Floor % (calculated)]])</f>
        <v>9.9999999999988987E-5</v>
      </c>
    </row>
    <row r="104" spans="1:14" x14ac:dyDescent="0.2">
      <c r="A104" t="str">
        <f>_xlfn.CONCAT(TargetsPercent[[#This Row],[University]],":",TargetsPercent[[#This Row],[Metric]])</f>
        <v>Ryerson University:02. Institutional strength and focus</v>
      </c>
      <c r="B104" t="s">
        <v>38</v>
      </c>
      <c r="C104" t="s">
        <v>20</v>
      </c>
      <c r="D104" s="6">
        <f>VLOOKUP(TargetsPercent[[#This Row],[KEY]],[1]!HistoricalData[#Data],4,FALSE)</f>
        <v>0.51259999999999994</v>
      </c>
      <c r="E104" s="6">
        <f>VLOOKUP(TargetsPercent[[#This Row],[KEY]],[1]!HistoricalData[#Data],5,FALSE)</f>
        <v>0.51419999999999999</v>
      </c>
      <c r="F104" s="6">
        <f>VLOOKUP(TargetsPercent[[#This Row],[KEY]],[1]!HistoricalData[#Data],6,FALSE)</f>
        <v>0.51459999999999995</v>
      </c>
      <c r="G104" s="5">
        <f>VLOOKUP(TargetsPercent[[#This Row],[KEY]],[1]!HistoricalData[#Data],7,FALSE)</f>
        <v>0.49919999999999998</v>
      </c>
      <c r="H104" s="2">
        <f>AVERAGE(TargetsPercent[[#This Row],[2016–17 Historical data]],TargetsPercent[[#This Row],[2017–18 Historical data]],TargetsPercent[[#This Row],[2018–19 Historical data]])</f>
        <v>0.51379999999999992</v>
      </c>
      <c r="I104" s="2">
        <f>ABS(TargetsPercent[[#This Row],[2016–17 Historical data]]-TargetsPercent[[#This Row],[2017–18 Historical data]])</f>
        <v>1.6000000000000458E-3</v>
      </c>
      <c r="J104" s="2">
        <f>ABS(TargetsPercent[[#This Row],[2017–18 Historical data]]-TargetsPercent[[#This Row],[2018–19 Historical data]])</f>
        <v>3.9999999999995595E-4</v>
      </c>
      <c r="K10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0.51419999999999988</v>
      </c>
      <c r="L10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0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0.51259999999999994</v>
      </c>
      <c r="N104" s="8">
        <f>ABS(TargetsPercent[[#This Row],[2020–21
Allowable
performance
target]]-TargetsPercent[[#This Row],[Target Floor % (calculated)]])</f>
        <v>1.3399999999999967E-2</v>
      </c>
    </row>
    <row r="105" spans="1:14" x14ac:dyDescent="0.2">
      <c r="A105" t="str">
        <f>_xlfn.CONCAT(TargetsPercent[[#This Row],[University]],":",TargetsPercent[[#This Row],[Metric]])</f>
        <v>Ryerson University:03. Graduation rate</v>
      </c>
      <c r="B105" t="s">
        <v>38</v>
      </c>
      <c r="C105" t="s">
        <v>21</v>
      </c>
      <c r="D105" s="6">
        <f>VLOOKUP(TargetsPercent[[#This Row],[KEY]],[1]!HistoricalData[#Data],4,FALSE)</f>
        <v>0.7278</v>
      </c>
      <c r="E105" s="6">
        <f>VLOOKUP(TargetsPercent[[#This Row],[KEY]],[1]!HistoricalData[#Data],5,FALSE)</f>
        <v>0.72460000000000002</v>
      </c>
      <c r="F105" s="6">
        <f>VLOOKUP(TargetsPercent[[#This Row],[KEY]],[1]!HistoricalData[#Data],6,FALSE)</f>
        <v>0.74439999999999995</v>
      </c>
      <c r="G105" s="5">
        <f>VLOOKUP(TargetsPercent[[#This Row],[KEY]],[1]!HistoricalData[#Data],7,FALSE)</f>
        <v>0.7238</v>
      </c>
      <c r="H105" s="2">
        <f>AVERAGE(TargetsPercent[[#This Row],[2016–17 Historical data]],TargetsPercent[[#This Row],[2017–18 Historical data]],TargetsPercent[[#This Row],[2018–19 Historical data]])</f>
        <v>0.73226666666666651</v>
      </c>
      <c r="I105" s="2">
        <f>ABS(TargetsPercent[[#This Row],[2016–17 Historical data]]-TargetsPercent[[#This Row],[2017–18 Historical data]])</f>
        <v>3.1999999999999806E-3</v>
      </c>
      <c r="J105" s="2">
        <f>ABS(TargetsPercent[[#This Row],[2017–18 Historical data]]-TargetsPercent[[#This Row],[2018–19 Historical data]])</f>
        <v>1.9799999999999929E-2</v>
      </c>
      <c r="K10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0.73546666666666649</v>
      </c>
      <c r="L10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1.5861116616481142E-2</v>
      </c>
      <c r="M10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0.72460000000000002</v>
      </c>
      <c r="N105" s="8">
        <f>ABS(TargetsPercent[[#This Row],[2020–21
Allowable
performance
target]]-TargetsPercent[[#This Row],[Target Floor % (calculated)]])</f>
        <v>8.0000000000002292E-4</v>
      </c>
    </row>
    <row r="106" spans="1:14" x14ac:dyDescent="0.2">
      <c r="A106" t="str">
        <f>_xlfn.CONCAT(TargetsPercent[[#This Row],[University]],":",TargetsPercent[[#This Row],[Metric]])</f>
        <v>Ryerson University:04. Community and local impact of student enrolment</v>
      </c>
      <c r="B106" t="s">
        <v>38</v>
      </c>
      <c r="C106" t="s">
        <v>22</v>
      </c>
      <c r="D106" s="6">
        <f>VLOOKUP(TargetsPercent[[#This Row],[KEY]],[1]!HistoricalData[#Data],4,FALSE)</f>
        <v>2.2599999999999999E-2</v>
      </c>
      <c r="E106" s="6">
        <f>VLOOKUP(TargetsPercent[[#This Row],[KEY]],[1]!HistoricalData[#Data],5,FALSE)</f>
        <v>2.3099999999999999E-2</v>
      </c>
      <c r="F106" s="6">
        <f>VLOOKUP(TargetsPercent[[#This Row],[KEY]],[1]!HistoricalData[#Data],6,FALSE)</f>
        <v>2.3300000000000001E-2</v>
      </c>
      <c r="G106" s="5">
        <f>VLOOKUP(TargetsPercent[[#This Row],[KEY]],[1]!HistoricalData[#Data],7,FALSE)</f>
        <v>2.2800000000000001E-2</v>
      </c>
      <c r="H106" s="2">
        <f>AVERAGE(TargetsPercent[[#This Row],[2016–17 Historical data]],TargetsPercent[[#This Row],[2017–18 Historical data]],TargetsPercent[[#This Row],[2018–19 Historical data]])</f>
        <v>2.3000000000000003E-2</v>
      </c>
      <c r="I106" s="2">
        <f>ABS(TargetsPercent[[#This Row],[2016–17 Historical data]]-TargetsPercent[[#This Row],[2017–18 Historical data]])</f>
        <v>5.0000000000000044E-4</v>
      </c>
      <c r="J106" s="2">
        <f>ABS(TargetsPercent[[#This Row],[2017–18 Historical data]]-TargetsPercent[[#This Row],[2018–19 Historical data]])</f>
        <v>2.0000000000000226E-4</v>
      </c>
      <c r="K10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2.3200000000000005E-2</v>
      </c>
      <c r="L10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1.5390951231659256E-2</v>
      </c>
      <c r="M10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2.2842929931425511E-2</v>
      </c>
      <c r="N106" s="9">
        <f>ABS(TargetsPercent[[#This Row],[2020–21
Allowable
performance
target]]-TargetsPercent[[#This Row],[Target Floor % (calculated)]])</f>
        <v>4.2929931425510215E-5</v>
      </c>
    </row>
    <row r="107" spans="1:14" x14ac:dyDescent="0.2">
      <c r="A107" t="str">
        <f>_xlfn.CONCAT(TargetsPercent[[#This Row],[University]],":",TargetsPercent[[#This Row],[Metric]])</f>
        <v>Ryerson University:05. Economic impact (institution-specific)</v>
      </c>
      <c r="B107" t="s">
        <v>38</v>
      </c>
      <c r="C107" t="s">
        <v>23</v>
      </c>
      <c r="D107" s="18">
        <f>VLOOKUP(TargetsPercent[[#This Row],[KEY]],[1]!HistoricalData[#Data],4,FALSE)</f>
        <v>323</v>
      </c>
      <c r="E107" s="18">
        <f>VLOOKUP(TargetsPercent[[#This Row],[KEY]],[1]!HistoricalData[#Data],5,FALSE)</f>
        <v>325</v>
      </c>
      <c r="F107" s="18">
        <f>VLOOKUP(TargetsPercent[[#This Row],[KEY]],[1]!HistoricalData[#Data],6,FALSE)</f>
        <v>354</v>
      </c>
      <c r="G107" s="19">
        <f>VLOOKUP(TargetsPercent[[#This Row],[KEY]],[1]!HistoricalData[#Data],7,FALSE)</f>
        <v>320</v>
      </c>
      <c r="H107" s="11">
        <f>AVERAGE(TargetsPercent[[#This Row],[2016–17 Historical data]],TargetsPercent[[#This Row],[2017–18 Historical data]],TargetsPercent[[#This Row],[2018–19 Historical data]])</f>
        <v>334</v>
      </c>
      <c r="I107" s="11">
        <f>ABS(TargetsPercent[[#This Row],[2016–17 Historical data]]-TargetsPercent[[#This Row],[2017–18 Historical data]])</f>
        <v>2</v>
      </c>
      <c r="J107" s="11">
        <f>ABS(TargetsPercent[[#This Row],[2017–18 Historical data]]-TargetsPercent[[#This Row],[2018–19 Historical data]])</f>
        <v>29</v>
      </c>
      <c r="K107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336</v>
      </c>
      <c r="L107" s="11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4.7711359847582756E-2</v>
      </c>
      <c r="M107" s="11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323</v>
      </c>
      <c r="N107" s="8">
        <f>ABS(TargetsPercent[[#This Row],[2020–21
Allowable
performance
target]]-TargetsPercent[[#This Row],[Target Floor % (calculated)]])</f>
        <v>3</v>
      </c>
    </row>
    <row r="108" spans="1:14" x14ac:dyDescent="0.2">
      <c r="A108" t="str">
        <f>_xlfn.CONCAT(TargetsPercent[[#This Row],[University]],":",TargetsPercent[[#This Row],[Metric]])</f>
        <v>Ryerson University:06. Research funding and capacity: federal tri-agency funding secured</v>
      </c>
      <c r="B108" t="s">
        <v>38</v>
      </c>
      <c r="C108" t="s">
        <v>24</v>
      </c>
      <c r="D108" s="6">
        <f>VLOOKUP(TargetsPercent[[#This Row],[KEY]],[1]!HistoricalData[#Data],4,FALSE)</f>
        <v>1.83E-2</v>
      </c>
      <c r="E108" s="6">
        <f>VLOOKUP(TargetsPercent[[#This Row],[KEY]],[1]!HistoricalData[#Data],5,FALSE)</f>
        <v>1.77E-2</v>
      </c>
      <c r="F108" s="6">
        <f>VLOOKUP(TargetsPercent[[#This Row],[KEY]],[1]!HistoricalData[#Data],6,FALSE)</f>
        <v>1.8200000000000001E-2</v>
      </c>
      <c r="G108" s="5">
        <f>VLOOKUP(TargetsPercent[[#This Row],[KEY]],[1]!HistoricalData[#Data],7,FALSE)</f>
        <v>1.78E-2</v>
      </c>
      <c r="H108" s="2">
        <f>AVERAGE(TargetsPercent[[#This Row],[2016–17 Historical data]],TargetsPercent[[#This Row],[2017–18 Historical data]],TargetsPercent[[#This Row],[2018–19 Historical data]])</f>
        <v>1.8066666666666668E-2</v>
      </c>
      <c r="I108" s="2">
        <f>ABS(TargetsPercent[[#This Row],[2016–17 Historical data]]-TargetsPercent[[#This Row],[2017–18 Historical data]])</f>
        <v>5.9999999999999984E-4</v>
      </c>
      <c r="J108" s="2">
        <f>ABS(TargetsPercent[[#This Row],[2017–18 Historical data]]-TargetsPercent[[#This Row],[2018–19 Historical data]])</f>
        <v>5.0000000000000044E-4</v>
      </c>
      <c r="K10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1.8566666666666669E-2</v>
      </c>
      <c r="L10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3.051773640826156E-2</v>
      </c>
      <c r="M10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1.8000054027353281E-2</v>
      </c>
      <c r="N108" s="8">
        <f>ABS(TargetsPercent[[#This Row],[2020–21
Allowable
performance
target]]-TargetsPercent[[#This Row],[Target Floor % (calculated)]])</f>
        <v>2.0005402735328096E-4</v>
      </c>
    </row>
    <row r="109" spans="1:14" x14ac:dyDescent="0.2">
      <c r="A109" t="str">
        <f>_xlfn.CONCAT(TargetsPercent[[#This Row],[University]],":",TargetsPercent[[#This Row],[Metric]])</f>
        <v>Ryerson University:07. Experiential learning</v>
      </c>
      <c r="B109" t="s">
        <v>38</v>
      </c>
      <c r="C109" t="s">
        <v>25</v>
      </c>
      <c r="D109" s="6">
        <f>VLOOKUP(TargetsPercent[[#This Row],[KEY]],[1]!HistoricalData[#Data],4,FALSE)</f>
        <v>0</v>
      </c>
      <c r="E109" s="6">
        <f>VLOOKUP(TargetsPercent[[#This Row],[KEY]],[1]!HistoricalData[#Data],5,FALSE)</f>
        <v>0</v>
      </c>
      <c r="F109" s="6">
        <f>VLOOKUP(TargetsPercent[[#This Row],[KEY]],[1]!HistoricalData[#Data],6,FALSE)</f>
        <v>0</v>
      </c>
      <c r="G109" s="5">
        <f>VLOOKUP(TargetsPercent[[#This Row],[KEY]],[1]!HistoricalData[#Data],7,FALSE)</f>
        <v>0</v>
      </c>
      <c r="H109" s="9">
        <f>AVERAGE(TargetsPercent[[#This Row],[2016–17 Historical data]],TargetsPercent[[#This Row],[2017–18 Historical data]],TargetsPercent[[#This Row],[2018–19 Historical data]])</f>
        <v>0</v>
      </c>
      <c r="I109" s="9">
        <f>ABS(TargetsPercent[[#This Row],[2016–17 Historical data]]-TargetsPercent[[#This Row],[2017–18 Historical data]])</f>
        <v>0</v>
      </c>
      <c r="J109" s="2">
        <f>ABS(TargetsPercent[[#This Row],[2017–18 Historical data]]-TargetsPercent[[#This Row],[2018–19 Historical data]])</f>
        <v>0</v>
      </c>
      <c r="K10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0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0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09" s="8" t="e">
        <f>ABS(TargetsPercent[[#This Row],[2020–21
Allowable
performance
target]]-TargetsPercent[[#This Row],[Target Floor % (calculated)]])</f>
        <v>#DIV/0!</v>
      </c>
    </row>
    <row r="110" spans="1:14" x14ac:dyDescent="0.2">
      <c r="A110" t="str">
        <f>_xlfn.CONCAT(TargetsPercent[[#This Row],[University]],":",TargetsPercent[[#This Row],[Metric]])</f>
        <v>Ryerson University:08. Research revenue attracted from private sector sources</v>
      </c>
      <c r="B110" t="s">
        <v>38</v>
      </c>
      <c r="C110" t="s">
        <v>26</v>
      </c>
      <c r="D110" s="6">
        <f>VLOOKUP(TargetsPercent[[#This Row],[KEY]],[1]!HistoricalData[#Data],4,FALSE)</f>
        <v>0</v>
      </c>
      <c r="E110" s="6">
        <f>VLOOKUP(TargetsPercent[[#This Row],[KEY]],[1]!HistoricalData[#Data],5,FALSE)</f>
        <v>0</v>
      </c>
      <c r="F110" s="6">
        <f>VLOOKUP(TargetsPercent[[#This Row],[KEY]],[1]!HistoricalData[#Data],6,FALSE)</f>
        <v>0</v>
      </c>
      <c r="G110" s="5">
        <f>VLOOKUP(TargetsPercent[[#This Row],[KEY]],[1]!HistoricalData[#Data],7,FALSE)</f>
        <v>0</v>
      </c>
      <c r="H110" s="9">
        <f>AVERAGE(TargetsPercent[[#This Row],[2016–17 Historical data]],TargetsPercent[[#This Row],[2017–18 Historical data]],TargetsPercent[[#This Row],[2018–19 Historical data]])</f>
        <v>0</v>
      </c>
      <c r="I110" s="9">
        <f>ABS(TargetsPercent[[#This Row],[2016–17 Historical data]]-TargetsPercent[[#This Row],[2017–18 Historical data]])</f>
        <v>0</v>
      </c>
      <c r="J110" s="2">
        <f>ABS(TargetsPercent[[#This Row],[2017–18 Historical data]]-TargetsPercent[[#This Row],[2018–19 Historical data]])</f>
        <v>0</v>
      </c>
      <c r="K11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1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1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10" s="8" t="e">
        <f>ABS(TargetsPercent[[#This Row],[2020–21
Allowable
performance
target]]-TargetsPercent[[#This Row],[Target Floor % (calculated)]])</f>
        <v>#DIV/0!</v>
      </c>
    </row>
    <row r="111" spans="1:14" x14ac:dyDescent="0.2">
      <c r="A111" t="str">
        <f>_xlfn.CONCAT(TargetsPercent[[#This Row],[University]],":",TargetsPercent[[#This Row],[Metric]])</f>
        <v>Ryerson University:09. Graduate employment earnings</v>
      </c>
      <c r="B111" t="s">
        <v>38</v>
      </c>
      <c r="C111" t="s">
        <v>27</v>
      </c>
      <c r="D111" s="6">
        <f>VLOOKUP(TargetsPercent[[#This Row],[KEY]],[1]!HistoricalData[#Data],4,FALSE)</f>
        <v>0</v>
      </c>
      <c r="E111" s="6">
        <f>VLOOKUP(TargetsPercent[[#This Row],[KEY]],[1]!HistoricalData[#Data],5,FALSE)</f>
        <v>0</v>
      </c>
      <c r="F111" s="6">
        <f>VLOOKUP(TargetsPercent[[#This Row],[KEY]],[1]!HistoricalData[#Data],6,FALSE)</f>
        <v>0</v>
      </c>
      <c r="G111" s="5">
        <f>VLOOKUP(TargetsPercent[[#This Row],[KEY]],[1]!HistoricalData[#Data],7,FALSE)</f>
        <v>0</v>
      </c>
      <c r="H111" s="9">
        <f>AVERAGE(TargetsPercent[[#This Row],[2016–17 Historical data]],TargetsPercent[[#This Row],[2017–18 Historical data]],TargetsPercent[[#This Row],[2018–19 Historical data]])</f>
        <v>0</v>
      </c>
      <c r="I111" s="9">
        <f>ABS(TargetsPercent[[#This Row],[2016–17 Historical data]]-TargetsPercent[[#This Row],[2017–18 Historical data]])</f>
        <v>0</v>
      </c>
      <c r="J111" s="2">
        <f>ABS(TargetsPercent[[#This Row],[2017–18 Historical data]]-TargetsPercent[[#This Row],[2018–19 Historical data]])</f>
        <v>0</v>
      </c>
      <c r="K11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1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1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11" s="8" t="e">
        <f>ABS(TargetsPercent[[#This Row],[2020–21
Allowable
performance
target]]-TargetsPercent[[#This Row],[Target Floor % (calculated)]])</f>
        <v>#DIV/0!</v>
      </c>
    </row>
    <row r="112" spans="1:14" x14ac:dyDescent="0.2">
      <c r="A112" t="str">
        <f>_xlfn.CONCAT(TargetsPercent[[#This Row],[University]],":",TargetsPercent[[#This Row],[Metric]])</f>
        <v>Ryerson University:10. Skills and competencies</v>
      </c>
      <c r="B112" t="s">
        <v>38</v>
      </c>
      <c r="C112" t="s">
        <v>28</v>
      </c>
      <c r="D112" s="6">
        <f>VLOOKUP(TargetsPercent[[#This Row],[KEY]],[1]!HistoricalData[#Data],4,FALSE)</f>
        <v>0</v>
      </c>
      <c r="E112" s="6">
        <f>VLOOKUP(TargetsPercent[[#This Row],[KEY]],[1]!HistoricalData[#Data],5,FALSE)</f>
        <v>0</v>
      </c>
      <c r="F112" s="6">
        <f>VLOOKUP(TargetsPercent[[#This Row],[KEY]],[1]!HistoricalData[#Data],6,FALSE)</f>
        <v>0</v>
      </c>
      <c r="G112" s="5">
        <f>VLOOKUP(TargetsPercent[[#This Row],[KEY]],[1]!HistoricalData[#Data],7,FALSE)</f>
        <v>0</v>
      </c>
      <c r="H112" s="9">
        <f>AVERAGE(TargetsPercent[[#This Row],[2016–17 Historical data]],TargetsPercent[[#This Row],[2017–18 Historical data]],TargetsPercent[[#This Row],[2018–19 Historical data]])</f>
        <v>0</v>
      </c>
      <c r="I112" s="9">
        <f>ABS(TargetsPercent[[#This Row],[2016–17 Historical data]]-TargetsPercent[[#This Row],[2017–18 Historical data]])</f>
        <v>0</v>
      </c>
      <c r="J112" s="2">
        <f>ABS(TargetsPercent[[#This Row],[2017–18 Historical data]]-TargetsPercent[[#This Row],[2018–19 Historical data]])</f>
        <v>0</v>
      </c>
      <c r="K112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1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12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12" s="8" t="e">
        <f>ABS(TargetsPercent[[#This Row],[2020–21
Allowable
performance
target]]-TargetsPercent[[#This Row],[Target Floor % (calculated)]])</f>
        <v>#DIV/0!</v>
      </c>
    </row>
    <row r="113" spans="1:14" x14ac:dyDescent="0.2">
      <c r="A113" t="str">
        <f>_xlfn.CONCAT(TargetsPercent[[#This Row],[University]],":",TargetsPercent[[#This Row],[Metric]])</f>
        <v>Ryerson University:Tri-agency research funding</v>
      </c>
      <c r="B113" t="s">
        <v>38</v>
      </c>
      <c r="C113" t="s">
        <v>29</v>
      </c>
      <c r="D113" s="6">
        <f>VLOOKUP(TargetsPercent[[#This Row],[KEY]],[1]!HistoricalData[#Data],4,FALSE)</f>
        <v>11639827</v>
      </c>
      <c r="E113" s="6">
        <f>VLOOKUP(TargetsPercent[[#This Row],[KEY]],[1]!HistoricalData[#Data],5,FALSE)</f>
        <v>11781225</v>
      </c>
      <c r="F113" s="6">
        <f>VLOOKUP(TargetsPercent[[#This Row],[KEY]],[1]!HistoricalData[#Data],6,FALSE)</f>
        <v>12333060</v>
      </c>
      <c r="G113" s="5">
        <f>VLOOKUP(TargetsPercent[[#This Row],[KEY]],[1]!HistoricalData[#Data],7,FALSE)</f>
        <v>0</v>
      </c>
      <c r="H113" s="13">
        <f>AVERAGE(TargetsPercent[[#This Row],[2016–17 Historical data]],TargetsPercent[[#This Row],[2017–18 Historical data]],TargetsPercent[[#This Row],[2018–19 Historical data]])</f>
        <v>11918037.333333334</v>
      </c>
      <c r="I113" s="13">
        <f>ABS(TargetsPercent[[#This Row],[2016–17 Historical data]]-TargetsPercent[[#This Row],[2017–18 Historical data]])</f>
        <v>141398</v>
      </c>
      <c r="J113" s="12">
        <f>ABS(TargetsPercent[[#This Row],[2017–18 Historical data]]-TargetsPercent[[#This Row],[2018–19 Historical data]])</f>
        <v>551835</v>
      </c>
      <c r="K113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12059435.333333334</v>
      </c>
      <c r="L11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2.9493990272501984E-2</v>
      </c>
      <c r="M113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11703754.464920133</v>
      </c>
      <c r="N113" s="8">
        <f>ABS(TargetsPercent[[#This Row],[2020–21
Allowable
performance
target]]-TargetsPercent[[#This Row],[Target Floor % (calculated)]])</f>
        <v>11703754.464920133</v>
      </c>
    </row>
    <row r="114" spans="1:14" x14ac:dyDescent="0.2">
      <c r="A114" t="str">
        <f>_xlfn.CONCAT(TargetsPercent[[#This Row],[University]],":",TargetsPercent[[#This Row],[Metric]])</f>
        <v>Trent University:01. Graduate employment rate in a related field</v>
      </c>
      <c r="B114" t="s">
        <v>39</v>
      </c>
      <c r="C114" t="s">
        <v>19</v>
      </c>
      <c r="D114" s="6">
        <f>VLOOKUP(TargetsPercent[[#This Row],[KEY]],[1]!HistoricalData[#Data],4,FALSE)</f>
        <v>0.87680000000000002</v>
      </c>
      <c r="E114" s="6">
        <f>VLOOKUP(TargetsPercent[[#This Row],[KEY]],[1]!HistoricalData[#Data],5,FALSE)</f>
        <v>0.88360000000000005</v>
      </c>
      <c r="F114" s="6">
        <f>VLOOKUP(TargetsPercent[[#This Row],[KEY]],[1]!HistoricalData[#Data],6,FALSE)</f>
        <v>0.86780000000000002</v>
      </c>
      <c r="G114" s="5">
        <f>VLOOKUP(TargetsPercent[[#This Row],[KEY]],[1]!HistoricalData[#Data],7,FALSE)</f>
        <v>0.87150000000000005</v>
      </c>
      <c r="H114" s="2">
        <f>AVERAGE(TargetsPercent[[#This Row],[2016–17 Historical data]],TargetsPercent[[#This Row],[2017–18 Historical data]],TargetsPercent[[#This Row],[2018–19 Historical data]])</f>
        <v>0.87606666666666666</v>
      </c>
      <c r="I114" s="2">
        <f>ABS(TargetsPercent[[#This Row],[2016–17 Historical data]]-TargetsPercent[[#This Row],[2017–18 Historical data]])</f>
        <v>6.8000000000000282E-3</v>
      </c>
      <c r="J114" s="2">
        <f>ABS(TargetsPercent[[#This Row],[2017–18 Historical data]]-TargetsPercent[[#This Row],[2018–19 Historical data]])</f>
        <v>1.5800000000000036E-2</v>
      </c>
      <c r="K11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0.88286666666666669</v>
      </c>
      <c r="L11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1.2818434374308192E-2</v>
      </c>
      <c r="M11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0.87154969823873585</v>
      </c>
      <c r="N114" s="8">
        <f>ABS(TargetsPercent[[#This Row],[2020–21
Allowable
performance
target]]-TargetsPercent[[#This Row],[Target Floor % (calculated)]])</f>
        <v>4.9698238735795819E-5</v>
      </c>
    </row>
    <row r="115" spans="1:14" x14ac:dyDescent="0.2">
      <c r="A115" t="str">
        <f>_xlfn.CONCAT(TargetsPercent[[#This Row],[University]],":",TargetsPercent[[#This Row],[Metric]])</f>
        <v>Trent University:02. Institutional strength and focus</v>
      </c>
      <c r="B115" t="s">
        <v>39</v>
      </c>
      <c r="C115" t="s">
        <v>20</v>
      </c>
      <c r="D115" s="6">
        <f>VLOOKUP(TargetsPercent[[#This Row],[KEY]],[1]!HistoricalData[#Data],4,FALSE)</f>
        <v>0.15989999999999999</v>
      </c>
      <c r="E115" s="6">
        <f>VLOOKUP(TargetsPercent[[#This Row],[KEY]],[1]!HistoricalData[#Data],5,FALSE)</f>
        <v>0.1762</v>
      </c>
      <c r="F115" s="6">
        <f>VLOOKUP(TargetsPercent[[#This Row],[KEY]],[1]!HistoricalData[#Data],6,FALSE)</f>
        <v>0.1978</v>
      </c>
      <c r="G115" s="5">
        <f>VLOOKUP(TargetsPercent[[#This Row],[KEY]],[1]!HistoricalData[#Data],7,FALSE)</f>
        <v>0.1968</v>
      </c>
      <c r="H115" s="2">
        <f>AVERAGE(TargetsPercent[[#This Row],[2016–17 Historical data]],TargetsPercent[[#This Row],[2017–18 Historical data]],TargetsPercent[[#This Row],[2018–19 Historical data]])</f>
        <v>0.17796666666666663</v>
      </c>
      <c r="I115" s="2">
        <f>ABS(TargetsPercent[[#This Row],[2016–17 Historical data]]-TargetsPercent[[#This Row],[2017–18 Historical data]])</f>
        <v>1.6300000000000009E-2</v>
      </c>
      <c r="J115" s="2">
        <f>ABS(TargetsPercent[[#This Row],[2017–18 Historical data]]-TargetsPercent[[#This Row],[2018–19 Historical data]])</f>
        <v>2.1600000000000008E-2</v>
      </c>
      <c r="K11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0.19426666666666664</v>
      </c>
      <c r="L11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0.11226333995637178</v>
      </c>
      <c r="M11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0.17245764182447548</v>
      </c>
      <c r="N115" s="8">
        <f>ABS(TargetsPercent[[#This Row],[2020–21
Allowable
performance
target]]-TargetsPercent[[#This Row],[Target Floor % (calculated)]])</f>
        <v>2.434235817552452E-2</v>
      </c>
    </row>
    <row r="116" spans="1:14" x14ac:dyDescent="0.2">
      <c r="A116" t="str">
        <f>_xlfn.CONCAT(TargetsPercent[[#This Row],[University]],":",TargetsPercent[[#This Row],[Metric]])</f>
        <v>Trent University:03. Graduation rate</v>
      </c>
      <c r="B116" t="s">
        <v>39</v>
      </c>
      <c r="C116" t="s">
        <v>21</v>
      </c>
      <c r="D116" s="6">
        <f>VLOOKUP(TargetsPercent[[#This Row],[KEY]],[1]!HistoricalData[#Data],4,FALSE)</f>
        <v>0.65780000000000005</v>
      </c>
      <c r="E116" s="6">
        <f>VLOOKUP(TargetsPercent[[#This Row],[KEY]],[1]!HistoricalData[#Data],5,FALSE)</f>
        <v>0.64670000000000005</v>
      </c>
      <c r="F116" s="6">
        <f>VLOOKUP(TargetsPercent[[#This Row],[KEY]],[1]!HistoricalData[#Data],6,FALSE)</f>
        <v>0.63339999999999996</v>
      </c>
      <c r="G116" s="5">
        <f>VLOOKUP(TargetsPercent[[#This Row],[KEY]],[1]!HistoricalData[#Data],7,FALSE)</f>
        <v>0.64480000000000004</v>
      </c>
      <c r="H116" s="2">
        <f>AVERAGE(TargetsPercent[[#This Row],[2016–17 Historical data]],TargetsPercent[[#This Row],[2017–18 Historical data]],TargetsPercent[[#This Row],[2018–19 Historical data]])</f>
        <v>0.64596666666666669</v>
      </c>
      <c r="I116" s="2">
        <f>ABS(TargetsPercent[[#This Row],[2016–17 Historical data]]-TargetsPercent[[#This Row],[2017–18 Historical data]])</f>
        <v>1.1099999999999999E-2</v>
      </c>
      <c r="J116" s="2">
        <f>ABS(TargetsPercent[[#This Row],[2017–18 Historical data]]-TargetsPercent[[#This Row],[2018–19 Historical data]])</f>
        <v>1.330000000000009E-2</v>
      </c>
      <c r="K11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0.65706666666666669</v>
      </c>
      <c r="L11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1.8720190063330221E-2</v>
      </c>
      <c r="M11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0.64476625378238783</v>
      </c>
      <c r="N116" s="8">
        <f>ABS(TargetsPercent[[#This Row],[2020–21
Allowable
performance
target]]-TargetsPercent[[#This Row],[Target Floor % (calculated)]])</f>
        <v>3.3746217612207197E-5</v>
      </c>
    </row>
    <row r="117" spans="1:14" x14ac:dyDescent="0.2">
      <c r="A117" t="str">
        <f>_xlfn.CONCAT(TargetsPercent[[#This Row],[University]],":",TargetsPercent[[#This Row],[Metric]])</f>
        <v>Trent University:04. Community and local impact of student enrolment</v>
      </c>
      <c r="B117" t="s">
        <v>39</v>
      </c>
      <c r="C117" t="s">
        <v>22</v>
      </c>
      <c r="D117" s="6">
        <f>VLOOKUP(TargetsPercent[[#This Row],[KEY]],[1]!HistoricalData[#Data],4,FALSE)</f>
        <v>0.13789999999999999</v>
      </c>
      <c r="E117" s="6">
        <f>VLOOKUP(TargetsPercent[[#This Row],[KEY]],[1]!HistoricalData[#Data],5,FALSE)</f>
        <v>0.14419999999999999</v>
      </c>
      <c r="F117" s="6">
        <f>VLOOKUP(TargetsPercent[[#This Row],[KEY]],[1]!HistoricalData[#Data],6,FALSE)</f>
        <v>0.15160000000000001</v>
      </c>
      <c r="G117" s="5">
        <f>VLOOKUP(TargetsPercent[[#This Row],[KEY]],[1]!HistoricalData[#Data],7,FALSE)</f>
        <v>0.14360000000000001</v>
      </c>
      <c r="H117" s="2">
        <f>AVERAGE(TargetsPercent[[#This Row],[2016–17 Historical data]],TargetsPercent[[#This Row],[2017–18 Historical data]],TargetsPercent[[#This Row],[2018–19 Historical data]])</f>
        <v>0.14456666666666668</v>
      </c>
      <c r="I117" s="2">
        <f>ABS(TargetsPercent[[#This Row],[2016–17 Historical data]]-TargetsPercent[[#This Row],[2017–18 Historical data]])</f>
        <v>6.3E-3</v>
      </c>
      <c r="J117" s="2">
        <f>ABS(TargetsPercent[[#This Row],[2017–18 Historical data]]-TargetsPercent[[#This Row],[2018–19 Historical data]])</f>
        <v>7.4000000000000177E-3</v>
      </c>
      <c r="K11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0.15086666666666668</v>
      </c>
      <c r="L11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4.8501446806113964E-2</v>
      </c>
      <c r="M11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0.14354941505851762</v>
      </c>
      <c r="N117" s="9">
        <f>ABS(TargetsPercent[[#This Row],[2020–21
Allowable
performance
target]]-TargetsPercent[[#This Row],[Target Floor % (calculated)]])</f>
        <v>5.058494148238446E-5</v>
      </c>
    </row>
    <row r="118" spans="1:14" x14ac:dyDescent="0.2">
      <c r="A118" t="str">
        <f>_xlfn.CONCAT(TargetsPercent[[#This Row],[University]],":",TargetsPercent[[#This Row],[Metric]])</f>
        <v>Trent University:05. Economic impact (institution-specific)</v>
      </c>
      <c r="B118" t="s">
        <v>39</v>
      </c>
      <c r="C118" t="s">
        <v>23</v>
      </c>
      <c r="D118" s="6">
        <f>VLOOKUP(TargetsPercent[[#This Row],[KEY]],[1]!HistoricalData[#Data],4,FALSE)</f>
        <v>54959888</v>
      </c>
      <c r="E118" s="6">
        <f>VLOOKUP(TargetsPercent[[#This Row],[KEY]],[1]!HistoricalData[#Data],5,FALSE)</f>
        <v>60084645</v>
      </c>
      <c r="F118" s="6">
        <f>VLOOKUP(TargetsPercent[[#This Row],[KEY]],[1]!HistoricalData[#Data],6,FALSE)</f>
        <v>67062393</v>
      </c>
      <c r="G118" s="5">
        <f>VLOOKUP(TargetsPercent[[#This Row],[KEY]],[1]!HistoricalData[#Data],7,FALSE)</f>
        <v>58935717</v>
      </c>
      <c r="H118" s="10">
        <f>AVERAGE(TargetsPercent[[#This Row],[2016–17 Historical data]],TargetsPercent[[#This Row],[2017–18 Historical data]],TargetsPercent[[#This Row],[2018–19 Historical data]])</f>
        <v>60702308.666666664</v>
      </c>
      <c r="I118" s="10">
        <f>ABS(TargetsPercent[[#This Row],[2016–17 Historical data]]-TargetsPercent[[#This Row],[2017–18 Historical data]])</f>
        <v>5124757</v>
      </c>
      <c r="J118" s="12">
        <f>ABS(TargetsPercent[[#This Row],[2017–18 Historical data]]-TargetsPercent[[#This Row],[2018–19 Historical data]])</f>
        <v>6977748</v>
      </c>
      <c r="K118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65827065.666666664</v>
      </c>
      <c r="L11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0.10468868577457323</v>
      </c>
      <c r="M118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58935716.673626803</v>
      </c>
      <c r="N118" s="8">
        <f>ABS(TargetsPercent[[#This Row],[2020–21
Allowable
performance
target]]-TargetsPercent[[#This Row],[Target Floor % (calculated)]])</f>
        <v>0.32637319713830948</v>
      </c>
    </row>
    <row r="119" spans="1:14" x14ac:dyDescent="0.2">
      <c r="A119" t="str">
        <f>_xlfn.CONCAT(TargetsPercent[[#This Row],[University]],":",TargetsPercent[[#This Row],[Metric]])</f>
        <v>Trent University:06. Research funding and capacity: federal tri-agency funding secured</v>
      </c>
      <c r="B119" t="s">
        <v>39</v>
      </c>
      <c r="C119" t="s">
        <v>24</v>
      </c>
      <c r="D119" s="6">
        <f>VLOOKUP(TargetsPercent[[#This Row],[KEY]],[1]!HistoricalData[#Data],4,FALSE)</f>
        <v>6.6E-3</v>
      </c>
      <c r="E119" s="6">
        <f>VLOOKUP(TargetsPercent[[#This Row],[KEY]],[1]!HistoricalData[#Data],5,FALSE)</f>
        <v>6.4000000000000003E-3</v>
      </c>
      <c r="F119" s="6">
        <f>VLOOKUP(TargetsPercent[[#This Row],[KEY]],[1]!HistoricalData[#Data],6,FALSE)</f>
        <v>5.7999999999999996E-3</v>
      </c>
      <c r="G119" s="5">
        <f>VLOOKUP(TargetsPercent[[#This Row],[KEY]],[1]!HistoricalData[#Data],7,FALSE)</f>
        <v>6.1000000000000004E-3</v>
      </c>
      <c r="H119" s="2">
        <f>AVERAGE(TargetsPercent[[#This Row],[2016–17 Historical data]],TargetsPercent[[#This Row],[2017–18 Historical data]],TargetsPercent[[#This Row],[2018–19 Historical data]])</f>
        <v>6.2666666666666669E-3</v>
      </c>
      <c r="I119" s="2">
        <f>ABS(TargetsPercent[[#This Row],[2016–17 Historical data]]-TargetsPercent[[#This Row],[2017–18 Historical data]])</f>
        <v>1.9999999999999966E-4</v>
      </c>
      <c r="J119" s="2">
        <f>ABS(TargetsPercent[[#This Row],[2017–18 Historical data]]-TargetsPercent[[#This Row],[2018–19 Historical data]])</f>
        <v>6.0000000000000071E-4</v>
      </c>
      <c r="K11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6.4666666666666666E-3</v>
      </c>
      <c r="L11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6.202651515151518E-2</v>
      </c>
      <c r="M11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6.0655618686868687E-3</v>
      </c>
      <c r="N119" s="8">
        <f>ABS(TargetsPercent[[#This Row],[2020–21
Allowable
performance
target]]-TargetsPercent[[#This Row],[Target Floor % (calculated)]])</f>
        <v>3.4438131313131726E-5</v>
      </c>
    </row>
    <row r="120" spans="1:14" x14ac:dyDescent="0.2">
      <c r="A120" t="str">
        <f>_xlfn.CONCAT(TargetsPercent[[#This Row],[University]],":",TargetsPercent[[#This Row],[Metric]])</f>
        <v>Trent University:07. Experiential learning</v>
      </c>
      <c r="B120" t="s">
        <v>39</v>
      </c>
      <c r="C120" t="s">
        <v>25</v>
      </c>
      <c r="D120" s="6">
        <f>VLOOKUP(TargetsPercent[[#This Row],[KEY]],[1]!HistoricalData[#Data],4,FALSE)</f>
        <v>0</v>
      </c>
      <c r="E120" s="6">
        <f>VLOOKUP(TargetsPercent[[#This Row],[KEY]],[1]!HistoricalData[#Data],5,FALSE)</f>
        <v>0</v>
      </c>
      <c r="F120" s="6">
        <f>VLOOKUP(TargetsPercent[[#This Row],[KEY]],[1]!HistoricalData[#Data],6,FALSE)</f>
        <v>0</v>
      </c>
      <c r="G120" s="5">
        <f>VLOOKUP(TargetsPercent[[#This Row],[KEY]],[1]!HistoricalData[#Data],7,FALSE)</f>
        <v>0</v>
      </c>
      <c r="H120" s="9">
        <f>AVERAGE(TargetsPercent[[#This Row],[2016–17 Historical data]],TargetsPercent[[#This Row],[2017–18 Historical data]],TargetsPercent[[#This Row],[2018–19 Historical data]])</f>
        <v>0</v>
      </c>
      <c r="I120" s="9">
        <f>ABS(TargetsPercent[[#This Row],[2016–17 Historical data]]-TargetsPercent[[#This Row],[2017–18 Historical data]])</f>
        <v>0</v>
      </c>
      <c r="J120" s="2">
        <f>ABS(TargetsPercent[[#This Row],[2017–18 Historical data]]-TargetsPercent[[#This Row],[2018–19 Historical data]])</f>
        <v>0</v>
      </c>
      <c r="K12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2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2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20" s="8" t="e">
        <f>ABS(TargetsPercent[[#This Row],[2020–21
Allowable
performance
target]]-TargetsPercent[[#This Row],[Target Floor % (calculated)]])</f>
        <v>#DIV/0!</v>
      </c>
    </row>
    <row r="121" spans="1:14" x14ac:dyDescent="0.2">
      <c r="A121" t="str">
        <f>_xlfn.CONCAT(TargetsPercent[[#This Row],[University]],":",TargetsPercent[[#This Row],[Metric]])</f>
        <v>Trent University:08. Research revenue attracted from private sector sources</v>
      </c>
      <c r="B121" t="s">
        <v>39</v>
      </c>
      <c r="C121" t="s">
        <v>26</v>
      </c>
      <c r="D121" s="6">
        <f>VLOOKUP(TargetsPercent[[#This Row],[KEY]],[1]!HistoricalData[#Data],4,FALSE)</f>
        <v>0</v>
      </c>
      <c r="E121" s="6">
        <f>VLOOKUP(TargetsPercent[[#This Row],[KEY]],[1]!HistoricalData[#Data],5,FALSE)</f>
        <v>0</v>
      </c>
      <c r="F121" s="6">
        <f>VLOOKUP(TargetsPercent[[#This Row],[KEY]],[1]!HistoricalData[#Data],6,FALSE)</f>
        <v>0</v>
      </c>
      <c r="G121" s="5">
        <f>VLOOKUP(TargetsPercent[[#This Row],[KEY]],[1]!HistoricalData[#Data],7,FALSE)</f>
        <v>0</v>
      </c>
      <c r="H121" s="9">
        <f>AVERAGE(TargetsPercent[[#This Row],[2016–17 Historical data]],TargetsPercent[[#This Row],[2017–18 Historical data]],TargetsPercent[[#This Row],[2018–19 Historical data]])</f>
        <v>0</v>
      </c>
      <c r="I121" s="9">
        <f>ABS(TargetsPercent[[#This Row],[2016–17 Historical data]]-TargetsPercent[[#This Row],[2017–18 Historical data]])</f>
        <v>0</v>
      </c>
      <c r="J121" s="2">
        <f>ABS(TargetsPercent[[#This Row],[2017–18 Historical data]]-TargetsPercent[[#This Row],[2018–19 Historical data]])</f>
        <v>0</v>
      </c>
      <c r="K12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2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2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21" s="8" t="e">
        <f>ABS(TargetsPercent[[#This Row],[2020–21
Allowable
performance
target]]-TargetsPercent[[#This Row],[Target Floor % (calculated)]])</f>
        <v>#DIV/0!</v>
      </c>
    </row>
    <row r="122" spans="1:14" x14ac:dyDescent="0.2">
      <c r="A122" t="str">
        <f>_xlfn.CONCAT(TargetsPercent[[#This Row],[University]],":",TargetsPercent[[#This Row],[Metric]])</f>
        <v>Trent University:09. Graduate employment earnings</v>
      </c>
      <c r="B122" t="s">
        <v>39</v>
      </c>
      <c r="C122" t="s">
        <v>27</v>
      </c>
      <c r="D122" s="6">
        <f>VLOOKUP(TargetsPercent[[#This Row],[KEY]],[1]!HistoricalData[#Data],4,FALSE)</f>
        <v>0</v>
      </c>
      <c r="E122" s="6">
        <f>VLOOKUP(TargetsPercent[[#This Row],[KEY]],[1]!HistoricalData[#Data],5,FALSE)</f>
        <v>0</v>
      </c>
      <c r="F122" s="6">
        <f>VLOOKUP(TargetsPercent[[#This Row],[KEY]],[1]!HistoricalData[#Data],6,FALSE)</f>
        <v>0</v>
      </c>
      <c r="G122" s="5">
        <f>VLOOKUP(TargetsPercent[[#This Row],[KEY]],[1]!HistoricalData[#Data],7,FALSE)</f>
        <v>0</v>
      </c>
      <c r="H122" s="9">
        <f>AVERAGE(TargetsPercent[[#This Row],[2016–17 Historical data]],TargetsPercent[[#This Row],[2017–18 Historical data]],TargetsPercent[[#This Row],[2018–19 Historical data]])</f>
        <v>0</v>
      </c>
      <c r="I122" s="9">
        <f>ABS(TargetsPercent[[#This Row],[2016–17 Historical data]]-TargetsPercent[[#This Row],[2017–18 Historical data]])</f>
        <v>0</v>
      </c>
      <c r="J122" s="2">
        <f>ABS(TargetsPercent[[#This Row],[2017–18 Historical data]]-TargetsPercent[[#This Row],[2018–19 Historical data]])</f>
        <v>0</v>
      </c>
      <c r="K122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2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22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22" s="8" t="e">
        <f>ABS(TargetsPercent[[#This Row],[2020–21
Allowable
performance
target]]-TargetsPercent[[#This Row],[Target Floor % (calculated)]])</f>
        <v>#DIV/0!</v>
      </c>
    </row>
    <row r="123" spans="1:14" x14ac:dyDescent="0.2">
      <c r="A123" t="str">
        <f>_xlfn.CONCAT(TargetsPercent[[#This Row],[University]],":",TargetsPercent[[#This Row],[Metric]])</f>
        <v>Trent University:10. Skills and competencies</v>
      </c>
      <c r="B123" t="s">
        <v>39</v>
      </c>
      <c r="C123" t="s">
        <v>28</v>
      </c>
      <c r="D123" s="6">
        <f>VLOOKUP(TargetsPercent[[#This Row],[KEY]],[1]!HistoricalData[#Data],4,FALSE)</f>
        <v>0</v>
      </c>
      <c r="E123" s="6">
        <f>VLOOKUP(TargetsPercent[[#This Row],[KEY]],[1]!HistoricalData[#Data],5,FALSE)</f>
        <v>0</v>
      </c>
      <c r="F123" s="6">
        <f>VLOOKUP(TargetsPercent[[#This Row],[KEY]],[1]!HistoricalData[#Data],6,FALSE)</f>
        <v>0</v>
      </c>
      <c r="G123" s="5">
        <f>VLOOKUP(TargetsPercent[[#This Row],[KEY]],[1]!HistoricalData[#Data],7,FALSE)</f>
        <v>0</v>
      </c>
      <c r="H123" s="9">
        <f>AVERAGE(TargetsPercent[[#This Row],[2016–17 Historical data]],TargetsPercent[[#This Row],[2017–18 Historical data]],TargetsPercent[[#This Row],[2018–19 Historical data]])</f>
        <v>0</v>
      </c>
      <c r="I123" s="9">
        <f>ABS(TargetsPercent[[#This Row],[2016–17 Historical data]]-TargetsPercent[[#This Row],[2017–18 Historical data]])</f>
        <v>0</v>
      </c>
      <c r="J123" s="2">
        <f>ABS(TargetsPercent[[#This Row],[2017–18 Historical data]]-TargetsPercent[[#This Row],[2018–19 Historical data]])</f>
        <v>0</v>
      </c>
      <c r="K12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2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23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23" s="8" t="e">
        <f>ABS(TargetsPercent[[#This Row],[2020–21
Allowable
performance
target]]-TargetsPercent[[#This Row],[Target Floor % (calculated)]])</f>
        <v>#DIV/0!</v>
      </c>
    </row>
    <row r="124" spans="1:14" x14ac:dyDescent="0.2">
      <c r="A124" t="str">
        <f>_xlfn.CONCAT(TargetsPercent[[#This Row],[University]],":",TargetsPercent[[#This Row],[Metric]])</f>
        <v>Trent University:Tri-agency research funding</v>
      </c>
      <c r="B124" t="s">
        <v>39</v>
      </c>
      <c r="C124" t="s">
        <v>29</v>
      </c>
      <c r="D124" s="6">
        <f>VLOOKUP(TargetsPercent[[#This Row],[KEY]],[1]!HistoricalData[#Data],4,FALSE)</f>
        <v>4234733</v>
      </c>
      <c r="E124" s="6">
        <f>VLOOKUP(TargetsPercent[[#This Row],[KEY]],[1]!HistoricalData[#Data],5,FALSE)</f>
        <v>4236184</v>
      </c>
      <c r="F124" s="6">
        <f>VLOOKUP(TargetsPercent[[#This Row],[KEY]],[1]!HistoricalData[#Data],6,FALSE)</f>
        <v>3905703</v>
      </c>
      <c r="G124" s="5">
        <f>VLOOKUP(TargetsPercent[[#This Row],[KEY]],[1]!HistoricalData[#Data],7,FALSE)</f>
        <v>0</v>
      </c>
      <c r="H124" s="13">
        <f>AVERAGE(TargetsPercent[[#This Row],[2016–17 Historical data]],TargetsPercent[[#This Row],[2017–18 Historical data]],TargetsPercent[[#This Row],[2018–19 Historical data]])</f>
        <v>4125540</v>
      </c>
      <c r="I124" s="13">
        <f>ABS(TargetsPercent[[#This Row],[2016–17 Historical data]]-TargetsPercent[[#This Row],[2017–18 Historical data]])</f>
        <v>1451</v>
      </c>
      <c r="J124" s="12">
        <f>ABS(TargetsPercent[[#This Row],[2017–18 Historical data]]-TargetsPercent[[#This Row],[2018–19 Historical data]])</f>
        <v>330481</v>
      </c>
      <c r="K124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4126991</v>
      </c>
      <c r="L12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3.9178243576581916E-2</v>
      </c>
      <c r="M124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3965302.7413636385</v>
      </c>
      <c r="N124" s="8">
        <f>ABS(TargetsPercent[[#This Row],[2020–21
Allowable
performance
target]]-TargetsPercent[[#This Row],[Target Floor % (calculated)]])</f>
        <v>3965302.7413636385</v>
      </c>
    </row>
    <row r="125" spans="1:14" x14ac:dyDescent="0.2">
      <c r="A125" t="str">
        <f>_xlfn.CONCAT(TargetsPercent[[#This Row],[University]],":",TargetsPercent[[#This Row],[Metric]])</f>
        <v>Université de Hearst:01. Graduate employment rate in a related field</v>
      </c>
      <c r="B125" t="s">
        <v>40</v>
      </c>
      <c r="C125" t="s">
        <v>19</v>
      </c>
      <c r="D125" s="6">
        <f>VLOOKUP(TargetsPercent[[#This Row],[KEY]],[1]!HistoricalData[#Data],4,FALSE)</f>
        <v>0.9</v>
      </c>
      <c r="E125" s="6">
        <f>VLOOKUP(TargetsPercent[[#This Row],[KEY]],[1]!HistoricalData[#Data],5,FALSE)</f>
        <v>1</v>
      </c>
      <c r="F125" s="6">
        <f>VLOOKUP(TargetsPercent[[#This Row],[KEY]],[1]!HistoricalData[#Data],6,FALSE)</f>
        <v>0.71430000000000005</v>
      </c>
      <c r="G125" s="5">
        <f>VLOOKUP(TargetsPercent[[#This Row],[KEY]],[1]!HistoricalData[#Data],7,FALSE)</f>
        <v>0.77869999999999995</v>
      </c>
      <c r="H125" s="2">
        <f>AVERAGE(TargetsPercent[[#This Row],[2016–17 Historical data]],TargetsPercent[[#This Row],[2017–18 Historical data]],TargetsPercent[[#This Row],[2018–19 Historical data]])</f>
        <v>0.87143333333333339</v>
      </c>
      <c r="I125" s="2">
        <f>ABS(TargetsPercent[[#This Row],[2016–17 Historical data]]-TargetsPercent[[#This Row],[2017–18 Historical data]])</f>
        <v>9.9999999999999978E-2</v>
      </c>
      <c r="J125" s="2">
        <f>ABS(TargetsPercent[[#This Row],[2017–18 Historical data]]-TargetsPercent[[#This Row],[2018–19 Historical data]])</f>
        <v>0.28569999999999995</v>
      </c>
      <c r="K12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0.97143333333333337</v>
      </c>
      <c r="L12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0.1984055555555555</v>
      </c>
      <c r="M12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0.77869556314814825</v>
      </c>
      <c r="N125" s="8">
        <f>ABS(TargetsPercent[[#This Row],[2020–21
Allowable
performance
target]]-TargetsPercent[[#This Row],[Target Floor % (calculated)]])</f>
        <v>4.4368518516968436E-6</v>
      </c>
    </row>
    <row r="126" spans="1:14" x14ac:dyDescent="0.2">
      <c r="A126" t="str">
        <f>_xlfn.CONCAT(TargetsPercent[[#This Row],[University]],":",TargetsPercent[[#This Row],[Metric]])</f>
        <v>Université de Hearst:02. Institutional strength and focus</v>
      </c>
      <c r="B126" t="s">
        <v>40</v>
      </c>
      <c r="C126" t="s">
        <v>20</v>
      </c>
      <c r="D126" s="6">
        <f>VLOOKUP(TargetsPercent[[#This Row],[KEY]],[1]!HistoricalData[#Data],4,FALSE)</f>
        <v>0.31890000000000002</v>
      </c>
      <c r="E126" s="6">
        <f>VLOOKUP(TargetsPercent[[#This Row],[KEY]],[1]!HistoricalData[#Data],5,FALSE)</f>
        <v>0.27239999999999998</v>
      </c>
      <c r="F126" s="6">
        <f>VLOOKUP(TargetsPercent[[#This Row],[KEY]],[1]!HistoricalData[#Data],6,FALSE)</f>
        <v>0.36130000000000001</v>
      </c>
      <c r="G126" s="5">
        <f>VLOOKUP(TargetsPercent[[#This Row],[KEY]],[1]!HistoricalData[#Data],7,FALSE)</f>
        <v>0.33779999999999999</v>
      </c>
      <c r="H126" s="2">
        <f>AVERAGE(TargetsPercent[[#This Row],[2016–17 Historical data]],TargetsPercent[[#This Row],[2017–18 Historical data]],TargetsPercent[[#This Row],[2018–19 Historical data]])</f>
        <v>0.31753333333333328</v>
      </c>
      <c r="I126" s="2">
        <f>ABS(TargetsPercent[[#This Row],[2016–17 Historical data]]-TargetsPercent[[#This Row],[2017–18 Historical data]])</f>
        <v>4.6500000000000041E-2</v>
      </c>
      <c r="J126" s="2">
        <f>ABS(TargetsPercent[[#This Row],[2017–18 Historical data]]-TargetsPercent[[#This Row],[2018–19 Historical data]])</f>
        <v>8.8900000000000035E-2</v>
      </c>
      <c r="K12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0.36403333333333332</v>
      </c>
      <c r="L12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0.23608601566784515</v>
      </c>
      <c r="M12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0.2780901540963821</v>
      </c>
      <c r="N126" s="8">
        <f>ABS(TargetsPercent[[#This Row],[2020–21
Allowable
performance
target]]-TargetsPercent[[#This Row],[Target Floor % (calculated)]])</f>
        <v>5.9709845903617886E-2</v>
      </c>
    </row>
    <row r="127" spans="1:14" x14ac:dyDescent="0.2">
      <c r="A127" t="str">
        <f>_xlfn.CONCAT(TargetsPercent[[#This Row],[University]],":",TargetsPercent[[#This Row],[Metric]])</f>
        <v>Université de Hearst:03. Graduation rate</v>
      </c>
      <c r="B127" t="s">
        <v>40</v>
      </c>
      <c r="C127" t="s">
        <v>21</v>
      </c>
      <c r="D127" s="6">
        <f>VLOOKUP(TargetsPercent[[#This Row],[KEY]],[1]!HistoricalData[#Data],4,FALSE)</f>
        <v>0.35709999999999997</v>
      </c>
      <c r="E127" s="6">
        <f>VLOOKUP(TargetsPercent[[#This Row],[KEY]],[1]!HistoricalData[#Data],5,FALSE)</f>
        <v>0.5</v>
      </c>
      <c r="F127" s="6">
        <f>VLOOKUP(TargetsPercent[[#This Row],[KEY]],[1]!HistoricalData[#Data],6,FALSE)</f>
        <v>0.54049999999999998</v>
      </c>
      <c r="G127" s="5">
        <f>VLOOKUP(TargetsPercent[[#This Row],[KEY]],[1]!HistoricalData[#Data],7,FALSE)</f>
        <v>0.3846</v>
      </c>
      <c r="H127" s="2">
        <f>AVERAGE(TargetsPercent[[#This Row],[2016–17 Historical data]],TargetsPercent[[#This Row],[2017–18 Historical data]],TargetsPercent[[#This Row],[2018–19 Historical data]])</f>
        <v>0.46586666666666665</v>
      </c>
      <c r="I127" s="2">
        <f>ABS(TargetsPercent[[#This Row],[2016–17 Historical data]]-TargetsPercent[[#This Row],[2017–18 Historical data]])</f>
        <v>0.14290000000000003</v>
      </c>
      <c r="J127" s="2">
        <f>ABS(TargetsPercent[[#This Row],[2017–18 Historical data]]-TargetsPercent[[#This Row],[2018–19 Historical data]])</f>
        <v>4.049999999999998E-2</v>
      </c>
      <c r="K12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0.50636666666666663</v>
      </c>
      <c r="L12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0.24058401008120978</v>
      </c>
      <c r="M12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0.38454294342854473</v>
      </c>
      <c r="N127" s="8">
        <f>ABS(TargetsPercent[[#This Row],[2020–21
Allowable
performance
target]]-TargetsPercent[[#This Row],[Target Floor % (calculated)]])</f>
        <v>5.7056571455271765E-5</v>
      </c>
    </row>
    <row r="128" spans="1:14" x14ac:dyDescent="0.2">
      <c r="A128" t="str">
        <f>_xlfn.CONCAT(TargetsPercent[[#This Row],[University]],":",TargetsPercent[[#This Row],[Metric]])</f>
        <v>Université de Hearst:04. Community and local impact of student enrolment</v>
      </c>
      <c r="B128" t="s">
        <v>40</v>
      </c>
      <c r="C128" t="s">
        <v>22</v>
      </c>
      <c r="D128" s="6">
        <f>VLOOKUP(TargetsPercent[[#This Row],[KEY]],[1]!HistoricalData[#Data],4,FALSE)</f>
        <v>5.0200000000000002E-2</v>
      </c>
      <c r="E128" s="6">
        <f>VLOOKUP(TargetsPercent[[#This Row],[KEY]],[1]!HistoricalData[#Data],5,FALSE)</f>
        <v>5.1299999999999998E-2</v>
      </c>
      <c r="F128" s="6">
        <f>VLOOKUP(TargetsPercent[[#This Row],[KEY]],[1]!HistoricalData[#Data],6,FALSE)</f>
        <v>5.96E-2</v>
      </c>
      <c r="G128" s="5">
        <f>VLOOKUP(TargetsPercent[[#This Row],[KEY]],[1]!HistoricalData[#Data],7,FALSE)</f>
        <v>4.9700000000000001E-2</v>
      </c>
      <c r="H128" s="2">
        <f>AVERAGE(TargetsPercent[[#This Row],[2016–17 Historical data]],TargetsPercent[[#This Row],[2017–18 Historical data]],TargetsPercent[[#This Row],[2018–19 Historical data]])</f>
        <v>5.3700000000000005E-2</v>
      </c>
      <c r="I128" s="2">
        <f>ABS(TargetsPercent[[#This Row],[2016–17 Historical data]]-TargetsPercent[[#This Row],[2017–18 Historical data]])</f>
        <v>1.0999999999999968E-3</v>
      </c>
      <c r="J128" s="2">
        <f>ABS(TargetsPercent[[#This Row],[2017–18 Historical data]]-TargetsPercent[[#This Row],[2018–19 Historical data]])</f>
        <v>8.3000000000000018E-3</v>
      </c>
      <c r="K12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5.4800000000000001E-2</v>
      </c>
      <c r="L12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9.1852861458648821E-2</v>
      </c>
      <c r="M12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5.0200000000000002E-2</v>
      </c>
      <c r="N128" s="9">
        <f>ABS(TargetsPercent[[#This Row],[2020–21
Allowable
performance
target]]-TargetsPercent[[#This Row],[Target Floor % (calculated)]])</f>
        <v>5.0000000000000044E-4</v>
      </c>
    </row>
    <row r="129" spans="1:14" x14ac:dyDescent="0.2">
      <c r="A129" t="str">
        <f>_xlfn.CONCAT(TargetsPercent[[#This Row],[University]],":",TargetsPercent[[#This Row],[Metric]])</f>
        <v>Université de Hearst:05. Economic impact (institution-specific)</v>
      </c>
      <c r="B129" t="s">
        <v>40</v>
      </c>
      <c r="C129" t="s">
        <v>23</v>
      </c>
      <c r="D129" s="6">
        <f>VLOOKUP(TargetsPercent[[#This Row],[KEY]],[1]!HistoricalData[#Data],4,FALSE)</f>
        <v>5.4</v>
      </c>
      <c r="E129" s="6">
        <f>VLOOKUP(TargetsPercent[[#This Row],[KEY]],[1]!HistoricalData[#Data],5,FALSE)</f>
        <v>5.5</v>
      </c>
      <c r="F129" s="6">
        <f>VLOOKUP(TargetsPercent[[#This Row],[KEY]],[1]!HistoricalData[#Data],6,FALSE)</f>
        <v>6.3</v>
      </c>
      <c r="G129" s="5">
        <f>VLOOKUP(TargetsPercent[[#This Row],[KEY]],[1]!HistoricalData[#Data],7,FALSE)</f>
        <v>5.36</v>
      </c>
      <c r="H129" s="11">
        <f>AVERAGE(TargetsPercent[[#This Row],[2016–17 Historical data]],TargetsPercent[[#This Row],[2017–18 Historical data]],TargetsPercent[[#This Row],[2018–19 Historical data]])</f>
        <v>5.7333333333333334</v>
      </c>
      <c r="I129" s="11">
        <f>ABS(TargetsPercent[[#This Row],[2016–17 Historical data]]-TargetsPercent[[#This Row],[2017–18 Historical data]])</f>
        <v>9.9999999999999645E-2</v>
      </c>
      <c r="J129" s="11">
        <f>ABS(TargetsPercent[[#This Row],[2017–18 Historical data]]-TargetsPercent[[#This Row],[2018–19 Historical data]])</f>
        <v>0.79999999999999982</v>
      </c>
      <c r="K129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5.833333333333333</v>
      </c>
      <c r="L12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8.1986531986531941E-2</v>
      </c>
      <c r="M129" s="15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5.4</v>
      </c>
      <c r="N129" s="8">
        <f>ABS(TargetsPercent[[#This Row],[2020–21
Allowable
performance
target]]-TargetsPercent[[#This Row],[Target Floor % (calculated)]])</f>
        <v>4.0000000000000036E-2</v>
      </c>
    </row>
    <row r="130" spans="1:14" x14ac:dyDescent="0.2">
      <c r="A130" t="str">
        <f>_xlfn.CONCAT(TargetsPercent[[#This Row],[University]],":",TargetsPercent[[#This Row],[Metric]])</f>
        <v>Université de Hearst:06. Research funding and capacity: federal tri-agency funding secured</v>
      </c>
      <c r="B130" t="s">
        <v>40</v>
      </c>
      <c r="C130" t="s">
        <v>24</v>
      </c>
      <c r="D130" s="6">
        <f>VLOOKUP(TargetsPercent[[#This Row],[KEY]],[1]!HistoricalData[#Data],4,FALSE)</f>
        <v>0</v>
      </c>
      <c r="E130" s="6">
        <f>VLOOKUP(TargetsPercent[[#This Row],[KEY]],[1]!HistoricalData[#Data],5,FALSE)</f>
        <v>0</v>
      </c>
      <c r="F130" s="6">
        <f>VLOOKUP(TargetsPercent[[#This Row],[KEY]],[1]!HistoricalData[#Data],6,FALSE)</f>
        <v>0</v>
      </c>
      <c r="G130" s="5">
        <f>VLOOKUP(TargetsPercent[[#This Row],[KEY]],[1]!HistoricalData[#Data],7,FALSE)</f>
        <v>0</v>
      </c>
      <c r="H130" s="8">
        <f>AVERAGE(TargetsPercent[[#This Row],[2016–17 Historical data]],TargetsPercent[[#This Row],[2017–18 Historical data]],TargetsPercent[[#This Row],[2018–19 Historical data]])</f>
        <v>0</v>
      </c>
      <c r="I130" s="8">
        <f>ABS(TargetsPercent[[#This Row],[2016–17 Historical data]]-TargetsPercent[[#This Row],[2017–18 Historical data]])</f>
        <v>0</v>
      </c>
      <c r="J130" s="12">
        <f>ABS(TargetsPercent[[#This Row],[2017–18 Historical data]]-TargetsPercent[[#This Row],[2018–19 Historical data]])</f>
        <v>0</v>
      </c>
      <c r="K130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0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0" s="8" t="e">
        <f>ABS(TargetsPercent[[#This Row],[2020–21
Allowable
performance
target]]-TargetsPercent[[#This Row],[Target Floor % (calculated)]])</f>
        <v>#DIV/0!</v>
      </c>
    </row>
    <row r="131" spans="1:14" x14ac:dyDescent="0.2">
      <c r="A131" t="str">
        <f>_xlfn.CONCAT(TargetsPercent[[#This Row],[University]],":",TargetsPercent[[#This Row],[Metric]])</f>
        <v>Université de Hearst:07. Experiential learning</v>
      </c>
      <c r="B131" t="s">
        <v>40</v>
      </c>
      <c r="C131" t="s">
        <v>25</v>
      </c>
      <c r="D131" s="6">
        <f>VLOOKUP(TargetsPercent[[#This Row],[KEY]],[1]!HistoricalData[#Data],4,FALSE)</f>
        <v>0</v>
      </c>
      <c r="E131" s="6">
        <f>VLOOKUP(TargetsPercent[[#This Row],[KEY]],[1]!HistoricalData[#Data],5,FALSE)</f>
        <v>0</v>
      </c>
      <c r="F131" s="6">
        <f>VLOOKUP(TargetsPercent[[#This Row],[KEY]],[1]!HistoricalData[#Data],6,FALSE)</f>
        <v>0</v>
      </c>
      <c r="G131" s="5">
        <f>VLOOKUP(TargetsPercent[[#This Row],[KEY]],[1]!HistoricalData[#Data],7,FALSE)</f>
        <v>0</v>
      </c>
      <c r="H131" s="8">
        <f>AVERAGE(TargetsPercent[[#This Row],[2016–17 Historical data]],TargetsPercent[[#This Row],[2017–18 Historical data]],TargetsPercent[[#This Row],[2018–19 Historical data]])</f>
        <v>0</v>
      </c>
      <c r="I131" s="8">
        <f>ABS(TargetsPercent[[#This Row],[2016–17 Historical data]]-TargetsPercent[[#This Row],[2017–18 Historical data]])</f>
        <v>0</v>
      </c>
      <c r="J131" s="12">
        <f>ABS(TargetsPercent[[#This Row],[2017–18 Historical data]]-TargetsPercent[[#This Row],[2018–19 Historical data]])</f>
        <v>0</v>
      </c>
      <c r="K131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1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1" s="8" t="e">
        <f>ABS(TargetsPercent[[#This Row],[2020–21
Allowable
performance
target]]-TargetsPercent[[#This Row],[Target Floor % (calculated)]])</f>
        <v>#DIV/0!</v>
      </c>
    </row>
    <row r="132" spans="1:14" x14ac:dyDescent="0.2">
      <c r="A132" t="str">
        <f>_xlfn.CONCAT(TargetsPercent[[#This Row],[University]],":",TargetsPercent[[#This Row],[Metric]])</f>
        <v>Université de Hearst:08. Research revenue attracted from private sector sources</v>
      </c>
      <c r="B132" t="s">
        <v>40</v>
      </c>
      <c r="C132" t="s">
        <v>26</v>
      </c>
      <c r="D132" s="6">
        <f>VLOOKUP(TargetsPercent[[#This Row],[KEY]],[1]!HistoricalData[#Data],4,FALSE)</f>
        <v>0</v>
      </c>
      <c r="E132" s="6">
        <f>VLOOKUP(TargetsPercent[[#This Row],[KEY]],[1]!HistoricalData[#Data],5,FALSE)</f>
        <v>0</v>
      </c>
      <c r="F132" s="6">
        <f>VLOOKUP(TargetsPercent[[#This Row],[KEY]],[1]!HistoricalData[#Data],6,FALSE)</f>
        <v>0</v>
      </c>
      <c r="G132" s="5">
        <f>VLOOKUP(TargetsPercent[[#This Row],[KEY]],[1]!HistoricalData[#Data],7,FALSE)</f>
        <v>0</v>
      </c>
      <c r="H132" s="8">
        <f>AVERAGE(TargetsPercent[[#This Row],[2016–17 Historical data]],TargetsPercent[[#This Row],[2017–18 Historical data]],TargetsPercent[[#This Row],[2018–19 Historical data]])</f>
        <v>0</v>
      </c>
      <c r="I132" s="8">
        <f>ABS(TargetsPercent[[#This Row],[2016–17 Historical data]]-TargetsPercent[[#This Row],[2017–18 Historical data]])</f>
        <v>0</v>
      </c>
      <c r="J132" s="12">
        <f>ABS(TargetsPercent[[#This Row],[2017–18 Historical data]]-TargetsPercent[[#This Row],[2018–19 Historical data]])</f>
        <v>0</v>
      </c>
      <c r="K132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2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2" s="8" t="e">
        <f>ABS(TargetsPercent[[#This Row],[2020–21
Allowable
performance
target]]-TargetsPercent[[#This Row],[Target Floor % (calculated)]])</f>
        <v>#DIV/0!</v>
      </c>
    </row>
    <row r="133" spans="1:14" x14ac:dyDescent="0.2">
      <c r="A133" t="str">
        <f>_xlfn.CONCAT(TargetsPercent[[#This Row],[University]],":",TargetsPercent[[#This Row],[Metric]])</f>
        <v>Université de Hearst:09. Graduate employment earnings</v>
      </c>
      <c r="B133" t="s">
        <v>40</v>
      </c>
      <c r="C133" t="s">
        <v>27</v>
      </c>
      <c r="D133" s="6">
        <f>VLOOKUP(TargetsPercent[[#This Row],[KEY]],[1]!HistoricalData[#Data],4,FALSE)</f>
        <v>0</v>
      </c>
      <c r="E133" s="6">
        <f>VLOOKUP(TargetsPercent[[#This Row],[KEY]],[1]!HistoricalData[#Data],5,FALSE)</f>
        <v>0</v>
      </c>
      <c r="F133" s="6">
        <f>VLOOKUP(TargetsPercent[[#This Row],[KEY]],[1]!HistoricalData[#Data],6,FALSE)</f>
        <v>0</v>
      </c>
      <c r="G133" s="5">
        <f>VLOOKUP(TargetsPercent[[#This Row],[KEY]],[1]!HistoricalData[#Data],7,FALSE)</f>
        <v>0</v>
      </c>
      <c r="H133" s="8">
        <f>AVERAGE(TargetsPercent[[#This Row],[2016–17 Historical data]],TargetsPercent[[#This Row],[2017–18 Historical data]],TargetsPercent[[#This Row],[2018–19 Historical data]])</f>
        <v>0</v>
      </c>
      <c r="I133" s="8">
        <f>ABS(TargetsPercent[[#This Row],[2016–17 Historical data]]-TargetsPercent[[#This Row],[2017–18 Historical data]])</f>
        <v>0</v>
      </c>
      <c r="J133" s="12">
        <f>ABS(TargetsPercent[[#This Row],[2017–18 Historical data]]-TargetsPercent[[#This Row],[2018–19 Historical data]])</f>
        <v>0</v>
      </c>
      <c r="K133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3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3" s="8" t="e">
        <f>ABS(TargetsPercent[[#This Row],[2020–21
Allowable
performance
target]]-TargetsPercent[[#This Row],[Target Floor % (calculated)]])</f>
        <v>#DIV/0!</v>
      </c>
    </row>
    <row r="134" spans="1:14" x14ac:dyDescent="0.2">
      <c r="A134" t="str">
        <f>_xlfn.CONCAT(TargetsPercent[[#This Row],[University]],":",TargetsPercent[[#This Row],[Metric]])</f>
        <v>Université de Hearst:10. Skills and competencies</v>
      </c>
      <c r="B134" t="s">
        <v>40</v>
      </c>
      <c r="C134" t="s">
        <v>28</v>
      </c>
      <c r="D134" s="6">
        <f>VLOOKUP(TargetsPercent[[#This Row],[KEY]],[1]!HistoricalData[#Data],4,FALSE)</f>
        <v>0</v>
      </c>
      <c r="E134" s="6">
        <f>VLOOKUP(TargetsPercent[[#This Row],[KEY]],[1]!HistoricalData[#Data],5,FALSE)</f>
        <v>0</v>
      </c>
      <c r="F134" s="6">
        <f>VLOOKUP(TargetsPercent[[#This Row],[KEY]],[1]!HistoricalData[#Data],6,FALSE)</f>
        <v>0</v>
      </c>
      <c r="G134" s="5">
        <f>VLOOKUP(TargetsPercent[[#This Row],[KEY]],[1]!HistoricalData[#Data],7,FALSE)</f>
        <v>0</v>
      </c>
      <c r="H134" s="8">
        <f>AVERAGE(TargetsPercent[[#This Row],[2016–17 Historical data]],TargetsPercent[[#This Row],[2017–18 Historical data]],TargetsPercent[[#This Row],[2018–19 Historical data]])</f>
        <v>0</v>
      </c>
      <c r="I134" s="8">
        <f>ABS(TargetsPercent[[#This Row],[2016–17 Historical data]]-TargetsPercent[[#This Row],[2017–18 Historical data]])</f>
        <v>0</v>
      </c>
      <c r="J134" s="12">
        <f>ABS(TargetsPercent[[#This Row],[2017–18 Historical data]]-TargetsPercent[[#This Row],[2018–19 Historical data]])</f>
        <v>0</v>
      </c>
      <c r="K134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4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4" s="8" t="e">
        <f>ABS(TargetsPercent[[#This Row],[2020–21
Allowable
performance
target]]-TargetsPercent[[#This Row],[Target Floor % (calculated)]])</f>
        <v>#DIV/0!</v>
      </c>
    </row>
    <row r="135" spans="1:14" x14ac:dyDescent="0.2">
      <c r="A135" t="str">
        <f>_xlfn.CONCAT(TargetsPercent[[#This Row],[University]],":",TargetsPercent[[#This Row],[Metric]])</f>
        <v>Université de Hearst:Tri-agency research funding</v>
      </c>
      <c r="B135" t="s">
        <v>40</v>
      </c>
      <c r="C135" t="s">
        <v>29</v>
      </c>
      <c r="D135" s="6">
        <f>VLOOKUP(TargetsPercent[[#This Row],[KEY]],[1]!HistoricalData[#Data],4,FALSE)</f>
        <v>0</v>
      </c>
      <c r="E135" s="6">
        <f>VLOOKUP(TargetsPercent[[#This Row],[KEY]],[1]!HistoricalData[#Data],5,FALSE)</f>
        <v>0</v>
      </c>
      <c r="F135" s="6">
        <f>VLOOKUP(TargetsPercent[[#This Row],[KEY]],[1]!HistoricalData[#Data],6,FALSE)</f>
        <v>0</v>
      </c>
      <c r="G135" s="5">
        <f>VLOOKUP(TargetsPercent[[#This Row],[KEY]],[1]!HistoricalData[#Data],7,FALSE)</f>
        <v>0</v>
      </c>
      <c r="H135" s="8">
        <f>AVERAGE(TargetsPercent[[#This Row],[2016–17 Historical data]],TargetsPercent[[#This Row],[2017–18 Historical data]],TargetsPercent[[#This Row],[2018–19 Historical data]])</f>
        <v>0</v>
      </c>
      <c r="I135" s="8">
        <f>ABS(TargetsPercent[[#This Row],[2016–17 Historical data]]-TargetsPercent[[#This Row],[2017–18 Historical data]])</f>
        <v>0</v>
      </c>
      <c r="J135" s="12">
        <f>ABS(TargetsPercent[[#This Row],[2017–18 Historical data]]-TargetsPercent[[#This Row],[2018–19 Historical data]])</f>
        <v>0</v>
      </c>
      <c r="K135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3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35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35" s="8" t="e">
        <f>ABS(TargetsPercent[[#This Row],[2020–21
Allowable
performance
target]]-TargetsPercent[[#This Row],[Target Floor % (calculated)]])</f>
        <v>#DIV/0!</v>
      </c>
    </row>
    <row r="136" spans="1:14" x14ac:dyDescent="0.2">
      <c r="A136" t="str">
        <f>_xlfn.CONCAT(TargetsPercent[[#This Row],[University]],":",TargetsPercent[[#This Row],[Metric]])</f>
        <v>University of Guelph:01. Graduate employment rate in a related field</v>
      </c>
      <c r="B136" t="s">
        <v>41</v>
      </c>
      <c r="C136" t="s">
        <v>19</v>
      </c>
      <c r="D136" s="6">
        <f>VLOOKUP(TargetsPercent[[#This Row],[KEY]],[1]!HistoricalData[#Data],4,FALSE)</f>
        <v>0.87580000000000002</v>
      </c>
      <c r="E136" s="6">
        <f>VLOOKUP(TargetsPercent[[#This Row],[KEY]],[1]!HistoricalData[#Data],5,FALSE)</f>
        <v>0.88770000000000004</v>
      </c>
      <c r="F136" s="6">
        <f>VLOOKUP(TargetsPercent[[#This Row],[KEY]],[1]!HistoricalData[#Data],6,FALSE)</f>
        <v>0.86990000000000001</v>
      </c>
      <c r="G136" s="5">
        <f>VLOOKUP(TargetsPercent[[#This Row],[KEY]],[1]!HistoricalData[#Data],7,FALSE)</f>
        <v>0.87480000000000002</v>
      </c>
      <c r="H136" s="2">
        <f>AVERAGE(TargetsPercent[[#This Row],[2016–17 Historical data]],TargetsPercent[[#This Row],[2017–18 Historical data]],TargetsPercent[[#This Row],[2018–19 Historical data]])</f>
        <v>0.87780000000000002</v>
      </c>
      <c r="I136" s="2">
        <f>ABS(TargetsPercent[[#This Row],[2016–17 Historical data]]-TargetsPercent[[#This Row],[2017–18 Historical data]])</f>
        <v>1.1900000000000022E-2</v>
      </c>
      <c r="J136" s="2">
        <f>ABS(TargetsPercent[[#This Row],[2017–18 Historical data]]-TargetsPercent[[#This Row],[2018–19 Historical data]])</f>
        <v>1.7800000000000038E-2</v>
      </c>
      <c r="K13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0.88970000000000005</v>
      </c>
      <c r="L13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1.6819698190357953E-2</v>
      </c>
      <c r="M13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0.87473551452003862</v>
      </c>
      <c r="N136" s="8">
        <f>ABS(TargetsPercent[[#This Row],[2020–21
Allowable
performance
target]]-TargetsPercent[[#This Row],[Target Floor % (calculated)]])</f>
        <v>6.4485479961406966E-5</v>
      </c>
    </row>
    <row r="137" spans="1:14" x14ac:dyDescent="0.2">
      <c r="A137" t="str">
        <f>_xlfn.CONCAT(TargetsPercent[[#This Row],[University]],":",TargetsPercent[[#This Row],[Metric]])</f>
        <v>University of Guelph:02. Institutional strength and focus</v>
      </c>
      <c r="B137" t="s">
        <v>41</v>
      </c>
      <c r="C137" t="s">
        <v>20</v>
      </c>
      <c r="D137" s="6">
        <f>VLOOKUP(TargetsPercent[[#This Row],[KEY]],[1]!HistoricalData[#Data],4,FALSE)</f>
        <v>0.39140000000000003</v>
      </c>
      <c r="E137" s="6">
        <f>VLOOKUP(TargetsPercent[[#This Row],[KEY]],[1]!HistoricalData[#Data],5,FALSE)</f>
        <v>0.40389999999999998</v>
      </c>
      <c r="F137" s="6">
        <f>VLOOKUP(TargetsPercent[[#This Row],[KEY]],[1]!HistoricalData[#Data],6,FALSE)</f>
        <v>0.41499999999999998</v>
      </c>
      <c r="G137" s="5">
        <f>VLOOKUP(TargetsPercent[[#This Row],[KEY]],[1]!HistoricalData[#Data],7,FALSE)</f>
        <v>0.40560000000000002</v>
      </c>
      <c r="H137" s="2">
        <f>AVERAGE(TargetsPercent[[#This Row],[2016–17 Historical data]],TargetsPercent[[#This Row],[2017–18 Historical data]],TargetsPercent[[#This Row],[2018–19 Historical data]])</f>
        <v>0.40343333333333331</v>
      </c>
      <c r="I137" s="2">
        <f>ABS(TargetsPercent[[#This Row],[2016–17 Historical data]]-TargetsPercent[[#This Row],[2017–18 Historical data]])</f>
        <v>1.2499999999999956E-2</v>
      </c>
      <c r="J137" s="2">
        <f>ABS(TargetsPercent[[#This Row],[2017–18 Historical data]]-TargetsPercent[[#This Row],[2018–19 Historical data]])</f>
        <v>1.1099999999999999E-2</v>
      </c>
      <c r="K13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0.41453333333333331</v>
      </c>
      <c r="L13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2.9709343861580497E-2</v>
      </c>
      <c r="M13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0.40221781999124612</v>
      </c>
      <c r="N137" s="8">
        <f>ABS(TargetsPercent[[#This Row],[2020–21
Allowable
performance
target]]-TargetsPercent[[#This Row],[Target Floor % (calculated)]])</f>
        <v>3.3821800087538989E-3</v>
      </c>
    </row>
    <row r="138" spans="1:14" x14ac:dyDescent="0.2">
      <c r="A138" t="str">
        <f>_xlfn.CONCAT(TargetsPercent[[#This Row],[University]],":",TargetsPercent[[#This Row],[Metric]])</f>
        <v>University of Guelph:03. Graduation rate</v>
      </c>
      <c r="B138" t="s">
        <v>41</v>
      </c>
      <c r="C138" t="s">
        <v>21</v>
      </c>
      <c r="D138" s="6">
        <f>VLOOKUP(TargetsPercent[[#This Row],[KEY]],[1]!HistoricalData[#Data],4,FALSE)</f>
        <v>0.79339999999999999</v>
      </c>
      <c r="E138" s="6">
        <f>VLOOKUP(TargetsPercent[[#This Row],[KEY]],[1]!HistoricalData[#Data],5,FALSE)</f>
        <v>0.79139999999999999</v>
      </c>
      <c r="F138" s="6">
        <f>VLOOKUP(TargetsPercent[[#This Row],[KEY]],[1]!HistoricalData[#Data],6,FALSE)</f>
        <v>0.79210000000000003</v>
      </c>
      <c r="G138" s="5">
        <f>VLOOKUP(TargetsPercent[[#This Row],[KEY]],[1]!HistoricalData[#Data],7,FALSE)</f>
        <v>0.78510000000000002</v>
      </c>
      <c r="H138" s="2">
        <f>AVERAGE(TargetsPercent[[#This Row],[2016–17 Historical data]],TargetsPercent[[#This Row],[2017–18 Historical data]],TargetsPercent[[#This Row],[2018–19 Historical data]])</f>
        <v>0.7923</v>
      </c>
      <c r="I138" s="2">
        <f>ABS(TargetsPercent[[#This Row],[2016–17 Historical data]]-TargetsPercent[[#This Row],[2017–18 Historical data]])</f>
        <v>2.0000000000000018E-3</v>
      </c>
      <c r="J138" s="2">
        <f>ABS(TargetsPercent[[#This Row],[2017–18 Historical data]]-TargetsPercent[[#This Row],[2018–19 Historical data]])</f>
        <v>7.0000000000003393E-4</v>
      </c>
      <c r="K13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0.79300000000000004</v>
      </c>
      <c r="L13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3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0.79139999999999999</v>
      </c>
      <c r="N138" s="8">
        <f>ABS(TargetsPercent[[#This Row],[2020–21
Allowable
performance
target]]-TargetsPercent[[#This Row],[Target Floor % (calculated)]])</f>
        <v>6.2999999999999723E-3</v>
      </c>
    </row>
    <row r="139" spans="1:14" x14ac:dyDescent="0.2">
      <c r="A139" t="str">
        <f>_xlfn.CONCAT(TargetsPercent[[#This Row],[University]],":",TargetsPercent[[#This Row],[Metric]])</f>
        <v>University of Guelph:04. Community and local impact of student enrolment</v>
      </c>
      <c r="B139" t="s">
        <v>41</v>
      </c>
      <c r="C139" t="s">
        <v>22</v>
      </c>
      <c r="D139" s="6">
        <f>VLOOKUP(TargetsPercent[[#This Row],[KEY]],[1]!HistoricalData[#Data],4,FALSE)</f>
        <v>0.21870000000000001</v>
      </c>
      <c r="E139" s="6">
        <f>VLOOKUP(TargetsPercent[[#This Row],[KEY]],[1]!HistoricalData[#Data],5,FALSE)</f>
        <v>0.22159999999999999</v>
      </c>
      <c r="F139" s="6">
        <f>VLOOKUP(TargetsPercent[[#This Row],[KEY]],[1]!HistoricalData[#Data],6,FALSE)</f>
        <v>0.22389999999999999</v>
      </c>
      <c r="G139" s="5">
        <f>VLOOKUP(TargetsPercent[[#This Row],[KEY]],[1]!HistoricalData[#Data],7,FALSE)</f>
        <v>0.22109999999999999</v>
      </c>
      <c r="H139" s="2">
        <f>AVERAGE(TargetsPercent[[#This Row],[2016–17 Historical data]],TargetsPercent[[#This Row],[2017–18 Historical data]],TargetsPercent[[#This Row],[2018–19 Historical data]])</f>
        <v>0.22140000000000001</v>
      </c>
      <c r="I139" s="2">
        <f>ABS(TargetsPercent[[#This Row],[2016–17 Historical data]]-TargetsPercent[[#This Row],[2017–18 Historical data]])</f>
        <v>2.8999999999999859E-3</v>
      </c>
      <c r="J139" s="2">
        <f>ABS(TargetsPercent[[#This Row],[2017–18 Historical data]]-TargetsPercent[[#This Row],[2018–19 Historical data]])</f>
        <v>2.2999999999999965E-3</v>
      </c>
      <c r="K13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0.22370000000000001</v>
      </c>
      <c r="L13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1.1819617562920996E-2</v>
      </c>
      <c r="M13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0.22105595155117458</v>
      </c>
      <c r="N139" s="9">
        <f>ABS(TargetsPercent[[#This Row],[2020–21
Allowable
performance
target]]-TargetsPercent[[#This Row],[Target Floor % (calculated)]])</f>
        <v>4.4048448825412256E-5</v>
      </c>
    </row>
    <row r="140" spans="1:14" x14ac:dyDescent="0.2">
      <c r="A140" t="str">
        <f>_xlfn.CONCAT(TargetsPercent[[#This Row],[University]],":",TargetsPercent[[#This Row],[Metric]])</f>
        <v>University of Guelph:05. Economic impact (institution-specific)</v>
      </c>
      <c r="B140" t="s">
        <v>41</v>
      </c>
      <c r="C140" t="s">
        <v>23</v>
      </c>
      <c r="D140" s="6">
        <f>VLOOKUP(TargetsPercent[[#This Row],[KEY]],[1]!HistoricalData[#Data],4,FALSE)</f>
        <v>277011205</v>
      </c>
      <c r="E140" s="6">
        <f>VLOOKUP(TargetsPercent[[#This Row],[KEY]],[1]!HistoricalData[#Data],5,FALSE)</f>
        <v>284121841</v>
      </c>
      <c r="F140" s="6">
        <f>VLOOKUP(TargetsPercent[[#This Row],[KEY]],[1]!HistoricalData[#Data],6,FALSE)</f>
        <v>292715583</v>
      </c>
      <c r="G140" s="5">
        <f>VLOOKUP(TargetsPercent[[#This Row],[KEY]],[1]!HistoricalData[#Data],7,FALSE)</f>
        <v>283570775</v>
      </c>
      <c r="H140" s="10">
        <f>AVERAGE(TargetsPercent[[#This Row],[2016–17 Historical data]],TargetsPercent[[#This Row],[2017–18 Historical data]],TargetsPercent[[#This Row],[2018–19 Historical data]])</f>
        <v>284616209.66666669</v>
      </c>
      <c r="I140" s="10">
        <f>ABS(TargetsPercent[[#This Row],[2016–17 Historical data]]-TargetsPercent[[#This Row],[2017–18 Historical data]])</f>
        <v>7110636</v>
      </c>
      <c r="J140" s="12">
        <f>ABS(TargetsPercent[[#This Row],[2017–18 Historical data]]-TargetsPercent[[#This Row],[2018–19 Historical data]])</f>
        <v>8593742</v>
      </c>
      <c r="K140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291726845.66666669</v>
      </c>
      <c r="L14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2.7957903144145028E-2</v>
      </c>
      <c r="M140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283570774.77097106</v>
      </c>
      <c r="N140" s="8">
        <f>ABS(TargetsPercent[[#This Row],[2020–21
Allowable
performance
target]]-TargetsPercent[[#This Row],[Target Floor % (calculated)]])</f>
        <v>0.22902894020080566</v>
      </c>
    </row>
    <row r="141" spans="1:14" x14ac:dyDescent="0.2">
      <c r="A141" t="str">
        <f>_xlfn.CONCAT(TargetsPercent[[#This Row],[University]],":",TargetsPercent[[#This Row],[Metric]])</f>
        <v>University of Guelph:06. Research funding and capacity: federal tri-agency funding secured</v>
      </c>
      <c r="B141" t="s">
        <v>41</v>
      </c>
      <c r="C141" t="s">
        <v>24</v>
      </c>
      <c r="D141" s="6">
        <f>VLOOKUP(TargetsPercent[[#This Row],[KEY]],[1]!HistoricalData[#Data],4,FALSE)</f>
        <v>3.32E-2</v>
      </c>
      <c r="E141" s="6">
        <f>VLOOKUP(TargetsPercent[[#This Row],[KEY]],[1]!HistoricalData[#Data],5,FALSE)</f>
        <v>3.1399999999999997E-2</v>
      </c>
      <c r="F141" s="6">
        <f>VLOOKUP(TargetsPercent[[#This Row],[KEY]],[1]!HistoricalData[#Data],6,FALSE)</f>
        <v>3.2199999999999999E-2</v>
      </c>
      <c r="G141" s="5">
        <f>VLOOKUP(TargetsPercent[[#This Row],[KEY]],[1]!HistoricalData[#Data],7,FALSE)</f>
        <v>3.1699999999999999E-2</v>
      </c>
      <c r="H141" s="2">
        <f>AVERAGE(TargetsPercent[[#This Row],[2016–17 Historical data]],TargetsPercent[[#This Row],[2017–18 Historical data]],TargetsPercent[[#This Row],[2018–19 Historical data]])</f>
        <v>3.2266666666666666E-2</v>
      </c>
      <c r="I141" s="2">
        <f>ABS(TargetsPercent[[#This Row],[2016–17 Historical data]]-TargetsPercent[[#This Row],[2017–18 Historical data]])</f>
        <v>1.800000000000003E-3</v>
      </c>
      <c r="J141" s="2">
        <f>ABS(TargetsPercent[[#This Row],[2017–18 Historical data]]-TargetsPercent[[#This Row],[2018–19 Historical data]])</f>
        <v>8.000000000000021E-4</v>
      </c>
      <c r="K14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3.3066666666666668E-2</v>
      </c>
      <c r="L14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3.9847287238124557E-2</v>
      </c>
      <c r="M14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3.1749049701992681E-2</v>
      </c>
      <c r="N141" s="8">
        <f>ABS(TargetsPercent[[#This Row],[2020–21
Allowable
performance
target]]-TargetsPercent[[#This Row],[Target Floor % (calculated)]])</f>
        <v>4.904970199268166E-5</v>
      </c>
    </row>
    <row r="142" spans="1:14" x14ac:dyDescent="0.2">
      <c r="A142" t="str">
        <f>_xlfn.CONCAT(TargetsPercent[[#This Row],[University]],":",TargetsPercent[[#This Row],[Metric]])</f>
        <v>University of Guelph:07. Experiential learning</v>
      </c>
      <c r="B142" t="s">
        <v>41</v>
      </c>
      <c r="C142" t="s">
        <v>25</v>
      </c>
      <c r="D142" s="6">
        <f>VLOOKUP(TargetsPercent[[#This Row],[KEY]],[1]!HistoricalData[#Data],4,FALSE)</f>
        <v>0</v>
      </c>
      <c r="E142" s="6">
        <f>VLOOKUP(TargetsPercent[[#This Row],[KEY]],[1]!HistoricalData[#Data],5,FALSE)</f>
        <v>0</v>
      </c>
      <c r="F142" s="6">
        <f>VLOOKUP(TargetsPercent[[#This Row],[KEY]],[1]!HistoricalData[#Data],6,FALSE)</f>
        <v>0</v>
      </c>
      <c r="G142" s="5">
        <f>VLOOKUP(TargetsPercent[[#This Row],[KEY]],[1]!HistoricalData[#Data],7,FALSE)</f>
        <v>0</v>
      </c>
      <c r="H142" s="8">
        <f>AVERAGE(TargetsPercent[[#This Row],[2016–17 Historical data]],TargetsPercent[[#This Row],[2017–18 Historical data]],TargetsPercent[[#This Row],[2018–19 Historical data]])</f>
        <v>0</v>
      </c>
      <c r="I142" s="8">
        <f>ABS(TargetsPercent[[#This Row],[2016–17 Historical data]]-TargetsPercent[[#This Row],[2017–18 Historical data]])</f>
        <v>0</v>
      </c>
      <c r="J142" s="12">
        <f>ABS(TargetsPercent[[#This Row],[2017–18 Historical data]]-TargetsPercent[[#This Row],[2018–19 Historical data]])</f>
        <v>0</v>
      </c>
      <c r="K142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4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42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42" s="8" t="e">
        <f>ABS(TargetsPercent[[#This Row],[2020–21
Allowable
performance
target]]-TargetsPercent[[#This Row],[Target Floor % (calculated)]])</f>
        <v>#DIV/0!</v>
      </c>
    </row>
    <row r="143" spans="1:14" x14ac:dyDescent="0.2">
      <c r="A143" t="str">
        <f>_xlfn.CONCAT(TargetsPercent[[#This Row],[University]],":",TargetsPercent[[#This Row],[Metric]])</f>
        <v>University of Guelph:08. Research revenue attracted from private sector sources</v>
      </c>
      <c r="B143" t="s">
        <v>41</v>
      </c>
      <c r="C143" t="s">
        <v>26</v>
      </c>
      <c r="D143" s="6">
        <f>VLOOKUP(TargetsPercent[[#This Row],[KEY]],[1]!HistoricalData[#Data],4,FALSE)</f>
        <v>0</v>
      </c>
      <c r="E143" s="6">
        <f>VLOOKUP(TargetsPercent[[#This Row],[KEY]],[1]!HistoricalData[#Data],5,FALSE)</f>
        <v>0</v>
      </c>
      <c r="F143" s="6">
        <f>VLOOKUP(TargetsPercent[[#This Row],[KEY]],[1]!HistoricalData[#Data],6,FALSE)</f>
        <v>0</v>
      </c>
      <c r="G143" s="5">
        <f>VLOOKUP(TargetsPercent[[#This Row],[KEY]],[1]!HistoricalData[#Data],7,FALSE)</f>
        <v>0</v>
      </c>
      <c r="H143" s="8">
        <f>AVERAGE(TargetsPercent[[#This Row],[2016–17 Historical data]],TargetsPercent[[#This Row],[2017–18 Historical data]],TargetsPercent[[#This Row],[2018–19 Historical data]])</f>
        <v>0</v>
      </c>
      <c r="I143" s="8">
        <f>ABS(TargetsPercent[[#This Row],[2016–17 Historical data]]-TargetsPercent[[#This Row],[2017–18 Historical data]])</f>
        <v>0</v>
      </c>
      <c r="J143" s="12">
        <f>ABS(TargetsPercent[[#This Row],[2017–18 Historical data]]-TargetsPercent[[#This Row],[2018–19 Historical data]])</f>
        <v>0</v>
      </c>
      <c r="K143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4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43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43" s="8" t="e">
        <f>ABS(TargetsPercent[[#This Row],[2020–21
Allowable
performance
target]]-TargetsPercent[[#This Row],[Target Floor % (calculated)]])</f>
        <v>#DIV/0!</v>
      </c>
    </row>
    <row r="144" spans="1:14" x14ac:dyDescent="0.2">
      <c r="A144" t="str">
        <f>_xlfn.CONCAT(TargetsPercent[[#This Row],[University]],":",TargetsPercent[[#This Row],[Metric]])</f>
        <v>University of Guelph:09. Graduate employment earnings</v>
      </c>
      <c r="B144" t="s">
        <v>41</v>
      </c>
      <c r="C144" t="s">
        <v>27</v>
      </c>
      <c r="D144" s="6">
        <f>VLOOKUP(TargetsPercent[[#This Row],[KEY]],[1]!HistoricalData[#Data],4,FALSE)</f>
        <v>0</v>
      </c>
      <c r="E144" s="6">
        <f>VLOOKUP(TargetsPercent[[#This Row],[KEY]],[1]!HistoricalData[#Data],5,FALSE)</f>
        <v>0</v>
      </c>
      <c r="F144" s="6">
        <f>VLOOKUP(TargetsPercent[[#This Row],[KEY]],[1]!HistoricalData[#Data],6,FALSE)</f>
        <v>0</v>
      </c>
      <c r="G144" s="5">
        <f>VLOOKUP(TargetsPercent[[#This Row],[KEY]],[1]!HistoricalData[#Data],7,FALSE)</f>
        <v>0</v>
      </c>
      <c r="H144" s="8">
        <f>AVERAGE(TargetsPercent[[#This Row],[2016–17 Historical data]],TargetsPercent[[#This Row],[2017–18 Historical data]],TargetsPercent[[#This Row],[2018–19 Historical data]])</f>
        <v>0</v>
      </c>
      <c r="I144" s="8">
        <f>ABS(TargetsPercent[[#This Row],[2016–17 Historical data]]-TargetsPercent[[#This Row],[2017–18 Historical data]])</f>
        <v>0</v>
      </c>
      <c r="J144" s="12">
        <f>ABS(TargetsPercent[[#This Row],[2017–18 Historical data]]-TargetsPercent[[#This Row],[2018–19 Historical data]])</f>
        <v>0</v>
      </c>
      <c r="K144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4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44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44" s="8" t="e">
        <f>ABS(TargetsPercent[[#This Row],[2020–21
Allowable
performance
target]]-TargetsPercent[[#This Row],[Target Floor % (calculated)]])</f>
        <v>#DIV/0!</v>
      </c>
    </row>
    <row r="145" spans="1:14" x14ac:dyDescent="0.2">
      <c r="A145" t="str">
        <f>_xlfn.CONCAT(TargetsPercent[[#This Row],[University]],":",TargetsPercent[[#This Row],[Metric]])</f>
        <v>University of Guelph:10. Skills and competencies</v>
      </c>
      <c r="B145" t="s">
        <v>41</v>
      </c>
      <c r="C145" t="s">
        <v>28</v>
      </c>
      <c r="D145" s="6">
        <f>VLOOKUP(TargetsPercent[[#This Row],[KEY]],[1]!HistoricalData[#Data],4,FALSE)</f>
        <v>0</v>
      </c>
      <c r="E145" s="6">
        <f>VLOOKUP(TargetsPercent[[#This Row],[KEY]],[1]!HistoricalData[#Data],5,FALSE)</f>
        <v>0</v>
      </c>
      <c r="F145" s="6">
        <f>VLOOKUP(TargetsPercent[[#This Row],[KEY]],[1]!HistoricalData[#Data],6,FALSE)</f>
        <v>0</v>
      </c>
      <c r="G145" s="5">
        <f>VLOOKUP(TargetsPercent[[#This Row],[KEY]],[1]!HistoricalData[#Data],7,FALSE)</f>
        <v>0</v>
      </c>
      <c r="H145" s="8">
        <f>AVERAGE(TargetsPercent[[#This Row],[2016–17 Historical data]],TargetsPercent[[#This Row],[2017–18 Historical data]],TargetsPercent[[#This Row],[2018–19 Historical data]])</f>
        <v>0</v>
      </c>
      <c r="I145" s="8">
        <f>ABS(TargetsPercent[[#This Row],[2016–17 Historical data]]-TargetsPercent[[#This Row],[2017–18 Historical data]])</f>
        <v>0</v>
      </c>
      <c r="J145" s="12">
        <f>ABS(TargetsPercent[[#This Row],[2017–18 Historical data]]-TargetsPercent[[#This Row],[2018–19 Historical data]])</f>
        <v>0</v>
      </c>
      <c r="K145" s="8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4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45" s="8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45" s="8" t="e">
        <f>ABS(TargetsPercent[[#This Row],[2020–21
Allowable
performance
target]]-TargetsPercent[[#This Row],[Target Floor % (calculated)]])</f>
        <v>#DIV/0!</v>
      </c>
    </row>
    <row r="146" spans="1:14" x14ac:dyDescent="0.2">
      <c r="A146" t="str">
        <f>_xlfn.CONCAT(TargetsPercent[[#This Row],[University]],":",TargetsPercent[[#This Row],[Metric]])</f>
        <v>University of Guelph:Tri-agency research funding</v>
      </c>
      <c r="B146" t="s">
        <v>41</v>
      </c>
      <c r="C146" t="s">
        <v>29</v>
      </c>
      <c r="D146" s="6">
        <f>VLOOKUP(TargetsPercent[[#This Row],[KEY]],[1]!HistoricalData[#Data],4,FALSE)</f>
        <v>21164506</v>
      </c>
      <c r="E146" s="6">
        <f>VLOOKUP(TargetsPercent[[#This Row],[KEY]],[1]!HistoricalData[#Data],5,FALSE)</f>
        <v>20926156</v>
      </c>
      <c r="F146" s="6">
        <f>VLOOKUP(TargetsPercent[[#This Row],[KEY]],[1]!HistoricalData[#Data],6,FALSE)</f>
        <v>21836180</v>
      </c>
      <c r="G146" s="5">
        <f>VLOOKUP(TargetsPercent[[#This Row],[KEY]],[1]!HistoricalData[#Data],7,FALSE)</f>
        <v>0</v>
      </c>
      <c r="H146" s="13">
        <f>AVERAGE(TargetsPercent[[#This Row],[2016–17 Historical data]],TargetsPercent[[#This Row],[2017–18 Historical data]],TargetsPercent[[#This Row],[2018–19 Historical data]])</f>
        <v>21308947.333333332</v>
      </c>
      <c r="I146" s="13">
        <f>ABS(TargetsPercent[[#This Row],[2016–17 Historical data]]-TargetsPercent[[#This Row],[2017–18 Historical data]])</f>
        <v>238350</v>
      </c>
      <c r="J146" s="12">
        <f>ABS(TargetsPercent[[#This Row],[2017–18 Historical data]]-TargetsPercent[[#This Row],[2018–19 Historical data]])</f>
        <v>910024</v>
      </c>
      <c r="K146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21547297.333333332</v>
      </c>
      <c r="L14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2.7374586972731756E-2</v>
      </c>
      <c r="M146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20957448.968454689</v>
      </c>
      <c r="N146" s="8">
        <f>ABS(TargetsPercent[[#This Row],[2020–21
Allowable
performance
target]]-TargetsPercent[[#This Row],[Target Floor % (calculated)]])</f>
        <v>20957448.968454689</v>
      </c>
    </row>
    <row r="147" spans="1:14" x14ac:dyDescent="0.2">
      <c r="A147" t="str">
        <f>_xlfn.CONCAT(TargetsPercent[[#This Row],[University]],":",TargetsPercent[[#This Row],[Metric]])</f>
        <v>University of Ottawa:01. Graduate employment rate in a related field</v>
      </c>
      <c r="B147" t="s">
        <v>42</v>
      </c>
      <c r="C147" t="s">
        <v>19</v>
      </c>
      <c r="D147" s="6">
        <f>VLOOKUP(TargetsPercent[[#This Row],[KEY]],[1]!HistoricalData[#Data],4,FALSE)</f>
        <v>0.89200000000000002</v>
      </c>
      <c r="E147" s="6">
        <f>VLOOKUP(TargetsPercent[[#This Row],[KEY]],[1]!HistoricalData[#Data],5,FALSE)</f>
        <v>0.90790000000000004</v>
      </c>
      <c r="F147" s="6">
        <f>VLOOKUP(TargetsPercent[[#This Row],[KEY]],[1]!HistoricalData[#Data],6,FALSE)</f>
        <v>0.88600000000000001</v>
      </c>
      <c r="G147" s="5">
        <f>VLOOKUP(TargetsPercent[[#This Row],[KEY]],[1]!HistoricalData[#Data],7,FALSE)</f>
        <v>0.8921</v>
      </c>
      <c r="H147" s="2">
        <f>AVERAGE(TargetsPercent[[#This Row],[2016–17 Historical data]],TargetsPercent[[#This Row],[2017–18 Historical data]],TargetsPercent[[#This Row],[2018–19 Historical data]])</f>
        <v>0.8953000000000001</v>
      </c>
      <c r="I147" s="2">
        <f>ABS(TargetsPercent[[#This Row],[2016–17 Historical data]]-TargetsPercent[[#This Row],[2017–18 Historical data]])</f>
        <v>1.5900000000000025E-2</v>
      </c>
      <c r="J147" s="2">
        <f>ABS(TargetsPercent[[#This Row],[2017–18 Historical data]]-TargetsPercent[[#This Row],[2018–19 Historical data]])</f>
        <v>2.1900000000000031E-2</v>
      </c>
      <c r="K14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0.91120000000000012</v>
      </c>
      <c r="L14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2.0973355701349963E-2</v>
      </c>
      <c r="M14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0.89208907828493</v>
      </c>
      <c r="N147" s="8">
        <f>ABS(TargetsPercent[[#This Row],[2020–21
Allowable
performance
target]]-TargetsPercent[[#This Row],[Target Floor % (calculated)]])</f>
        <v>1.0921715070000282E-5</v>
      </c>
    </row>
    <row r="148" spans="1:14" x14ac:dyDescent="0.2">
      <c r="A148" t="str">
        <f>_xlfn.CONCAT(TargetsPercent[[#This Row],[University]],":",TargetsPercent[[#This Row],[Metric]])</f>
        <v>University of Ottawa:02. Institutional strength and focus</v>
      </c>
      <c r="B148" t="s">
        <v>42</v>
      </c>
      <c r="C148" t="s">
        <v>20</v>
      </c>
      <c r="D148" s="6">
        <f>VLOOKUP(TargetsPercent[[#This Row],[KEY]],[1]!HistoricalData[#Data],4,FALSE)</f>
        <v>8.9399999999999993E-2</v>
      </c>
      <c r="E148" s="6">
        <f>VLOOKUP(TargetsPercent[[#This Row],[KEY]],[1]!HistoricalData[#Data],5,FALSE)</f>
        <v>9.35E-2</v>
      </c>
      <c r="F148" s="6">
        <f>VLOOKUP(TargetsPercent[[#This Row],[KEY]],[1]!HistoricalData[#Data],6,FALSE)</f>
        <v>9.5000000000000001E-2</v>
      </c>
      <c r="G148" s="5">
        <f>VLOOKUP(TargetsPercent[[#This Row],[KEY]],[1]!HistoricalData[#Data],7,FALSE)</f>
        <v>9.2100000000000001E-2</v>
      </c>
      <c r="H148" s="2">
        <f>AVERAGE(TargetsPercent[[#This Row],[2016–17 Historical data]],TargetsPercent[[#This Row],[2017–18 Historical data]],TargetsPercent[[#This Row],[2018–19 Historical data]])</f>
        <v>9.2633333333333345E-2</v>
      </c>
      <c r="I148" s="2">
        <f>ABS(TargetsPercent[[#This Row],[2016–17 Historical data]]-TargetsPercent[[#This Row],[2017–18 Historical data]])</f>
        <v>4.1000000000000064E-3</v>
      </c>
      <c r="J148" s="2">
        <f>ABS(TargetsPercent[[#This Row],[2017–18 Historical data]]-TargetsPercent[[#This Row],[2018–19 Historical data]])</f>
        <v>1.5000000000000013E-3</v>
      </c>
      <c r="K14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9.4133333333333347E-2</v>
      </c>
      <c r="L14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3.095203914390654E-2</v>
      </c>
      <c r="M14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9.1219714715253614E-2</v>
      </c>
      <c r="N148" s="8">
        <f>ABS(TargetsPercent[[#This Row],[2020–21
Allowable
performance
target]]-TargetsPercent[[#This Row],[Target Floor % (calculated)]])</f>
        <v>8.8028528474638768E-4</v>
      </c>
    </row>
    <row r="149" spans="1:14" x14ac:dyDescent="0.2">
      <c r="A149" t="str">
        <f>_xlfn.CONCAT(TargetsPercent[[#This Row],[University]],":",TargetsPercent[[#This Row],[Metric]])</f>
        <v>University of Ottawa:03. Graduation rate</v>
      </c>
      <c r="B149" t="s">
        <v>42</v>
      </c>
      <c r="C149" t="s">
        <v>21</v>
      </c>
      <c r="D149" s="6">
        <f>VLOOKUP(TargetsPercent[[#This Row],[KEY]],[1]!HistoricalData[#Data],4,FALSE)</f>
        <v>0.75109999999999999</v>
      </c>
      <c r="E149" s="6">
        <f>VLOOKUP(TargetsPercent[[#This Row],[KEY]],[1]!HistoricalData[#Data],5,FALSE)</f>
        <v>0.75560000000000005</v>
      </c>
      <c r="F149" s="6">
        <f>VLOOKUP(TargetsPercent[[#This Row],[KEY]],[1]!HistoricalData[#Data],6,FALSE)</f>
        <v>0.75429999999999997</v>
      </c>
      <c r="G149" s="5">
        <f>VLOOKUP(TargetsPercent[[#This Row],[KEY]],[1]!HistoricalData[#Data],7,FALSE)</f>
        <v>0.74750000000000005</v>
      </c>
      <c r="H149" s="2">
        <f>AVERAGE(TargetsPercent[[#This Row],[2016–17 Historical data]],TargetsPercent[[#This Row],[2017–18 Historical data]],TargetsPercent[[#This Row],[2018–19 Historical data]])</f>
        <v>0.75366666666666671</v>
      </c>
      <c r="I149" s="2">
        <f>ABS(TargetsPercent[[#This Row],[2016–17 Historical data]]-TargetsPercent[[#This Row],[2017–18 Historical data]])</f>
        <v>4.5000000000000595E-3</v>
      </c>
      <c r="J149" s="2">
        <f>ABS(TargetsPercent[[#This Row],[2017–18 Historical data]]-TargetsPercent[[#This Row],[2018–19 Historical data]])</f>
        <v>1.3000000000000789E-3</v>
      </c>
      <c r="K14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0.75496666666666679</v>
      </c>
      <c r="L14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4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0.75109999999999999</v>
      </c>
      <c r="N149" s="8">
        <f>ABS(TargetsPercent[[#This Row],[2020–21
Allowable
performance
target]]-TargetsPercent[[#This Row],[Target Floor % (calculated)]])</f>
        <v>3.5999999999999366E-3</v>
      </c>
    </row>
    <row r="150" spans="1:14" x14ac:dyDescent="0.2">
      <c r="A150" t="str">
        <f>_xlfn.CONCAT(TargetsPercent[[#This Row],[University]],":",TargetsPercent[[#This Row],[Metric]])</f>
        <v>University of Ottawa:04. Community and local impact of student enrolment</v>
      </c>
      <c r="B150" t="s">
        <v>42</v>
      </c>
      <c r="C150" t="s">
        <v>22</v>
      </c>
      <c r="D150" s="6">
        <f>VLOOKUP(TargetsPercent[[#This Row],[KEY]],[1]!HistoricalData[#Data],4,FALSE)</f>
        <v>6.7000000000000004E-2</v>
      </c>
      <c r="E150" s="6">
        <f>VLOOKUP(TargetsPercent[[#This Row],[KEY]],[1]!HistoricalData[#Data],5,FALSE)</f>
        <v>6.6199999999999995E-2</v>
      </c>
      <c r="F150" s="6">
        <f>VLOOKUP(TargetsPercent[[#This Row],[KEY]],[1]!HistoricalData[#Data],6,FALSE)</f>
        <v>6.7500000000000004E-2</v>
      </c>
      <c r="G150" s="5">
        <f>VLOOKUP(TargetsPercent[[#This Row],[KEY]],[1]!HistoricalData[#Data],7,FALSE)</f>
        <v>6.6600000000000006E-2</v>
      </c>
      <c r="H150" s="2">
        <f>AVERAGE(TargetsPercent[[#This Row],[2016–17 Historical data]],TargetsPercent[[#This Row],[2017–18 Historical data]],TargetsPercent[[#This Row],[2018–19 Historical data]])</f>
        <v>6.6900000000000001E-2</v>
      </c>
      <c r="I150" s="2">
        <f>ABS(TargetsPercent[[#This Row],[2016–17 Historical data]]-TargetsPercent[[#This Row],[2017–18 Historical data]])</f>
        <v>8.0000000000000904E-4</v>
      </c>
      <c r="J150" s="2">
        <f>ABS(TargetsPercent[[#This Row],[2017–18 Historical data]]-TargetsPercent[[#This Row],[2018–19 Historical data]])</f>
        <v>1.3000000000000095E-3</v>
      </c>
      <c r="K15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6.770000000000001E-2</v>
      </c>
      <c r="L15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1.5788880371556256E-2</v>
      </c>
      <c r="M15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6.6631092798845645E-2</v>
      </c>
      <c r="N150" s="9">
        <f>ABS(TargetsPercent[[#This Row],[2020–21
Allowable
performance
target]]-TargetsPercent[[#This Row],[Target Floor % (calculated)]])</f>
        <v>3.1092798845638869E-5</v>
      </c>
    </row>
    <row r="151" spans="1:14" x14ac:dyDescent="0.2">
      <c r="A151" t="str">
        <f>_xlfn.CONCAT(TargetsPercent[[#This Row],[University]],":",TargetsPercent[[#This Row],[Metric]])</f>
        <v>University of Ottawa:05. Economic impact (institution-specific)</v>
      </c>
      <c r="B151" t="s">
        <v>42</v>
      </c>
      <c r="C151" t="s">
        <v>23</v>
      </c>
      <c r="D151" s="6">
        <f>VLOOKUP(TargetsPercent[[#This Row],[KEY]],[1]!HistoricalData[#Data],4,FALSE)</f>
        <v>60266456</v>
      </c>
      <c r="E151" s="6">
        <f>VLOOKUP(TargetsPercent[[#This Row],[KEY]],[1]!HistoricalData[#Data],5,FALSE)</f>
        <v>63863539</v>
      </c>
      <c r="F151" s="6">
        <f>VLOOKUP(TargetsPercent[[#This Row],[KEY]],[1]!HistoricalData[#Data],6,FALSE)</f>
        <v>72107039</v>
      </c>
      <c r="G151" s="5">
        <f>VLOOKUP(TargetsPercent[[#This Row],[KEY]],[1]!HistoricalData[#Data],7,FALSE)</f>
        <v>62496103</v>
      </c>
      <c r="H151" s="10">
        <f>AVERAGE(TargetsPercent[[#This Row],[2016–17 Historical data]],TargetsPercent[[#This Row],[2017–18 Historical data]],TargetsPercent[[#This Row],[2018–19 Historical data]])</f>
        <v>65412344.666666664</v>
      </c>
      <c r="I151" s="10">
        <f>ABS(TargetsPercent[[#This Row],[2016–17 Historical data]]-TargetsPercent[[#This Row],[2017–18 Historical data]])</f>
        <v>3597083</v>
      </c>
      <c r="J151" s="12">
        <f>ABS(TargetsPercent[[#This Row],[2017–18 Historical data]]-TargetsPercent[[#This Row],[2018–19 Historical data]])</f>
        <v>8243500</v>
      </c>
      <c r="K151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69009427.666666657</v>
      </c>
      <c r="L15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9.4383116227811689E-2</v>
      </c>
      <c r="M151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62496102.834388897</v>
      </c>
      <c r="N151" s="8">
        <f>ABS(TargetsPercent[[#This Row],[2020–21
Allowable
performance
target]]-TargetsPercent[[#This Row],[Target Floor % (calculated)]])</f>
        <v>0.16561110317707062</v>
      </c>
    </row>
    <row r="152" spans="1:14" x14ac:dyDescent="0.2">
      <c r="A152" t="str">
        <f>_xlfn.CONCAT(TargetsPercent[[#This Row],[University]],":",TargetsPercent[[#This Row],[Metric]])</f>
        <v>University of Ottawa:06. Research funding and capacity: federal tri-agency funding secured</v>
      </c>
      <c r="B152" t="s">
        <v>42</v>
      </c>
      <c r="C152" t="s">
        <v>24</v>
      </c>
      <c r="D152" s="6">
        <f>VLOOKUP(TargetsPercent[[#This Row],[KEY]],[1]!HistoricalData[#Data],4,FALSE)</f>
        <v>0.10299999999999999</v>
      </c>
      <c r="E152" s="6">
        <f>VLOOKUP(TargetsPercent[[#This Row],[KEY]],[1]!HistoricalData[#Data],5,FALSE)</f>
        <v>0.1027</v>
      </c>
      <c r="F152" s="6">
        <f>VLOOKUP(TargetsPercent[[#This Row],[KEY]],[1]!HistoricalData[#Data],6,FALSE)</f>
        <v>0.1055</v>
      </c>
      <c r="G152" s="5">
        <f>VLOOKUP(TargetsPercent[[#This Row],[KEY]],[1]!HistoricalData[#Data],7,FALSE)</f>
        <v>9.9599999999999994E-2</v>
      </c>
      <c r="H152" s="2">
        <f>AVERAGE(TargetsPercent[[#This Row],[2016–17 Historical data]],TargetsPercent[[#This Row],[2017–18 Historical data]],TargetsPercent[[#This Row],[2018–19 Historical data]])</f>
        <v>0.10373333333333333</v>
      </c>
      <c r="I152" s="2">
        <f>ABS(TargetsPercent[[#This Row],[2016–17 Historical data]]-TargetsPercent[[#This Row],[2017–18 Historical data]])</f>
        <v>2.9999999999999472E-4</v>
      </c>
      <c r="J152" s="2">
        <f>ABS(TargetsPercent[[#This Row],[2017–18 Historical data]]-TargetsPercent[[#This Row],[2018–19 Historical data]])</f>
        <v>2.7999999999999969E-3</v>
      </c>
      <c r="K15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0.10403333333333332</v>
      </c>
      <c r="L15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1.5088248362182203E-2</v>
      </c>
      <c r="M15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0.1027</v>
      </c>
      <c r="N152" s="8">
        <f>ABS(TargetsPercent[[#This Row],[2020–21
Allowable
performance
target]]-TargetsPercent[[#This Row],[Target Floor % (calculated)]])</f>
        <v>3.1000000000000055E-3</v>
      </c>
    </row>
    <row r="153" spans="1:14" x14ac:dyDescent="0.2">
      <c r="A153" t="str">
        <f>_xlfn.CONCAT(TargetsPercent[[#This Row],[University]],":",TargetsPercent[[#This Row],[Metric]])</f>
        <v>University of Ottawa:07. Experiential learning</v>
      </c>
      <c r="B153" t="s">
        <v>42</v>
      </c>
      <c r="C153" t="s">
        <v>25</v>
      </c>
      <c r="D153" s="6">
        <f>VLOOKUP(TargetsPercent[[#This Row],[KEY]],[1]!HistoricalData[#Data],4,FALSE)</f>
        <v>0</v>
      </c>
      <c r="E153" s="6">
        <f>VLOOKUP(TargetsPercent[[#This Row],[KEY]],[1]!HistoricalData[#Data],5,FALSE)</f>
        <v>0</v>
      </c>
      <c r="F153" s="6">
        <f>VLOOKUP(TargetsPercent[[#This Row],[KEY]],[1]!HistoricalData[#Data],6,FALSE)</f>
        <v>0</v>
      </c>
      <c r="G153" s="5">
        <f>VLOOKUP(TargetsPercent[[#This Row],[KEY]],[1]!HistoricalData[#Data],7,FALSE)</f>
        <v>0</v>
      </c>
      <c r="H153" s="9">
        <f>AVERAGE(TargetsPercent[[#This Row],[2016–17 Historical data]],TargetsPercent[[#This Row],[2017–18 Historical data]],TargetsPercent[[#This Row],[2018–19 Historical data]])</f>
        <v>0</v>
      </c>
      <c r="I153" s="9">
        <f>ABS(TargetsPercent[[#This Row],[2016–17 Historical data]]-TargetsPercent[[#This Row],[2017–18 Historical data]])</f>
        <v>0</v>
      </c>
      <c r="J153" s="2">
        <f>ABS(TargetsPercent[[#This Row],[2017–18 Historical data]]-TargetsPercent[[#This Row],[2018–19 Historical data]])</f>
        <v>0</v>
      </c>
      <c r="K15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5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53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53" s="8" t="e">
        <f>ABS(TargetsPercent[[#This Row],[2020–21
Allowable
performance
target]]-TargetsPercent[[#This Row],[Target Floor % (calculated)]])</f>
        <v>#DIV/0!</v>
      </c>
    </row>
    <row r="154" spans="1:14" x14ac:dyDescent="0.2">
      <c r="A154" t="str">
        <f>_xlfn.CONCAT(TargetsPercent[[#This Row],[University]],":",TargetsPercent[[#This Row],[Metric]])</f>
        <v>University of Ottawa:08. Research revenue attracted from private sector sources</v>
      </c>
      <c r="B154" t="s">
        <v>42</v>
      </c>
      <c r="C154" t="s">
        <v>26</v>
      </c>
      <c r="D154" s="6">
        <f>VLOOKUP(TargetsPercent[[#This Row],[KEY]],[1]!HistoricalData[#Data],4,FALSE)</f>
        <v>0</v>
      </c>
      <c r="E154" s="6">
        <f>VLOOKUP(TargetsPercent[[#This Row],[KEY]],[1]!HistoricalData[#Data],5,FALSE)</f>
        <v>0</v>
      </c>
      <c r="F154" s="6">
        <f>VLOOKUP(TargetsPercent[[#This Row],[KEY]],[1]!HistoricalData[#Data],6,FALSE)</f>
        <v>0</v>
      </c>
      <c r="G154" s="5">
        <f>VLOOKUP(TargetsPercent[[#This Row],[KEY]],[1]!HistoricalData[#Data],7,FALSE)</f>
        <v>0</v>
      </c>
      <c r="H154" s="9">
        <f>AVERAGE(TargetsPercent[[#This Row],[2016–17 Historical data]],TargetsPercent[[#This Row],[2017–18 Historical data]],TargetsPercent[[#This Row],[2018–19 Historical data]])</f>
        <v>0</v>
      </c>
      <c r="I154" s="9">
        <f>ABS(TargetsPercent[[#This Row],[2016–17 Historical data]]-TargetsPercent[[#This Row],[2017–18 Historical data]])</f>
        <v>0</v>
      </c>
      <c r="J154" s="2">
        <f>ABS(TargetsPercent[[#This Row],[2017–18 Historical data]]-TargetsPercent[[#This Row],[2018–19 Historical data]])</f>
        <v>0</v>
      </c>
      <c r="K154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5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54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54" s="8" t="e">
        <f>ABS(TargetsPercent[[#This Row],[2020–21
Allowable
performance
target]]-TargetsPercent[[#This Row],[Target Floor % (calculated)]])</f>
        <v>#DIV/0!</v>
      </c>
    </row>
    <row r="155" spans="1:14" x14ac:dyDescent="0.2">
      <c r="A155" t="str">
        <f>_xlfn.CONCAT(TargetsPercent[[#This Row],[University]],":",TargetsPercent[[#This Row],[Metric]])</f>
        <v>University of Ottawa:09. Graduate employment earnings</v>
      </c>
      <c r="B155" t="s">
        <v>42</v>
      </c>
      <c r="C155" t="s">
        <v>27</v>
      </c>
      <c r="D155" s="6">
        <f>VLOOKUP(TargetsPercent[[#This Row],[KEY]],[1]!HistoricalData[#Data],4,FALSE)</f>
        <v>0</v>
      </c>
      <c r="E155" s="6">
        <f>VLOOKUP(TargetsPercent[[#This Row],[KEY]],[1]!HistoricalData[#Data],5,FALSE)</f>
        <v>0</v>
      </c>
      <c r="F155" s="6">
        <f>VLOOKUP(TargetsPercent[[#This Row],[KEY]],[1]!HistoricalData[#Data],6,FALSE)</f>
        <v>0</v>
      </c>
      <c r="G155" s="5">
        <f>VLOOKUP(TargetsPercent[[#This Row],[KEY]],[1]!HistoricalData[#Data],7,FALSE)</f>
        <v>0</v>
      </c>
      <c r="H155" s="9">
        <f>AVERAGE(TargetsPercent[[#This Row],[2016–17 Historical data]],TargetsPercent[[#This Row],[2017–18 Historical data]],TargetsPercent[[#This Row],[2018–19 Historical data]])</f>
        <v>0</v>
      </c>
      <c r="I155" s="9">
        <f>ABS(TargetsPercent[[#This Row],[2016–17 Historical data]]-TargetsPercent[[#This Row],[2017–18 Historical data]])</f>
        <v>0</v>
      </c>
      <c r="J155" s="2">
        <f>ABS(TargetsPercent[[#This Row],[2017–18 Historical data]]-TargetsPercent[[#This Row],[2018–19 Historical data]])</f>
        <v>0</v>
      </c>
      <c r="K15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5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5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55" s="8" t="e">
        <f>ABS(TargetsPercent[[#This Row],[2020–21
Allowable
performance
target]]-TargetsPercent[[#This Row],[Target Floor % (calculated)]])</f>
        <v>#DIV/0!</v>
      </c>
    </row>
    <row r="156" spans="1:14" x14ac:dyDescent="0.2">
      <c r="A156" t="str">
        <f>_xlfn.CONCAT(TargetsPercent[[#This Row],[University]],":",TargetsPercent[[#This Row],[Metric]])</f>
        <v>University of Ottawa:10. Skills and competencies</v>
      </c>
      <c r="B156" t="s">
        <v>42</v>
      </c>
      <c r="C156" t="s">
        <v>28</v>
      </c>
      <c r="D156" s="6">
        <f>VLOOKUP(TargetsPercent[[#This Row],[KEY]],[1]!HistoricalData[#Data],4,FALSE)</f>
        <v>0</v>
      </c>
      <c r="E156" s="6">
        <f>VLOOKUP(TargetsPercent[[#This Row],[KEY]],[1]!HistoricalData[#Data],5,FALSE)</f>
        <v>0</v>
      </c>
      <c r="F156" s="6">
        <f>VLOOKUP(TargetsPercent[[#This Row],[KEY]],[1]!HistoricalData[#Data],6,FALSE)</f>
        <v>0</v>
      </c>
      <c r="G156" s="5">
        <f>VLOOKUP(TargetsPercent[[#This Row],[KEY]],[1]!HistoricalData[#Data],7,FALSE)</f>
        <v>0</v>
      </c>
      <c r="H156" s="9">
        <f>AVERAGE(TargetsPercent[[#This Row],[2016–17 Historical data]],TargetsPercent[[#This Row],[2017–18 Historical data]],TargetsPercent[[#This Row],[2018–19 Historical data]])</f>
        <v>0</v>
      </c>
      <c r="I156" s="9">
        <f>ABS(TargetsPercent[[#This Row],[2016–17 Historical data]]-TargetsPercent[[#This Row],[2017–18 Historical data]])</f>
        <v>0</v>
      </c>
      <c r="J156" s="2">
        <f>ABS(TargetsPercent[[#This Row],[2017–18 Historical data]]-TargetsPercent[[#This Row],[2018–19 Historical data]])</f>
        <v>0</v>
      </c>
      <c r="K15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5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5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56" s="8" t="e">
        <f>ABS(TargetsPercent[[#This Row],[2020–21
Allowable
performance
target]]-TargetsPercent[[#This Row],[Target Floor % (calculated)]])</f>
        <v>#DIV/0!</v>
      </c>
    </row>
    <row r="157" spans="1:14" x14ac:dyDescent="0.2">
      <c r="A157" t="str">
        <f>_xlfn.CONCAT(TargetsPercent[[#This Row],[University]],":",TargetsPercent[[#This Row],[Metric]])</f>
        <v>University of Ottawa:Tri-agency research funding</v>
      </c>
      <c r="B157" t="s">
        <v>42</v>
      </c>
      <c r="C157" t="s">
        <v>29</v>
      </c>
      <c r="D157" s="6">
        <f>VLOOKUP(TargetsPercent[[#This Row],[KEY]],[1]!HistoricalData[#Data],4,FALSE)</f>
        <v>65671163</v>
      </c>
      <c r="E157" s="6">
        <f>VLOOKUP(TargetsPercent[[#This Row],[KEY]],[1]!HistoricalData[#Data],5,FALSE)</f>
        <v>68353845</v>
      </c>
      <c r="F157" s="6">
        <f>VLOOKUP(TargetsPercent[[#This Row],[KEY]],[1]!HistoricalData[#Data],6,FALSE)</f>
        <v>71595112</v>
      </c>
      <c r="G157" s="5">
        <f>VLOOKUP(TargetsPercent[[#This Row],[KEY]],[1]!HistoricalData[#Data],7,FALSE)</f>
        <v>0</v>
      </c>
      <c r="H157" s="13">
        <f>AVERAGE(TargetsPercent[[#This Row],[2016–17 Historical data]],TargetsPercent[[#This Row],[2017–18 Historical data]],TargetsPercent[[#This Row],[2018–19 Historical data]])</f>
        <v>68540040</v>
      </c>
      <c r="I157" s="13">
        <f>ABS(TargetsPercent[[#This Row],[2016–17 Historical data]]-TargetsPercent[[#This Row],[2017–18 Historical data]])</f>
        <v>2682682</v>
      </c>
      <c r="J157" s="12">
        <f>ABS(TargetsPercent[[#This Row],[2017–18 Historical data]]-TargetsPercent[[#This Row],[2018–19 Historical data]])</f>
        <v>3241267</v>
      </c>
      <c r="K157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71222722</v>
      </c>
      <c r="L15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4.4134585055925935E-2</v>
      </c>
      <c r="M157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68079336.717976436</v>
      </c>
      <c r="N157" s="8">
        <f>ABS(TargetsPercent[[#This Row],[2020–21
Allowable
performance
target]]-TargetsPercent[[#This Row],[Target Floor % (calculated)]])</f>
        <v>68079336.717976436</v>
      </c>
    </row>
    <row r="158" spans="1:14" x14ac:dyDescent="0.2">
      <c r="A158" t="str">
        <f>_xlfn.CONCAT(TargetsPercent[[#This Row],[University]],":",TargetsPercent[[#This Row],[Metric]])</f>
        <v>University of Toronto:01. Graduate employment rate in a related field</v>
      </c>
      <c r="B158" t="s">
        <v>43</v>
      </c>
      <c r="C158" t="s">
        <v>19</v>
      </c>
      <c r="D158" s="6">
        <f>VLOOKUP(TargetsPercent[[#This Row],[KEY]],[1]!HistoricalData[#Data],4,FALSE)</f>
        <v>0.88139999999999996</v>
      </c>
      <c r="E158" s="6">
        <f>VLOOKUP(TargetsPercent[[#This Row],[KEY]],[1]!HistoricalData[#Data],5,FALSE)</f>
        <v>0.88009999999999999</v>
      </c>
      <c r="F158" s="6">
        <f>VLOOKUP(TargetsPercent[[#This Row],[KEY]],[1]!HistoricalData[#Data],6,FALSE)</f>
        <v>0.87309999999999999</v>
      </c>
      <c r="G158" s="5">
        <f>VLOOKUP(TargetsPercent[[#This Row],[KEY]],[1]!HistoricalData[#Data],7,FALSE)</f>
        <v>0.87070000000000003</v>
      </c>
      <c r="H158" s="2">
        <f>AVERAGE(TargetsPercent[[#This Row],[2016–17 Historical data]],TargetsPercent[[#This Row],[2017–18 Historical data]],TargetsPercent[[#This Row],[2018–19 Historical data]])</f>
        <v>0.87819999999999998</v>
      </c>
      <c r="I158" s="2">
        <f>ABS(TargetsPercent[[#This Row],[2016–17 Historical data]]-TargetsPercent[[#This Row],[2017–18 Historical data]])</f>
        <v>1.2999999999999678E-3</v>
      </c>
      <c r="J158" s="2">
        <f>ABS(TargetsPercent[[#This Row],[2017–18 Historical data]]-TargetsPercent[[#This Row],[2018–19 Historical data]])</f>
        <v>7.0000000000000062E-3</v>
      </c>
      <c r="K15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0.87949999999999995</v>
      </c>
      <c r="L15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5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0.87309999999999999</v>
      </c>
      <c r="N158" s="8">
        <f>ABS(TargetsPercent[[#This Row],[2020–21
Allowable
performance
target]]-TargetsPercent[[#This Row],[Target Floor % (calculated)]])</f>
        <v>2.3999999999999577E-3</v>
      </c>
    </row>
    <row r="159" spans="1:14" x14ac:dyDescent="0.2">
      <c r="A159" t="str">
        <f>_xlfn.CONCAT(TargetsPercent[[#This Row],[University]],":",TargetsPercent[[#This Row],[Metric]])</f>
        <v>University of Toronto:02. Institutional strength and focus</v>
      </c>
      <c r="B159" t="s">
        <v>43</v>
      </c>
      <c r="C159" t="s">
        <v>20</v>
      </c>
      <c r="D159" s="6">
        <f>VLOOKUP(TargetsPercent[[#This Row],[KEY]],[1]!HistoricalData[#Data],4,FALSE)</f>
        <v>0.40749999999999997</v>
      </c>
      <c r="E159" s="6">
        <f>VLOOKUP(TargetsPercent[[#This Row],[KEY]],[1]!HistoricalData[#Data],5,FALSE)</f>
        <v>0.41039999999999999</v>
      </c>
      <c r="F159" s="6">
        <f>VLOOKUP(TargetsPercent[[#This Row],[KEY]],[1]!HistoricalData[#Data],6,FALSE)</f>
        <v>0.4254</v>
      </c>
      <c r="G159" s="5">
        <f>VLOOKUP(TargetsPercent[[#This Row],[KEY]],[1]!HistoricalData[#Data],7,FALSE)</f>
        <v>0.41</v>
      </c>
      <c r="H159" s="2">
        <f>AVERAGE(TargetsPercent[[#This Row],[2016–17 Historical data]],TargetsPercent[[#This Row],[2017–18 Historical data]],TargetsPercent[[#This Row],[2018–19 Historical data]])</f>
        <v>0.41443333333333338</v>
      </c>
      <c r="I159" s="2">
        <f>ABS(TargetsPercent[[#This Row],[2016–17 Historical data]]-TargetsPercent[[#This Row],[2017–18 Historical data]])</f>
        <v>2.9000000000000137E-3</v>
      </c>
      <c r="J159" s="2">
        <f>ABS(TargetsPercent[[#This Row],[2017–18 Historical data]]-TargetsPercent[[#This Row],[2018–19 Historical data]])</f>
        <v>1.5000000000000013E-2</v>
      </c>
      <c r="K15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0.41733333333333339</v>
      </c>
      <c r="L15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2.1833136009758582E-2</v>
      </c>
      <c r="M15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0.40822163790526078</v>
      </c>
      <c r="N159" s="8">
        <f>ABS(TargetsPercent[[#This Row],[2020–21
Allowable
performance
target]]-TargetsPercent[[#This Row],[Target Floor % (calculated)]])</f>
        <v>1.7783620947391943E-3</v>
      </c>
    </row>
    <row r="160" spans="1:14" x14ac:dyDescent="0.2">
      <c r="A160" t="str">
        <f>_xlfn.CONCAT(TargetsPercent[[#This Row],[University]],":",TargetsPercent[[#This Row],[Metric]])</f>
        <v>University of Toronto:03. Graduation rate</v>
      </c>
      <c r="B160" t="s">
        <v>43</v>
      </c>
      <c r="C160" t="s">
        <v>21</v>
      </c>
      <c r="D160" s="6">
        <f>VLOOKUP(TargetsPercent[[#This Row],[KEY]],[1]!HistoricalData[#Data],4,FALSE)</f>
        <v>0.80030000000000001</v>
      </c>
      <c r="E160" s="6">
        <f>VLOOKUP(TargetsPercent[[#This Row],[KEY]],[1]!HistoricalData[#Data],5,FALSE)</f>
        <v>0.81110000000000004</v>
      </c>
      <c r="F160" s="6">
        <f>VLOOKUP(TargetsPercent[[#This Row],[KEY]],[1]!HistoricalData[#Data],6,FALSE)</f>
        <v>0.81110000000000004</v>
      </c>
      <c r="G160" s="5">
        <f>VLOOKUP(TargetsPercent[[#This Row],[KEY]],[1]!HistoricalData[#Data],7,FALSE)</f>
        <v>0.7994</v>
      </c>
      <c r="H160" s="2">
        <f>AVERAGE(TargetsPercent[[#This Row],[2016–17 Historical data]],TargetsPercent[[#This Row],[2017–18 Historical data]],TargetsPercent[[#This Row],[2018–19 Historical data]])</f>
        <v>0.80750000000000011</v>
      </c>
      <c r="I160" s="2">
        <f>ABS(TargetsPercent[[#This Row],[2016–17 Historical data]]-TargetsPercent[[#This Row],[2017–18 Historical data]])</f>
        <v>1.0800000000000032E-2</v>
      </c>
      <c r="J160" s="2">
        <f>ABS(TargetsPercent[[#This Row],[2017–18 Historical data]]-TargetsPercent[[#This Row],[2018–19 Historical data]])</f>
        <v>0</v>
      </c>
      <c r="K16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0.80750000000000011</v>
      </c>
      <c r="L16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6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0.80030000000000001</v>
      </c>
      <c r="N160" s="8">
        <f>ABS(TargetsPercent[[#This Row],[2020–21
Allowable
performance
target]]-TargetsPercent[[#This Row],[Target Floor % (calculated)]])</f>
        <v>9.000000000000119E-4</v>
      </c>
    </row>
    <row r="161" spans="1:14" x14ac:dyDescent="0.2">
      <c r="A161" t="str">
        <f>_xlfn.CONCAT(TargetsPercent[[#This Row],[University]],":",TargetsPercent[[#This Row],[Metric]])</f>
        <v>University of Toronto:04. Community and local impact of student enrolment</v>
      </c>
      <c r="B161" t="s">
        <v>43</v>
      </c>
      <c r="C161" t="s">
        <v>22</v>
      </c>
      <c r="D161" s="6">
        <f>VLOOKUP(TargetsPercent[[#This Row],[KEY]],[1]!HistoricalData[#Data],4,FALSE)</f>
        <v>3.7199999999999997E-2</v>
      </c>
      <c r="E161" s="6">
        <f>VLOOKUP(TargetsPercent[[#This Row],[KEY]],[1]!HistoricalData[#Data],5,FALSE)</f>
        <v>3.7699999999999997E-2</v>
      </c>
      <c r="F161" s="6">
        <f>VLOOKUP(TargetsPercent[[#This Row],[KEY]],[1]!HistoricalData[#Data],6,FALSE)</f>
        <v>3.8199999999999998E-2</v>
      </c>
      <c r="G161" s="5">
        <f>VLOOKUP(TargetsPercent[[#This Row],[KEY]],[1]!HistoricalData[#Data],7,FALSE)</f>
        <v>3.7600000000000001E-2</v>
      </c>
      <c r="H161" s="2">
        <f>AVERAGE(TargetsPercent[[#This Row],[2016–17 Historical data]],TargetsPercent[[#This Row],[2017–18 Historical data]],TargetsPercent[[#This Row],[2018–19 Historical data]])</f>
        <v>3.7699999999999997E-2</v>
      </c>
      <c r="I161" s="2">
        <f>ABS(TargetsPercent[[#This Row],[2016–17 Historical data]]-TargetsPercent[[#This Row],[2017–18 Historical data]])</f>
        <v>5.0000000000000044E-4</v>
      </c>
      <c r="J161" s="2">
        <f>ABS(TargetsPercent[[#This Row],[2017–18 Historical data]]-TargetsPercent[[#This Row],[2018–19 Historical data]])</f>
        <v>5.0000000000000044E-4</v>
      </c>
      <c r="K16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3.8199999999999998E-2</v>
      </c>
      <c r="L16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1.3351729842274906E-2</v>
      </c>
      <c r="M16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3.7689963920025098E-2</v>
      </c>
      <c r="N161" s="9">
        <f>ABS(TargetsPercent[[#This Row],[2020–21
Allowable
performance
target]]-TargetsPercent[[#This Row],[Target Floor % (calculated)]])</f>
        <v>8.9963920025096233E-5</v>
      </c>
    </row>
    <row r="162" spans="1:14" x14ac:dyDescent="0.2">
      <c r="A162" t="str">
        <f>_xlfn.CONCAT(TargetsPercent[[#This Row],[University]],":",TargetsPercent[[#This Row],[Metric]])</f>
        <v>University of Toronto:05. Economic impact (institution-specific)</v>
      </c>
      <c r="B162" t="s">
        <v>43</v>
      </c>
      <c r="C162" t="s">
        <v>23</v>
      </c>
      <c r="D162" s="6">
        <f>VLOOKUP(TargetsPercent[[#This Row],[KEY]],[1]!HistoricalData[#Data],4,FALSE)</f>
        <v>242</v>
      </c>
      <c r="E162" s="6">
        <f>VLOOKUP(TargetsPercent[[#This Row],[KEY]],[1]!HistoricalData[#Data],5,FALSE)</f>
        <v>200</v>
      </c>
      <c r="F162" s="6">
        <f>VLOOKUP(TargetsPercent[[#This Row],[KEY]],[1]!HistoricalData[#Data],6,FALSE)</f>
        <v>314</v>
      </c>
      <c r="G162" s="5">
        <f>VLOOKUP(TargetsPercent[[#This Row],[KEY]],[1]!HistoricalData[#Data],7,FALSE)</f>
        <v>184.7</v>
      </c>
      <c r="H162" s="10">
        <f>AVERAGE(TargetsPercent[[#This Row],[2016–17 Historical data]],TargetsPercent[[#This Row],[2017–18 Historical data]],TargetsPercent[[#This Row],[2018–19 Historical data]])</f>
        <v>252</v>
      </c>
      <c r="I162" s="10">
        <f>ABS(TargetsPercent[[#This Row],[2016–17 Historical data]]-TargetsPercent[[#This Row],[2017–18 Historical data]])</f>
        <v>42</v>
      </c>
      <c r="J162" s="10">
        <f>ABS(TargetsPercent[[#This Row],[2017–18 Historical data]]-TargetsPercent[[#This Row],[2018–19 Historical data]])</f>
        <v>114</v>
      </c>
      <c r="K162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294</v>
      </c>
      <c r="L16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0.3717768595041322</v>
      </c>
      <c r="M162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200</v>
      </c>
      <c r="N162" s="8">
        <f>ABS(TargetsPercent[[#This Row],[2020–21
Allowable
performance
target]]-TargetsPercent[[#This Row],[Target Floor % (calculated)]])</f>
        <v>15.300000000000011</v>
      </c>
    </row>
    <row r="163" spans="1:14" x14ac:dyDescent="0.2">
      <c r="A163" t="str">
        <f>_xlfn.CONCAT(TargetsPercent[[#This Row],[University]],":",TargetsPercent[[#This Row],[Metric]])</f>
        <v>University of Toronto:06. Research funding and capacity: federal tri-agency funding secured</v>
      </c>
      <c r="B163" t="s">
        <v>43</v>
      </c>
      <c r="C163" t="s">
        <v>24</v>
      </c>
      <c r="D163" s="6">
        <f>VLOOKUP(TargetsPercent[[#This Row],[KEY]],[1]!HistoricalData[#Data],4,FALSE)</f>
        <v>0.37559999999999999</v>
      </c>
      <c r="E163" s="6">
        <f>VLOOKUP(TargetsPercent[[#This Row],[KEY]],[1]!HistoricalData[#Data],5,FALSE)</f>
        <v>0.37830000000000003</v>
      </c>
      <c r="F163" s="6">
        <f>VLOOKUP(TargetsPercent[[#This Row],[KEY]],[1]!HistoricalData[#Data],6,FALSE)</f>
        <v>0.38190000000000002</v>
      </c>
      <c r="G163" s="5">
        <f>VLOOKUP(TargetsPercent[[#This Row],[KEY]],[1]!HistoricalData[#Data],7,FALSE)</f>
        <v>0.3634</v>
      </c>
      <c r="H163" s="2">
        <f>AVERAGE(TargetsPercent[[#This Row],[2016–17 Historical data]],TargetsPercent[[#This Row],[2017–18 Historical data]],TargetsPercent[[#This Row],[2018–19 Historical data]])</f>
        <v>0.37860000000000005</v>
      </c>
      <c r="I163" s="2">
        <f>ABS(TargetsPercent[[#This Row],[2016–17 Historical data]]-TargetsPercent[[#This Row],[2017–18 Historical data]])</f>
        <v>2.7000000000000357E-3</v>
      </c>
      <c r="J163" s="2">
        <f>ABS(TargetsPercent[[#This Row],[2017–18 Historical data]]-TargetsPercent[[#This Row],[2018–19 Historical data]])</f>
        <v>3.5999999999999921E-3</v>
      </c>
      <c r="K16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0.38130000000000008</v>
      </c>
      <c r="L16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6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0.37748700000000007</v>
      </c>
      <c r="N163" s="8">
        <f>ABS(TargetsPercent[[#This Row],[2020–21
Allowable
performance
target]]-TargetsPercent[[#This Row],[Target Floor % (calculated)]])</f>
        <v>1.4087000000000072E-2</v>
      </c>
    </row>
    <row r="164" spans="1:14" x14ac:dyDescent="0.2">
      <c r="A164" t="str">
        <f>_xlfn.CONCAT(TargetsPercent[[#This Row],[University]],":",TargetsPercent[[#This Row],[Metric]])</f>
        <v>University of Toronto:07. Experiential learning</v>
      </c>
      <c r="B164" t="s">
        <v>43</v>
      </c>
      <c r="C164" t="s">
        <v>25</v>
      </c>
      <c r="D164" s="6">
        <f>VLOOKUP(TargetsPercent[[#This Row],[KEY]],[1]!HistoricalData[#Data],4,FALSE)</f>
        <v>0</v>
      </c>
      <c r="E164" s="6">
        <f>VLOOKUP(TargetsPercent[[#This Row],[KEY]],[1]!HistoricalData[#Data],5,FALSE)</f>
        <v>0</v>
      </c>
      <c r="F164" s="6">
        <f>VLOOKUP(TargetsPercent[[#This Row],[KEY]],[1]!HistoricalData[#Data],6,FALSE)</f>
        <v>0</v>
      </c>
      <c r="G164" s="5">
        <f>VLOOKUP(TargetsPercent[[#This Row],[KEY]],[1]!HistoricalData[#Data],7,FALSE)</f>
        <v>0</v>
      </c>
      <c r="H164" s="9">
        <f>AVERAGE(TargetsPercent[[#This Row],[2016–17 Historical data]],TargetsPercent[[#This Row],[2017–18 Historical data]],TargetsPercent[[#This Row],[2018–19 Historical data]])</f>
        <v>0</v>
      </c>
      <c r="I164" s="9">
        <f>ABS(TargetsPercent[[#This Row],[2016–17 Historical data]]-TargetsPercent[[#This Row],[2017–18 Historical data]])</f>
        <v>0</v>
      </c>
      <c r="J164" s="2">
        <f>ABS(TargetsPercent[[#This Row],[2017–18 Historical data]]-TargetsPercent[[#This Row],[2018–19 Historical data]])</f>
        <v>0</v>
      </c>
      <c r="K164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64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64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64" s="8" t="e">
        <f>ABS(TargetsPercent[[#This Row],[2020–21
Allowable
performance
target]]-TargetsPercent[[#This Row],[Target Floor % (calculated)]])</f>
        <v>#DIV/0!</v>
      </c>
    </row>
    <row r="165" spans="1:14" x14ac:dyDescent="0.2">
      <c r="A165" t="str">
        <f>_xlfn.CONCAT(TargetsPercent[[#This Row],[University]],":",TargetsPercent[[#This Row],[Metric]])</f>
        <v>University of Toronto:08. Research revenue attracted from private sector sources</v>
      </c>
      <c r="B165" t="s">
        <v>43</v>
      </c>
      <c r="C165" t="s">
        <v>26</v>
      </c>
      <c r="D165" s="6">
        <f>VLOOKUP(TargetsPercent[[#This Row],[KEY]],[1]!HistoricalData[#Data],4,FALSE)</f>
        <v>0</v>
      </c>
      <c r="E165" s="6">
        <f>VLOOKUP(TargetsPercent[[#This Row],[KEY]],[1]!HistoricalData[#Data],5,FALSE)</f>
        <v>0</v>
      </c>
      <c r="F165" s="6">
        <f>VLOOKUP(TargetsPercent[[#This Row],[KEY]],[1]!HistoricalData[#Data],6,FALSE)</f>
        <v>0</v>
      </c>
      <c r="G165" s="5">
        <f>VLOOKUP(TargetsPercent[[#This Row],[KEY]],[1]!HistoricalData[#Data],7,FALSE)</f>
        <v>0</v>
      </c>
      <c r="H165" s="9">
        <f>AVERAGE(TargetsPercent[[#This Row],[2016–17 Historical data]],TargetsPercent[[#This Row],[2017–18 Historical data]],TargetsPercent[[#This Row],[2018–19 Historical data]])</f>
        <v>0</v>
      </c>
      <c r="I165" s="9">
        <f>ABS(TargetsPercent[[#This Row],[2016–17 Historical data]]-TargetsPercent[[#This Row],[2017–18 Historical data]])</f>
        <v>0</v>
      </c>
      <c r="J165" s="2">
        <f>ABS(TargetsPercent[[#This Row],[2017–18 Historical data]]-TargetsPercent[[#This Row],[2018–19 Historical data]])</f>
        <v>0</v>
      </c>
      <c r="K16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6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6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65" s="8" t="e">
        <f>ABS(TargetsPercent[[#This Row],[2020–21
Allowable
performance
target]]-TargetsPercent[[#This Row],[Target Floor % (calculated)]])</f>
        <v>#DIV/0!</v>
      </c>
    </row>
    <row r="166" spans="1:14" x14ac:dyDescent="0.2">
      <c r="A166" t="str">
        <f>_xlfn.CONCAT(TargetsPercent[[#This Row],[University]],":",TargetsPercent[[#This Row],[Metric]])</f>
        <v>University of Toronto:09. Graduate employment earnings</v>
      </c>
      <c r="B166" t="s">
        <v>43</v>
      </c>
      <c r="C166" t="s">
        <v>27</v>
      </c>
      <c r="D166" s="6">
        <f>VLOOKUP(TargetsPercent[[#This Row],[KEY]],[1]!HistoricalData[#Data],4,FALSE)</f>
        <v>0</v>
      </c>
      <c r="E166" s="6">
        <f>VLOOKUP(TargetsPercent[[#This Row],[KEY]],[1]!HistoricalData[#Data],5,FALSE)</f>
        <v>0</v>
      </c>
      <c r="F166" s="6">
        <f>VLOOKUP(TargetsPercent[[#This Row],[KEY]],[1]!HistoricalData[#Data],6,FALSE)</f>
        <v>0</v>
      </c>
      <c r="G166" s="5">
        <f>VLOOKUP(TargetsPercent[[#This Row],[KEY]],[1]!HistoricalData[#Data],7,FALSE)</f>
        <v>0</v>
      </c>
      <c r="H166" s="9">
        <f>AVERAGE(TargetsPercent[[#This Row],[2016–17 Historical data]],TargetsPercent[[#This Row],[2017–18 Historical data]],TargetsPercent[[#This Row],[2018–19 Historical data]])</f>
        <v>0</v>
      </c>
      <c r="I166" s="9">
        <f>ABS(TargetsPercent[[#This Row],[2016–17 Historical data]]-TargetsPercent[[#This Row],[2017–18 Historical data]])</f>
        <v>0</v>
      </c>
      <c r="J166" s="2">
        <f>ABS(TargetsPercent[[#This Row],[2017–18 Historical data]]-TargetsPercent[[#This Row],[2018–19 Historical data]])</f>
        <v>0</v>
      </c>
      <c r="K16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6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6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66" s="8" t="e">
        <f>ABS(TargetsPercent[[#This Row],[2020–21
Allowable
performance
target]]-TargetsPercent[[#This Row],[Target Floor % (calculated)]])</f>
        <v>#DIV/0!</v>
      </c>
    </row>
    <row r="167" spans="1:14" x14ac:dyDescent="0.2">
      <c r="A167" t="str">
        <f>_xlfn.CONCAT(TargetsPercent[[#This Row],[University]],":",TargetsPercent[[#This Row],[Metric]])</f>
        <v>University of Toronto:10. Skills and competencies</v>
      </c>
      <c r="B167" t="s">
        <v>43</v>
      </c>
      <c r="C167" t="s">
        <v>28</v>
      </c>
      <c r="D167" s="6">
        <f>VLOOKUP(TargetsPercent[[#This Row],[KEY]],[1]!HistoricalData[#Data],4,FALSE)</f>
        <v>0</v>
      </c>
      <c r="E167" s="6">
        <f>VLOOKUP(TargetsPercent[[#This Row],[KEY]],[1]!HistoricalData[#Data],5,FALSE)</f>
        <v>0</v>
      </c>
      <c r="F167" s="6">
        <f>VLOOKUP(TargetsPercent[[#This Row],[KEY]],[1]!HistoricalData[#Data],6,FALSE)</f>
        <v>0</v>
      </c>
      <c r="G167" s="5">
        <f>VLOOKUP(TargetsPercent[[#This Row],[KEY]],[1]!HistoricalData[#Data],7,FALSE)</f>
        <v>0</v>
      </c>
      <c r="H167" s="9">
        <f>AVERAGE(TargetsPercent[[#This Row],[2016–17 Historical data]],TargetsPercent[[#This Row],[2017–18 Historical data]],TargetsPercent[[#This Row],[2018–19 Historical data]])</f>
        <v>0</v>
      </c>
      <c r="I167" s="9">
        <f>ABS(TargetsPercent[[#This Row],[2016–17 Historical data]]-TargetsPercent[[#This Row],[2017–18 Historical data]])</f>
        <v>0</v>
      </c>
      <c r="J167" s="2">
        <f>ABS(TargetsPercent[[#This Row],[2017–18 Historical data]]-TargetsPercent[[#This Row],[2018–19 Historical data]])</f>
        <v>0</v>
      </c>
      <c r="K16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6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6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67" s="8" t="e">
        <f>ABS(TargetsPercent[[#This Row],[2020–21
Allowable
performance
target]]-TargetsPercent[[#This Row],[Target Floor % (calculated)]])</f>
        <v>#DIV/0!</v>
      </c>
    </row>
    <row r="168" spans="1:14" x14ac:dyDescent="0.2">
      <c r="A168" t="str">
        <f>_xlfn.CONCAT(TargetsPercent[[#This Row],[University]],":",TargetsPercent[[#This Row],[Metric]])</f>
        <v>University of Toronto:Tri-agency research funding</v>
      </c>
      <c r="B168" t="s">
        <v>43</v>
      </c>
      <c r="C168" t="s">
        <v>29</v>
      </c>
      <c r="D168" s="6">
        <f>VLOOKUP(TargetsPercent[[#This Row],[KEY]],[1]!HistoricalData[#Data],4,FALSE)</f>
        <v>239480821</v>
      </c>
      <c r="E168" s="6">
        <f>VLOOKUP(TargetsPercent[[#This Row],[KEY]],[1]!HistoricalData[#Data],5,FALSE)</f>
        <v>251735777</v>
      </c>
      <c r="F168" s="6">
        <f>VLOOKUP(TargetsPercent[[#This Row],[KEY]],[1]!HistoricalData[#Data],6,FALSE)</f>
        <v>259223214</v>
      </c>
      <c r="G168" s="5">
        <f>VLOOKUP(TargetsPercent[[#This Row],[KEY]],[1]!HistoricalData[#Data],7,FALSE)</f>
        <v>0</v>
      </c>
      <c r="H168" s="13">
        <f>AVERAGE(TargetsPercent[[#This Row],[2016–17 Historical data]],TargetsPercent[[#This Row],[2017–18 Historical data]],TargetsPercent[[#This Row],[2018–19 Historical data]])</f>
        <v>250146604</v>
      </c>
      <c r="I168" s="13">
        <f>ABS(TargetsPercent[[#This Row],[2016–17 Historical data]]-TargetsPercent[[#This Row],[2017–18 Historical data]])</f>
        <v>12254956</v>
      </c>
      <c r="J168" s="12">
        <f>ABS(TargetsPercent[[#This Row],[2017–18 Historical data]]-TargetsPercent[[#This Row],[2018–19 Historical data]])</f>
        <v>7487437</v>
      </c>
      <c r="K168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257634041</v>
      </c>
      <c r="L16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4.0458126985593729E-2</v>
      </c>
      <c r="M168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247210650.25341034</v>
      </c>
      <c r="N168" s="8">
        <f>ABS(TargetsPercent[[#This Row],[2020–21
Allowable
performance
target]]-TargetsPercent[[#This Row],[Target Floor % (calculated)]])</f>
        <v>247210650.25341034</v>
      </c>
    </row>
    <row r="169" spans="1:14" x14ac:dyDescent="0.2">
      <c r="A169" t="str">
        <f>_xlfn.CONCAT(TargetsPercent[[#This Row],[University]],":",TargetsPercent[[#This Row],[Metric]])</f>
        <v>University of Waterloo:01. Graduate employment rate in a related field</v>
      </c>
      <c r="B169" t="s">
        <v>44</v>
      </c>
      <c r="C169" t="s">
        <v>19</v>
      </c>
      <c r="D169" s="6">
        <f>VLOOKUP(TargetsPercent[[#This Row],[KEY]],[1]!HistoricalData[#Data],4,FALSE)</f>
        <v>0.91549999999999998</v>
      </c>
      <c r="E169" s="6">
        <f>VLOOKUP(TargetsPercent[[#This Row],[KEY]],[1]!HistoricalData[#Data],5,FALSE)</f>
        <v>0.9254</v>
      </c>
      <c r="F169" s="6">
        <f>VLOOKUP(TargetsPercent[[#This Row],[KEY]],[1]!HistoricalData[#Data],6,FALSE)</f>
        <v>0.93759999999999999</v>
      </c>
      <c r="G169" s="5">
        <f>VLOOKUP(TargetsPercent[[#This Row],[KEY]],[1]!HistoricalData[#Data],7,FALSE)</f>
        <v>0.91500000000000004</v>
      </c>
      <c r="H169" s="2">
        <f>AVERAGE(TargetsPercent[[#This Row],[2016–17 Historical data]],TargetsPercent[[#This Row],[2017–18 Historical data]],TargetsPercent[[#This Row],[2018–19 Historical data]])</f>
        <v>0.92616666666666669</v>
      </c>
      <c r="I169" s="2">
        <f>ABS(TargetsPercent[[#This Row],[2016–17 Historical data]]-TargetsPercent[[#This Row],[2017–18 Historical data]])</f>
        <v>9.9000000000000199E-3</v>
      </c>
      <c r="J169" s="2">
        <f>ABS(TargetsPercent[[#This Row],[2017–18 Historical data]]-TargetsPercent[[#This Row],[2018–19 Historical data]])</f>
        <v>1.2199999999999989E-2</v>
      </c>
      <c r="K16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0.93606666666666671</v>
      </c>
      <c r="L16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1.1998625596181891E-2</v>
      </c>
      <c r="M16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0.92483515320026743</v>
      </c>
      <c r="N169" s="8">
        <f>ABS(TargetsPercent[[#This Row],[2020–21
Allowable
performance
target]]-TargetsPercent[[#This Row],[Target Floor % (calculated)]])</f>
        <v>9.8351532002673991E-3</v>
      </c>
    </row>
    <row r="170" spans="1:14" x14ac:dyDescent="0.2">
      <c r="A170" t="str">
        <f>_xlfn.CONCAT(TargetsPercent[[#This Row],[University]],":",TargetsPercent[[#This Row],[Metric]])</f>
        <v>University of Waterloo:02. Institutional strength and focus</v>
      </c>
      <c r="B170" t="s">
        <v>44</v>
      </c>
      <c r="C170" t="s">
        <v>20</v>
      </c>
      <c r="D170" s="6">
        <f>VLOOKUP(TargetsPercent[[#This Row],[KEY]],[1]!HistoricalData[#Data],4,FALSE)</f>
        <v>0.41499999999999998</v>
      </c>
      <c r="E170" s="6">
        <f>VLOOKUP(TargetsPercent[[#This Row],[KEY]],[1]!HistoricalData[#Data],5,FALSE)</f>
        <v>0.41539999999999999</v>
      </c>
      <c r="F170" s="6">
        <f>VLOOKUP(TargetsPercent[[#This Row],[KEY]],[1]!HistoricalData[#Data],6,FALSE)</f>
        <v>0.41610000000000003</v>
      </c>
      <c r="G170" s="5">
        <f>VLOOKUP(TargetsPercent[[#This Row],[KEY]],[1]!HistoricalData[#Data],7,FALSE)</f>
        <v>0.4012</v>
      </c>
      <c r="H170" s="2">
        <f>AVERAGE(TargetsPercent[[#This Row],[2016–17 Historical data]],TargetsPercent[[#This Row],[2017–18 Historical data]],TargetsPercent[[#This Row],[2018–19 Historical data]])</f>
        <v>0.41550000000000004</v>
      </c>
      <c r="I170" s="2">
        <f>ABS(TargetsPercent[[#This Row],[2016–17 Historical data]]-TargetsPercent[[#This Row],[2017–18 Historical data]])</f>
        <v>4.0000000000001146E-4</v>
      </c>
      <c r="J170" s="2">
        <f>ABS(TargetsPercent[[#This Row],[2017–18 Historical data]]-TargetsPercent[[#This Row],[2018–19 Historical data]])</f>
        <v>7.0000000000003393E-4</v>
      </c>
      <c r="K17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0.41590000000000005</v>
      </c>
      <c r="L17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7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0.41499999999999998</v>
      </c>
      <c r="N170" s="8">
        <f>ABS(TargetsPercent[[#This Row],[2020–21
Allowable
performance
target]]-TargetsPercent[[#This Row],[Target Floor % (calculated)]])</f>
        <v>1.3799999999999979E-2</v>
      </c>
    </row>
    <row r="171" spans="1:14" x14ac:dyDescent="0.2">
      <c r="A171" t="str">
        <f>_xlfn.CONCAT(TargetsPercent[[#This Row],[University]],":",TargetsPercent[[#This Row],[Metric]])</f>
        <v>University of Waterloo:03. Graduation rate</v>
      </c>
      <c r="B171" t="s">
        <v>44</v>
      </c>
      <c r="C171" t="s">
        <v>21</v>
      </c>
      <c r="D171" s="6">
        <f>VLOOKUP(TargetsPercent[[#This Row],[KEY]],[1]!HistoricalData[#Data],4,FALSE)</f>
        <v>0.80840000000000001</v>
      </c>
      <c r="E171" s="6">
        <f>VLOOKUP(TargetsPercent[[#This Row],[KEY]],[1]!HistoricalData[#Data],5,FALSE)</f>
        <v>0.80589999999999995</v>
      </c>
      <c r="F171" s="6">
        <f>VLOOKUP(TargetsPercent[[#This Row],[KEY]],[1]!HistoricalData[#Data],6,FALSE)</f>
        <v>0.81130000000000002</v>
      </c>
      <c r="G171" s="5">
        <f>VLOOKUP(TargetsPercent[[#This Row],[KEY]],[1]!HistoricalData[#Data],7,FALSE)</f>
        <v>0.8004</v>
      </c>
      <c r="H171" s="2">
        <f>AVERAGE(TargetsPercent[[#This Row],[2016–17 Historical data]],TargetsPercent[[#This Row],[2017–18 Historical data]],TargetsPercent[[#This Row],[2018–19 Historical data]])</f>
        <v>0.80853333333333344</v>
      </c>
      <c r="I171" s="2">
        <f>ABS(TargetsPercent[[#This Row],[2016–17 Historical data]]-TargetsPercent[[#This Row],[2017–18 Historical data]])</f>
        <v>2.5000000000000577E-3</v>
      </c>
      <c r="J171" s="2">
        <f>ABS(TargetsPercent[[#This Row],[2017–18 Historical data]]-TargetsPercent[[#This Row],[2018–19 Historical data]])</f>
        <v>5.4000000000000714E-3</v>
      </c>
      <c r="K17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0.81103333333333349</v>
      </c>
      <c r="L17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7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0.80589999999999995</v>
      </c>
      <c r="N171" s="8">
        <f>ABS(TargetsPercent[[#This Row],[2020–21
Allowable
performance
target]]-TargetsPercent[[#This Row],[Target Floor % (calculated)]])</f>
        <v>5.4999999999999494E-3</v>
      </c>
    </row>
    <row r="172" spans="1:14" x14ac:dyDescent="0.2">
      <c r="A172" t="str">
        <f>_xlfn.CONCAT(TargetsPercent[[#This Row],[University]],":",TargetsPercent[[#This Row],[Metric]])</f>
        <v>University of Waterloo:04. Community and local impact of student enrolment</v>
      </c>
      <c r="B172" t="s">
        <v>44</v>
      </c>
      <c r="C172" t="s">
        <v>22</v>
      </c>
      <c r="D172" s="6">
        <f>VLOOKUP(TargetsPercent[[#This Row],[KEY]],[1]!HistoricalData[#Data],4,FALSE)</f>
        <v>0.48580000000000001</v>
      </c>
      <c r="E172" s="6">
        <f>VLOOKUP(TargetsPercent[[#This Row],[KEY]],[1]!HistoricalData[#Data],5,FALSE)</f>
        <v>0.50129999999999997</v>
      </c>
      <c r="F172" s="6">
        <f>VLOOKUP(TargetsPercent[[#This Row],[KEY]],[1]!HistoricalData[#Data],6,FALSE)</f>
        <v>0.5131</v>
      </c>
      <c r="G172" s="5">
        <f>VLOOKUP(TargetsPercent[[#This Row],[KEY]],[1]!HistoricalData[#Data],7,FALSE)</f>
        <v>0.49769999999999998</v>
      </c>
      <c r="H172" s="2">
        <f>AVERAGE(TargetsPercent[[#This Row],[2016–17 Historical data]],TargetsPercent[[#This Row],[2017–18 Historical data]],TargetsPercent[[#This Row],[2018–19 Historical data]])</f>
        <v>0.50006666666666666</v>
      </c>
      <c r="I172" s="2">
        <f>ABS(TargetsPercent[[#This Row],[2016–17 Historical data]]-TargetsPercent[[#This Row],[2017–18 Historical data]])</f>
        <v>1.5499999999999958E-2</v>
      </c>
      <c r="J172" s="2">
        <f>ABS(TargetsPercent[[#This Row],[2017–18 Historical data]]-TargetsPercent[[#This Row],[2018–19 Historical data]])</f>
        <v>1.1800000000000033E-2</v>
      </c>
      <c r="K17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0.51186666666666669</v>
      </c>
      <c r="L17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2.7722466666945882E-2</v>
      </c>
      <c r="M17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0.49767646006207933</v>
      </c>
      <c r="N172" s="9">
        <f>ABS(TargetsPercent[[#This Row],[2020–21
Allowable
performance
target]]-TargetsPercent[[#This Row],[Target Floor % (calculated)]])</f>
        <v>2.3539937920646903E-5</v>
      </c>
    </row>
    <row r="173" spans="1:14" x14ac:dyDescent="0.2">
      <c r="A173" t="str">
        <f>_xlfn.CONCAT(TargetsPercent[[#This Row],[University]],":",TargetsPercent[[#This Row],[Metric]])</f>
        <v>University of Waterloo:05. Economic impact (institution-specific)</v>
      </c>
      <c r="B173" t="s">
        <v>44</v>
      </c>
      <c r="C173" t="s">
        <v>23</v>
      </c>
      <c r="D173" s="6">
        <f>VLOOKUP(TargetsPercent[[#This Row],[KEY]],[1]!HistoricalData[#Data],4,FALSE)</f>
        <v>240500000</v>
      </c>
      <c r="E173" s="6">
        <f>VLOOKUP(TargetsPercent[[#This Row],[KEY]],[1]!HistoricalData[#Data],5,FALSE)</f>
        <v>261400000</v>
      </c>
      <c r="F173" s="6">
        <f>VLOOKUP(TargetsPercent[[#This Row],[KEY]],[1]!HistoricalData[#Data],6,FALSE)</f>
        <v>285600000</v>
      </c>
      <c r="G173" s="5">
        <f>VLOOKUP(TargetsPercent[[#This Row],[KEY]],[1]!HistoricalData[#Data],7,FALSE)</f>
        <v>257967583</v>
      </c>
      <c r="H173" s="10">
        <f>AVERAGE(TargetsPercent[[#This Row],[2016–17 Historical data]],TargetsPercent[[#This Row],[2017–18 Historical data]],TargetsPercent[[#This Row],[2018–19 Historical data]])</f>
        <v>262500000</v>
      </c>
      <c r="I173" s="10">
        <f>ABS(TargetsPercent[[#This Row],[2016–17 Historical data]]-TargetsPercent[[#This Row],[2017–18 Historical data]])</f>
        <v>20900000</v>
      </c>
      <c r="J173" s="12">
        <f>ABS(TargetsPercent[[#This Row],[2017–18 Historical data]]-TargetsPercent[[#This Row],[2018–19 Historical data]])</f>
        <v>24200000</v>
      </c>
      <c r="K173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283400000</v>
      </c>
      <c r="L17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8.9740355386874138E-2</v>
      </c>
      <c r="M173" s="2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257967583.28335989</v>
      </c>
      <c r="N173" s="8">
        <f>ABS(TargetsPercent[[#This Row],[2020–21
Allowable
performance
target]]-TargetsPercent[[#This Row],[Target Floor % (calculated)]])</f>
        <v>0.28335988521575928</v>
      </c>
    </row>
    <row r="174" spans="1:14" x14ac:dyDescent="0.2">
      <c r="A174" t="str">
        <f>_xlfn.CONCAT(TargetsPercent[[#This Row],[University]],":",TargetsPercent[[#This Row],[Metric]])</f>
        <v>University of Waterloo:06. Research funding and capacity: federal tri-agency funding secured</v>
      </c>
      <c r="B174" t="s">
        <v>44</v>
      </c>
      <c r="C174" t="s">
        <v>24</v>
      </c>
      <c r="D174" s="6">
        <f>VLOOKUP(TargetsPercent[[#This Row],[KEY]],[1]!HistoricalData[#Data],4,FALSE)</f>
        <v>8.1799999999999998E-2</v>
      </c>
      <c r="E174" s="6">
        <f>VLOOKUP(TargetsPercent[[#This Row],[KEY]],[1]!HistoricalData[#Data],5,FALSE)</f>
        <v>8.2500000000000004E-2</v>
      </c>
      <c r="F174" s="6">
        <f>VLOOKUP(TargetsPercent[[#This Row],[KEY]],[1]!HistoricalData[#Data],6,FALSE)</f>
        <v>8.0100000000000005E-2</v>
      </c>
      <c r="G174" s="5">
        <f>VLOOKUP(TargetsPercent[[#This Row],[KEY]],[1]!HistoricalData[#Data],7,FALSE)</f>
        <v>7.8200000000000006E-2</v>
      </c>
      <c r="H174" s="2">
        <f>AVERAGE(TargetsPercent[[#This Row],[2016–17 Historical data]],TargetsPercent[[#This Row],[2017–18 Historical data]],TargetsPercent[[#This Row],[2018–19 Historical data]])</f>
        <v>8.1466666666666673E-2</v>
      </c>
      <c r="I174" s="2">
        <f>ABS(TargetsPercent[[#This Row],[2016–17 Historical data]]-TargetsPercent[[#This Row],[2017–18 Historical data]])</f>
        <v>7.0000000000000617E-4</v>
      </c>
      <c r="J174" s="2">
        <f>ABS(TargetsPercent[[#This Row],[2017–18 Historical data]]-TargetsPercent[[#This Row],[2018–19 Historical data]])</f>
        <v>2.3999999999999994E-3</v>
      </c>
      <c r="K17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8.216666666666668E-2</v>
      </c>
      <c r="L17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1.8824183151811547E-2</v>
      </c>
      <c r="M17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8.0619946284359492E-2</v>
      </c>
      <c r="N174" s="8">
        <f>ABS(TargetsPercent[[#This Row],[2020–21
Allowable
performance
target]]-TargetsPercent[[#This Row],[Target Floor % (calculated)]])</f>
        <v>2.4199462843594866E-3</v>
      </c>
    </row>
    <row r="175" spans="1:14" x14ac:dyDescent="0.2">
      <c r="A175" t="str">
        <f>_xlfn.CONCAT(TargetsPercent[[#This Row],[University]],":",TargetsPercent[[#This Row],[Metric]])</f>
        <v>University of Waterloo:07. Experiential learning</v>
      </c>
      <c r="B175" t="s">
        <v>44</v>
      </c>
      <c r="C175" t="s">
        <v>25</v>
      </c>
      <c r="D175" s="6">
        <f>VLOOKUP(TargetsPercent[[#This Row],[KEY]],[1]!HistoricalData[#Data],4,FALSE)</f>
        <v>0</v>
      </c>
      <c r="E175" s="6">
        <f>VLOOKUP(TargetsPercent[[#This Row],[KEY]],[1]!HistoricalData[#Data],5,FALSE)</f>
        <v>0</v>
      </c>
      <c r="F175" s="6">
        <f>VLOOKUP(TargetsPercent[[#This Row],[KEY]],[1]!HistoricalData[#Data],6,FALSE)</f>
        <v>0</v>
      </c>
      <c r="G175" s="5">
        <f>VLOOKUP(TargetsPercent[[#This Row],[KEY]],[1]!HistoricalData[#Data],7,FALSE)</f>
        <v>0</v>
      </c>
      <c r="H175" s="9">
        <f>AVERAGE(TargetsPercent[[#This Row],[2016–17 Historical data]],TargetsPercent[[#This Row],[2017–18 Historical data]],TargetsPercent[[#This Row],[2018–19 Historical data]])</f>
        <v>0</v>
      </c>
      <c r="I175" s="9">
        <f>ABS(TargetsPercent[[#This Row],[2016–17 Historical data]]-TargetsPercent[[#This Row],[2017–18 Historical data]])</f>
        <v>0</v>
      </c>
      <c r="J175" s="2">
        <f>ABS(TargetsPercent[[#This Row],[2017–18 Historical data]]-TargetsPercent[[#This Row],[2018–19 Historical data]])</f>
        <v>0</v>
      </c>
      <c r="K175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75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75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75" s="8" t="e">
        <f>ABS(TargetsPercent[[#This Row],[2020–21
Allowable
performance
target]]-TargetsPercent[[#This Row],[Target Floor % (calculated)]])</f>
        <v>#DIV/0!</v>
      </c>
    </row>
    <row r="176" spans="1:14" x14ac:dyDescent="0.2">
      <c r="A176" t="str">
        <f>_xlfn.CONCAT(TargetsPercent[[#This Row],[University]],":",TargetsPercent[[#This Row],[Metric]])</f>
        <v>University of Waterloo:08. Research revenue attracted from private sector sources</v>
      </c>
      <c r="B176" t="s">
        <v>44</v>
      </c>
      <c r="C176" t="s">
        <v>26</v>
      </c>
      <c r="D176" s="6">
        <f>VLOOKUP(TargetsPercent[[#This Row],[KEY]],[1]!HistoricalData[#Data],4,FALSE)</f>
        <v>0</v>
      </c>
      <c r="E176" s="6">
        <f>VLOOKUP(TargetsPercent[[#This Row],[KEY]],[1]!HistoricalData[#Data],5,FALSE)</f>
        <v>0</v>
      </c>
      <c r="F176" s="6">
        <f>VLOOKUP(TargetsPercent[[#This Row],[KEY]],[1]!HistoricalData[#Data],6,FALSE)</f>
        <v>0</v>
      </c>
      <c r="G176" s="5">
        <f>VLOOKUP(TargetsPercent[[#This Row],[KEY]],[1]!HistoricalData[#Data],7,FALSE)</f>
        <v>0</v>
      </c>
      <c r="H176" s="9">
        <f>AVERAGE(TargetsPercent[[#This Row],[2016–17 Historical data]],TargetsPercent[[#This Row],[2017–18 Historical data]],TargetsPercent[[#This Row],[2018–19 Historical data]])</f>
        <v>0</v>
      </c>
      <c r="I176" s="9">
        <f>ABS(TargetsPercent[[#This Row],[2016–17 Historical data]]-TargetsPercent[[#This Row],[2017–18 Historical data]])</f>
        <v>0</v>
      </c>
      <c r="J176" s="2">
        <f>ABS(TargetsPercent[[#This Row],[2017–18 Historical data]]-TargetsPercent[[#This Row],[2018–19 Historical data]])</f>
        <v>0</v>
      </c>
      <c r="K17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7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7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76" s="8" t="e">
        <f>ABS(TargetsPercent[[#This Row],[2020–21
Allowable
performance
target]]-TargetsPercent[[#This Row],[Target Floor % (calculated)]])</f>
        <v>#DIV/0!</v>
      </c>
    </row>
    <row r="177" spans="1:14" x14ac:dyDescent="0.2">
      <c r="A177" t="str">
        <f>_xlfn.CONCAT(TargetsPercent[[#This Row],[University]],":",TargetsPercent[[#This Row],[Metric]])</f>
        <v>University of Waterloo:09. Graduate employment earnings</v>
      </c>
      <c r="B177" t="s">
        <v>44</v>
      </c>
      <c r="C177" t="s">
        <v>27</v>
      </c>
      <c r="D177" s="6">
        <f>VLOOKUP(TargetsPercent[[#This Row],[KEY]],[1]!HistoricalData[#Data],4,FALSE)</f>
        <v>0</v>
      </c>
      <c r="E177" s="6">
        <f>VLOOKUP(TargetsPercent[[#This Row],[KEY]],[1]!HistoricalData[#Data],5,FALSE)</f>
        <v>0</v>
      </c>
      <c r="F177" s="6">
        <f>VLOOKUP(TargetsPercent[[#This Row],[KEY]],[1]!HistoricalData[#Data],6,FALSE)</f>
        <v>0</v>
      </c>
      <c r="G177" s="5">
        <f>VLOOKUP(TargetsPercent[[#This Row],[KEY]],[1]!HistoricalData[#Data],7,FALSE)</f>
        <v>0</v>
      </c>
      <c r="H177" s="9">
        <f>AVERAGE(TargetsPercent[[#This Row],[2016–17 Historical data]],TargetsPercent[[#This Row],[2017–18 Historical data]],TargetsPercent[[#This Row],[2018–19 Historical data]])</f>
        <v>0</v>
      </c>
      <c r="I177" s="9">
        <f>ABS(TargetsPercent[[#This Row],[2016–17 Historical data]]-TargetsPercent[[#This Row],[2017–18 Historical data]])</f>
        <v>0</v>
      </c>
      <c r="J177" s="2">
        <f>ABS(TargetsPercent[[#This Row],[2017–18 Historical data]]-TargetsPercent[[#This Row],[2018–19 Historical data]])</f>
        <v>0</v>
      </c>
      <c r="K17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7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7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77" s="8" t="e">
        <f>ABS(TargetsPercent[[#This Row],[2020–21
Allowable
performance
target]]-TargetsPercent[[#This Row],[Target Floor % (calculated)]])</f>
        <v>#DIV/0!</v>
      </c>
    </row>
    <row r="178" spans="1:14" x14ac:dyDescent="0.2">
      <c r="A178" t="str">
        <f>_xlfn.CONCAT(TargetsPercent[[#This Row],[University]],":",TargetsPercent[[#This Row],[Metric]])</f>
        <v>University of Waterloo:10. Skills and competencies</v>
      </c>
      <c r="B178" t="s">
        <v>44</v>
      </c>
      <c r="C178" t="s">
        <v>28</v>
      </c>
      <c r="D178" s="6">
        <f>VLOOKUP(TargetsPercent[[#This Row],[KEY]],[1]!HistoricalData[#Data],4,FALSE)</f>
        <v>0</v>
      </c>
      <c r="E178" s="6">
        <f>VLOOKUP(TargetsPercent[[#This Row],[KEY]],[1]!HistoricalData[#Data],5,FALSE)</f>
        <v>0</v>
      </c>
      <c r="F178" s="6">
        <f>VLOOKUP(TargetsPercent[[#This Row],[KEY]],[1]!HistoricalData[#Data],6,FALSE)</f>
        <v>0</v>
      </c>
      <c r="G178" s="5">
        <f>VLOOKUP(TargetsPercent[[#This Row],[KEY]],[1]!HistoricalData[#Data],7,FALSE)</f>
        <v>0</v>
      </c>
      <c r="H178" s="9">
        <f>AVERAGE(TargetsPercent[[#This Row],[2016–17 Historical data]],TargetsPercent[[#This Row],[2017–18 Historical data]],TargetsPercent[[#This Row],[2018–19 Historical data]])</f>
        <v>0</v>
      </c>
      <c r="I178" s="9">
        <f>ABS(TargetsPercent[[#This Row],[2016–17 Historical data]]-TargetsPercent[[#This Row],[2017–18 Historical data]])</f>
        <v>0</v>
      </c>
      <c r="J178" s="2">
        <f>ABS(TargetsPercent[[#This Row],[2017–18 Historical data]]-TargetsPercent[[#This Row],[2018–19 Historical data]])</f>
        <v>0</v>
      </c>
      <c r="K17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7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7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78" s="8" t="e">
        <f>ABS(TargetsPercent[[#This Row],[2020–21
Allowable
performance
target]]-TargetsPercent[[#This Row],[Target Floor % (calculated)]])</f>
        <v>#DIV/0!</v>
      </c>
    </row>
    <row r="179" spans="1:14" x14ac:dyDescent="0.2">
      <c r="A179" t="str">
        <f>_xlfn.CONCAT(TargetsPercent[[#This Row],[University]],":",TargetsPercent[[#This Row],[Metric]])</f>
        <v>University of Waterloo:Tri-agency research funding</v>
      </c>
      <c r="B179" t="s">
        <v>44</v>
      </c>
      <c r="C179" t="s">
        <v>29</v>
      </c>
      <c r="D179" s="6">
        <f>VLOOKUP(TargetsPercent[[#This Row],[KEY]],[1]!HistoricalData[#Data],4,FALSE)</f>
        <v>52180707</v>
      </c>
      <c r="E179" s="6">
        <f>VLOOKUP(TargetsPercent[[#This Row],[KEY]],[1]!HistoricalData[#Data],5,FALSE)</f>
        <v>54908373</v>
      </c>
      <c r="F179" s="6">
        <f>VLOOKUP(TargetsPercent[[#This Row],[KEY]],[1]!HistoricalData[#Data],6,FALSE)</f>
        <v>54346406</v>
      </c>
      <c r="G179" s="5">
        <f>VLOOKUP(TargetsPercent[[#This Row],[KEY]],[1]!HistoricalData[#Data],7,FALSE)</f>
        <v>0</v>
      </c>
      <c r="H179" s="13">
        <f>AVERAGE(TargetsPercent[[#This Row],[2016–17 Historical data]],TargetsPercent[[#This Row],[2017–18 Historical data]],TargetsPercent[[#This Row],[2018–19 Historical data]])</f>
        <v>53811828.666666664</v>
      </c>
      <c r="I179" s="13">
        <f>ABS(TargetsPercent[[#This Row],[2016–17 Historical data]]-TargetsPercent[[#This Row],[2017–18 Historical data]])</f>
        <v>2727666</v>
      </c>
      <c r="J179" s="12">
        <f>ABS(TargetsPercent[[#This Row],[2017–18 Historical data]]-TargetsPercent[[#This Row],[2018–19 Historical data]])</f>
        <v>561967</v>
      </c>
      <c r="K179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54373795.666666664</v>
      </c>
      <c r="L17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3.1254045119037614E-2</v>
      </c>
      <c r="M179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52674394.603607334</v>
      </c>
      <c r="N179" s="8">
        <f>ABS(TargetsPercent[[#This Row],[2020–21
Allowable
performance
target]]-TargetsPercent[[#This Row],[Target Floor % (calculated)]])</f>
        <v>52674394.603607334</v>
      </c>
    </row>
    <row r="180" spans="1:14" x14ac:dyDescent="0.2">
      <c r="A180" t="str">
        <f>_xlfn.CONCAT(TargetsPercent[[#This Row],[University]],":",TargetsPercent[[#This Row],[Metric]])</f>
        <v>University of Windsor:01. Graduate employment rate in a related field</v>
      </c>
      <c r="B180" t="s">
        <v>45</v>
      </c>
      <c r="C180" t="s">
        <v>19</v>
      </c>
      <c r="D180" s="6">
        <f>VLOOKUP(TargetsPercent[[#This Row],[KEY]],[1]!HistoricalData[#Data],4,FALSE)</f>
        <v>0.89490000000000003</v>
      </c>
      <c r="E180" s="6">
        <f>VLOOKUP(TargetsPercent[[#This Row],[KEY]],[1]!HistoricalData[#Data],5,FALSE)</f>
        <v>0.88449999999999995</v>
      </c>
      <c r="F180" s="6">
        <f>VLOOKUP(TargetsPercent[[#This Row],[KEY]],[1]!HistoricalData[#Data],6,FALSE)</f>
        <v>0.83199999999999996</v>
      </c>
      <c r="G180" s="5">
        <f>VLOOKUP(TargetsPercent[[#This Row],[KEY]],[1]!HistoricalData[#Data],7,FALSE)</f>
        <v>0.84960000000000002</v>
      </c>
      <c r="H180" s="2">
        <f>AVERAGE(TargetsPercent[[#This Row],[2016–17 Historical data]],TargetsPercent[[#This Row],[2017–18 Historical data]],TargetsPercent[[#This Row],[2018–19 Historical data]])</f>
        <v>0.87046666666666661</v>
      </c>
      <c r="I180" s="2">
        <f>ABS(TargetsPercent[[#This Row],[2016–17 Historical data]]-TargetsPercent[[#This Row],[2017–18 Historical data]])</f>
        <v>1.0400000000000076E-2</v>
      </c>
      <c r="J180" s="2">
        <f>ABS(TargetsPercent[[#This Row],[2017–18 Historical data]]-TargetsPercent[[#This Row],[2018–19 Historical data]])</f>
        <v>5.2499999999999991E-2</v>
      </c>
      <c r="K180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0.88086666666666669</v>
      </c>
      <c r="L18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3.5488489165506149E-2</v>
      </c>
      <c r="M180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0.84960603951041114</v>
      </c>
      <c r="N180" s="8">
        <f>ABS(TargetsPercent[[#This Row],[2020–21
Allowable
performance
target]]-TargetsPercent[[#This Row],[Target Floor % (calculated)]])</f>
        <v>6.0395104111155007E-6</v>
      </c>
    </row>
    <row r="181" spans="1:14" x14ac:dyDescent="0.2">
      <c r="A181" t="str">
        <f>_xlfn.CONCAT(TargetsPercent[[#This Row],[University]],":",TargetsPercent[[#This Row],[Metric]])</f>
        <v>University of Windsor:02. Institutional strength and focus</v>
      </c>
      <c r="B181" t="s">
        <v>45</v>
      </c>
      <c r="C181" t="s">
        <v>20</v>
      </c>
      <c r="D181" s="6">
        <f>VLOOKUP(TargetsPercent[[#This Row],[KEY]],[1]!HistoricalData[#Data],4,FALSE)</f>
        <v>0.33479999999999999</v>
      </c>
      <c r="E181" s="6">
        <f>VLOOKUP(TargetsPercent[[#This Row],[KEY]],[1]!HistoricalData[#Data],5,FALSE)</f>
        <v>0.33639999999999998</v>
      </c>
      <c r="F181" s="6">
        <f>VLOOKUP(TargetsPercent[[#This Row],[KEY]],[1]!HistoricalData[#Data],6,FALSE)</f>
        <v>0.34010000000000001</v>
      </c>
      <c r="G181" s="5">
        <f>VLOOKUP(TargetsPercent[[#This Row],[KEY]],[1]!HistoricalData[#Data],7,FALSE)</f>
        <v>0.32650000000000001</v>
      </c>
      <c r="H181" s="2">
        <f>AVERAGE(TargetsPercent[[#This Row],[2016–17 Historical data]],TargetsPercent[[#This Row],[2017–18 Historical data]],TargetsPercent[[#This Row],[2018–19 Historical data]])</f>
        <v>0.33710000000000001</v>
      </c>
      <c r="I181" s="2">
        <f>ABS(TargetsPercent[[#This Row],[2016–17 Historical data]]-TargetsPercent[[#This Row],[2017–18 Historical data]])</f>
        <v>1.5999999999999903E-3</v>
      </c>
      <c r="J181" s="2">
        <f>ABS(TargetsPercent[[#This Row],[2017–18 Historical data]]-TargetsPercent[[#This Row],[2018–19 Historical data]])</f>
        <v>3.7000000000000366E-3</v>
      </c>
      <c r="K18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0.3387</v>
      </c>
      <c r="L18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8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0.33531300000000003</v>
      </c>
      <c r="N181" s="8">
        <f>ABS(TargetsPercent[[#This Row],[2020–21
Allowable
performance
target]]-TargetsPercent[[#This Row],[Target Floor % (calculated)]])</f>
        <v>8.8130000000000153E-3</v>
      </c>
    </row>
    <row r="182" spans="1:14" x14ac:dyDescent="0.2">
      <c r="A182" t="str">
        <f>_xlfn.CONCAT(TargetsPercent[[#This Row],[University]],":",TargetsPercent[[#This Row],[Metric]])</f>
        <v>University of Windsor:03. Graduation rate</v>
      </c>
      <c r="B182" t="s">
        <v>45</v>
      </c>
      <c r="C182" t="s">
        <v>21</v>
      </c>
      <c r="D182" s="6">
        <f>VLOOKUP(TargetsPercent[[#This Row],[KEY]],[1]!HistoricalData[#Data],4,FALSE)</f>
        <v>0.75680000000000003</v>
      </c>
      <c r="E182" s="6">
        <f>VLOOKUP(TargetsPercent[[#This Row],[KEY]],[1]!HistoricalData[#Data],5,FALSE)</f>
        <v>0.74480000000000002</v>
      </c>
      <c r="F182" s="6">
        <f>VLOOKUP(TargetsPercent[[#This Row],[KEY]],[1]!HistoricalData[#Data],6,FALSE)</f>
        <v>0.73229999999999995</v>
      </c>
      <c r="G182" s="5">
        <f>VLOOKUP(TargetsPercent[[#This Row],[KEY]],[1]!HistoricalData[#Data],7,FALSE)</f>
        <v>0.74429999999999996</v>
      </c>
      <c r="H182" s="2">
        <f>AVERAGE(TargetsPercent[[#This Row],[2016–17 Historical data]],TargetsPercent[[#This Row],[2017–18 Historical data]],TargetsPercent[[#This Row],[2018–19 Historical data]])</f>
        <v>0.74463333333333337</v>
      </c>
      <c r="I182" s="2">
        <f>ABS(TargetsPercent[[#This Row],[2016–17 Historical data]]-TargetsPercent[[#This Row],[2017–18 Historical data]])</f>
        <v>1.2000000000000011E-2</v>
      </c>
      <c r="J182" s="2">
        <f>ABS(TargetsPercent[[#This Row],[2017–18 Historical data]]-TargetsPercent[[#This Row],[2018–19 Historical data]])</f>
        <v>1.2500000000000067E-2</v>
      </c>
      <c r="K18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0.75663333333333338</v>
      </c>
      <c r="L18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1.6319632893771779E-2</v>
      </c>
      <c r="M18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0.74428535509814253</v>
      </c>
      <c r="N182" s="8">
        <f>ABS(TargetsPercent[[#This Row],[2020–21
Allowable
performance
target]]-TargetsPercent[[#This Row],[Target Floor % (calculated)]])</f>
        <v>1.464490185743017E-5</v>
      </c>
    </row>
    <row r="183" spans="1:14" x14ac:dyDescent="0.2">
      <c r="A183" t="str">
        <f>_xlfn.CONCAT(TargetsPercent[[#This Row],[University]],":",TargetsPercent[[#This Row],[Metric]])</f>
        <v>University of Windsor:04. Community and local impact of student enrolment</v>
      </c>
      <c r="B183" t="s">
        <v>45</v>
      </c>
      <c r="C183" t="s">
        <v>22</v>
      </c>
      <c r="D183" s="6">
        <f>VLOOKUP(TargetsPercent[[#This Row],[KEY]],[1]!HistoricalData[#Data],4,FALSE)</f>
        <v>0.1086</v>
      </c>
      <c r="E183" s="6">
        <f>VLOOKUP(TargetsPercent[[#This Row],[KEY]],[1]!HistoricalData[#Data],5,FALSE)</f>
        <v>0.11070000000000001</v>
      </c>
      <c r="F183" s="6">
        <f>VLOOKUP(TargetsPercent[[#This Row],[KEY]],[1]!HistoricalData[#Data],6,FALSE)</f>
        <v>0.1138</v>
      </c>
      <c r="G183" s="5">
        <f>VLOOKUP(TargetsPercent[[#This Row],[KEY]],[1]!HistoricalData[#Data],7,FALSE)</f>
        <v>0.1104</v>
      </c>
      <c r="H183" s="2">
        <f>AVERAGE(TargetsPercent[[#This Row],[2016–17 Historical data]],TargetsPercent[[#This Row],[2017–18 Historical data]],TargetsPercent[[#This Row],[2018–19 Historical data]])</f>
        <v>0.11103333333333333</v>
      </c>
      <c r="I183" s="2">
        <f>ABS(TargetsPercent[[#This Row],[2016–17 Historical data]]-TargetsPercent[[#This Row],[2017–18 Historical data]])</f>
        <v>2.1000000000000046E-3</v>
      </c>
      <c r="J183" s="2">
        <f>ABS(TargetsPercent[[#This Row],[2017–18 Historical data]]-TargetsPercent[[#This Row],[2018–19 Historical data]])</f>
        <v>3.0999999999999917E-3</v>
      </c>
      <c r="K18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0.11313333333333334</v>
      </c>
      <c r="L18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2.3670314972026311E-2</v>
      </c>
      <c r="M18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0.11045543169949809</v>
      </c>
      <c r="N183" s="9">
        <f>ABS(TargetsPercent[[#This Row],[2020–21
Allowable
performance
target]]-TargetsPercent[[#This Row],[Target Floor % (calculated)]])</f>
        <v>5.5431699498093012E-5</v>
      </c>
    </row>
    <row r="184" spans="1:14" x14ac:dyDescent="0.2">
      <c r="A184" t="str">
        <f>_xlfn.CONCAT(TargetsPercent[[#This Row],[University]],":",TargetsPercent[[#This Row],[Metric]])</f>
        <v>University of Windsor:05. Economic impact (institution-specific)</v>
      </c>
      <c r="B184" t="s">
        <v>45</v>
      </c>
      <c r="C184" t="s">
        <v>23</v>
      </c>
      <c r="D184" s="6">
        <f>VLOOKUP(TargetsPercent[[#This Row],[KEY]],[1]!HistoricalData[#Data],4,FALSE)</f>
        <v>110028827</v>
      </c>
      <c r="E184" s="6">
        <f>VLOOKUP(TargetsPercent[[#This Row],[KEY]],[1]!HistoricalData[#Data],5,FALSE)</f>
        <v>120384827</v>
      </c>
      <c r="F184" s="6">
        <f>VLOOKUP(TargetsPercent[[#This Row],[KEY]],[1]!HistoricalData[#Data],6,FALSE)</f>
        <v>133586282</v>
      </c>
      <c r="G184" s="5">
        <f>VLOOKUP(TargetsPercent[[#This Row],[KEY]],[1]!HistoricalData[#Data],7,FALSE)</f>
        <v>118271406</v>
      </c>
      <c r="H184" s="10">
        <f>AVERAGE(TargetsPercent[[#This Row],[2016–17 Historical data]],TargetsPercent[[#This Row],[2017–18 Historical data]],TargetsPercent[[#This Row],[2018–19 Historical data]])</f>
        <v>121333312</v>
      </c>
      <c r="I184" s="10">
        <f>ABS(TargetsPercent[[#This Row],[2016–17 Historical data]]-TargetsPercent[[#This Row],[2017–18 Historical data]])</f>
        <v>10356000</v>
      </c>
      <c r="J184" s="10">
        <f>ABS(TargetsPercent[[#This Row],[2017–18 Historical data]]-TargetsPercent[[#This Row],[2018–19 Historical data]])</f>
        <v>13201455</v>
      </c>
      <c r="K184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131689312</v>
      </c>
      <c r="L18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0.10189062235369684</v>
      </c>
      <c r="M184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118271406.04298985</v>
      </c>
      <c r="N184" s="8">
        <f>ABS(TargetsPercent[[#This Row],[2020–21
Allowable
performance
target]]-TargetsPercent[[#This Row],[Target Floor % (calculated)]])</f>
        <v>4.2989850044250488E-2</v>
      </c>
    </row>
    <row r="185" spans="1:14" x14ac:dyDescent="0.2">
      <c r="A185" t="str">
        <f>_xlfn.CONCAT(TargetsPercent[[#This Row],[University]],":",TargetsPercent[[#This Row],[Metric]])</f>
        <v>University of Windsor:06. Research funding and capacity: federal tri-agency funding secured</v>
      </c>
      <c r="B185" t="s">
        <v>45</v>
      </c>
      <c r="C185" t="s">
        <v>24</v>
      </c>
      <c r="D185" s="6">
        <f>VLOOKUP(TargetsPercent[[#This Row],[KEY]],[1]!HistoricalData[#Data],4,FALSE)</f>
        <v>1.47E-2</v>
      </c>
      <c r="E185" s="6">
        <f>VLOOKUP(TargetsPercent[[#This Row],[KEY]],[1]!HistoricalData[#Data],5,FALSE)</f>
        <v>1.34E-2</v>
      </c>
      <c r="F185" s="6">
        <f>VLOOKUP(TargetsPercent[[#This Row],[KEY]],[1]!HistoricalData[#Data],6,FALSE)</f>
        <v>1.29E-2</v>
      </c>
      <c r="G185" s="5">
        <f>VLOOKUP(TargetsPercent[[#This Row],[KEY]],[1]!HistoricalData[#Data],7,FALSE)</f>
        <v>1.32E-2</v>
      </c>
      <c r="H185" s="2">
        <f>AVERAGE(TargetsPercent[[#This Row],[2016–17 Historical data]],TargetsPercent[[#This Row],[2017–18 Historical data]],TargetsPercent[[#This Row],[2018–19 Historical data]])</f>
        <v>1.3666666666666667E-2</v>
      </c>
      <c r="I185" s="2">
        <f>ABS(TargetsPercent[[#This Row],[2016–17 Historical data]]-TargetsPercent[[#This Row],[2017–18 Historical data]])</f>
        <v>1.2999999999999991E-3</v>
      </c>
      <c r="J185" s="2">
        <f>ABS(TargetsPercent[[#This Row],[2017–18 Historical data]]-TargetsPercent[[#This Row],[2018–19 Historical data]])</f>
        <v>5.0000000000000044E-4</v>
      </c>
      <c r="K18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1.4166666666666668E-2</v>
      </c>
      <c r="L18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6.2874403492740372E-2</v>
      </c>
      <c r="M18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1.3275945950519513E-2</v>
      </c>
      <c r="N185" s="8">
        <f>ABS(TargetsPercent[[#This Row],[2020–21
Allowable
performance
target]]-TargetsPercent[[#This Row],[Target Floor % (calculated)]])</f>
        <v>7.5945950519512931E-5</v>
      </c>
    </row>
    <row r="186" spans="1:14" x14ac:dyDescent="0.2">
      <c r="A186" t="str">
        <f>_xlfn.CONCAT(TargetsPercent[[#This Row],[University]],":",TargetsPercent[[#This Row],[Metric]])</f>
        <v>University of Windsor:07. Experiential learning</v>
      </c>
      <c r="B186" t="s">
        <v>45</v>
      </c>
      <c r="C186" t="s">
        <v>25</v>
      </c>
      <c r="D186" s="6">
        <f>VLOOKUP(TargetsPercent[[#This Row],[KEY]],[1]!HistoricalData[#Data],4,FALSE)</f>
        <v>0</v>
      </c>
      <c r="E186" s="6">
        <f>VLOOKUP(TargetsPercent[[#This Row],[KEY]],[1]!HistoricalData[#Data],5,FALSE)</f>
        <v>0</v>
      </c>
      <c r="F186" s="6">
        <f>VLOOKUP(TargetsPercent[[#This Row],[KEY]],[1]!HistoricalData[#Data],6,FALSE)</f>
        <v>0</v>
      </c>
      <c r="G186" s="5">
        <f>VLOOKUP(TargetsPercent[[#This Row],[KEY]],[1]!HistoricalData[#Data],7,FALSE)</f>
        <v>0</v>
      </c>
      <c r="H186" s="9">
        <f>AVERAGE(TargetsPercent[[#This Row],[2016–17 Historical data]],TargetsPercent[[#This Row],[2017–18 Historical data]],TargetsPercent[[#This Row],[2018–19 Historical data]])</f>
        <v>0</v>
      </c>
      <c r="I186" s="9">
        <f>ABS(TargetsPercent[[#This Row],[2016–17 Historical data]]-TargetsPercent[[#This Row],[2017–18 Historical data]])</f>
        <v>0</v>
      </c>
      <c r="J186" s="2">
        <f>ABS(TargetsPercent[[#This Row],[2017–18 Historical data]]-TargetsPercent[[#This Row],[2018–19 Historical data]])</f>
        <v>0</v>
      </c>
      <c r="K186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86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86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86" s="8" t="e">
        <f>ABS(TargetsPercent[[#This Row],[2020–21
Allowable
performance
target]]-TargetsPercent[[#This Row],[Target Floor % (calculated)]])</f>
        <v>#DIV/0!</v>
      </c>
    </row>
    <row r="187" spans="1:14" x14ac:dyDescent="0.2">
      <c r="A187" t="str">
        <f>_xlfn.CONCAT(TargetsPercent[[#This Row],[University]],":",TargetsPercent[[#This Row],[Metric]])</f>
        <v>University of Windsor:08. Research revenue attracted from private sector sources</v>
      </c>
      <c r="B187" t="s">
        <v>45</v>
      </c>
      <c r="C187" t="s">
        <v>26</v>
      </c>
      <c r="D187" s="6">
        <f>VLOOKUP(TargetsPercent[[#This Row],[KEY]],[1]!HistoricalData[#Data],4,FALSE)</f>
        <v>0</v>
      </c>
      <c r="E187" s="6">
        <f>VLOOKUP(TargetsPercent[[#This Row],[KEY]],[1]!HistoricalData[#Data],5,FALSE)</f>
        <v>0</v>
      </c>
      <c r="F187" s="6">
        <f>VLOOKUP(TargetsPercent[[#This Row],[KEY]],[1]!HistoricalData[#Data],6,FALSE)</f>
        <v>0</v>
      </c>
      <c r="G187" s="5">
        <f>VLOOKUP(TargetsPercent[[#This Row],[KEY]],[1]!HistoricalData[#Data],7,FALSE)</f>
        <v>0</v>
      </c>
      <c r="H187" s="9">
        <f>AVERAGE(TargetsPercent[[#This Row],[2016–17 Historical data]],TargetsPercent[[#This Row],[2017–18 Historical data]],TargetsPercent[[#This Row],[2018–19 Historical data]])</f>
        <v>0</v>
      </c>
      <c r="I187" s="9">
        <f>ABS(TargetsPercent[[#This Row],[2016–17 Historical data]]-TargetsPercent[[#This Row],[2017–18 Historical data]])</f>
        <v>0</v>
      </c>
      <c r="J187" s="2">
        <f>ABS(TargetsPercent[[#This Row],[2017–18 Historical data]]-TargetsPercent[[#This Row],[2018–19 Historical data]])</f>
        <v>0</v>
      </c>
      <c r="K18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8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8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87" s="8" t="e">
        <f>ABS(TargetsPercent[[#This Row],[2020–21
Allowable
performance
target]]-TargetsPercent[[#This Row],[Target Floor % (calculated)]])</f>
        <v>#DIV/0!</v>
      </c>
    </row>
    <row r="188" spans="1:14" x14ac:dyDescent="0.2">
      <c r="A188" t="str">
        <f>_xlfn.CONCAT(TargetsPercent[[#This Row],[University]],":",TargetsPercent[[#This Row],[Metric]])</f>
        <v>University of Windsor:09. Graduate employment earnings</v>
      </c>
      <c r="B188" t="s">
        <v>45</v>
      </c>
      <c r="C188" t="s">
        <v>27</v>
      </c>
      <c r="D188" s="6">
        <f>VLOOKUP(TargetsPercent[[#This Row],[KEY]],[1]!HistoricalData[#Data],4,FALSE)</f>
        <v>0</v>
      </c>
      <c r="E188" s="6">
        <f>VLOOKUP(TargetsPercent[[#This Row],[KEY]],[1]!HistoricalData[#Data],5,FALSE)</f>
        <v>0</v>
      </c>
      <c r="F188" s="6">
        <f>VLOOKUP(TargetsPercent[[#This Row],[KEY]],[1]!HistoricalData[#Data],6,FALSE)</f>
        <v>0</v>
      </c>
      <c r="G188" s="5">
        <f>VLOOKUP(TargetsPercent[[#This Row],[KEY]],[1]!HistoricalData[#Data],7,FALSE)</f>
        <v>0</v>
      </c>
      <c r="H188" s="9">
        <f>AVERAGE(TargetsPercent[[#This Row],[2016–17 Historical data]],TargetsPercent[[#This Row],[2017–18 Historical data]],TargetsPercent[[#This Row],[2018–19 Historical data]])</f>
        <v>0</v>
      </c>
      <c r="I188" s="9">
        <f>ABS(TargetsPercent[[#This Row],[2016–17 Historical data]]-TargetsPercent[[#This Row],[2017–18 Historical data]])</f>
        <v>0</v>
      </c>
      <c r="J188" s="2">
        <f>ABS(TargetsPercent[[#This Row],[2017–18 Historical data]]-TargetsPercent[[#This Row],[2018–19 Historical data]])</f>
        <v>0</v>
      </c>
      <c r="K18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8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8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88" s="8" t="e">
        <f>ABS(TargetsPercent[[#This Row],[2020–21
Allowable
performance
target]]-TargetsPercent[[#This Row],[Target Floor % (calculated)]])</f>
        <v>#DIV/0!</v>
      </c>
    </row>
    <row r="189" spans="1:14" x14ac:dyDescent="0.2">
      <c r="A189" t="str">
        <f>_xlfn.CONCAT(TargetsPercent[[#This Row],[University]],":",TargetsPercent[[#This Row],[Metric]])</f>
        <v>University of Windsor:10. Skills and competencies</v>
      </c>
      <c r="B189" t="s">
        <v>45</v>
      </c>
      <c r="C189" t="s">
        <v>28</v>
      </c>
      <c r="D189" s="6">
        <f>VLOOKUP(TargetsPercent[[#This Row],[KEY]],[1]!HistoricalData[#Data],4,FALSE)</f>
        <v>0</v>
      </c>
      <c r="E189" s="6">
        <f>VLOOKUP(TargetsPercent[[#This Row],[KEY]],[1]!HistoricalData[#Data],5,FALSE)</f>
        <v>0</v>
      </c>
      <c r="F189" s="6">
        <f>VLOOKUP(TargetsPercent[[#This Row],[KEY]],[1]!HistoricalData[#Data],6,FALSE)</f>
        <v>0</v>
      </c>
      <c r="G189" s="5">
        <f>VLOOKUP(TargetsPercent[[#This Row],[KEY]],[1]!HistoricalData[#Data],7,FALSE)</f>
        <v>0</v>
      </c>
      <c r="H189" s="9">
        <f>AVERAGE(TargetsPercent[[#This Row],[2016–17 Historical data]],TargetsPercent[[#This Row],[2017–18 Historical data]],TargetsPercent[[#This Row],[2018–19 Historical data]])</f>
        <v>0</v>
      </c>
      <c r="I189" s="9">
        <f>ABS(TargetsPercent[[#This Row],[2016–17 Historical data]]-TargetsPercent[[#This Row],[2017–18 Historical data]])</f>
        <v>0</v>
      </c>
      <c r="J189" s="2">
        <f>ABS(TargetsPercent[[#This Row],[2017–18 Historical data]]-TargetsPercent[[#This Row],[2018–19 Historical data]])</f>
        <v>0</v>
      </c>
      <c r="K18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8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8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89" s="8" t="e">
        <f>ABS(TargetsPercent[[#This Row],[2020–21
Allowable
performance
target]]-TargetsPercent[[#This Row],[Target Floor % (calculated)]])</f>
        <v>#DIV/0!</v>
      </c>
    </row>
    <row r="190" spans="1:14" x14ac:dyDescent="0.2">
      <c r="A190" t="str">
        <f>_xlfn.CONCAT(TargetsPercent[[#This Row],[University]],":",TargetsPercent[[#This Row],[Metric]])</f>
        <v>University of Windsor:Tri-agency research funding</v>
      </c>
      <c r="B190" t="s">
        <v>45</v>
      </c>
      <c r="C190" t="s">
        <v>29</v>
      </c>
      <c r="D190" s="6">
        <f>VLOOKUP(TargetsPercent[[#This Row],[KEY]],[1]!HistoricalData[#Data],4,FALSE)</f>
        <v>9367507</v>
      </c>
      <c r="E190" s="6">
        <f>VLOOKUP(TargetsPercent[[#This Row],[KEY]],[1]!HistoricalData[#Data],5,FALSE)</f>
        <v>8892127</v>
      </c>
      <c r="F190" s="6">
        <f>VLOOKUP(TargetsPercent[[#This Row],[KEY]],[1]!HistoricalData[#Data],6,FALSE)</f>
        <v>8788232</v>
      </c>
      <c r="G190" s="5">
        <f>VLOOKUP(TargetsPercent[[#This Row],[KEY]],[1]!HistoricalData[#Data],7,FALSE)</f>
        <v>0</v>
      </c>
      <c r="H190" s="13">
        <f>AVERAGE(TargetsPercent[[#This Row],[2016–17 Historical data]],TargetsPercent[[#This Row],[2017–18 Historical data]],TargetsPercent[[#This Row],[2018–19 Historical data]])</f>
        <v>9015955.333333334</v>
      </c>
      <c r="I190" s="13">
        <f>ABS(TargetsPercent[[#This Row],[2016–17 Historical data]]-TargetsPercent[[#This Row],[2017–18 Historical data]])</f>
        <v>475380</v>
      </c>
      <c r="J190" s="12">
        <f>ABS(TargetsPercent[[#This Row],[2017–18 Historical data]]-TargetsPercent[[#This Row],[2018–19 Historical data]])</f>
        <v>103895</v>
      </c>
      <c r="K190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9119850.333333334</v>
      </c>
      <c r="L190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3.1215845753254444E-2</v>
      </c>
      <c r="M190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8835166.4920352343</v>
      </c>
      <c r="N190" s="8">
        <f>ABS(TargetsPercent[[#This Row],[2020–21
Allowable
performance
target]]-TargetsPercent[[#This Row],[Target Floor % (calculated)]])</f>
        <v>8835166.4920352343</v>
      </c>
    </row>
    <row r="191" spans="1:14" x14ac:dyDescent="0.2">
      <c r="A191" t="str">
        <f>_xlfn.CONCAT(TargetsPercent[[#This Row],[University]],":",TargetsPercent[[#This Row],[Metric]])</f>
        <v>OTU (UOIT):01. Graduate employment rate in a related field</v>
      </c>
      <c r="B191" t="s">
        <v>46</v>
      </c>
      <c r="C191" t="s">
        <v>19</v>
      </c>
      <c r="D191" s="6">
        <f>VLOOKUP(TargetsPercent[[#This Row],[KEY]],[1]!HistoricalData[#Data],4,FALSE)</f>
        <v>0.89449999999999996</v>
      </c>
      <c r="E191" s="6">
        <f>VLOOKUP(TargetsPercent[[#This Row],[KEY]],[1]!HistoricalData[#Data],5,FALSE)</f>
        <v>0.90390000000000004</v>
      </c>
      <c r="F191" s="6">
        <f>VLOOKUP(TargetsPercent[[#This Row],[KEY]],[1]!HistoricalData[#Data],6,FALSE)</f>
        <v>0.85429999999999995</v>
      </c>
      <c r="G191" s="5">
        <f>VLOOKUP(TargetsPercent[[#This Row],[KEY]],[1]!HistoricalData[#Data],7,FALSE)</f>
        <v>0.86439999999999995</v>
      </c>
      <c r="H191" s="2">
        <f>AVERAGE(TargetsPercent[[#This Row],[2016–17 Historical data]],TargetsPercent[[#This Row],[2017–18 Historical data]],TargetsPercent[[#This Row],[2018–19 Historical data]])</f>
        <v>0.88423333333333332</v>
      </c>
      <c r="I191" s="2">
        <f>ABS(TargetsPercent[[#This Row],[2016–17 Historical data]]-TargetsPercent[[#This Row],[2017–18 Historical data]])</f>
        <v>9.400000000000075E-3</v>
      </c>
      <c r="J191" s="2">
        <f>ABS(TargetsPercent[[#This Row],[2017–18 Historical data]]-TargetsPercent[[#This Row],[2018–19 Historical data]])</f>
        <v>4.9600000000000088E-2</v>
      </c>
      <c r="K191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0.89363333333333339</v>
      </c>
      <c r="L19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3.2690995376782064E-2</v>
      </c>
      <c r="M191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0.86441957016479509</v>
      </c>
      <c r="N191" s="8">
        <f>ABS(TargetsPercent[[#This Row],[2020–21
Allowable
performance
target]]-TargetsPercent[[#This Row],[Target Floor % (calculated)]])</f>
        <v>1.9570164795146283E-5</v>
      </c>
    </row>
    <row r="192" spans="1:14" x14ac:dyDescent="0.2">
      <c r="A192" t="str">
        <f>_xlfn.CONCAT(TargetsPercent[[#This Row],[University]],":",TargetsPercent[[#This Row],[Metric]])</f>
        <v>OTU (UOIT):02. Institutional strength and focus</v>
      </c>
      <c r="B192" t="s">
        <v>46</v>
      </c>
      <c r="C192" t="s">
        <v>20</v>
      </c>
      <c r="D192" s="6">
        <f>VLOOKUP(TargetsPercent[[#This Row],[KEY]],[1]!HistoricalData[#Data],4,FALSE)</f>
        <v>0.32829999999999998</v>
      </c>
      <c r="E192" s="6">
        <f>VLOOKUP(TargetsPercent[[#This Row],[KEY]],[1]!HistoricalData[#Data],5,FALSE)</f>
        <v>0.34720000000000001</v>
      </c>
      <c r="F192" s="6">
        <f>VLOOKUP(TargetsPercent[[#This Row],[KEY]],[1]!HistoricalData[#Data],6,FALSE)</f>
        <v>0.34739999999999999</v>
      </c>
      <c r="G192" s="5">
        <f>VLOOKUP(TargetsPercent[[#This Row],[KEY]],[1]!HistoricalData[#Data],7,FALSE)</f>
        <v>0.3407</v>
      </c>
      <c r="H192" s="2">
        <f>AVERAGE(TargetsPercent[[#This Row],[2016–17 Historical data]],TargetsPercent[[#This Row],[2017–18 Historical data]],TargetsPercent[[#This Row],[2018–19 Historical data]])</f>
        <v>0.34096666666666664</v>
      </c>
      <c r="I192" s="2">
        <f>ABS(TargetsPercent[[#This Row],[2016–17 Historical data]]-TargetsPercent[[#This Row],[2017–18 Historical data]])</f>
        <v>1.8900000000000028E-2</v>
      </c>
      <c r="J192" s="2">
        <f>ABS(TargetsPercent[[#This Row],[2017–18 Historical data]]-TargetsPercent[[#This Row],[2018–19 Historical data]])</f>
        <v>1.9999999999997797E-4</v>
      </c>
      <c r="K19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0.34116666666666662</v>
      </c>
      <c r="L19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2.9072666620812999E-2</v>
      </c>
      <c r="M19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0.33124804190453261</v>
      </c>
      <c r="N192" s="8">
        <f>ABS(TargetsPercent[[#This Row],[2020–21
Allowable
performance
target]]-TargetsPercent[[#This Row],[Target Floor % (calculated)]])</f>
        <v>9.4519580954673943E-3</v>
      </c>
    </row>
    <row r="193" spans="1:14" x14ac:dyDescent="0.2">
      <c r="A193" t="str">
        <f>_xlfn.CONCAT(TargetsPercent[[#This Row],[University]],":",TargetsPercent[[#This Row],[Metric]])</f>
        <v>OTU (UOIT):03. Graduation rate</v>
      </c>
      <c r="B193" t="s">
        <v>46</v>
      </c>
      <c r="C193" t="s">
        <v>21</v>
      </c>
      <c r="D193" s="6">
        <f>VLOOKUP(TargetsPercent[[#This Row],[KEY]],[1]!HistoricalData[#Data],4,FALSE)</f>
        <v>0.71660000000000001</v>
      </c>
      <c r="E193" s="6">
        <f>VLOOKUP(TargetsPercent[[#This Row],[KEY]],[1]!HistoricalData[#Data],5,FALSE)</f>
        <v>0.67830000000000001</v>
      </c>
      <c r="F193" s="6">
        <f>VLOOKUP(TargetsPercent[[#This Row],[KEY]],[1]!HistoricalData[#Data],6,FALSE)</f>
        <v>0.66149999999999998</v>
      </c>
      <c r="G193" s="5">
        <f>VLOOKUP(TargetsPercent[[#This Row],[KEY]],[1]!HistoricalData[#Data],7,FALSE)</f>
        <v>0.67490000000000006</v>
      </c>
      <c r="H193" s="2">
        <f>AVERAGE(TargetsPercent[[#This Row],[2016–17 Historical data]],TargetsPercent[[#This Row],[2017–18 Historical data]],TargetsPercent[[#This Row],[2018–19 Historical data]])</f>
        <v>0.68546666666666667</v>
      </c>
      <c r="I193" s="2">
        <f>ABS(TargetsPercent[[#This Row],[2016–17 Historical data]]-TargetsPercent[[#This Row],[2017–18 Historical data]])</f>
        <v>3.8300000000000001E-2</v>
      </c>
      <c r="J193" s="2">
        <f>ABS(TargetsPercent[[#This Row],[2017–18 Historical data]]-TargetsPercent[[#This Row],[2018–19 Historical data]])</f>
        <v>1.6800000000000037E-2</v>
      </c>
      <c r="K19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0.70226666666666671</v>
      </c>
      <c r="L19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3.9107317060525781E-2</v>
      </c>
      <c r="M19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0.67480290147229482</v>
      </c>
      <c r="N193" s="8">
        <f>ABS(TargetsPercent[[#This Row],[2020–21
Allowable
performance
target]]-TargetsPercent[[#This Row],[Target Floor % (calculated)]])</f>
        <v>9.7098527705230531E-5</v>
      </c>
    </row>
    <row r="194" spans="1:14" x14ac:dyDescent="0.2">
      <c r="A194" t="str">
        <f>_xlfn.CONCAT(TargetsPercent[[#This Row],[University]],":",TargetsPercent[[#This Row],[Metric]])</f>
        <v>OTU (UOIT):04. Community and local impact of student enrolment</v>
      </c>
      <c r="B194" t="s">
        <v>46</v>
      </c>
      <c r="C194" t="s">
        <v>22</v>
      </c>
      <c r="D194" s="6">
        <f>VLOOKUP(TargetsPercent[[#This Row],[KEY]],[1]!HistoricalData[#Data],4,FALSE)</f>
        <v>9.5299999999999996E-2</v>
      </c>
      <c r="E194" s="6">
        <f>VLOOKUP(TargetsPercent[[#This Row],[KEY]],[1]!HistoricalData[#Data],5,FALSE)</f>
        <v>9.64E-2</v>
      </c>
      <c r="F194" s="6">
        <f>VLOOKUP(TargetsPercent[[#This Row],[KEY]],[1]!HistoricalData[#Data],6,FALSE)</f>
        <v>9.7100000000000006E-2</v>
      </c>
      <c r="G194" s="5">
        <f>VLOOKUP(TargetsPercent[[#This Row],[KEY]],[1]!HistoricalData[#Data],7,FALSE)</f>
        <v>9.6000000000000002E-2</v>
      </c>
      <c r="H194" s="2">
        <f>AVERAGE(TargetsPercent[[#This Row],[2016–17 Historical data]],TargetsPercent[[#This Row],[2017–18 Historical data]],TargetsPercent[[#This Row],[2018–19 Historical data]])</f>
        <v>9.6266666666666667E-2</v>
      </c>
      <c r="I194" s="2">
        <f>ABS(TargetsPercent[[#This Row],[2016–17 Historical data]]-TargetsPercent[[#This Row],[2017–18 Historical data]])</f>
        <v>1.1000000000000038E-3</v>
      </c>
      <c r="J194" s="2">
        <f>ABS(TargetsPercent[[#This Row],[2017–18 Historical data]]-TargetsPercent[[#This Row],[2018–19 Historical data]])</f>
        <v>7.0000000000000617E-4</v>
      </c>
      <c r="K19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9.6966666666666673E-2</v>
      </c>
      <c r="L19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19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9.5997000000000013E-2</v>
      </c>
      <c r="N194" s="9">
        <f>ABS(TargetsPercent[[#This Row],[2020–21
Allowable
performance
target]]-TargetsPercent[[#This Row],[Target Floor % (calculated)]])</f>
        <v>2.9999999999891225E-6</v>
      </c>
    </row>
    <row r="195" spans="1:14" x14ac:dyDescent="0.2">
      <c r="A195" t="str">
        <f>_xlfn.CONCAT(TargetsPercent[[#This Row],[University]],":",TargetsPercent[[#This Row],[Metric]])</f>
        <v>OTU (UOIT):05. Economic impact (institution-specific)</v>
      </c>
      <c r="B195" t="s">
        <v>46</v>
      </c>
      <c r="C195" t="s">
        <v>23</v>
      </c>
      <c r="D195" s="6">
        <f>VLOOKUP(TargetsPercent[[#This Row],[KEY]],[1]!HistoricalData[#Data],4,FALSE)</f>
        <v>211</v>
      </c>
      <c r="E195" s="6">
        <f>VLOOKUP(TargetsPercent[[#This Row],[KEY]],[1]!HistoricalData[#Data],5,FALSE)</f>
        <v>241</v>
      </c>
      <c r="F195" s="6">
        <f>VLOOKUP(TargetsPercent[[#This Row],[KEY]],[1]!HistoricalData[#Data],6,FALSE)</f>
        <v>383</v>
      </c>
      <c r="G195" s="5">
        <f>VLOOKUP(TargetsPercent[[#This Row],[KEY]],[1]!HistoricalData[#Data],7,FALSE)</f>
        <v>195.58</v>
      </c>
      <c r="H195" s="10">
        <f>AVERAGE(TargetsPercent[[#This Row],[2016–17 Historical data]],TargetsPercent[[#This Row],[2017–18 Historical data]],TargetsPercent[[#This Row],[2018–19 Historical data]])</f>
        <v>278.33333333333331</v>
      </c>
      <c r="I195" s="10">
        <f>ABS(TargetsPercent[[#This Row],[2016–17 Historical data]]-TargetsPercent[[#This Row],[2017–18 Historical data]])</f>
        <v>30</v>
      </c>
      <c r="J195" s="10">
        <f>ABS(TargetsPercent[[#This Row],[2017–18 Historical data]]-TargetsPercent[[#This Row],[2018–19 Historical data]])</f>
        <v>142</v>
      </c>
      <c r="K195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308.33333333333331</v>
      </c>
      <c r="L19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0.36569585652199565</v>
      </c>
      <c r="M195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211</v>
      </c>
      <c r="N195" s="8">
        <f>ABS(TargetsPercent[[#This Row],[2020–21
Allowable
performance
target]]-TargetsPercent[[#This Row],[Target Floor % (calculated)]])</f>
        <v>15.419999999999987</v>
      </c>
    </row>
    <row r="196" spans="1:14" x14ac:dyDescent="0.2">
      <c r="A196" t="str">
        <f>_xlfn.CONCAT(TargetsPercent[[#This Row],[University]],":",TargetsPercent[[#This Row],[Metric]])</f>
        <v>OTU (UOIT):06. Research funding and capacity: federal tri-agency funding secured</v>
      </c>
      <c r="B196" t="s">
        <v>46</v>
      </c>
      <c r="C196" t="s">
        <v>24</v>
      </c>
      <c r="D196" s="6">
        <f>VLOOKUP(TargetsPercent[[#This Row],[KEY]],[1]!HistoricalData[#Data],4,FALSE)</f>
        <v>6.1000000000000004E-3</v>
      </c>
      <c r="E196" s="6">
        <f>VLOOKUP(TargetsPercent[[#This Row],[KEY]],[1]!HistoricalData[#Data],5,FALSE)</f>
        <v>6.1999999999999998E-3</v>
      </c>
      <c r="F196" s="6">
        <f>VLOOKUP(TargetsPercent[[#This Row],[KEY]],[1]!HistoricalData[#Data],6,FALSE)</f>
        <v>6.1000000000000004E-3</v>
      </c>
      <c r="G196" s="5">
        <f>VLOOKUP(TargetsPercent[[#This Row],[KEY]],[1]!HistoricalData[#Data],7,FALSE)</f>
        <v>5.8999999999999999E-3</v>
      </c>
      <c r="H196" s="2">
        <f>AVERAGE(TargetsPercent[[#This Row],[2016–17 Historical data]],TargetsPercent[[#This Row],[2017–18 Historical data]],TargetsPercent[[#This Row],[2018–19 Historical data]])</f>
        <v>6.1333333333333335E-3</v>
      </c>
      <c r="I196" s="2">
        <f>ABS(TargetsPercent[[#This Row],[2016–17 Historical data]]-TargetsPercent[[#This Row],[2017–18 Historical data]])</f>
        <v>9.9999999999999395E-5</v>
      </c>
      <c r="J196" s="2">
        <f>ABS(TargetsPercent[[#This Row],[2017–18 Historical data]]-TargetsPercent[[#This Row],[2018–19 Historical data]])</f>
        <v>9.9999999999999395E-5</v>
      </c>
      <c r="K19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6.2333333333333329E-3</v>
      </c>
      <c r="L19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1.6261237440507569E-2</v>
      </c>
      <c r="M19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6.1319716199541687E-3</v>
      </c>
      <c r="N196" s="8">
        <f>ABS(TargetsPercent[[#This Row],[2020–21
Allowable
performance
target]]-TargetsPercent[[#This Row],[Target Floor % (calculated)]])</f>
        <v>2.3197161995416882E-4</v>
      </c>
    </row>
    <row r="197" spans="1:14" x14ac:dyDescent="0.2">
      <c r="A197" t="str">
        <f>_xlfn.CONCAT(TargetsPercent[[#This Row],[University]],":",TargetsPercent[[#This Row],[Metric]])</f>
        <v>OTU (UOIT):07. Experiential learning</v>
      </c>
      <c r="B197" t="s">
        <v>46</v>
      </c>
      <c r="C197" t="s">
        <v>25</v>
      </c>
      <c r="D197" s="6">
        <f>VLOOKUP(TargetsPercent[[#This Row],[KEY]],[1]!HistoricalData[#Data],4,FALSE)</f>
        <v>0</v>
      </c>
      <c r="E197" s="6">
        <f>VLOOKUP(TargetsPercent[[#This Row],[KEY]],[1]!HistoricalData[#Data],5,FALSE)</f>
        <v>0</v>
      </c>
      <c r="F197" s="6">
        <f>VLOOKUP(TargetsPercent[[#This Row],[KEY]],[1]!HistoricalData[#Data],6,FALSE)</f>
        <v>0</v>
      </c>
      <c r="G197" s="5">
        <f>VLOOKUP(TargetsPercent[[#This Row],[KEY]],[1]!HistoricalData[#Data],7,FALSE)</f>
        <v>0</v>
      </c>
      <c r="H197" s="9">
        <f>AVERAGE(TargetsPercent[[#This Row],[2016–17 Historical data]],TargetsPercent[[#This Row],[2017–18 Historical data]],TargetsPercent[[#This Row],[2018–19 Historical data]])</f>
        <v>0</v>
      </c>
      <c r="I197" s="9">
        <f>ABS(TargetsPercent[[#This Row],[2016–17 Historical data]]-TargetsPercent[[#This Row],[2017–18 Historical data]])</f>
        <v>0</v>
      </c>
      <c r="J197" s="2">
        <f>ABS(TargetsPercent[[#This Row],[2017–18 Historical data]]-TargetsPercent[[#This Row],[2018–19 Historical data]])</f>
        <v>0</v>
      </c>
      <c r="K197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97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97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97" s="8" t="e">
        <f>ABS(TargetsPercent[[#This Row],[2020–21
Allowable
performance
target]]-TargetsPercent[[#This Row],[Target Floor % (calculated)]])</f>
        <v>#DIV/0!</v>
      </c>
    </row>
    <row r="198" spans="1:14" x14ac:dyDescent="0.2">
      <c r="A198" t="str">
        <f>_xlfn.CONCAT(TargetsPercent[[#This Row],[University]],":",TargetsPercent[[#This Row],[Metric]])</f>
        <v>OTU (UOIT):08. Research revenue attracted from private sector sources</v>
      </c>
      <c r="B198" t="s">
        <v>46</v>
      </c>
      <c r="C198" t="s">
        <v>26</v>
      </c>
      <c r="D198" s="6">
        <f>VLOOKUP(TargetsPercent[[#This Row],[KEY]],[1]!HistoricalData[#Data],4,FALSE)</f>
        <v>0</v>
      </c>
      <c r="E198" s="6">
        <f>VLOOKUP(TargetsPercent[[#This Row],[KEY]],[1]!HistoricalData[#Data],5,FALSE)</f>
        <v>0</v>
      </c>
      <c r="F198" s="6">
        <f>VLOOKUP(TargetsPercent[[#This Row],[KEY]],[1]!HistoricalData[#Data],6,FALSE)</f>
        <v>0</v>
      </c>
      <c r="G198" s="5">
        <f>VLOOKUP(TargetsPercent[[#This Row],[KEY]],[1]!HistoricalData[#Data],7,FALSE)</f>
        <v>0</v>
      </c>
      <c r="H198" s="9">
        <f>AVERAGE(TargetsPercent[[#This Row],[2016–17 Historical data]],TargetsPercent[[#This Row],[2017–18 Historical data]],TargetsPercent[[#This Row],[2018–19 Historical data]])</f>
        <v>0</v>
      </c>
      <c r="I198" s="9">
        <f>ABS(TargetsPercent[[#This Row],[2016–17 Historical data]]-TargetsPercent[[#This Row],[2017–18 Historical data]])</f>
        <v>0</v>
      </c>
      <c r="J198" s="2">
        <f>ABS(TargetsPercent[[#This Row],[2017–18 Historical data]]-TargetsPercent[[#This Row],[2018–19 Historical data]])</f>
        <v>0</v>
      </c>
      <c r="K19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9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9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98" s="8" t="e">
        <f>ABS(TargetsPercent[[#This Row],[2020–21
Allowable
performance
target]]-TargetsPercent[[#This Row],[Target Floor % (calculated)]])</f>
        <v>#DIV/0!</v>
      </c>
    </row>
    <row r="199" spans="1:14" x14ac:dyDescent="0.2">
      <c r="A199" t="str">
        <f>_xlfn.CONCAT(TargetsPercent[[#This Row],[University]],":",TargetsPercent[[#This Row],[Metric]])</f>
        <v>OTU (UOIT):09. Graduate employment earnings</v>
      </c>
      <c r="B199" t="s">
        <v>46</v>
      </c>
      <c r="C199" t="s">
        <v>27</v>
      </c>
      <c r="D199" s="6">
        <f>VLOOKUP(TargetsPercent[[#This Row],[KEY]],[1]!HistoricalData[#Data],4,FALSE)</f>
        <v>0</v>
      </c>
      <c r="E199" s="6">
        <f>VLOOKUP(TargetsPercent[[#This Row],[KEY]],[1]!HistoricalData[#Data],5,FALSE)</f>
        <v>0</v>
      </c>
      <c r="F199" s="6">
        <f>VLOOKUP(TargetsPercent[[#This Row],[KEY]],[1]!HistoricalData[#Data],6,FALSE)</f>
        <v>0</v>
      </c>
      <c r="G199" s="5">
        <f>VLOOKUP(TargetsPercent[[#This Row],[KEY]],[1]!HistoricalData[#Data],7,FALSE)</f>
        <v>0</v>
      </c>
      <c r="H199" s="9">
        <f>AVERAGE(TargetsPercent[[#This Row],[2016–17 Historical data]],TargetsPercent[[#This Row],[2017–18 Historical data]],TargetsPercent[[#This Row],[2018–19 Historical data]])</f>
        <v>0</v>
      </c>
      <c r="I199" s="9">
        <f>ABS(TargetsPercent[[#This Row],[2016–17 Historical data]]-TargetsPercent[[#This Row],[2017–18 Historical data]])</f>
        <v>0</v>
      </c>
      <c r="J199" s="2">
        <f>ABS(TargetsPercent[[#This Row],[2017–18 Historical data]]-TargetsPercent[[#This Row],[2018–19 Historical data]])</f>
        <v>0</v>
      </c>
      <c r="K19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19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19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199" s="8" t="e">
        <f>ABS(TargetsPercent[[#This Row],[2020–21
Allowable
performance
target]]-TargetsPercent[[#This Row],[Target Floor % (calculated)]])</f>
        <v>#DIV/0!</v>
      </c>
    </row>
    <row r="200" spans="1:14" x14ac:dyDescent="0.2">
      <c r="A200" t="str">
        <f>_xlfn.CONCAT(TargetsPercent[[#This Row],[University]],":",TargetsPercent[[#This Row],[Metric]])</f>
        <v>OTU (UOIT):10. Skills and competencies</v>
      </c>
      <c r="B200" t="s">
        <v>46</v>
      </c>
      <c r="C200" t="s">
        <v>28</v>
      </c>
      <c r="D200" s="6">
        <f>VLOOKUP(TargetsPercent[[#This Row],[KEY]],[1]!HistoricalData[#Data],4,FALSE)</f>
        <v>0</v>
      </c>
      <c r="E200" s="6">
        <f>VLOOKUP(TargetsPercent[[#This Row],[KEY]],[1]!HistoricalData[#Data],5,FALSE)</f>
        <v>0</v>
      </c>
      <c r="F200" s="6">
        <f>VLOOKUP(TargetsPercent[[#This Row],[KEY]],[1]!HistoricalData[#Data],6,FALSE)</f>
        <v>0</v>
      </c>
      <c r="G200" s="5">
        <f>VLOOKUP(TargetsPercent[[#This Row],[KEY]],[1]!HistoricalData[#Data],7,FALSE)</f>
        <v>0</v>
      </c>
      <c r="H200" s="9">
        <f>AVERAGE(TargetsPercent[[#This Row],[2016–17 Historical data]],TargetsPercent[[#This Row],[2017–18 Historical data]],TargetsPercent[[#This Row],[2018–19 Historical data]])</f>
        <v>0</v>
      </c>
      <c r="I200" s="9">
        <f>ABS(TargetsPercent[[#This Row],[2016–17 Historical data]]-TargetsPercent[[#This Row],[2017–18 Historical data]])</f>
        <v>0</v>
      </c>
      <c r="J200" s="2">
        <f>ABS(TargetsPercent[[#This Row],[2017–18 Historical data]]-TargetsPercent[[#This Row],[2018–19 Historical data]])</f>
        <v>0</v>
      </c>
      <c r="K20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0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0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00" s="8" t="e">
        <f>ABS(TargetsPercent[[#This Row],[2020–21
Allowable
performance
target]]-TargetsPercent[[#This Row],[Target Floor % (calculated)]])</f>
        <v>#DIV/0!</v>
      </c>
    </row>
    <row r="201" spans="1:14" x14ac:dyDescent="0.2">
      <c r="A201" t="str">
        <f>_xlfn.CONCAT(TargetsPercent[[#This Row],[University]],":",TargetsPercent[[#This Row],[Metric]])</f>
        <v>OTU (UOIT):Tri-agency research funding</v>
      </c>
      <c r="B201" t="s">
        <v>46</v>
      </c>
      <c r="C201" t="s">
        <v>29</v>
      </c>
      <c r="D201" s="6">
        <f>VLOOKUP(TargetsPercent[[#This Row],[KEY]],[1]!HistoricalData[#Data],4,FALSE)</f>
        <v>3858091</v>
      </c>
      <c r="E201" s="6">
        <f>VLOOKUP(TargetsPercent[[#This Row],[KEY]],[1]!HistoricalData[#Data],5,FALSE)</f>
        <v>4108867</v>
      </c>
      <c r="F201" s="6">
        <f>VLOOKUP(TargetsPercent[[#This Row],[KEY]],[1]!HistoricalData[#Data],6,FALSE)</f>
        <v>4172015</v>
      </c>
      <c r="G201" s="5">
        <f>VLOOKUP(TargetsPercent[[#This Row],[KEY]],[1]!HistoricalData[#Data],7,FALSE)</f>
        <v>0</v>
      </c>
      <c r="H201" s="13">
        <f>AVERAGE(TargetsPercent[[#This Row],[2016–17 Historical data]],TargetsPercent[[#This Row],[2017–18 Historical data]],TargetsPercent[[#This Row],[2018–19 Historical data]])</f>
        <v>4046324.3333333335</v>
      </c>
      <c r="I201" s="13">
        <f>ABS(TargetsPercent[[#This Row],[2016–17 Historical data]]-TargetsPercent[[#This Row],[2017–18 Historical data]])</f>
        <v>250776</v>
      </c>
      <c r="J201" s="12">
        <f>ABS(TargetsPercent[[#This Row],[2017–18 Historical data]]-TargetsPercent[[#This Row],[2018–19 Historical data]])</f>
        <v>63148</v>
      </c>
      <c r="K201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4109472.3333333335</v>
      </c>
      <c r="L201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4.0184367798349503E-2</v>
      </c>
      <c r="M201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3944335.7856335253</v>
      </c>
      <c r="N201" s="8">
        <f>ABS(TargetsPercent[[#This Row],[2020–21
Allowable
performance
target]]-TargetsPercent[[#This Row],[Target Floor % (calculated)]])</f>
        <v>3944335.7856335253</v>
      </c>
    </row>
    <row r="202" spans="1:14" x14ac:dyDescent="0.2">
      <c r="A202" t="str">
        <f>_xlfn.CONCAT(TargetsPercent[[#This Row],[University]],":",TargetsPercent[[#This Row],[Metric]])</f>
        <v>Western University:01. Graduate employment rate in a related field</v>
      </c>
      <c r="B202" t="s">
        <v>47</v>
      </c>
      <c r="C202" t="s">
        <v>19</v>
      </c>
      <c r="D202" s="6">
        <f>VLOOKUP(TargetsPercent[[#This Row],[KEY]],[1]!HistoricalData[#Data],4,FALSE)</f>
        <v>0.8982</v>
      </c>
      <c r="E202" s="6">
        <f>VLOOKUP(TargetsPercent[[#This Row],[KEY]],[1]!HistoricalData[#Data],5,FALSE)</f>
        <v>0.89129999999999998</v>
      </c>
      <c r="F202" s="6">
        <f>VLOOKUP(TargetsPercent[[#This Row],[KEY]],[1]!HistoricalData[#Data],6,FALSE)</f>
        <v>0.88380000000000003</v>
      </c>
      <c r="G202" s="5">
        <f>VLOOKUP(TargetsPercent[[#This Row],[KEY]],[1]!HistoricalData[#Data],7,FALSE)</f>
        <v>0.88900000000000001</v>
      </c>
      <c r="H202" s="2">
        <f>AVERAGE(TargetsPercent[[#This Row],[2016–17 Historical data]],TargetsPercent[[#This Row],[2017–18 Historical data]],TargetsPercent[[#This Row],[2018–19 Historical data]])</f>
        <v>0.89109999999999989</v>
      </c>
      <c r="I202" s="2">
        <f>ABS(TargetsPercent[[#This Row],[2016–17 Historical data]]-TargetsPercent[[#This Row],[2017–18 Historical data]])</f>
        <v>6.9000000000000172E-3</v>
      </c>
      <c r="J202" s="2">
        <f>ABS(TargetsPercent[[#This Row],[2017–18 Historical data]]-TargetsPercent[[#This Row],[2018–19 Historical data]])</f>
        <v>7.4999999999999512E-3</v>
      </c>
      <c r="K202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0.89799999999999991</v>
      </c>
      <c r="L20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02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0.88901999999999992</v>
      </c>
      <c r="N202" s="8">
        <f>ABS(TargetsPercent[[#This Row],[2020–21
Allowable
performance
target]]-TargetsPercent[[#This Row],[Target Floor % (calculated)]])</f>
        <v>1.9999999999908979E-5</v>
      </c>
    </row>
    <row r="203" spans="1:14" x14ac:dyDescent="0.2">
      <c r="A203" t="str">
        <f>_xlfn.CONCAT(TargetsPercent[[#This Row],[University]],":",TargetsPercent[[#This Row],[Metric]])</f>
        <v>Western University:02. Institutional strength and focus</v>
      </c>
      <c r="B203" t="s">
        <v>47</v>
      </c>
      <c r="C203" t="s">
        <v>20</v>
      </c>
      <c r="D203" s="6">
        <f>VLOOKUP(TargetsPercent[[#This Row],[KEY]],[1]!HistoricalData[#Data],4,FALSE)</f>
        <v>0.45140000000000002</v>
      </c>
      <c r="E203" s="6">
        <f>VLOOKUP(TargetsPercent[[#This Row],[KEY]],[1]!HistoricalData[#Data],5,FALSE)</f>
        <v>0.45950000000000002</v>
      </c>
      <c r="F203" s="6">
        <f>VLOOKUP(TargetsPercent[[#This Row],[KEY]],[1]!HistoricalData[#Data],6,FALSE)</f>
        <v>0.4652</v>
      </c>
      <c r="G203" s="5">
        <f>VLOOKUP(TargetsPercent[[#This Row],[KEY]],[1]!HistoricalData[#Data],7,FALSE)</f>
        <v>0.4466</v>
      </c>
      <c r="H203" s="2">
        <f>AVERAGE(TargetsPercent[[#This Row],[2016–17 Historical data]],TargetsPercent[[#This Row],[2017–18 Historical data]],TargetsPercent[[#This Row],[2018–19 Historical data]])</f>
        <v>0.45870000000000005</v>
      </c>
      <c r="I203" s="2">
        <f>ABS(TargetsPercent[[#This Row],[2016–17 Historical data]]-TargetsPercent[[#This Row],[2017–18 Historical data]])</f>
        <v>8.0999999999999961E-3</v>
      </c>
      <c r="J203" s="2">
        <f>ABS(TargetsPercent[[#This Row],[2017–18 Historical data]]-TargetsPercent[[#This Row],[2018–19 Historical data]])</f>
        <v>5.6999999999999829E-3</v>
      </c>
      <c r="K20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0.46440000000000003</v>
      </c>
      <c r="L20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1.5174480747359297E-2</v>
      </c>
      <c r="M20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0.45735297114092638</v>
      </c>
      <c r="N203" s="8">
        <f>ABS(TargetsPercent[[#This Row],[2020–21
Allowable
performance
target]]-TargetsPercent[[#This Row],[Target Floor % (calculated)]])</f>
        <v>1.0752971140926382E-2</v>
      </c>
    </row>
    <row r="204" spans="1:14" x14ac:dyDescent="0.2">
      <c r="A204" t="str">
        <f>_xlfn.CONCAT(TargetsPercent[[#This Row],[University]],":",TargetsPercent[[#This Row],[Metric]])</f>
        <v>Western University:03. Graduation rate</v>
      </c>
      <c r="B204" t="s">
        <v>47</v>
      </c>
      <c r="C204" t="s">
        <v>21</v>
      </c>
      <c r="D204" s="6">
        <f>VLOOKUP(TargetsPercent[[#This Row],[KEY]],[1]!HistoricalData[#Data],4,FALSE)</f>
        <v>0.84640000000000004</v>
      </c>
      <c r="E204" s="6">
        <f>VLOOKUP(TargetsPercent[[#This Row],[KEY]],[1]!HistoricalData[#Data],5,FALSE)</f>
        <v>0.8427</v>
      </c>
      <c r="F204" s="6">
        <f>VLOOKUP(TargetsPercent[[#This Row],[KEY]],[1]!HistoricalData[#Data],6,FALSE)</f>
        <v>0.84279999999999999</v>
      </c>
      <c r="G204" s="5">
        <f>VLOOKUP(TargetsPercent[[#This Row],[KEY]],[1]!HistoricalData[#Data],7,FALSE)</f>
        <v>0.83550000000000002</v>
      </c>
      <c r="H204" s="2">
        <f>AVERAGE(TargetsPercent[[#This Row],[2016–17 Historical data]],TargetsPercent[[#This Row],[2017–18 Historical data]],TargetsPercent[[#This Row],[2018–19 Historical data]])</f>
        <v>0.84396666666666675</v>
      </c>
      <c r="I204" s="2">
        <f>ABS(TargetsPercent[[#This Row],[2016–17 Historical data]]-TargetsPercent[[#This Row],[2017–18 Historical data]])</f>
        <v>3.7000000000000366E-3</v>
      </c>
      <c r="J204" s="2">
        <f>ABS(TargetsPercent[[#This Row],[2017–18 Historical data]]-TargetsPercent[[#This Row],[2018–19 Historical data]])</f>
        <v>9.9999999999988987E-5</v>
      </c>
      <c r="K20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0.84406666666666674</v>
      </c>
      <c r="L20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0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0.8427</v>
      </c>
      <c r="N204" s="8">
        <f>ABS(TargetsPercent[[#This Row],[2020–21
Allowable
performance
target]]-TargetsPercent[[#This Row],[Target Floor % (calculated)]])</f>
        <v>7.1999999999999842E-3</v>
      </c>
    </row>
    <row r="205" spans="1:14" x14ac:dyDescent="0.2">
      <c r="A205" t="str">
        <f>_xlfn.CONCAT(TargetsPercent[[#This Row],[University]],":",TargetsPercent[[#This Row],[Metric]])</f>
        <v>Western University:04. Community and local impact of student enrolment</v>
      </c>
      <c r="B205" t="s">
        <v>47</v>
      </c>
      <c r="C205" t="s">
        <v>22</v>
      </c>
      <c r="D205" s="6">
        <f>VLOOKUP(TargetsPercent[[#This Row],[KEY]],[1]!HistoricalData[#Data],4,FALSE)</f>
        <v>0.14749999999999999</v>
      </c>
      <c r="E205" s="6">
        <f>VLOOKUP(TargetsPercent[[#This Row],[KEY]],[1]!HistoricalData[#Data],5,FALSE)</f>
        <v>0.14929999999999999</v>
      </c>
      <c r="F205" s="6">
        <f>VLOOKUP(TargetsPercent[[#This Row],[KEY]],[1]!HistoricalData[#Data],6,FALSE)</f>
        <v>0.1515</v>
      </c>
      <c r="G205" s="5">
        <f>VLOOKUP(TargetsPercent[[#This Row],[KEY]],[1]!HistoricalData[#Data],7,FALSE)</f>
        <v>0.1492</v>
      </c>
      <c r="H205" s="2">
        <f>AVERAGE(TargetsPercent[[#This Row],[2016–17 Historical data]],TargetsPercent[[#This Row],[2017–18 Historical data]],TargetsPercent[[#This Row],[2018–19 Historical data]])</f>
        <v>0.14943333333333331</v>
      </c>
      <c r="I205" s="2">
        <f>ABS(TargetsPercent[[#This Row],[2016–17 Historical data]]-TargetsPercent[[#This Row],[2017–18 Historical data]])</f>
        <v>1.799999999999996E-3</v>
      </c>
      <c r="J205" s="2">
        <f>ABS(TargetsPercent[[#This Row],[2017–18 Historical data]]-TargetsPercent[[#This Row],[2018–19 Historical data]])</f>
        <v>2.2000000000000075E-3</v>
      </c>
      <c r="K20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0.1512333333333333</v>
      </c>
      <c r="L20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1.3469410923291758E-2</v>
      </c>
      <c r="M20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0.14919630942136747</v>
      </c>
      <c r="N205" s="9">
        <f>ABS(TargetsPercent[[#This Row],[2020–21
Allowable
performance
target]]-TargetsPercent[[#This Row],[Target Floor % (calculated)]])</f>
        <v>3.690578632531416E-6</v>
      </c>
    </row>
    <row r="206" spans="1:14" x14ac:dyDescent="0.2">
      <c r="A206" t="str">
        <f>_xlfn.CONCAT(TargetsPercent[[#This Row],[University]],":",TargetsPercent[[#This Row],[Metric]])</f>
        <v>Western University:05. Economic impact (institution-specific)</v>
      </c>
      <c r="B206" t="s">
        <v>47</v>
      </c>
      <c r="C206" t="s">
        <v>23</v>
      </c>
      <c r="D206" s="6">
        <f>VLOOKUP(TargetsPercent[[#This Row],[KEY]],[1]!HistoricalData[#Data],4,FALSE)</f>
        <v>148</v>
      </c>
      <c r="E206" s="6">
        <f>VLOOKUP(TargetsPercent[[#This Row],[KEY]],[1]!HistoricalData[#Data],5,FALSE)</f>
        <v>159</v>
      </c>
      <c r="F206" s="6">
        <f>VLOOKUP(TargetsPercent[[#This Row],[KEY]],[1]!HistoricalData[#Data],6,FALSE)</f>
        <v>178</v>
      </c>
      <c r="G206" s="5">
        <f>VLOOKUP(TargetsPercent[[#This Row],[KEY]],[1]!HistoricalData[#Data],7,FALSE)</f>
        <v>155.93</v>
      </c>
      <c r="H206" s="10">
        <f>AVERAGE(TargetsPercent[[#This Row],[2016–17 Historical data]],TargetsPercent[[#This Row],[2017–18 Historical data]],TargetsPercent[[#This Row],[2018–19 Historical data]])</f>
        <v>161.66666666666666</v>
      </c>
      <c r="I206" s="10">
        <f>ABS(TargetsPercent[[#This Row],[2016–17 Historical data]]-TargetsPercent[[#This Row],[2017–18 Historical data]])</f>
        <v>11</v>
      </c>
      <c r="J206" s="10">
        <f>ABS(TargetsPercent[[#This Row],[2017–18 Historical data]]-TargetsPercent[[#This Row],[2018–19 Historical data]])</f>
        <v>19</v>
      </c>
      <c r="K206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172.66666666666666</v>
      </c>
      <c r="L20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9.6910589835118133E-2</v>
      </c>
      <c r="M206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155.93343815513626</v>
      </c>
      <c r="N206" s="8">
        <f>ABS(TargetsPercent[[#This Row],[2020–21
Allowable
performance
target]]-TargetsPercent[[#This Row],[Target Floor % (calculated)]])</f>
        <v>3.4381551362514529E-3</v>
      </c>
    </row>
    <row r="207" spans="1:14" x14ac:dyDescent="0.2">
      <c r="A207" t="str">
        <f>_xlfn.CONCAT(TargetsPercent[[#This Row],[University]],":",TargetsPercent[[#This Row],[Metric]])</f>
        <v>Western University:06. Research funding and capacity: federal tri-agency funding secured</v>
      </c>
      <c r="B207" t="s">
        <v>47</v>
      </c>
      <c r="C207" t="s">
        <v>24</v>
      </c>
      <c r="D207" s="6">
        <f>VLOOKUP(TargetsPercent[[#This Row],[KEY]],[1]!HistoricalData[#Data],4,FALSE)</f>
        <v>8.5000000000000006E-2</v>
      </c>
      <c r="E207" s="6">
        <f>VLOOKUP(TargetsPercent[[#This Row],[KEY]],[1]!HistoricalData[#Data],5,FALSE)</f>
        <v>8.6199999999999999E-2</v>
      </c>
      <c r="F207" s="6">
        <f>VLOOKUP(TargetsPercent[[#This Row],[KEY]],[1]!HistoricalData[#Data],6,FALSE)</f>
        <v>8.6099999999999996E-2</v>
      </c>
      <c r="G207" s="5">
        <f>VLOOKUP(TargetsPercent[[#This Row],[KEY]],[1]!HistoricalData[#Data],7,FALSE)</f>
        <v>8.2299999999999998E-2</v>
      </c>
      <c r="H207" s="2">
        <f>AVERAGE(TargetsPercent[[#This Row],[2016–17 Historical data]],TargetsPercent[[#This Row],[2017–18 Historical data]],TargetsPercent[[#This Row],[2018–19 Historical data]])</f>
        <v>8.5766666666666672E-2</v>
      </c>
      <c r="I207" s="2">
        <f>ABS(TargetsPercent[[#This Row],[2016–17 Historical data]]-TargetsPercent[[#This Row],[2017–18 Historical data]])</f>
        <v>1.1999999999999927E-3</v>
      </c>
      <c r="J207" s="2">
        <f>ABS(TargetsPercent[[#This Row],[2017–18 Historical data]]-TargetsPercent[[#This Row],[2018–19 Historical data]])</f>
        <v>1.0000000000000286E-4</v>
      </c>
      <c r="K20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8.5866666666666674E-2</v>
      </c>
      <c r="L20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0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8.5008000000000014E-2</v>
      </c>
      <c r="N207" s="8">
        <f>ABS(TargetsPercent[[#This Row],[2020–21
Allowable
performance
target]]-TargetsPercent[[#This Row],[Target Floor % (calculated)]])</f>
        <v>2.7080000000000159E-3</v>
      </c>
    </row>
    <row r="208" spans="1:14" x14ac:dyDescent="0.2">
      <c r="A208" t="str">
        <f>_xlfn.CONCAT(TargetsPercent[[#This Row],[University]],":",TargetsPercent[[#This Row],[Metric]])</f>
        <v>Western University:07. Experiential learning</v>
      </c>
      <c r="B208" t="s">
        <v>47</v>
      </c>
      <c r="C208" t="s">
        <v>25</v>
      </c>
      <c r="D208" s="6">
        <f>VLOOKUP(TargetsPercent[[#This Row],[KEY]],[1]!HistoricalData[#Data],4,FALSE)</f>
        <v>0</v>
      </c>
      <c r="E208" s="6">
        <f>VLOOKUP(TargetsPercent[[#This Row],[KEY]],[1]!HistoricalData[#Data],5,FALSE)</f>
        <v>0</v>
      </c>
      <c r="F208" s="6">
        <f>VLOOKUP(TargetsPercent[[#This Row],[KEY]],[1]!HistoricalData[#Data],6,FALSE)</f>
        <v>0</v>
      </c>
      <c r="G208" s="5">
        <f>VLOOKUP(TargetsPercent[[#This Row],[KEY]],[1]!HistoricalData[#Data],7,FALSE)</f>
        <v>0</v>
      </c>
      <c r="H208" s="9">
        <f>AVERAGE(TargetsPercent[[#This Row],[2016–17 Historical data]],TargetsPercent[[#This Row],[2017–18 Historical data]],TargetsPercent[[#This Row],[2018–19 Historical data]])</f>
        <v>0</v>
      </c>
      <c r="I208" s="9">
        <f>ABS(TargetsPercent[[#This Row],[2016–17 Historical data]]-TargetsPercent[[#This Row],[2017–18 Historical data]])</f>
        <v>0</v>
      </c>
      <c r="J208" s="2">
        <f>ABS(TargetsPercent[[#This Row],[2017–18 Historical data]]-TargetsPercent[[#This Row],[2018–19 Historical data]])</f>
        <v>0</v>
      </c>
      <c r="K208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08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08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08" s="8" t="e">
        <f>ABS(TargetsPercent[[#This Row],[2020–21
Allowable
performance
target]]-TargetsPercent[[#This Row],[Target Floor % (calculated)]])</f>
        <v>#DIV/0!</v>
      </c>
    </row>
    <row r="209" spans="1:14" x14ac:dyDescent="0.2">
      <c r="A209" t="str">
        <f>_xlfn.CONCAT(TargetsPercent[[#This Row],[University]],":",TargetsPercent[[#This Row],[Metric]])</f>
        <v>Western University:08. Research revenue attracted from private sector sources</v>
      </c>
      <c r="B209" t="s">
        <v>47</v>
      </c>
      <c r="C209" t="s">
        <v>26</v>
      </c>
      <c r="D209" s="6">
        <f>VLOOKUP(TargetsPercent[[#This Row],[KEY]],[1]!HistoricalData[#Data],4,FALSE)</f>
        <v>0</v>
      </c>
      <c r="E209" s="6">
        <f>VLOOKUP(TargetsPercent[[#This Row],[KEY]],[1]!HistoricalData[#Data],5,FALSE)</f>
        <v>0</v>
      </c>
      <c r="F209" s="6">
        <f>VLOOKUP(TargetsPercent[[#This Row],[KEY]],[1]!HistoricalData[#Data],6,FALSE)</f>
        <v>0</v>
      </c>
      <c r="G209" s="5">
        <f>VLOOKUP(TargetsPercent[[#This Row],[KEY]],[1]!HistoricalData[#Data],7,FALSE)</f>
        <v>0</v>
      </c>
      <c r="H209" s="9">
        <f>AVERAGE(TargetsPercent[[#This Row],[2016–17 Historical data]],TargetsPercent[[#This Row],[2017–18 Historical data]],TargetsPercent[[#This Row],[2018–19 Historical data]])</f>
        <v>0</v>
      </c>
      <c r="I209" s="9">
        <f>ABS(TargetsPercent[[#This Row],[2016–17 Historical data]]-TargetsPercent[[#This Row],[2017–18 Historical data]])</f>
        <v>0</v>
      </c>
      <c r="J209" s="2">
        <f>ABS(TargetsPercent[[#This Row],[2017–18 Historical data]]-TargetsPercent[[#This Row],[2018–19 Historical data]])</f>
        <v>0</v>
      </c>
      <c r="K20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0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0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09" s="8" t="e">
        <f>ABS(TargetsPercent[[#This Row],[2020–21
Allowable
performance
target]]-TargetsPercent[[#This Row],[Target Floor % (calculated)]])</f>
        <v>#DIV/0!</v>
      </c>
    </row>
    <row r="210" spans="1:14" x14ac:dyDescent="0.2">
      <c r="A210" t="str">
        <f>_xlfn.CONCAT(TargetsPercent[[#This Row],[University]],":",TargetsPercent[[#This Row],[Metric]])</f>
        <v>Western University:09. Graduate employment earnings</v>
      </c>
      <c r="B210" t="s">
        <v>47</v>
      </c>
      <c r="C210" t="s">
        <v>27</v>
      </c>
      <c r="D210" s="6">
        <f>VLOOKUP(TargetsPercent[[#This Row],[KEY]],[1]!HistoricalData[#Data],4,FALSE)</f>
        <v>0</v>
      </c>
      <c r="E210" s="6">
        <f>VLOOKUP(TargetsPercent[[#This Row],[KEY]],[1]!HistoricalData[#Data],5,FALSE)</f>
        <v>0</v>
      </c>
      <c r="F210" s="6">
        <f>VLOOKUP(TargetsPercent[[#This Row],[KEY]],[1]!HistoricalData[#Data],6,FALSE)</f>
        <v>0</v>
      </c>
      <c r="G210" s="5">
        <f>VLOOKUP(TargetsPercent[[#This Row],[KEY]],[1]!HistoricalData[#Data],7,FALSE)</f>
        <v>0</v>
      </c>
      <c r="H210" s="9">
        <f>AVERAGE(TargetsPercent[[#This Row],[2016–17 Historical data]],TargetsPercent[[#This Row],[2017–18 Historical data]],TargetsPercent[[#This Row],[2018–19 Historical data]])</f>
        <v>0</v>
      </c>
      <c r="I210" s="9">
        <f>ABS(TargetsPercent[[#This Row],[2016–17 Historical data]]-TargetsPercent[[#This Row],[2017–18 Historical data]])</f>
        <v>0</v>
      </c>
      <c r="J210" s="2">
        <f>ABS(TargetsPercent[[#This Row],[2017–18 Historical data]]-TargetsPercent[[#This Row],[2018–19 Historical data]])</f>
        <v>0</v>
      </c>
      <c r="K21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1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1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10" s="8" t="e">
        <f>ABS(TargetsPercent[[#This Row],[2020–21
Allowable
performance
target]]-TargetsPercent[[#This Row],[Target Floor % (calculated)]])</f>
        <v>#DIV/0!</v>
      </c>
    </row>
    <row r="211" spans="1:14" x14ac:dyDescent="0.2">
      <c r="A211" t="str">
        <f>_xlfn.CONCAT(TargetsPercent[[#This Row],[University]],":",TargetsPercent[[#This Row],[Metric]])</f>
        <v>Western University:10. Skills and competencies</v>
      </c>
      <c r="B211" t="s">
        <v>47</v>
      </c>
      <c r="C211" t="s">
        <v>28</v>
      </c>
      <c r="D211" s="6">
        <f>VLOOKUP(TargetsPercent[[#This Row],[KEY]],[1]!HistoricalData[#Data],4,FALSE)</f>
        <v>0</v>
      </c>
      <c r="E211" s="6">
        <f>VLOOKUP(TargetsPercent[[#This Row],[KEY]],[1]!HistoricalData[#Data],5,FALSE)</f>
        <v>0</v>
      </c>
      <c r="F211" s="6">
        <f>VLOOKUP(TargetsPercent[[#This Row],[KEY]],[1]!HistoricalData[#Data],6,FALSE)</f>
        <v>0</v>
      </c>
      <c r="G211" s="5">
        <f>VLOOKUP(TargetsPercent[[#This Row],[KEY]],[1]!HistoricalData[#Data],7,FALSE)</f>
        <v>0</v>
      </c>
      <c r="H211" s="9">
        <f>AVERAGE(TargetsPercent[[#This Row],[2016–17 Historical data]],TargetsPercent[[#This Row],[2017–18 Historical data]],TargetsPercent[[#This Row],[2018–19 Historical data]])</f>
        <v>0</v>
      </c>
      <c r="I211" s="9">
        <f>ABS(TargetsPercent[[#This Row],[2016–17 Historical data]]-TargetsPercent[[#This Row],[2017–18 Historical data]])</f>
        <v>0</v>
      </c>
      <c r="J211" s="2">
        <f>ABS(TargetsPercent[[#This Row],[2017–18 Historical data]]-TargetsPercent[[#This Row],[2018–19 Historical data]])</f>
        <v>0</v>
      </c>
      <c r="K21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1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1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11" s="8" t="e">
        <f>ABS(TargetsPercent[[#This Row],[2020–21
Allowable
performance
target]]-TargetsPercent[[#This Row],[Target Floor % (calculated)]])</f>
        <v>#DIV/0!</v>
      </c>
    </row>
    <row r="212" spans="1:14" x14ac:dyDescent="0.2">
      <c r="A212" t="str">
        <f>_xlfn.CONCAT(TargetsPercent[[#This Row],[University]],":",TargetsPercent[[#This Row],[Metric]])</f>
        <v>Western University:Tri-agency research funding</v>
      </c>
      <c r="B212" t="s">
        <v>47</v>
      </c>
      <c r="C212" t="s">
        <v>29</v>
      </c>
      <c r="D212" s="6">
        <f>VLOOKUP(TargetsPercent[[#This Row],[KEY]],[1]!HistoricalData[#Data],4,FALSE)</f>
        <v>54184168</v>
      </c>
      <c r="E212" s="6">
        <f>VLOOKUP(TargetsPercent[[#This Row],[KEY]],[1]!HistoricalData[#Data],5,FALSE)</f>
        <v>57349270</v>
      </c>
      <c r="F212" s="6">
        <f>VLOOKUP(TargetsPercent[[#This Row],[KEY]],[1]!HistoricalData[#Data],6,FALSE)</f>
        <v>58414577</v>
      </c>
      <c r="G212" s="5">
        <f>VLOOKUP(TargetsPercent[[#This Row],[KEY]],[1]!HistoricalData[#Data],7,FALSE)</f>
        <v>0</v>
      </c>
      <c r="H212" s="13">
        <f>AVERAGE(TargetsPercent[[#This Row],[2016–17 Historical data]],TargetsPercent[[#This Row],[2017–18 Historical data]],TargetsPercent[[#This Row],[2018–19 Historical data]])</f>
        <v>56649338.333333336</v>
      </c>
      <c r="I212" s="13">
        <f>ABS(TargetsPercent[[#This Row],[2016–17 Historical data]]-TargetsPercent[[#This Row],[2017–18 Historical data]])</f>
        <v>3165102</v>
      </c>
      <c r="J212" s="12">
        <f>ABS(TargetsPercent[[#This Row],[2017–18 Historical data]]-TargetsPercent[[#This Row],[2018–19 Historical data]])</f>
        <v>1065307</v>
      </c>
      <c r="K212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57714645.333333336</v>
      </c>
      <c r="L212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3.8494775677815625E-2</v>
      </c>
      <c r="M212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55492933.007901981</v>
      </c>
      <c r="N212" s="8">
        <f>ABS(TargetsPercent[[#This Row],[2020–21
Allowable
performance
target]]-TargetsPercent[[#This Row],[Target Floor % (calculated)]])</f>
        <v>55492933.007901981</v>
      </c>
    </row>
    <row r="213" spans="1:14" x14ac:dyDescent="0.2">
      <c r="A213" t="str">
        <f>_xlfn.CONCAT(TargetsPercent[[#This Row],[University]],":",TargetsPercent[[#This Row],[Metric]])</f>
        <v>Wilfrid Laurier University:01. Graduate employment rate in a related field</v>
      </c>
      <c r="B213" t="s">
        <v>48</v>
      </c>
      <c r="C213" t="s">
        <v>19</v>
      </c>
      <c r="D213" s="6">
        <f>VLOOKUP(TargetsPercent[[#This Row],[KEY]],[1]!HistoricalData[#Data],4,FALSE)</f>
        <v>0.87739999999999996</v>
      </c>
      <c r="E213" s="6">
        <f>VLOOKUP(TargetsPercent[[#This Row],[KEY]],[1]!HistoricalData[#Data],5,FALSE)</f>
        <v>0.89039999999999997</v>
      </c>
      <c r="F213" s="6">
        <f>VLOOKUP(TargetsPercent[[#This Row],[KEY]],[1]!HistoricalData[#Data],6,FALSE)</f>
        <v>0.86919999999999997</v>
      </c>
      <c r="G213" s="5">
        <f>VLOOKUP(TargetsPercent[[#This Row],[KEY]],[1]!HistoricalData[#Data],7,FALSE)</f>
        <v>0.87470000000000003</v>
      </c>
      <c r="H213" s="2">
        <f>AVERAGE(TargetsPercent[[#This Row],[2016–17 Historical data]],TargetsPercent[[#This Row],[2017–18 Historical data]],TargetsPercent[[#This Row],[2018–19 Historical data]])</f>
        <v>0.87899999999999989</v>
      </c>
      <c r="I213" s="2">
        <f>ABS(TargetsPercent[[#This Row],[2016–17 Historical data]]-TargetsPercent[[#This Row],[2017–18 Historical data]])</f>
        <v>1.3000000000000012E-2</v>
      </c>
      <c r="J213" s="2">
        <f>ABS(TargetsPercent[[#This Row],[2017–18 Historical data]]-TargetsPercent[[#This Row],[2018–19 Historical data]])</f>
        <v>2.1199999999999997E-2</v>
      </c>
      <c r="K213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0.8919999999999999</v>
      </c>
      <c r="L21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1.9313013557371896E-2</v>
      </c>
      <c r="M213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0.87477279190682422</v>
      </c>
      <c r="N213" s="8">
        <f>ABS(TargetsPercent[[#This Row],[2020–21
Allowable
performance
target]]-TargetsPercent[[#This Row],[Target Floor % (calculated)]])</f>
        <v>7.2791906824187791E-5</v>
      </c>
    </row>
    <row r="214" spans="1:14" x14ac:dyDescent="0.2">
      <c r="A214" t="str">
        <f>_xlfn.CONCAT(TargetsPercent[[#This Row],[University]],":",TargetsPercent[[#This Row],[Metric]])</f>
        <v>Wilfrid Laurier University:02. Institutional strength and focus</v>
      </c>
      <c r="B214" t="s">
        <v>48</v>
      </c>
      <c r="C214" t="s">
        <v>20</v>
      </c>
      <c r="D214" s="6">
        <f>VLOOKUP(TargetsPercent[[#This Row],[KEY]],[1]!HistoricalData[#Data],4,FALSE)</f>
        <v>0.53680000000000005</v>
      </c>
      <c r="E214" s="6">
        <f>VLOOKUP(TargetsPercent[[#This Row],[KEY]],[1]!HistoricalData[#Data],5,FALSE)</f>
        <v>0.53290000000000004</v>
      </c>
      <c r="F214" s="6">
        <f>VLOOKUP(TargetsPercent[[#This Row],[KEY]],[1]!HistoricalData[#Data],6,FALSE)</f>
        <v>0.52029999999999998</v>
      </c>
      <c r="G214" s="5">
        <f>VLOOKUP(TargetsPercent[[#This Row],[KEY]],[1]!HistoricalData[#Data],7,FALSE)</f>
        <v>0.50449999999999995</v>
      </c>
      <c r="H214" s="2">
        <f>AVERAGE(TargetsPercent[[#This Row],[2016–17 Historical data]],TargetsPercent[[#This Row],[2017–18 Historical data]],TargetsPercent[[#This Row],[2018–19 Historical data]])</f>
        <v>0.53</v>
      </c>
      <c r="I214" s="2">
        <f>ABS(TargetsPercent[[#This Row],[2016–17 Historical data]]-TargetsPercent[[#This Row],[2017–18 Historical data]])</f>
        <v>3.9000000000000146E-3</v>
      </c>
      <c r="J214" s="2">
        <f>ABS(TargetsPercent[[#This Row],[2017–18 Historical data]]-TargetsPercent[[#This Row],[2018–19 Historical data]])</f>
        <v>1.2600000000000056E-2</v>
      </c>
      <c r="K21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0.53390000000000004</v>
      </c>
      <c r="L21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1.5454743314636202E-2</v>
      </c>
      <c r="M21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0.52564871254431578</v>
      </c>
      <c r="N214" s="8">
        <f>ABS(TargetsPercent[[#This Row],[2020–21
Allowable
performance
target]]-TargetsPercent[[#This Row],[Target Floor % (calculated)]])</f>
        <v>2.1148712544315829E-2</v>
      </c>
    </row>
    <row r="215" spans="1:14" x14ac:dyDescent="0.2">
      <c r="A215" t="str">
        <f>_xlfn.CONCAT(TargetsPercent[[#This Row],[University]],":",TargetsPercent[[#This Row],[Metric]])</f>
        <v>Wilfrid Laurier University:03. Graduation rate</v>
      </c>
      <c r="B215" t="s">
        <v>48</v>
      </c>
      <c r="C215" t="s">
        <v>21</v>
      </c>
      <c r="D215" s="6">
        <f>VLOOKUP(TargetsPercent[[#This Row],[KEY]],[1]!HistoricalData[#Data],4,FALSE)</f>
        <v>0.75409999999999999</v>
      </c>
      <c r="E215" s="6">
        <f>VLOOKUP(TargetsPercent[[#This Row],[KEY]],[1]!HistoricalData[#Data],5,FALSE)</f>
        <v>0.75160000000000005</v>
      </c>
      <c r="F215" s="6">
        <f>VLOOKUP(TargetsPercent[[#This Row],[KEY]],[1]!HistoricalData[#Data],6,FALSE)</f>
        <v>0.74409999999999998</v>
      </c>
      <c r="G215" s="5">
        <f>VLOOKUP(TargetsPercent[[#This Row],[KEY]],[1]!HistoricalData[#Data],7,FALSE)</f>
        <v>0.74490000000000001</v>
      </c>
      <c r="H215" s="2">
        <f>AVERAGE(TargetsPercent[[#This Row],[2016–17 Historical data]],TargetsPercent[[#This Row],[2017–18 Historical data]],TargetsPercent[[#This Row],[2018–19 Historical data]])</f>
        <v>0.74993333333333334</v>
      </c>
      <c r="I215" s="2">
        <f>ABS(TargetsPercent[[#This Row],[2016–17 Historical data]]-TargetsPercent[[#This Row],[2017–18 Historical data]])</f>
        <v>2.4999999999999467E-3</v>
      </c>
      <c r="J215" s="2">
        <f>ABS(TargetsPercent[[#This Row],[2017–18 Historical data]]-TargetsPercent[[#This Row],[2018–19 Historical data]])</f>
        <v>7.5000000000000622E-3</v>
      </c>
      <c r="K21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0.75243333333333329</v>
      </c>
      <c r="L21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1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0.74490899999999993</v>
      </c>
      <c r="N215" s="8">
        <f>ABS(TargetsPercent[[#This Row],[2020–21
Allowable
performance
target]]-TargetsPercent[[#This Row],[Target Floor % (calculated)]])</f>
        <v>8.9999999999257341E-6</v>
      </c>
    </row>
    <row r="216" spans="1:14" x14ac:dyDescent="0.2">
      <c r="A216" t="str">
        <f>_xlfn.CONCAT(TargetsPercent[[#This Row],[University]],":",TargetsPercent[[#This Row],[Metric]])</f>
        <v>Wilfrid Laurier University:04. Community and local impact of student enrolment</v>
      </c>
      <c r="B216" t="s">
        <v>48</v>
      </c>
      <c r="C216" t="s">
        <v>22</v>
      </c>
      <c r="D216" s="6">
        <f>VLOOKUP(TargetsPercent[[#This Row],[KEY]],[1]!HistoricalData[#Data],4,FALSE)</f>
        <v>0.18640000000000001</v>
      </c>
      <c r="E216" s="6">
        <f>VLOOKUP(TargetsPercent[[#This Row],[KEY]],[1]!HistoricalData[#Data],5,FALSE)</f>
        <v>0.19769999999999999</v>
      </c>
      <c r="F216" s="6">
        <f>VLOOKUP(TargetsPercent[[#This Row],[KEY]],[1]!HistoricalData[#Data],6,FALSE)</f>
        <v>0.2029</v>
      </c>
      <c r="G216" s="5">
        <f>VLOOKUP(TargetsPercent[[#This Row],[KEY]],[1]!HistoricalData[#Data],7,FALSE)</f>
        <v>0.19220000000000001</v>
      </c>
      <c r="H216" s="2">
        <f>AVERAGE(TargetsPercent[[#This Row],[2016–17 Historical data]],TargetsPercent[[#This Row],[2017–18 Historical data]],TargetsPercent[[#This Row],[2018–19 Historical data]])</f>
        <v>0.19566666666666666</v>
      </c>
      <c r="I216" s="2">
        <f>ABS(TargetsPercent[[#This Row],[2016–17 Historical data]]-TargetsPercent[[#This Row],[2017–18 Historical data]])</f>
        <v>1.1299999999999977E-2</v>
      </c>
      <c r="J216" s="2">
        <f>ABS(TargetsPercent[[#This Row],[2017–18 Historical data]]-TargetsPercent[[#This Row],[2018–19 Historical data]])</f>
        <v>5.2000000000000102E-3</v>
      </c>
      <c r="K21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0.20086666666666667</v>
      </c>
      <c r="L21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4.3462398049674222E-2</v>
      </c>
      <c r="M21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0.19213651964508877</v>
      </c>
      <c r="N216" s="9">
        <f>ABS(TargetsPercent[[#This Row],[2020–21
Allowable
performance
target]]-TargetsPercent[[#This Row],[Target Floor % (calculated)]])</f>
        <v>6.348035491124393E-5</v>
      </c>
    </row>
    <row r="217" spans="1:14" x14ac:dyDescent="0.2">
      <c r="A217" t="str">
        <f>_xlfn.CONCAT(TargetsPercent[[#This Row],[University]],":",TargetsPercent[[#This Row],[Metric]])</f>
        <v>Wilfrid Laurier University:05. Economic impact (institution-specific)</v>
      </c>
      <c r="B217" t="s">
        <v>48</v>
      </c>
      <c r="C217" t="s">
        <v>23</v>
      </c>
      <c r="D217" s="6">
        <f>VLOOKUP(TargetsPercent[[#This Row],[KEY]],[1]!HistoricalData[#Data],4,FALSE)</f>
        <v>88902177</v>
      </c>
      <c r="E217" s="6">
        <f>VLOOKUP(TargetsPercent[[#This Row],[KEY]],[1]!HistoricalData[#Data],5,FALSE)</f>
        <v>95993775</v>
      </c>
      <c r="F217" s="6">
        <f>VLOOKUP(TargetsPercent[[#This Row],[KEY]],[1]!HistoricalData[#Data],6,FALSE)</f>
        <v>107655900</v>
      </c>
      <c r="G217" s="5">
        <f>VLOOKUP(TargetsPercent[[#This Row],[KEY]],[1]!HistoricalData[#Data],7,FALSE)</f>
        <v>94082252</v>
      </c>
      <c r="H217" s="10">
        <f>AVERAGE(TargetsPercent[[#This Row],[2016–17 Historical data]],TargetsPercent[[#This Row],[2017–18 Historical data]],TargetsPercent[[#This Row],[2018–19 Historical data]])</f>
        <v>97517284</v>
      </c>
      <c r="I217" s="10">
        <f>ABS(TargetsPercent[[#This Row],[2016–17 Historical data]]-TargetsPercent[[#This Row],[2017–18 Historical data]])</f>
        <v>7091598</v>
      </c>
      <c r="J217" s="12">
        <f>ABS(TargetsPercent[[#This Row],[2017–18 Historical data]]-TargetsPercent[[#This Row],[2018–19 Historical data]])</f>
        <v>11662125</v>
      </c>
      <c r="K217" s="10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104608882</v>
      </c>
      <c r="L21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0.10062844965465018</v>
      </c>
      <c r="M217" s="10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94082252.384233758</v>
      </c>
      <c r="N217" s="8">
        <f>ABS(TargetsPercent[[#This Row],[2020–21
Allowable
performance
target]]-TargetsPercent[[#This Row],[Target Floor % (calculated)]])</f>
        <v>0.384233757853508</v>
      </c>
    </row>
    <row r="218" spans="1:14" x14ac:dyDescent="0.2">
      <c r="A218" t="str">
        <f>_xlfn.CONCAT(TargetsPercent[[#This Row],[University]],":",TargetsPercent[[#This Row],[Metric]])</f>
        <v>Wilfrid Laurier University:06. Research funding and capacity: federal tri-agency funding secured</v>
      </c>
      <c r="B218" t="s">
        <v>48</v>
      </c>
      <c r="C218" t="s">
        <v>24</v>
      </c>
      <c r="D218" s="6">
        <f>VLOOKUP(TargetsPercent[[#This Row],[KEY]],[1]!HistoricalData[#Data],4,FALSE)</f>
        <v>8.0999999999999996E-3</v>
      </c>
      <c r="E218" s="6">
        <f>VLOOKUP(TargetsPercent[[#This Row],[KEY]],[1]!HistoricalData[#Data],5,FALSE)</f>
        <v>8.3999999999999995E-3</v>
      </c>
      <c r="F218" s="6">
        <f>VLOOKUP(TargetsPercent[[#This Row],[KEY]],[1]!HistoricalData[#Data],6,FALSE)</f>
        <v>8.6E-3</v>
      </c>
      <c r="G218" s="5">
        <f>VLOOKUP(TargetsPercent[[#This Row],[KEY]],[1]!HistoricalData[#Data],7,FALSE)</f>
        <v>8.3000000000000001E-3</v>
      </c>
      <c r="H218" s="2">
        <f>AVERAGE(TargetsPercent[[#This Row],[2016–17 Historical data]],TargetsPercent[[#This Row],[2017–18 Historical data]],TargetsPercent[[#This Row],[2018–19 Historical data]])</f>
        <v>8.3666666666666663E-3</v>
      </c>
      <c r="I218" s="2">
        <f>ABS(TargetsPercent[[#This Row],[2016–17 Historical data]]-TargetsPercent[[#This Row],[2017–18 Historical data]])</f>
        <v>2.9999999999999992E-4</v>
      </c>
      <c r="J218" s="2">
        <f>ABS(TargetsPercent[[#This Row],[2017–18 Historical data]]-TargetsPercent[[#This Row],[2018–19 Historical data]])</f>
        <v>2.0000000000000052E-4</v>
      </c>
      <c r="K218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8.5666666666666669E-3</v>
      </c>
      <c r="L21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3.0423280423280449E-2</v>
      </c>
      <c r="M218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8.3060405643738972E-3</v>
      </c>
      <c r="N218" s="8">
        <f>ABS(TargetsPercent[[#This Row],[2020–21
Allowable
performance
target]]-TargetsPercent[[#This Row],[Target Floor % (calculated)]])</f>
        <v>6.0405643738971337E-6</v>
      </c>
    </row>
    <row r="219" spans="1:14" x14ac:dyDescent="0.2">
      <c r="A219" t="str">
        <f>_xlfn.CONCAT(TargetsPercent[[#This Row],[University]],":",TargetsPercent[[#This Row],[Metric]])</f>
        <v>Wilfrid Laurier University:07. Experiential learning</v>
      </c>
      <c r="B219" t="s">
        <v>48</v>
      </c>
      <c r="C219" t="s">
        <v>25</v>
      </c>
      <c r="D219" s="6">
        <f>VLOOKUP(TargetsPercent[[#This Row],[KEY]],[1]!HistoricalData[#Data],4,FALSE)</f>
        <v>0</v>
      </c>
      <c r="E219" s="6">
        <f>VLOOKUP(TargetsPercent[[#This Row],[KEY]],[1]!HistoricalData[#Data],5,FALSE)</f>
        <v>0</v>
      </c>
      <c r="F219" s="6">
        <f>VLOOKUP(TargetsPercent[[#This Row],[KEY]],[1]!HistoricalData[#Data],6,FALSE)</f>
        <v>0</v>
      </c>
      <c r="G219" s="5">
        <f>VLOOKUP(TargetsPercent[[#This Row],[KEY]],[1]!HistoricalData[#Data],7,FALSE)</f>
        <v>0</v>
      </c>
      <c r="H219" s="9">
        <f>AVERAGE(TargetsPercent[[#This Row],[2016–17 Historical data]],TargetsPercent[[#This Row],[2017–18 Historical data]],TargetsPercent[[#This Row],[2018–19 Historical data]])</f>
        <v>0</v>
      </c>
      <c r="I219" s="9">
        <f>ABS(TargetsPercent[[#This Row],[2016–17 Historical data]]-TargetsPercent[[#This Row],[2017–18 Historical data]])</f>
        <v>0</v>
      </c>
      <c r="J219" s="2">
        <f>ABS(TargetsPercent[[#This Row],[2017–18 Historical data]]-TargetsPercent[[#This Row],[2018–19 Historical data]])</f>
        <v>0</v>
      </c>
      <c r="K219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19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19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19" s="8" t="e">
        <f>ABS(TargetsPercent[[#This Row],[2020–21
Allowable
performance
target]]-TargetsPercent[[#This Row],[Target Floor % (calculated)]])</f>
        <v>#DIV/0!</v>
      </c>
    </row>
    <row r="220" spans="1:14" x14ac:dyDescent="0.2">
      <c r="A220" t="str">
        <f>_xlfn.CONCAT(TargetsPercent[[#This Row],[University]],":",TargetsPercent[[#This Row],[Metric]])</f>
        <v>Wilfrid Laurier University:08. Research revenue attracted from private sector sources</v>
      </c>
      <c r="B220" t="s">
        <v>48</v>
      </c>
      <c r="C220" t="s">
        <v>26</v>
      </c>
      <c r="D220" s="6">
        <f>VLOOKUP(TargetsPercent[[#This Row],[KEY]],[1]!HistoricalData[#Data],4,FALSE)</f>
        <v>0</v>
      </c>
      <c r="E220" s="6">
        <f>VLOOKUP(TargetsPercent[[#This Row],[KEY]],[1]!HistoricalData[#Data],5,FALSE)</f>
        <v>0</v>
      </c>
      <c r="F220" s="6">
        <f>VLOOKUP(TargetsPercent[[#This Row],[KEY]],[1]!HistoricalData[#Data],6,FALSE)</f>
        <v>0</v>
      </c>
      <c r="G220" s="5">
        <f>VLOOKUP(TargetsPercent[[#This Row],[KEY]],[1]!HistoricalData[#Data],7,FALSE)</f>
        <v>0</v>
      </c>
      <c r="H220" s="9">
        <f>AVERAGE(TargetsPercent[[#This Row],[2016–17 Historical data]],TargetsPercent[[#This Row],[2017–18 Historical data]],TargetsPercent[[#This Row],[2018–19 Historical data]])</f>
        <v>0</v>
      </c>
      <c r="I220" s="9">
        <f>ABS(TargetsPercent[[#This Row],[2016–17 Historical data]]-TargetsPercent[[#This Row],[2017–18 Historical data]])</f>
        <v>0</v>
      </c>
      <c r="J220" s="2">
        <f>ABS(TargetsPercent[[#This Row],[2017–18 Historical data]]-TargetsPercent[[#This Row],[2018–19 Historical data]])</f>
        <v>0</v>
      </c>
      <c r="K22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2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2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20" s="8" t="e">
        <f>ABS(TargetsPercent[[#This Row],[2020–21
Allowable
performance
target]]-TargetsPercent[[#This Row],[Target Floor % (calculated)]])</f>
        <v>#DIV/0!</v>
      </c>
    </row>
    <row r="221" spans="1:14" x14ac:dyDescent="0.2">
      <c r="A221" t="str">
        <f>_xlfn.CONCAT(TargetsPercent[[#This Row],[University]],":",TargetsPercent[[#This Row],[Metric]])</f>
        <v>Wilfrid Laurier University:09. Graduate employment earnings</v>
      </c>
      <c r="B221" t="s">
        <v>48</v>
      </c>
      <c r="C221" t="s">
        <v>27</v>
      </c>
      <c r="D221" s="6">
        <f>VLOOKUP(TargetsPercent[[#This Row],[KEY]],[1]!HistoricalData[#Data],4,FALSE)</f>
        <v>0</v>
      </c>
      <c r="E221" s="6">
        <f>VLOOKUP(TargetsPercent[[#This Row],[KEY]],[1]!HistoricalData[#Data],5,FALSE)</f>
        <v>0</v>
      </c>
      <c r="F221" s="6">
        <f>VLOOKUP(TargetsPercent[[#This Row],[KEY]],[1]!HistoricalData[#Data],6,FALSE)</f>
        <v>0</v>
      </c>
      <c r="G221" s="5">
        <f>VLOOKUP(TargetsPercent[[#This Row],[KEY]],[1]!HistoricalData[#Data],7,FALSE)</f>
        <v>0</v>
      </c>
      <c r="H221" s="9">
        <f>AVERAGE(TargetsPercent[[#This Row],[2016–17 Historical data]],TargetsPercent[[#This Row],[2017–18 Historical data]],TargetsPercent[[#This Row],[2018–19 Historical data]])</f>
        <v>0</v>
      </c>
      <c r="I221" s="9">
        <f>ABS(TargetsPercent[[#This Row],[2016–17 Historical data]]-TargetsPercent[[#This Row],[2017–18 Historical data]])</f>
        <v>0</v>
      </c>
      <c r="J221" s="2">
        <f>ABS(TargetsPercent[[#This Row],[2017–18 Historical data]]-TargetsPercent[[#This Row],[2018–19 Historical data]])</f>
        <v>0</v>
      </c>
      <c r="K22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2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2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21" s="8" t="e">
        <f>ABS(TargetsPercent[[#This Row],[2020–21
Allowable
performance
target]]-TargetsPercent[[#This Row],[Target Floor % (calculated)]])</f>
        <v>#DIV/0!</v>
      </c>
    </row>
    <row r="222" spans="1:14" x14ac:dyDescent="0.2">
      <c r="A222" t="str">
        <f>_xlfn.CONCAT(TargetsPercent[[#This Row],[University]],":",TargetsPercent[[#This Row],[Metric]])</f>
        <v>Wilfrid Laurier University:10. Skills and competencies</v>
      </c>
      <c r="B222" t="s">
        <v>48</v>
      </c>
      <c r="C222" t="s">
        <v>28</v>
      </c>
      <c r="D222" s="6">
        <f>VLOOKUP(TargetsPercent[[#This Row],[KEY]],[1]!HistoricalData[#Data],4,FALSE)</f>
        <v>0</v>
      </c>
      <c r="E222" s="6">
        <f>VLOOKUP(TargetsPercent[[#This Row],[KEY]],[1]!HistoricalData[#Data],5,FALSE)</f>
        <v>0</v>
      </c>
      <c r="F222" s="6">
        <f>VLOOKUP(TargetsPercent[[#This Row],[KEY]],[1]!HistoricalData[#Data],6,FALSE)</f>
        <v>0</v>
      </c>
      <c r="G222" s="5">
        <f>VLOOKUP(TargetsPercent[[#This Row],[KEY]],[1]!HistoricalData[#Data],7,FALSE)</f>
        <v>0</v>
      </c>
      <c r="H222" s="9">
        <f>AVERAGE(TargetsPercent[[#This Row],[2016–17 Historical data]],TargetsPercent[[#This Row],[2017–18 Historical data]],TargetsPercent[[#This Row],[2018–19 Historical data]])</f>
        <v>0</v>
      </c>
      <c r="I222" s="9">
        <f>ABS(TargetsPercent[[#This Row],[2016–17 Historical data]]-TargetsPercent[[#This Row],[2017–18 Historical data]])</f>
        <v>0</v>
      </c>
      <c r="J222" s="2">
        <f>ABS(TargetsPercent[[#This Row],[2017–18 Historical data]]-TargetsPercent[[#This Row],[2018–19 Historical data]])</f>
        <v>0</v>
      </c>
      <c r="K222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2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22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22" s="8" t="e">
        <f>ABS(TargetsPercent[[#This Row],[2020–21
Allowable
performance
target]]-TargetsPercent[[#This Row],[Target Floor % (calculated)]])</f>
        <v>#DIV/0!</v>
      </c>
    </row>
    <row r="223" spans="1:14" x14ac:dyDescent="0.2">
      <c r="A223" t="str">
        <f>_xlfn.CONCAT(TargetsPercent[[#This Row],[University]],":",TargetsPercent[[#This Row],[Metric]])</f>
        <v>Wilfrid Laurier University:Tri-agency research funding</v>
      </c>
      <c r="B223" t="s">
        <v>48</v>
      </c>
      <c r="C223" t="s">
        <v>29</v>
      </c>
      <c r="D223" s="6">
        <f>VLOOKUP(TargetsPercent[[#This Row],[KEY]],[1]!HistoricalData[#Data],4,FALSE)</f>
        <v>5175430</v>
      </c>
      <c r="E223" s="6">
        <f>VLOOKUP(TargetsPercent[[#This Row],[KEY]],[1]!HistoricalData[#Data],5,FALSE)</f>
        <v>5580312</v>
      </c>
      <c r="F223" s="6">
        <f>VLOOKUP(TargetsPercent[[#This Row],[KEY]],[1]!HistoricalData[#Data],6,FALSE)</f>
        <v>5870716</v>
      </c>
      <c r="G223" s="5">
        <f>VLOOKUP(TargetsPercent[[#This Row],[KEY]],[1]!HistoricalData[#Data],7,FALSE)</f>
        <v>0</v>
      </c>
      <c r="H223" s="13">
        <f>AVERAGE(TargetsPercent[[#This Row],[2016–17 Historical data]],TargetsPercent[[#This Row],[2017–18 Historical data]],TargetsPercent[[#This Row],[2018–19 Historical data]])</f>
        <v>5542152.666666667</v>
      </c>
      <c r="I223" s="13">
        <f>ABS(TargetsPercent[[#This Row],[2016–17 Historical data]]-TargetsPercent[[#This Row],[2017–18 Historical data]])</f>
        <v>404882</v>
      </c>
      <c r="J223" s="12">
        <f>ABS(TargetsPercent[[#This Row],[2017–18 Historical data]]-TargetsPercent[[#This Row],[2018–19 Historical data]])</f>
        <v>290404</v>
      </c>
      <c r="K223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5832556.666666667</v>
      </c>
      <c r="L223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6.5136192510747148E-2</v>
      </c>
      <c r="M223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5452646.1327968249</v>
      </c>
      <c r="N223" s="8">
        <f>ABS(TargetsPercent[[#This Row],[2020–21
Allowable
performance
target]]-TargetsPercent[[#This Row],[Target Floor % (calculated)]])</f>
        <v>5452646.1327968249</v>
      </c>
    </row>
    <row r="224" spans="1:14" x14ac:dyDescent="0.2">
      <c r="A224" t="str">
        <f>_xlfn.CONCAT(TargetsPercent[[#This Row],[University]],":",TargetsPercent[[#This Row],[Metric]])</f>
        <v>York University:01. Graduate employment rate in a related field</v>
      </c>
      <c r="B224" t="s">
        <v>49</v>
      </c>
      <c r="C224" t="s">
        <v>19</v>
      </c>
      <c r="D224" s="6">
        <f>VLOOKUP(TargetsPercent[[#This Row],[KEY]],[1]!HistoricalData[#Data],4,FALSE)</f>
        <v>0.83250000000000002</v>
      </c>
      <c r="E224" s="6">
        <f>VLOOKUP(TargetsPercent[[#This Row],[KEY]],[1]!HistoricalData[#Data],5,FALSE)</f>
        <v>0.8367</v>
      </c>
      <c r="F224" s="6">
        <f>VLOOKUP(TargetsPercent[[#This Row],[KEY]],[1]!HistoricalData[#Data],6,FALSE)</f>
        <v>0.82540000000000002</v>
      </c>
      <c r="G224" s="5">
        <f>VLOOKUP(TargetsPercent[[#This Row],[KEY]],[1]!HistoricalData[#Data],7,FALSE)</f>
        <v>0.82730000000000004</v>
      </c>
      <c r="H224" s="2">
        <f>AVERAGE(TargetsPercent[[#This Row],[2016–17 Historical data]],TargetsPercent[[#This Row],[2017–18 Historical data]],TargetsPercent[[#This Row],[2018–19 Historical data]])</f>
        <v>0.83153333333333335</v>
      </c>
      <c r="I224" s="2">
        <f>ABS(TargetsPercent[[#This Row],[2016–17 Historical data]]-TargetsPercent[[#This Row],[2017–18 Historical data]])</f>
        <v>4.1999999999999815E-3</v>
      </c>
      <c r="J224" s="2">
        <f>ABS(TargetsPercent[[#This Row],[2017–18 Historical data]]-TargetsPercent[[#This Row],[2018–19 Historical data]])</f>
        <v>1.1299999999999977E-2</v>
      </c>
      <c r="K224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0.83573333333333333</v>
      </c>
      <c r="L22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0.01</v>
      </c>
      <c r="M224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0.827376</v>
      </c>
      <c r="N224" s="8">
        <f>ABS(TargetsPercent[[#This Row],[2020–21
Allowable
performance
target]]-TargetsPercent[[#This Row],[Target Floor % (calculated)]])</f>
        <v>7.5999999999964984E-5</v>
      </c>
    </row>
    <row r="225" spans="1:14" x14ac:dyDescent="0.2">
      <c r="A225" t="str">
        <f>_xlfn.CONCAT(TargetsPercent[[#This Row],[University]],":",TargetsPercent[[#This Row],[Metric]])</f>
        <v>York University:02. Institutional strength and focus</v>
      </c>
      <c r="B225" t="s">
        <v>49</v>
      </c>
      <c r="C225" t="s">
        <v>20</v>
      </c>
      <c r="D225" s="6">
        <f>VLOOKUP(TargetsPercent[[#This Row],[KEY]],[1]!HistoricalData[#Data],4,FALSE)</f>
        <v>0.48249999999999998</v>
      </c>
      <c r="E225" s="6">
        <f>VLOOKUP(TargetsPercent[[#This Row],[KEY]],[1]!HistoricalData[#Data],5,FALSE)</f>
        <v>0.49209999999999998</v>
      </c>
      <c r="F225" s="6">
        <f>VLOOKUP(TargetsPercent[[#This Row],[KEY]],[1]!HistoricalData[#Data],6,FALSE)</f>
        <v>0.50290000000000001</v>
      </c>
      <c r="G225" s="5">
        <f>VLOOKUP(TargetsPercent[[#This Row],[KEY]],[1]!HistoricalData[#Data],7,FALSE)</f>
        <v>0.49220000000000003</v>
      </c>
      <c r="H225" s="2">
        <f>AVERAGE(TargetsPercent[[#This Row],[2016–17 Historical data]],TargetsPercent[[#This Row],[2017–18 Historical data]],TargetsPercent[[#This Row],[2018–19 Historical data]])</f>
        <v>0.49249999999999999</v>
      </c>
      <c r="I225" s="2">
        <f>ABS(TargetsPercent[[#This Row],[2016–17 Historical data]]-TargetsPercent[[#This Row],[2017–18 Historical data]])</f>
        <v>9.5999999999999974E-3</v>
      </c>
      <c r="J225" s="2">
        <f>ABS(TargetsPercent[[#This Row],[2017–18 Historical data]]-TargetsPercent[[#This Row],[2018–19 Historical data]])</f>
        <v>1.0800000000000032E-2</v>
      </c>
      <c r="K225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0.50209999999999999</v>
      </c>
      <c r="L225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2.0921565922929465E-2</v>
      </c>
      <c r="M225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0.49159528175009709</v>
      </c>
      <c r="N225" s="8">
        <f>ABS(TargetsPercent[[#This Row],[2020–21
Allowable
performance
target]]-TargetsPercent[[#This Row],[Target Floor % (calculated)]])</f>
        <v>6.0471824990293577E-4</v>
      </c>
    </row>
    <row r="226" spans="1:14" x14ac:dyDescent="0.2">
      <c r="A226" t="str">
        <f>_xlfn.CONCAT(TargetsPercent[[#This Row],[University]],":",TargetsPercent[[#This Row],[Metric]])</f>
        <v>York University:03. Graduation rate</v>
      </c>
      <c r="B226" t="s">
        <v>49</v>
      </c>
      <c r="C226" t="s">
        <v>21</v>
      </c>
      <c r="D226" s="6">
        <f>VLOOKUP(TargetsPercent[[#This Row],[KEY]],[1]!HistoricalData[#Data],4,FALSE)</f>
        <v>0.68289999999999995</v>
      </c>
      <c r="E226" s="6">
        <f>VLOOKUP(TargetsPercent[[#This Row],[KEY]],[1]!HistoricalData[#Data],5,FALSE)</f>
        <v>0.69669999999999999</v>
      </c>
      <c r="F226" s="6">
        <f>VLOOKUP(TargetsPercent[[#This Row],[KEY]],[1]!HistoricalData[#Data],6,FALSE)</f>
        <v>0.67989999999999995</v>
      </c>
      <c r="G226" s="5">
        <f>VLOOKUP(TargetsPercent[[#This Row],[KEY]],[1]!HistoricalData[#Data],7,FALSE)</f>
        <v>0.68479999999999996</v>
      </c>
      <c r="H226" s="2">
        <f>AVERAGE(TargetsPercent[[#This Row],[2016–17 Historical data]],TargetsPercent[[#This Row],[2017–18 Historical data]],TargetsPercent[[#This Row],[2018–19 Historical data]])</f>
        <v>0.6865</v>
      </c>
      <c r="I226" s="2">
        <f>ABS(TargetsPercent[[#This Row],[2016–17 Historical data]]-TargetsPercent[[#This Row],[2017–18 Historical data]])</f>
        <v>1.3800000000000034E-2</v>
      </c>
      <c r="J226" s="2">
        <f>ABS(TargetsPercent[[#This Row],[2017–18 Historical data]]-TargetsPercent[[#This Row],[2018–19 Historical data]])</f>
        <v>1.6800000000000037E-2</v>
      </c>
      <c r="K226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0.70030000000000003</v>
      </c>
      <c r="L226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2.216080775586135E-2</v>
      </c>
      <c r="M226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0.68478078632857031</v>
      </c>
      <c r="N226" s="8">
        <f>ABS(TargetsPercent[[#This Row],[2020–21
Allowable
performance
target]]-TargetsPercent[[#This Row],[Target Floor % (calculated)]])</f>
        <v>1.9213671429652024E-5</v>
      </c>
    </row>
    <row r="227" spans="1:14" x14ac:dyDescent="0.2">
      <c r="A227" t="str">
        <f>_xlfn.CONCAT(TargetsPercent[[#This Row],[University]],":",TargetsPercent[[#This Row],[Metric]])</f>
        <v>York University:04. Community and local impact of student enrolment</v>
      </c>
      <c r="B227" t="s">
        <v>49</v>
      </c>
      <c r="C227" t="s">
        <v>22</v>
      </c>
      <c r="D227" s="6">
        <f>VLOOKUP(TargetsPercent[[#This Row],[KEY]],[1]!HistoricalData[#Data],4,FALSE)</f>
        <v>2.7300000000000001E-2</v>
      </c>
      <c r="E227" s="6">
        <f>VLOOKUP(TargetsPercent[[#This Row],[KEY]],[1]!HistoricalData[#Data],5,FALSE)</f>
        <v>2.7900000000000001E-2</v>
      </c>
      <c r="F227" s="6">
        <f>VLOOKUP(TargetsPercent[[#This Row],[KEY]],[1]!HistoricalData[#Data],6,FALSE)</f>
        <v>2.9100000000000001E-2</v>
      </c>
      <c r="G227" s="5">
        <f>VLOOKUP(TargetsPercent[[#This Row],[KEY]],[1]!HistoricalData[#Data],7,FALSE)</f>
        <v>2.7799999999999998E-2</v>
      </c>
      <c r="H227" s="2">
        <f>AVERAGE(TargetsPercent[[#This Row],[2016–17 Historical data]],TargetsPercent[[#This Row],[2017–18 Historical data]],TargetsPercent[[#This Row],[2018–19 Historical data]])</f>
        <v>2.81E-2</v>
      </c>
      <c r="I227" s="2">
        <f>ABS(TargetsPercent[[#This Row],[2016–17 Historical data]]-TargetsPercent[[#This Row],[2017–18 Historical data]])</f>
        <v>5.9999999999999984E-4</v>
      </c>
      <c r="J227" s="2">
        <f>ABS(TargetsPercent[[#This Row],[2017–18 Historical data]]-TargetsPercent[[#This Row],[2018–19 Historical data]])</f>
        <v>1.1999999999999997E-3</v>
      </c>
      <c r="K227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2.87E-2</v>
      </c>
      <c r="L227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3.2494387333097001E-2</v>
      </c>
      <c r="M227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2.7767411083540115E-2</v>
      </c>
      <c r="N227" s="9">
        <f>ABS(TargetsPercent[[#This Row],[2020–21
Allowable
performance
target]]-TargetsPercent[[#This Row],[Target Floor % (calculated)]])</f>
        <v>3.2588916459883738E-5</v>
      </c>
    </row>
    <row r="228" spans="1:14" x14ac:dyDescent="0.2">
      <c r="A228" t="str">
        <f>_xlfn.CONCAT(TargetsPercent[[#This Row],[University]],":",TargetsPercent[[#This Row],[Metric]])</f>
        <v>York University:05. Economic impact (institution-specific)</v>
      </c>
      <c r="B228" t="s">
        <v>49</v>
      </c>
      <c r="C228" t="s">
        <v>23</v>
      </c>
      <c r="D228" s="6">
        <f>VLOOKUP(TargetsPercent[[#This Row],[KEY]],[1]!HistoricalData[#Data],4,FALSE)</f>
        <v>17.329999999999998</v>
      </c>
      <c r="E228" s="6">
        <f>VLOOKUP(TargetsPercent[[#This Row],[KEY]],[1]!HistoricalData[#Data],5,FALSE)</f>
        <v>35</v>
      </c>
      <c r="F228" s="6">
        <f>VLOOKUP(TargetsPercent[[#This Row],[KEY]],[1]!HistoricalData[#Data],6,FALSE)</f>
        <v>49.33</v>
      </c>
      <c r="G228" s="5">
        <f>VLOOKUP(TargetsPercent[[#This Row],[KEY]],[1]!HistoricalData[#Data],7,FALSE)</f>
        <v>13.77</v>
      </c>
      <c r="H228" s="11">
        <f>AVERAGE(TargetsPercent[[#This Row],[2016–17 Historical data]],TargetsPercent[[#This Row],[2017–18 Historical data]],TargetsPercent[[#This Row],[2018–19 Historical data]])</f>
        <v>33.886666666666663</v>
      </c>
      <c r="I228" s="11">
        <f>ABS(TargetsPercent[[#This Row],[2016–17 Historical data]]-TargetsPercent[[#This Row],[2017–18 Historical data]])</f>
        <v>17.670000000000002</v>
      </c>
      <c r="J228" s="11">
        <f>ABS(TargetsPercent[[#This Row],[2017–18 Historical data]]-TargetsPercent[[#This Row],[2018–19 Historical data]])</f>
        <v>14.329999999999998</v>
      </c>
      <c r="K228" s="11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48.216666666666661</v>
      </c>
      <c r="L228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0.71452386447943295</v>
      </c>
      <c r="M228" s="15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17.329999999999998</v>
      </c>
      <c r="N228" s="8">
        <f>ABS(TargetsPercent[[#This Row],[2020–21
Allowable
performance
target]]-TargetsPercent[[#This Row],[Target Floor % (calculated)]])</f>
        <v>3.5599999999999987</v>
      </c>
    </row>
    <row r="229" spans="1:14" x14ac:dyDescent="0.2">
      <c r="A229" t="str">
        <f>_xlfn.CONCAT(TargetsPercent[[#This Row],[University]],":",TargetsPercent[[#This Row],[Metric]])</f>
        <v>York University:06. Research funding and capacity: federal tri-agency funding secured</v>
      </c>
      <c r="B229" t="s">
        <v>49</v>
      </c>
      <c r="C229" t="s">
        <v>24</v>
      </c>
      <c r="D229" s="6">
        <f>VLOOKUP(TargetsPercent[[#This Row],[KEY]],[1]!HistoricalData[#Data],4,FALSE)</f>
        <v>3.49E-2</v>
      </c>
      <c r="E229" s="6">
        <f>VLOOKUP(TargetsPercent[[#This Row],[KEY]],[1]!HistoricalData[#Data],5,FALSE)</f>
        <v>3.4500000000000003E-2</v>
      </c>
      <c r="F229" s="6">
        <f>VLOOKUP(TargetsPercent[[#This Row],[KEY]],[1]!HistoricalData[#Data],6,FALSE)</f>
        <v>3.3500000000000002E-2</v>
      </c>
      <c r="G229" s="5">
        <f>VLOOKUP(TargetsPercent[[#This Row],[KEY]],[1]!HistoricalData[#Data],7,FALSE)</f>
        <v>3.3300000000000003E-2</v>
      </c>
      <c r="H229" s="2">
        <f>AVERAGE(TargetsPercent[[#This Row],[2016–17 Historical data]],TargetsPercent[[#This Row],[2017–18 Historical data]],TargetsPercent[[#This Row],[2018–19 Historical data]])</f>
        <v>3.4300000000000004E-2</v>
      </c>
      <c r="I229" s="2">
        <f>ABS(TargetsPercent[[#This Row],[2016–17 Historical data]]-TargetsPercent[[#This Row],[2017–18 Historical data]])</f>
        <v>3.9999999999999758E-4</v>
      </c>
      <c r="J229" s="2">
        <f>ABS(TargetsPercent[[#This Row],[2017–18 Historical data]]-TargetsPercent[[#This Row],[2018–19 Historical data]])</f>
        <v>1.0000000000000009E-3</v>
      </c>
      <c r="K229" s="2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3.4700000000000002E-2</v>
      </c>
      <c r="L229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2.0223412648976348E-2</v>
      </c>
      <c r="M229" s="2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3.3998247581080519E-2</v>
      </c>
      <c r="N229" s="8">
        <f>ABS(TargetsPercent[[#This Row],[2020–21
Allowable
performance
target]]-TargetsPercent[[#This Row],[Target Floor % (calculated)]])</f>
        <v>6.982475810805161E-4</v>
      </c>
    </row>
    <row r="230" spans="1:14" x14ac:dyDescent="0.2">
      <c r="A230" t="str">
        <f>_xlfn.CONCAT(TargetsPercent[[#This Row],[University]],":",TargetsPercent[[#This Row],[Metric]])</f>
        <v>York University:07. Experiential learning</v>
      </c>
      <c r="B230" t="s">
        <v>49</v>
      </c>
      <c r="C230" t="s">
        <v>25</v>
      </c>
      <c r="D230" s="6">
        <f>VLOOKUP(TargetsPercent[[#This Row],[KEY]],[1]!HistoricalData[#Data],4,FALSE)</f>
        <v>0</v>
      </c>
      <c r="E230" s="6">
        <f>VLOOKUP(TargetsPercent[[#This Row],[KEY]],[1]!HistoricalData[#Data],5,FALSE)</f>
        <v>0</v>
      </c>
      <c r="F230" s="6">
        <f>VLOOKUP(TargetsPercent[[#This Row],[KEY]],[1]!HistoricalData[#Data],6,FALSE)</f>
        <v>0</v>
      </c>
      <c r="G230" s="5">
        <f>VLOOKUP(TargetsPercent[[#This Row],[KEY]],[1]!HistoricalData[#Data],7,FALSE)</f>
        <v>0</v>
      </c>
      <c r="H230" s="9">
        <f>AVERAGE(TargetsPercent[[#This Row],[2016–17 Historical data]],TargetsPercent[[#This Row],[2017–18 Historical data]],TargetsPercent[[#This Row],[2018–19 Historical data]])</f>
        <v>0</v>
      </c>
      <c r="I230" s="9">
        <f>ABS(TargetsPercent[[#This Row],[2016–17 Historical data]]-TargetsPercent[[#This Row],[2017–18 Historical data]])</f>
        <v>0</v>
      </c>
      <c r="J230" s="2">
        <f>ABS(TargetsPercent[[#This Row],[2017–18 Historical data]]-TargetsPercent[[#This Row],[2018–19 Historical data]])</f>
        <v>0</v>
      </c>
      <c r="K230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30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30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30" s="8" t="e">
        <f>ABS(TargetsPercent[[#This Row],[2020–21
Allowable
performance
target]]-TargetsPercent[[#This Row],[Target Floor % (calculated)]])</f>
        <v>#DIV/0!</v>
      </c>
    </row>
    <row r="231" spans="1:14" x14ac:dyDescent="0.2">
      <c r="A231" t="str">
        <f>_xlfn.CONCAT(TargetsPercent[[#This Row],[University]],":",TargetsPercent[[#This Row],[Metric]])</f>
        <v>York University:08. Research revenue attracted from private sector sources</v>
      </c>
      <c r="B231" t="s">
        <v>49</v>
      </c>
      <c r="C231" t="s">
        <v>26</v>
      </c>
      <c r="D231" s="6">
        <f>VLOOKUP(TargetsPercent[[#This Row],[KEY]],[1]!HistoricalData[#Data],4,FALSE)</f>
        <v>0</v>
      </c>
      <c r="E231" s="6">
        <f>VLOOKUP(TargetsPercent[[#This Row],[KEY]],[1]!HistoricalData[#Data],5,FALSE)</f>
        <v>0</v>
      </c>
      <c r="F231" s="6">
        <f>VLOOKUP(TargetsPercent[[#This Row],[KEY]],[1]!HistoricalData[#Data],6,FALSE)</f>
        <v>0</v>
      </c>
      <c r="G231" s="5">
        <f>VLOOKUP(TargetsPercent[[#This Row],[KEY]],[1]!HistoricalData[#Data],7,FALSE)</f>
        <v>0</v>
      </c>
      <c r="H231" s="9">
        <f>AVERAGE(TargetsPercent[[#This Row],[2016–17 Historical data]],TargetsPercent[[#This Row],[2017–18 Historical data]],TargetsPercent[[#This Row],[2018–19 Historical data]])</f>
        <v>0</v>
      </c>
      <c r="I231" s="9">
        <f>ABS(TargetsPercent[[#This Row],[2016–17 Historical data]]-TargetsPercent[[#This Row],[2017–18 Historical data]])</f>
        <v>0</v>
      </c>
      <c r="J231" s="2">
        <f>ABS(TargetsPercent[[#This Row],[2017–18 Historical data]]-TargetsPercent[[#This Row],[2018–19 Historical data]])</f>
        <v>0</v>
      </c>
      <c r="K231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31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31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31" s="8" t="e">
        <f>ABS(TargetsPercent[[#This Row],[2020–21
Allowable
performance
target]]-TargetsPercent[[#This Row],[Target Floor % (calculated)]])</f>
        <v>#DIV/0!</v>
      </c>
    </row>
    <row r="232" spans="1:14" x14ac:dyDescent="0.2">
      <c r="A232" t="str">
        <f>_xlfn.CONCAT(TargetsPercent[[#This Row],[University]],":",TargetsPercent[[#This Row],[Metric]])</f>
        <v>York University:09. Graduate employment earnings</v>
      </c>
      <c r="B232" t="s">
        <v>49</v>
      </c>
      <c r="C232" t="s">
        <v>27</v>
      </c>
      <c r="D232" s="6">
        <f>VLOOKUP(TargetsPercent[[#This Row],[KEY]],[1]!HistoricalData[#Data],4,FALSE)</f>
        <v>0</v>
      </c>
      <c r="E232" s="6">
        <f>VLOOKUP(TargetsPercent[[#This Row],[KEY]],[1]!HistoricalData[#Data],5,FALSE)</f>
        <v>0</v>
      </c>
      <c r="F232" s="6">
        <f>VLOOKUP(TargetsPercent[[#This Row],[KEY]],[1]!HistoricalData[#Data],6,FALSE)</f>
        <v>0</v>
      </c>
      <c r="G232" s="5">
        <f>VLOOKUP(TargetsPercent[[#This Row],[KEY]],[1]!HistoricalData[#Data],7,FALSE)</f>
        <v>0</v>
      </c>
      <c r="H232" s="9">
        <f>AVERAGE(TargetsPercent[[#This Row],[2016–17 Historical data]],TargetsPercent[[#This Row],[2017–18 Historical data]],TargetsPercent[[#This Row],[2018–19 Historical data]])</f>
        <v>0</v>
      </c>
      <c r="I232" s="9">
        <f>ABS(TargetsPercent[[#This Row],[2016–17 Historical data]]-TargetsPercent[[#This Row],[2017–18 Historical data]])</f>
        <v>0</v>
      </c>
      <c r="J232" s="2">
        <f>ABS(TargetsPercent[[#This Row],[2017–18 Historical data]]-TargetsPercent[[#This Row],[2018–19 Historical data]])</f>
        <v>0</v>
      </c>
      <c r="K232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32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32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32" s="8" t="e">
        <f>ABS(TargetsPercent[[#This Row],[2020–21
Allowable
performance
target]]-TargetsPercent[[#This Row],[Target Floor % (calculated)]])</f>
        <v>#DIV/0!</v>
      </c>
    </row>
    <row r="233" spans="1:14" x14ac:dyDescent="0.2">
      <c r="A233" t="str">
        <f>_xlfn.CONCAT(TargetsPercent[[#This Row],[University]],":",TargetsPercent[[#This Row],[Metric]])</f>
        <v>York University:10. Skills and competencies</v>
      </c>
      <c r="B233" t="s">
        <v>49</v>
      </c>
      <c r="C233" t="s">
        <v>28</v>
      </c>
      <c r="D233" s="6">
        <f>VLOOKUP(TargetsPercent[[#This Row],[KEY]],[1]!HistoricalData[#Data],4,FALSE)</f>
        <v>0</v>
      </c>
      <c r="E233" s="6">
        <f>VLOOKUP(TargetsPercent[[#This Row],[KEY]],[1]!HistoricalData[#Data],5,FALSE)</f>
        <v>0</v>
      </c>
      <c r="F233" s="6">
        <f>VLOOKUP(TargetsPercent[[#This Row],[KEY]],[1]!HistoricalData[#Data],6,FALSE)</f>
        <v>0</v>
      </c>
      <c r="G233" s="5">
        <f>VLOOKUP(TargetsPercent[[#This Row],[KEY]],[1]!HistoricalData[#Data],7,FALSE)</f>
        <v>0</v>
      </c>
      <c r="H233" s="9">
        <f>AVERAGE(TargetsPercent[[#This Row],[2016–17 Historical data]],TargetsPercent[[#This Row],[2017–18 Historical data]],TargetsPercent[[#This Row],[2018–19 Historical data]])</f>
        <v>0</v>
      </c>
      <c r="I233" s="9">
        <f>ABS(TargetsPercent[[#This Row],[2016–17 Historical data]]-TargetsPercent[[#This Row],[2017–18 Historical data]])</f>
        <v>0</v>
      </c>
      <c r="J233" s="2">
        <f>ABS(TargetsPercent[[#This Row],[2017–18 Historical data]]-TargetsPercent[[#This Row],[2018–19 Historical data]])</f>
        <v>0</v>
      </c>
      <c r="K233" s="9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0</v>
      </c>
      <c r="L233" s="2" t="e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#DIV/0!</v>
      </c>
      <c r="M233" s="9" t="e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#DIV/0!</v>
      </c>
      <c r="N233" s="8" t="e">
        <f>ABS(TargetsPercent[[#This Row],[2020–21
Allowable
performance
target]]-TargetsPercent[[#This Row],[Target Floor % (calculated)]])</f>
        <v>#DIV/0!</v>
      </c>
    </row>
    <row r="234" spans="1:14" x14ac:dyDescent="0.2">
      <c r="A234" t="str">
        <f>_xlfn.CONCAT(TargetsPercent[[#This Row],[University]],":",TargetsPercent[[#This Row],[Metric]])</f>
        <v>York University:Tri-agency research funding</v>
      </c>
      <c r="B234" t="s">
        <v>49</v>
      </c>
      <c r="C234" t="s">
        <v>29</v>
      </c>
      <c r="D234" s="18">
        <f>VLOOKUP(TargetsPercent[[#This Row],[KEY]],[1]!HistoricalData[#Data],4,FALSE)</f>
        <v>22263839</v>
      </c>
      <c r="E234" s="18">
        <f>VLOOKUP(TargetsPercent[[#This Row],[KEY]],[1]!HistoricalData[#Data],5,FALSE)</f>
        <v>22980232</v>
      </c>
      <c r="F234" s="18">
        <f>VLOOKUP(TargetsPercent[[#This Row],[KEY]],[1]!HistoricalData[#Data],6,FALSE)</f>
        <v>22756101</v>
      </c>
      <c r="G234" s="19">
        <f>VLOOKUP(TargetsPercent[[#This Row],[KEY]],[1]!HistoricalData[#Data],7,FALSE)</f>
        <v>0</v>
      </c>
      <c r="H234" s="13">
        <f>AVERAGE(TargetsPercent[[#This Row],[2016–17 Historical data]],TargetsPercent[[#This Row],[2017–18 Historical data]],TargetsPercent[[#This Row],[2018–19 Historical data]])</f>
        <v>22666724</v>
      </c>
      <c r="I234" s="13">
        <f>ABS(TargetsPercent[[#This Row],[2016–17 Historical data]]-TargetsPercent[[#This Row],[2017–18 Historical data]])</f>
        <v>716393</v>
      </c>
      <c r="J234" s="12">
        <f>ABS(TargetsPercent[[#This Row],[2017–18 Historical data]]-TargetsPercent[[#This Row],[2018–19 Historical data]])</f>
        <v>224131</v>
      </c>
      <c r="K234" s="13">
        <f>IF(TargetsPercent[[#This Row],[ABS 2016-17 to 2017-18 (calculated)]]&lt;TargetsPercent[[#This Row],[ABS 2017-18 to 2018-19 (calculated)]],TargetsPercent[[#This Row],[ABS 2016-17 to 2017-18 (calculated)]],TargetsPercent[[#This Row],[ABS 2017-18 to 2018-19 (calculated)]])+TargetsPercent[[#This Row],[Average (calculated)]]</f>
        <v>22890855</v>
      </c>
      <c r="L234" s="2">
        <f>IF(AVERAGE(ABS((TargetsPercent[[#This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data]]))&lt;0.01,0.01,AVERAGE(ABS((TargetsPercent[[#This Row],[2017–18 Historical data]]-TargetsPercent[[#This Row],[2016–17 Historical data]])/TargetsPercent[[#This Row],[2016–17 Historical data]]),ABS((TargetsPercent[[#This Row],[2017–18 Historical data]]-TargetsPercent[[#This Row],[2018–19 Historical data]])/TargetsPercent[[#This Row],[2017–18 Historical data]])))</f>
        <v>2.0965316662556088E-2</v>
      </c>
      <c r="M234" s="13">
        <f>IF(TargetsPercent[[#This Row],[2020–21 Target (calculated)]]-(TargetsPercent[[#This Row],[2020–21 Target (calculated)]]*TargetsPercent[[#This Row],[Band of Tolerance (calculated)]])&lt;MIN(TargetsPercent[[#This Row],[2016–17 Historical data]:[2018–19 Historical data]]),MIN(TargetsPercent[[#This Row],[2016–17 Historical data]:[2018–19 Historical data]]),TargetsPercent[[#This Row],[2020–21 Target (calculated)]]-(TargetsPercent[[#This Row],[2020–21 Target (calculated)]]*TargetsPercent[[#This Row],[Band of Tolerance (calculated)]]))</f>
        <v>22410940.976248346</v>
      </c>
      <c r="N234" s="8">
        <f>ABS(TargetsPercent[[#This Row],[2020–21
Allowable
performance
target]]-TargetsPercent[[#This Row],[Target Floor % (calculated)]])</f>
        <v>22410940.976248346</v>
      </c>
    </row>
  </sheetData>
  <conditionalFormatting sqref="N1:N104857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Targets &amp; Bands ($)</vt:lpstr>
      <vt:lpstr>Data &amp; Targets &amp; Bands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2021-08-26T01:50:50Z</dcterms:created>
  <dcterms:modified xsi:type="dcterms:W3CDTF">2021-08-26T01:51:49Z</dcterms:modified>
</cp:coreProperties>
</file>