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cross\Desktop\"/>
    </mc:Choice>
  </mc:AlternateContent>
  <xr:revisionPtr revIDLastSave="0" documentId="8_{C8B5078E-CED9-44B3-AD15-4B73B5B9832E}" xr6:coauthVersionLast="41" xr6:coauthVersionMax="41" xr10:uidLastSave="{00000000-0000-0000-0000-000000000000}"/>
  <bookViews>
    <workbookView xWindow="-110" yWindow="-110" windowWidth="19420" windowHeight="10420" xr2:uid="{8BF135C9-DB61-422E-A7B0-3DC5A9BDD46F}"/>
  </bookViews>
  <sheets>
    <sheet name="Product Data" sheetId="1" r:id="rId1"/>
    <sheet name="Mixture Data" sheetId="2" r:id="rId2"/>
    <sheet name="Met Data" sheetId="3" r:id="rId3"/>
    <sheet name="Tank Data" sheetId="4" r:id="rId4"/>
    <sheet name="Fitting Data" sheetId="5" r:id="rId5"/>
    <sheet name="Fitting Loss Factors" sheetId="6" r:id="rId6"/>
    <sheet name="Reference Tables" sheetId="7" r:id="rId7"/>
  </sheets>
  <externalReferences>
    <externalReference r:id="rId8"/>
  </externalReferences>
  <definedNames>
    <definedName name="_xlnm._FilterDatabase" localSheetId="0" hidden="1">'Product Data'!$A$23:$BQ$303</definedName>
    <definedName name="_xlnm.Print_Area" localSheetId="4">'Fitting Data'!$A$1:$CX$22</definedName>
    <definedName name="_xlnm.Print_Area" localSheetId="5">'Fitting Loss Factors'!$A$1:$CO$29</definedName>
    <definedName name="_xlnm.Print_Area" localSheetId="2">'Met Data'!$A$1:$I$25</definedName>
    <definedName name="_xlnm.Print_Area" localSheetId="1">'Mixture Data'!$A$1:$DF$22</definedName>
    <definedName name="_xlnm.Print_Area" localSheetId="0">'Product Data'!$A$1:$S$303</definedName>
    <definedName name="_xlnm.Print_Area" localSheetId="6">'Reference Tables'!$A$1:$I$1005</definedName>
    <definedName name="_xlnm.Print_Area" localSheetId="3">'Tank Data'!$A$1:$AH$23</definedName>
    <definedName name="_xlnm.Print_Titles" localSheetId="0">'Product Data'!$1:$24</definedName>
    <definedName name="_xlnm.Print_Titles" localSheetId="6">'Reference Tables'!$1:$5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035" i="7" l="1"/>
  <c r="E1035" i="7"/>
  <c r="D1035" i="7"/>
  <c r="C1035" i="7"/>
  <c r="F1034" i="7"/>
  <c r="E1034" i="7"/>
  <c r="D1034" i="7"/>
  <c r="C1034" i="7"/>
  <c r="G836" i="7"/>
  <c r="F836" i="7"/>
  <c r="E836" i="7"/>
  <c r="D836" i="7"/>
  <c r="C836" i="7"/>
  <c r="G823" i="7"/>
  <c r="F823" i="7"/>
  <c r="E823" i="7"/>
  <c r="D823" i="7"/>
  <c r="C823" i="7"/>
  <c r="G809" i="7"/>
  <c r="F809" i="7"/>
  <c r="E809" i="7"/>
  <c r="D809" i="7"/>
  <c r="C809" i="7"/>
  <c r="G796" i="7"/>
  <c r="F796" i="7"/>
  <c r="E796" i="7"/>
  <c r="D796" i="7"/>
  <c r="C796" i="7"/>
  <c r="G783" i="7"/>
  <c r="F783" i="7"/>
  <c r="E783" i="7"/>
  <c r="D783" i="7"/>
  <c r="C783" i="7"/>
  <c r="G769" i="7"/>
  <c r="F769" i="7"/>
  <c r="E769" i="7"/>
  <c r="D769" i="7"/>
  <c r="C769" i="7"/>
  <c r="G756" i="7"/>
  <c r="F756" i="7"/>
  <c r="E756" i="7"/>
  <c r="D756" i="7"/>
  <c r="C756" i="7"/>
  <c r="G743" i="7"/>
  <c r="F743" i="7"/>
  <c r="E743" i="7"/>
  <c r="D743" i="7"/>
  <c r="C743" i="7"/>
  <c r="G729" i="7"/>
  <c r="F729" i="7"/>
  <c r="E729" i="7"/>
  <c r="D729" i="7"/>
  <c r="C729" i="7"/>
  <c r="G716" i="7"/>
  <c r="F716" i="7"/>
  <c r="E716" i="7"/>
  <c r="D716" i="7"/>
  <c r="C716" i="7"/>
  <c r="G703" i="7"/>
  <c r="F703" i="7"/>
  <c r="E703" i="7"/>
  <c r="D703" i="7"/>
  <c r="C703" i="7"/>
  <c r="G689" i="7"/>
  <c r="F689" i="7"/>
  <c r="E689" i="7"/>
  <c r="D689" i="7"/>
  <c r="C689" i="7"/>
  <c r="G676" i="7"/>
  <c r="F676" i="7"/>
  <c r="E676" i="7"/>
  <c r="D676" i="7"/>
  <c r="C676" i="7"/>
  <c r="G663" i="7"/>
  <c r="F663" i="7"/>
  <c r="E663" i="7"/>
  <c r="D663" i="7"/>
  <c r="C663" i="7"/>
  <c r="G649" i="7"/>
  <c r="F649" i="7"/>
  <c r="E649" i="7"/>
  <c r="D649" i="7"/>
  <c r="C649" i="7"/>
  <c r="G636" i="7"/>
  <c r="F636" i="7"/>
  <c r="E636" i="7"/>
  <c r="D636" i="7"/>
  <c r="C636" i="7"/>
  <c r="G623" i="7"/>
  <c r="F623" i="7"/>
  <c r="E623" i="7"/>
  <c r="D623" i="7"/>
  <c r="C623" i="7"/>
  <c r="G609" i="7"/>
  <c r="F609" i="7"/>
  <c r="E609" i="7"/>
  <c r="D609" i="7"/>
  <c r="C609" i="7"/>
  <c r="G596" i="7"/>
  <c r="F596" i="7"/>
  <c r="E596" i="7"/>
  <c r="D596" i="7"/>
  <c r="C596" i="7"/>
  <c r="G583" i="7"/>
  <c r="F583" i="7"/>
  <c r="E583" i="7"/>
  <c r="D583" i="7"/>
  <c r="C583" i="7"/>
  <c r="G569" i="7"/>
  <c r="F569" i="7"/>
  <c r="E569" i="7"/>
  <c r="D569" i="7"/>
  <c r="C569" i="7"/>
  <c r="G556" i="7"/>
  <c r="F556" i="7"/>
  <c r="E556" i="7"/>
  <c r="D556" i="7"/>
  <c r="C556" i="7"/>
  <c r="G543" i="7"/>
  <c r="F543" i="7"/>
  <c r="E543" i="7"/>
  <c r="D543" i="7"/>
  <c r="C543" i="7"/>
  <c r="G529" i="7"/>
  <c r="F529" i="7"/>
  <c r="E529" i="7"/>
  <c r="D529" i="7"/>
  <c r="C529" i="7"/>
  <c r="G516" i="7"/>
  <c r="F516" i="7"/>
  <c r="E516" i="7"/>
  <c r="D516" i="7"/>
  <c r="C516" i="7"/>
  <c r="G503" i="7"/>
  <c r="F503" i="7"/>
  <c r="E503" i="7"/>
  <c r="D503" i="7"/>
  <c r="C503" i="7"/>
  <c r="G489" i="7"/>
  <c r="F489" i="7"/>
  <c r="E489" i="7"/>
  <c r="D489" i="7"/>
  <c r="C489" i="7"/>
  <c r="G476" i="7"/>
  <c r="F476" i="7"/>
  <c r="E476" i="7"/>
  <c r="D476" i="7"/>
  <c r="C476" i="7"/>
  <c r="G463" i="7"/>
  <c r="F463" i="7"/>
  <c r="E463" i="7"/>
  <c r="D463" i="7"/>
  <c r="C463" i="7"/>
  <c r="G449" i="7"/>
  <c r="F449" i="7"/>
  <c r="E449" i="7"/>
  <c r="D449" i="7"/>
  <c r="C449" i="7"/>
  <c r="G436" i="7"/>
  <c r="F436" i="7"/>
  <c r="E436" i="7"/>
  <c r="D436" i="7"/>
  <c r="C436" i="7"/>
  <c r="G423" i="7"/>
  <c r="F423" i="7"/>
  <c r="E423" i="7"/>
  <c r="D423" i="7"/>
  <c r="C423" i="7"/>
  <c r="G409" i="7"/>
  <c r="F409" i="7"/>
  <c r="E409" i="7"/>
  <c r="D409" i="7"/>
  <c r="C409" i="7"/>
  <c r="G396" i="7"/>
  <c r="F396" i="7"/>
  <c r="E396" i="7"/>
  <c r="D396" i="7"/>
  <c r="C396" i="7"/>
  <c r="G383" i="7"/>
  <c r="F383" i="7"/>
  <c r="E383" i="7"/>
  <c r="D383" i="7"/>
  <c r="C383" i="7"/>
  <c r="G369" i="7"/>
  <c r="F369" i="7"/>
  <c r="E369" i="7"/>
  <c r="D369" i="7"/>
  <c r="C369" i="7"/>
  <c r="G356" i="7"/>
  <c r="F356" i="7"/>
  <c r="E356" i="7"/>
  <c r="D356" i="7"/>
  <c r="C356" i="7"/>
  <c r="G343" i="7"/>
  <c r="F343" i="7"/>
  <c r="E343" i="7"/>
  <c r="D343" i="7"/>
  <c r="C343" i="7"/>
  <c r="G329" i="7"/>
  <c r="F329" i="7"/>
  <c r="E329" i="7"/>
  <c r="D329" i="7"/>
  <c r="C329" i="7"/>
  <c r="G316" i="7"/>
  <c r="F316" i="7"/>
  <c r="E316" i="7"/>
  <c r="D316" i="7"/>
  <c r="C316" i="7"/>
  <c r="G303" i="7"/>
  <c r="F303" i="7"/>
  <c r="E303" i="7"/>
  <c r="D303" i="7"/>
  <c r="C303" i="7"/>
  <c r="G289" i="7"/>
  <c r="F289" i="7"/>
  <c r="E289" i="7"/>
  <c r="D289" i="7"/>
  <c r="C289" i="7"/>
  <c r="G276" i="7"/>
  <c r="F276" i="7"/>
  <c r="E276" i="7"/>
  <c r="D276" i="7"/>
  <c r="C276" i="7"/>
  <c r="G263" i="7"/>
  <c r="F263" i="7"/>
  <c r="E263" i="7"/>
  <c r="D263" i="7"/>
  <c r="C263" i="7"/>
  <c r="G249" i="7"/>
  <c r="F249" i="7"/>
  <c r="E249" i="7"/>
  <c r="D249" i="7"/>
  <c r="C249" i="7"/>
  <c r="G236" i="7"/>
  <c r="F236" i="7"/>
  <c r="E236" i="7"/>
  <c r="D236" i="7"/>
  <c r="C236" i="7"/>
  <c r="G223" i="7"/>
  <c r="F223" i="7"/>
  <c r="E223" i="7"/>
  <c r="D223" i="7"/>
  <c r="C223" i="7"/>
  <c r="G209" i="7"/>
  <c r="F209" i="7"/>
  <c r="E209" i="7"/>
  <c r="D209" i="7"/>
  <c r="C209" i="7"/>
  <c r="G196" i="7"/>
  <c r="F196" i="7"/>
  <c r="E196" i="7"/>
  <c r="D196" i="7"/>
  <c r="C196" i="7"/>
  <c r="G183" i="7"/>
  <c r="F183" i="7"/>
  <c r="E183" i="7"/>
  <c r="D183" i="7"/>
  <c r="C183" i="7"/>
  <c r="G169" i="7"/>
  <c r="F169" i="7"/>
  <c r="E169" i="7"/>
  <c r="D169" i="7"/>
  <c r="C169" i="7"/>
  <c r="G156" i="7"/>
  <c r="F156" i="7"/>
  <c r="E156" i="7"/>
  <c r="D156" i="7"/>
  <c r="C156" i="7"/>
  <c r="G143" i="7"/>
  <c r="F143" i="7"/>
  <c r="E143" i="7"/>
  <c r="D143" i="7"/>
  <c r="C143" i="7"/>
  <c r="G129" i="7"/>
  <c r="F129" i="7"/>
  <c r="E129" i="7"/>
  <c r="D129" i="7"/>
  <c r="C129" i="7"/>
  <c r="G116" i="7"/>
  <c r="F116" i="7"/>
  <c r="E116" i="7"/>
  <c r="D116" i="7"/>
  <c r="C116" i="7"/>
  <c r="G103" i="7"/>
  <c r="F103" i="7"/>
  <c r="E103" i="7"/>
  <c r="D103" i="7"/>
  <c r="C103" i="7"/>
  <c r="G89" i="7"/>
  <c r="F89" i="7"/>
  <c r="E89" i="7"/>
  <c r="D89" i="7"/>
  <c r="C89" i="7"/>
  <c r="G76" i="7"/>
  <c r="F76" i="7"/>
  <c r="E76" i="7"/>
  <c r="D76" i="7"/>
  <c r="C76" i="7"/>
  <c r="G63" i="7"/>
  <c r="F63" i="7"/>
  <c r="E63" i="7"/>
  <c r="D63" i="7"/>
  <c r="C63" i="7"/>
  <c r="G49" i="7"/>
  <c r="F49" i="7"/>
  <c r="E49" i="7"/>
  <c r="D49" i="7"/>
  <c r="C49" i="7"/>
  <c r="G36" i="7"/>
  <c r="F36" i="7"/>
  <c r="E36" i="7"/>
  <c r="D36" i="7"/>
  <c r="C36" i="7"/>
  <c r="A3" i="7"/>
  <c r="A2" i="7"/>
  <c r="A29" i="6"/>
  <c r="CN29" i="6" s="1"/>
  <c r="BZ28" i="6"/>
  <c r="BV28" i="6"/>
  <c r="BR28" i="6"/>
  <c r="BN28" i="6"/>
  <c r="BJ28" i="6"/>
  <c r="BF28" i="6"/>
  <c r="BB28" i="6"/>
  <c r="AX28" i="6"/>
  <c r="AT28" i="6"/>
  <c r="AP28" i="6"/>
  <c r="AL28" i="6"/>
  <c r="AH28" i="6"/>
  <c r="AD28" i="6"/>
  <c r="Z28" i="6"/>
  <c r="V28" i="6"/>
  <c r="R28" i="6"/>
  <c r="N28" i="6"/>
  <c r="J28" i="6"/>
  <c r="F28" i="6"/>
  <c r="B28" i="6"/>
  <c r="A28" i="6"/>
  <c r="CO28" i="6" s="1"/>
  <c r="CM27" i="6"/>
  <c r="CI27" i="6"/>
  <c r="CE27" i="6"/>
  <c r="CA27" i="6"/>
  <c r="BW27" i="6"/>
  <c r="BS27" i="6"/>
  <c r="BO27" i="6"/>
  <c r="BK27" i="6"/>
  <c r="BG27" i="6"/>
  <c r="BC27" i="6"/>
  <c r="AY27" i="6"/>
  <c r="AU27" i="6"/>
  <c r="AQ27" i="6"/>
  <c r="AM27" i="6"/>
  <c r="AI27" i="6"/>
  <c r="AE27" i="6"/>
  <c r="AA27" i="6"/>
  <c r="W27" i="6"/>
  <c r="S27" i="6"/>
  <c r="O27" i="6"/>
  <c r="K27" i="6"/>
  <c r="G27" i="6"/>
  <c r="C27" i="6"/>
  <c r="A27" i="6"/>
  <c r="CL27" i="6" s="1"/>
  <c r="A26" i="6"/>
  <c r="CL26" i="6" s="1"/>
  <c r="A25" i="6"/>
  <c r="CM25" i="6" s="1"/>
  <c r="A24" i="6"/>
  <c r="CN24" i="6" s="1"/>
  <c r="A23" i="6"/>
  <c r="CH22" i="6"/>
  <c r="CD22" i="6"/>
  <c r="BZ22" i="6"/>
  <c r="BV22" i="6"/>
  <c r="BR22" i="6"/>
  <c r="BN22" i="6"/>
  <c r="BK22" i="6"/>
  <c r="BJ22" i="6"/>
  <c r="BH22" i="6"/>
  <c r="BG22" i="6"/>
  <c r="BF22" i="6"/>
  <c r="BD22" i="6"/>
  <c r="BC22" i="6"/>
  <c r="BB22" i="6"/>
  <c r="AZ22" i="6"/>
  <c r="AY22" i="6"/>
  <c r="AX22" i="6"/>
  <c r="AV22" i="6"/>
  <c r="AU22" i="6"/>
  <c r="AT22" i="6"/>
  <c r="AR22" i="6"/>
  <c r="AQ22" i="6"/>
  <c r="AP22" i="6"/>
  <c r="AN22" i="6"/>
  <c r="AM22" i="6"/>
  <c r="AL22" i="6"/>
  <c r="AJ22" i="6"/>
  <c r="AI22" i="6"/>
  <c r="AH22" i="6"/>
  <c r="AF22" i="6"/>
  <c r="AE22" i="6"/>
  <c r="AD22" i="6"/>
  <c r="AB22" i="6"/>
  <c r="AA22" i="6"/>
  <c r="Z22" i="6"/>
  <c r="X22" i="6"/>
  <c r="W22" i="6"/>
  <c r="V22" i="6"/>
  <c r="T22" i="6"/>
  <c r="S22" i="6"/>
  <c r="R22" i="6"/>
  <c r="P22" i="6"/>
  <c r="O22" i="6"/>
  <c r="N22" i="6"/>
  <c r="L22" i="6"/>
  <c r="K22" i="6"/>
  <c r="J22" i="6"/>
  <c r="H22" i="6"/>
  <c r="G22" i="6"/>
  <c r="F22" i="6"/>
  <c r="D22" i="6"/>
  <c r="C22" i="6"/>
  <c r="B22" i="6"/>
  <c r="A22" i="6"/>
  <c r="CO22" i="6" s="1"/>
  <c r="AM21" i="6"/>
  <c r="AI21" i="6"/>
  <c r="AE21" i="6"/>
  <c r="AA21" i="6"/>
  <c r="W21" i="6"/>
  <c r="S21" i="6"/>
  <c r="O21" i="6"/>
  <c r="K21" i="6"/>
  <c r="G21" i="6"/>
  <c r="C21" i="6"/>
  <c r="A21" i="6"/>
  <c r="CL21" i="6" s="1"/>
  <c r="CN20" i="6"/>
  <c r="CJ20" i="6"/>
  <c r="CF20" i="6"/>
  <c r="CB20" i="6"/>
  <c r="BX20" i="6"/>
  <c r="BT20" i="6"/>
  <c r="BP20" i="6"/>
  <c r="BL20" i="6"/>
  <c r="BH20" i="6"/>
  <c r="BD20" i="6"/>
  <c r="AZ20" i="6"/>
  <c r="AV20" i="6"/>
  <c r="AR20" i="6"/>
  <c r="AN20" i="6"/>
  <c r="AJ20" i="6"/>
  <c r="AF20" i="6"/>
  <c r="AB20" i="6"/>
  <c r="X20" i="6"/>
  <c r="T20" i="6"/>
  <c r="P20" i="6"/>
  <c r="L20" i="6"/>
  <c r="H20" i="6"/>
  <c r="D20" i="6"/>
  <c r="A20" i="6"/>
  <c r="CM20" i="6" s="1"/>
  <c r="BR4" i="6"/>
  <c r="AW4" i="6"/>
  <c r="AH4" i="6"/>
  <c r="P4" i="6"/>
  <c r="A3" i="6"/>
  <c r="AW3" i="6" s="1"/>
  <c r="AW2" i="6"/>
  <c r="AH2" i="6"/>
  <c r="P2" i="6"/>
  <c r="A2" i="6"/>
  <c r="BR2" i="6" s="1"/>
  <c r="BR1" i="6"/>
  <c r="AW1" i="6"/>
  <c r="AH1" i="6"/>
  <c r="P1" i="6"/>
  <c r="CX22" i="5"/>
  <c r="CW22" i="5"/>
  <c r="CV22" i="5"/>
  <c r="CU22" i="5"/>
  <c r="CT22" i="5"/>
  <c r="CR22" i="5"/>
  <c r="CQ22" i="5"/>
  <c r="CO22" i="5"/>
  <c r="CN22" i="5"/>
  <c r="CJ22" i="5"/>
  <c r="CG22" i="5"/>
  <c r="CF22" i="5"/>
  <c r="CE22" i="5"/>
  <c r="CD22" i="5"/>
  <c r="CC22" i="5"/>
  <c r="CB22" i="5"/>
  <c r="CA22" i="5"/>
  <c r="BZ22" i="5"/>
  <c r="BY22" i="5"/>
  <c r="BX22" i="5"/>
  <c r="BW22" i="5"/>
  <c r="BV22" i="5"/>
  <c r="BU22" i="5"/>
  <c r="BT22" i="5"/>
  <c r="BS22" i="5"/>
  <c r="BR22" i="5"/>
  <c r="BQ22" i="5"/>
  <c r="BP22" i="5"/>
  <c r="BO22" i="5"/>
  <c r="BN22" i="5"/>
  <c r="BL22" i="5"/>
  <c r="BK22" i="5"/>
  <c r="BJ22" i="5"/>
  <c r="BI22" i="5"/>
  <c r="BH22" i="5"/>
  <c r="BG22" i="5"/>
  <c r="AX22" i="5"/>
  <c r="AV22" i="5"/>
  <c r="AU22" i="5"/>
  <c r="CX21" i="5"/>
  <c r="CW21" i="5"/>
  <c r="CV21" i="5"/>
  <c r="CU21" i="5"/>
  <c r="CT21" i="5"/>
  <c r="CR21" i="5"/>
  <c r="CQ21" i="5"/>
  <c r="CO21" i="5"/>
  <c r="CN21" i="5"/>
  <c r="CJ21" i="5"/>
  <c r="CG21" i="5"/>
  <c r="CF21" i="5"/>
  <c r="CE21" i="5"/>
  <c r="CD21" i="5"/>
  <c r="CC21" i="5"/>
  <c r="CB21" i="5"/>
  <c r="CA21" i="5"/>
  <c r="BZ21" i="5"/>
  <c r="BY21" i="5"/>
  <c r="BX21" i="5"/>
  <c r="BW21" i="5"/>
  <c r="BV21" i="5"/>
  <c r="BU21" i="5"/>
  <c r="BT21" i="5"/>
  <c r="BS21" i="5"/>
  <c r="BR21" i="5"/>
  <c r="BQ21" i="5"/>
  <c r="BP21" i="5"/>
  <c r="BO21" i="5"/>
  <c r="BN21" i="5"/>
  <c r="BL21" i="5"/>
  <c r="BK21" i="5"/>
  <c r="BJ21" i="5"/>
  <c r="BI21" i="5"/>
  <c r="BH21" i="5"/>
  <c r="BG21" i="5"/>
  <c r="AX21" i="5"/>
  <c r="AV21" i="5"/>
  <c r="AU21" i="5"/>
  <c r="CX20" i="5"/>
  <c r="CW20" i="5"/>
  <c r="CV20" i="5"/>
  <c r="CU20" i="5"/>
  <c r="CT20" i="5"/>
  <c r="CR20" i="5"/>
  <c r="CQ20" i="5"/>
  <c r="CO20" i="5"/>
  <c r="CN20" i="5"/>
  <c r="CJ20" i="5"/>
  <c r="CG20" i="5"/>
  <c r="CF20" i="5"/>
  <c r="CE20" i="5"/>
  <c r="CD20" i="5"/>
  <c r="CC20" i="5"/>
  <c r="CB20" i="5"/>
  <c r="CA20" i="5"/>
  <c r="BZ20" i="5"/>
  <c r="BY20" i="5"/>
  <c r="BX20" i="5"/>
  <c r="BW20" i="5"/>
  <c r="BV20" i="5"/>
  <c r="BU20" i="5"/>
  <c r="BT20" i="5"/>
  <c r="BS20" i="5"/>
  <c r="BR20" i="5"/>
  <c r="BQ20" i="5"/>
  <c r="BP20" i="5"/>
  <c r="BO20" i="5"/>
  <c r="BN20" i="5"/>
  <c r="BL20" i="5"/>
  <c r="BK20" i="5"/>
  <c r="BJ20" i="5"/>
  <c r="BI20" i="5"/>
  <c r="BH20" i="5"/>
  <c r="BG20" i="5"/>
  <c r="AX20" i="5"/>
  <c r="AV20" i="5"/>
  <c r="AZ20" i="5" s="1"/>
  <c r="CH20" i="5" s="1"/>
  <c r="AU20" i="5"/>
  <c r="CX19" i="5"/>
  <c r="CW19" i="5"/>
  <c r="CV19" i="5"/>
  <c r="CU19" i="5"/>
  <c r="CT19" i="5"/>
  <c r="CR19" i="5"/>
  <c r="CQ19" i="5"/>
  <c r="CO19" i="5"/>
  <c r="CN19" i="5"/>
  <c r="CJ19" i="5"/>
  <c r="CG19" i="5"/>
  <c r="CF19" i="5"/>
  <c r="CE19" i="5"/>
  <c r="CD19" i="5"/>
  <c r="CC19" i="5"/>
  <c r="CB19" i="5"/>
  <c r="CA19" i="5"/>
  <c r="BZ19" i="5"/>
  <c r="BY19" i="5"/>
  <c r="BX19" i="5"/>
  <c r="BW19" i="5"/>
  <c r="BV19" i="5"/>
  <c r="BU19" i="5"/>
  <c r="BT19" i="5"/>
  <c r="BS19" i="5"/>
  <c r="BR19" i="5"/>
  <c r="BQ19" i="5"/>
  <c r="BP19" i="5"/>
  <c r="BO19" i="5"/>
  <c r="BN19" i="5"/>
  <c r="BL19" i="5"/>
  <c r="BK19" i="5"/>
  <c r="BJ19" i="5"/>
  <c r="BI19" i="5"/>
  <c r="BH19" i="5"/>
  <c r="BG19" i="5"/>
  <c r="AX19" i="5"/>
  <c r="AV19" i="5"/>
  <c r="BE19" i="5" s="1"/>
  <c r="CL19" i="5" s="1"/>
  <c r="AU19" i="5"/>
  <c r="CX18" i="5"/>
  <c r="CW18" i="5"/>
  <c r="CV18" i="5"/>
  <c r="CU18" i="5"/>
  <c r="CT18" i="5"/>
  <c r="CR18" i="5"/>
  <c r="CQ18" i="5"/>
  <c r="CO18" i="5"/>
  <c r="CN18" i="5"/>
  <c r="CJ18" i="5"/>
  <c r="CG18" i="5"/>
  <c r="CF18" i="5"/>
  <c r="CE18" i="5"/>
  <c r="CD18" i="5"/>
  <c r="CC18" i="5"/>
  <c r="CB18" i="5"/>
  <c r="CA18" i="5"/>
  <c r="BZ18" i="5"/>
  <c r="BY18" i="5"/>
  <c r="BX18" i="5"/>
  <c r="BW18" i="5"/>
  <c r="BV18" i="5"/>
  <c r="BU18" i="5"/>
  <c r="BT18" i="5"/>
  <c r="BS18" i="5"/>
  <c r="BR18" i="5"/>
  <c r="BQ18" i="5"/>
  <c r="BP18" i="5"/>
  <c r="BO18" i="5"/>
  <c r="BN18" i="5"/>
  <c r="BL18" i="5"/>
  <c r="BK18" i="5"/>
  <c r="BJ18" i="5"/>
  <c r="BI18" i="5"/>
  <c r="BH18" i="5"/>
  <c r="BG18" i="5"/>
  <c r="AX18" i="5"/>
  <c r="AV18" i="5"/>
  <c r="BE18" i="5" s="1"/>
  <c r="CL18" i="5" s="1"/>
  <c r="AU18" i="5"/>
  <c r="CX17" i="5"/>
  <c r="CW17" i="5"/>
  <c r="CV17" i="5"/>
  <c r="CU17" i="5"/>
  <c r="CT17" i="5"/>
  <c r="CR17" i="5"/>
  <c r="CQ17" i="5"/>
  <c r="CO17" i="5"/>
  <c r="CN17" i="5"/>
  <c r="CJ17" i="5"/>
  <c r="CG17" i="5"/>
  <c r="CF17" i="5"/>
  <c r="CE17" i="5"/>
  <c r="CD17" i="5"/>
  <c r="CC17" i="5"/>
  <c r="CB17" i="5"/>
  <c r="CA17" i="5"/>
  <c r="BZ17" i="5"/>
  <c r="BY17" i="5"/>
  <c r="BX17" i="5"/>
  <c r="BW17" i="5"/>
  <c r="BV17" i="5"/>
  <c r="BU17" i="5"/>
  <c r="BT17" i="5"/>
  <c r="BS17" i="5"/>
  <c r="BR17" i="5"/>
  <c r="BQ17" i="5"/>
  <c r="BP17" i="5"/>
  <c r="BO17" i="5"/>
  <c r="BN17" i="5"/>
  <c r="BL17" i="5"/>
  <c r="BK17" i="5"/>
  <c r="BJ17" i="5"/>
  <c r="BI17" i="5"/>
  <c r="BH17" i="5"/>
  <c r="BG17" i="5"/>
  <c r="AX17" i="5"/>
  <c r="AV17" i="5"/>
  <c r="BE17" i="5" s="1"/>
  <c r="CL17" i="5" s="1"/>
  <c r="AU17" i="5"/>
  <c r="CX16" i="5"/>
  <c r="CW16" i="5"/>
  <c r="CV16" i="5"/>
  <c r="CU16" i="5"/>
  <c r="CT16" i="5"/>
  <c r="CR16" i="5"/>
  <c r="CQ16" i="5"/>
  <c r="CO16" i="5"/>
  <c r="CN16" i="5"/>
  <c r="CJ16" i="5"/>
  <c r="CG16" i="5"/>
  <c r="CF16" i="5"/>
  <c r="CE16" i="5"/>
  <c r="CD16" i="5"/>
  <c r="CC16" i="5"/>
  <c r="CB16" i="5"/>
  <c r="CA16" i="5"/>
  <c r="BZ16" i="5"/>
  <c r="BY16" i="5"/>
  <c r="BX16" i="5"/>
  <c r="BW16" i="5"/>
  <c r="BV16" i="5"/>
  <c r="BU16" i="5"/>
  <c r="BT16" i="5"/>
  <c r="BS16" i="5"/>
  <c r="BR16" i="5"/>
  <c r="BQ16" i="5"/>
  <c r="BP16" i="5"/>
  <c r="BO16" i="5"/>
  <c r="BN16" i="5"/>
  <c r="BL16" i="5"/>
  <c r="BK16" i="5"/>
  <c r="BJ16" i="5"/>
  <c r="BI16" i="5"/>
  <c r="BH16" i="5"/>
  <c r="BG16" i="5"/>
  <c r="AX16" i="5"/>
  <c r="AV16" i="5"/>
  <c r="BE16" i="5" s="1"/>
  <c r="CL16" i="5" s="1"/>
  <c r="AU16" i="5"/>
  <c r="CX15" i="5"/>
  <c r="CW15" i="5"/>
  <c r="CV15" i="5"/>
  <c r="CU15" i="5"/>
  <c r="CT15" i="5"/>
  <c r="CR15" i="5"/>
  <c r="CQ15" i="5"/>
  <c r="CO15" i="5"/>
  <c r="CN15" i="5"/>
  <c r="CJ15" i="5"/>
  <c r="CG15" i="5"/>
  <c r="CF15" i="5"/>
  <c r="CE15" i="5"/>
  <c r="CD15" i="5"/>
  <c r="CC15" i="5"/>
  <c r="CB15" i="5"/>
  <c r="CA15" i="5"/>
  <c r="BZ15" i="5"/>
  <c r="BY15" i="5"/>
  <c r="BX15" i="5"/>
  <c r="BW15" i="5"/>
  <c r="BV15" i="5"/>
  <c r="BU15" i="5"/>
  <c r="BT15" i="5"/>
  <c r="BS15" i="5"/>
  <c r="BR15" i="5"/>
  <c r="BQ15" i="5"/>
  <c r="BP15" i="5"/>
  <c r="BO15" i="5"/>
  <c r="BN15" i="5"/>
  <c r="BL15" i="5"/>
  <c r="BK15" i="5"/>
  <c r="BJ15" i="5"/>
  <c r="BI15" i="5"/>
  <c r="BH15" i="5"/>
  <c r="BG15" i="5"/>
  <c r="AX15" i="5"/>
  <c r="AV15" i="5"/>
  <c r="BE15" i="5" s="1"/>
  <c r="CL15" i="5" s="1"/>
  <c r="AU15" i="5"/>
  <c r="CX14" i="5"/>
  <c r="CW14" i="5"/>
  <c r="CV14" i="5"/>
  <c r="CU14" i="5"/>
  <c r="CT14" i="5"/>
  <c r="CR14" i="5"/>
  <c r="CQ14" i="5"/>
  <c r="CO14" i="5"/>
  <c r="CN14" i="5"/>
  <c r="CJ14" i="5"/>
  <c r="CG14" i="5"/>
  <c r="CF14" i="5"/>
  <c r="CE14" i="5"/>
  <c r="CD14" i="5"/>
  <c r="CC14" i="5"/>
  <c r="CB14" i="5"/>
  <c r="CA14" i="5"/>
  <c r="BZ14" i="5"/>
  <c r="BY14" i="5"/>
  <c r="BX14" i="5"/>
  <c r="BW14" i="5"/>
  <c r="BV14" i="5"/>
  <c r="BU14" i="5"/>
  <c r="BT14" i="5"/>
  <c r="BS14" i="5"/>
  <c r="BR14" i="5"/>
  <c r="BQ14" i="5"/>
  <c r="BP14" i="5"/>
  <c r="BO14" i="5"/>
  <c r="BN14" i="5"/>
  <c r="BL14" i="5"/>
  <c r="BK14" i="5"/>
  <c r="BJ14" i="5"/>
  <c r="BI14" i="5"/>
  <c r="BH14" i="5"/>
  <c r="BG14" i="5"/>
  <c r="AX14" i="5"/>
  <c r="AV14" i="5"/>
  <c r="BE14" i="5" s="1"/>
  <c r="CL14" i="5" s="1"/>
  <c r="AU14" i="5"/>
  <c r="CX13" i="5"/>
  <c r="CW13" i="5"/>
  <c r="CV13" i="5"/>
  <c r="CU13" i="5"/>
  <c r="CT13" i="5"/>
  <c r="CR13" i="5"/>
  <c r="CQ13" i="5"/>
  <c r="CO13" i="5"/>
  <c r="CN13" i="5"/>
  <c r="CJ13" i="5"/>
  <c r="CG13" i="5"/>
  <c r="CF13" i="5"/>
  <c r="CE13" i="5"/>
  <c r="CD13" i="5"/>
  <c r="CC13" i="5"/>
  <c r="CB13" i="5"/>
  <c r="CA13" i="5"/>
  <c r="BZ13" i="5"/>
  <c r="BY13" i="5"/>
  <c r="BX13" i="5"/>
  <c r="BW13" i="5"/>
  <c r="BV13" i="5"/>
  <c r="BU13" i="5"/>
  <c r="BT13" i="5"/>
  <c r="BS13" i="5"/>
  <c r="BR13" i="5"/>
  <c r="BQ13" i="5"/>
  <c r="BP13" i="5"/>
  <c r="BO13" i="5"/>
  <c r="BN13" i="5"/>
  <c r="BL13" i="5"/>
  <c r="BK13" i="5"/>
  <c r="BJ13" i="5"/>
  <c r="BI13" i="5"/>
  <c r="BH13" i="5"/>
  <c r="BG13" i="5"/>
  <c r="AX13" i="5"/>
  <c r="AV13" i="5"/>
  <c r="BE13" i="5" s="1"/>
  <c r="CL13" i="5" s="1"/>
  <c r="AU13" i="5"/>
  <c r="BQ4" i="5"/>
  <c r="AU4" i="5"/>
  <c r="AG4" i="5"/>
  <c r="P4" i="5"/>
  <c r="AG3" i="5"/>
  <c r="P3" i="5"/>
  <c r="A3" i="5"/>
  <c r="AU3" i="5" s="1"/>
  <c r="AU2" i="5"/>
  <c r="AG2" i="5"/>
  <c r="P2" i="5"/>
  <c r="A2" i="5"/>
  <c r="BQ2" i="5" s="1"/>
  <c r="BQ1" i="5"/>
  <c r="AU1" i="5"/>
  <c r="AG1" i="5"/>
  <c r="P1" i="5"/>
  <c r="AN23" i="4"/>
  <c r="AH23" i="4"/>
  <c r="AG23" i="4"/>
  <c r="AF23" i="4"/>
  <c r="AE23" i="4"/>
  <c r="R23" i="4"/>
  <c r="Q23" i="4"/>
  <c r="P23" i="4"/>
  <c r="S23" i="4" s="1"/>
  <c r="H23" i="4"/>
  <c r="AN22" i="4"/>
  <c r="AH22" i="4"/>
  <c r="AG22" i="4"/>
  <c r="AF22" i="4"/>
  <c r="AE22" i="4"/>
  <c r="R22" i="4"/>
  <c r="Q22" i="4"/>
  <c r="P22" i="4"/>
  <c r="S22" i="4" s="1"/>
  <c r="H22" i="4"/>
  <c r="AN21" i="4"/>
  <c r="AH21" i="4"/>
  <c r="AG21" i="4"/>
  <c r="AF21" i="4"/>
  <c r="AE21" i="4"/>
  <c r="R21" i="4"/>
  <c r="Q21" i="4"/>
  <c r="P21" i="4"/>
  <c r="S21" i="4" s="1"/>
  <c r="H21" i="4"/>
  <c r="AN20" i="4"/>
  <c r="AH20" i="4"/>
  <c r="AG20" i="4"/>
  <c r="AF20" i="4"/>
  <c r="AE20" i="4"/>
  <c r="R20" i="4"/>
  <c r="S20" i="4" s="1"/>
  <c r="Q20" i="4"/>
  <c r="P20" i="4"/>
  <c r="H20" i="4"/>
  <c r="AN19" i="4"/>
  <c r="AH19" i="4"/>
  <c r="AG19" i="4"/>
  <c r="AF19" i="4"/>
  <c r="AE19" i="4"/>
  <c r="R19" i="4"/>
  <c r="Q19" i="4"/>
  <c r="P19" i="4"/>
  <c r="S19" i="4" s="1"/>
  <c r="H19" i="4"/>
  <c r="AN18" i="4"/>
  <c r="AH18" i="4"/>
  <c r="AG18" i="4"/>
  <c r="AF18" i="4"/>
  <c r="AE18" i="4"/>
  <c r="R18" i="4"/>
  <c r="S18" i="4" s="1"/>
  <c r="Q18" i="4"/>
  <c r="P18" i="4"/>
  <c r="H18" i="4"/>
  <c r="AN17" i="4"/>
  <c r="AH17" i="4"/>
  <c r="AG17" i="4"/>
  <c r="AF17" i="4"/>
  <c r="AE17" i="4"/>
  <c r="R17" i="4"/>
  <c r="Q17" i="4"/>
  <c r="P17" i="4"/>
  <c r="S17" i="4" s="1"/>
  <c r="H17" i="4"/>
  <c r="AN16" i="4"/>
  <c r="AH16" i="4"/>
  <c r="AG16" i="4"/>
  <c r="AF16" i="4"/>
  <c r="AE16" i="4"/>
  <c r="R16" i="4"/>
  <c r="S16" i="4" s="1"/>
  <c r="Q16" i="4"/>
  <c r="P16" i="4"/>
  <c r="H16" i="4"/>
  <c r="AN15" i="4"/>
  <c r="AH15" i="4"/>
  <c r="AG15" i="4"/>
  <c r="AF15" i="4"/>
  <c r="AE15" i="4"/>
  <c r="R15" i="4"/>
  <c r="Q15" i="4"/>
  <c r="P15" i="4"/>
  <c r="S15" i="4" s="1"/>
  <c r="H15" i="4"/>
  <c r="AN14" i="4"/>
  <c r="AH14" i="4"/>
  <c r="AG14" i="4"/>
  <c r="AF14" i="4"/>
  <c r="AE14" i="4"/>
  <c r="R14" i="4"/>
  <c r="S14" i="4" s="1"/>
  <c r="Q14" i="4"/>
  <c r="P14" i="4"/>
  <c r="H14" i="4"/>
  <c r="AN13" i="4"/>
  <c r="AH13" i="4"/>
  <c r="AG13" i="4"/>
  <c r="AF13" i="4"/>
  <c r="AE13" i="4"/>
  <c r="R13" i="4"/>
  <c r="Q13" i="4"/>
  <c r="P13" i="4"/>
  <c r="S13" i="4" s="1"/>
  <c r="H13" i="4"/>
  <c r="AN12" i="4"/>
  <c r="AH12" i="4"/>
  <c r="AG12" i="4"/>
  <c r="AF12" i="4"/>
  <c r="AE12" i="4"/>
  <c r="R12" i="4"/>
  <c r="S12" i="4" s="1"/>
  <c r="Q12" i="4"/>
  <c r="P12" i="4"/>
  <c r="H12" i="4"/>
  <c r="AN11" i="4"/>
  <c r="AH11" i="4"/>
  <c r="AG11" i="4"/>
  <c r="AF11" i="4"/>
  <c r="AE11" i="4"/>
  <c r="R11" i="4"/>
  <c r="Q11" i="4"/>
  <c r="P11" i="4"/>
  <c r="S11" i="4" s="1"/>
  <c r="H11" i="4"/>
  <c r="T4" i="4"/>
  <c r="A3" i="4"/>
  <c r="T3" i="4" s="1"/>
  <c r="T2" i="4"/>
  <c r="A2" i="4"/>
  <c r="T1" i="4"/>
  <c r="I23" i="3"/>
  <c r="E23" i="3"/>
  <c r="A23" i="3"/>
  <c r="F23" i="3" s="1"/>
  <c r="G22" i="3"/>
  <c r="F22" i="3"/>
  <c r="A22" i="3"/>
  <c r="H22" i="3" s="1"/>
  <c r="A21" i="3"/>
  <c r="I21" i="3" s="1"/>
  <c r="G20" i="3"/>
  <c r="F20" i="3"/>
  <c r="A20" i="3"/>
  <c r="H20" i="3" s="1"/>
  <c r="I19" i="3"/>
  <c r="A19" i="3"/>
  <c r="H19" i="3" s="1"/>
  <c r="G18" i="3"/>
  <c r="F18" i="3"/>
  <c r="A18" i="3"/>
  <c r="H18" i="3" s="1"/>
  <c r="H17" i="3"/>
  <c r="A17" i="3"/>
  <c r="G16" i="3"/>
  <c r="F16" i="3"/>
  <c r="A16" i="3"/>
  <c r="H16" i="3" s="1"/>
  <c r="E15" i="3"/>
  <c r="A15" i="3"/>
  <c r="I15" i="3" s="1"/>
  <c r="G14" i="3"/>
  <c r="F14" i="3"/>
  <c r="A14" i="3"/>
  <c r="H14" i="3" s="1"/>
  <c r="A13" i="3"/>
  <c r="G12" i="3"/>
  <c r="F12" i="3"/>
  <c r="A12" i="3"/>
  <c r="H12" i="3" s="1"/>
  <c r="I11" i="3"/>
  <c r="A11" i="3"/>
  <c r="H11" i="3" s="1"/>
  <c r="A3" i="3"/>
  <c r="A2" i="3"/>
  <c r="CS22" i="2"/>
  <c r="CK22" i="2"/>
  <c r="CG22" i="2"/>
  <c r="CV21" i="2"/>
  <c r="CR21" i="2"/>
  <c r="CN21" i="2"/>
  <c r="CJ21" i="2"/>
  <c r="CG21" i="2"/>
  <c r="CV22" i="2" s="1"/>
  <c r="DA20" i="2" a="1"/>
  <c r="CV20" i="2"/>
  <c r="CU20" i="2"/>
  <c r="CR20" i="2"/>
  <c r="CQ20" i="2"/>
  <c r="CN20" i="2"/>
  <c r="CM20" i="2"/>
  <c r="CJ20" i="2"/>
  <c r="CI20" i="2"/>
  <c r="CG20" i="2"/>
  <c r="CX20" i="2" s="1"/>
  <c r="DC19" i="2"/>
  <c r="DA19" i="2" a="1"/>
  <c r="CU19" i="2"/>
  <c r="CP19" i="2"/>
  <c r="CH19" i="2"/>
  <c r="CG19" i="2"/>
  <c r="CW19" i="2" s="1"/>
  <c r="CH18" i="2"/>
  <c r="CG18" i="2"/>
  <c r="CX19" i="2" s="1"/>
  <c r="CG17" i="2"/>
  <c r="DA16" i="2"/>
  <c r="DA16" i="2" a="1"/>
  <c r="CV16" i="2"/>
  <c r="CU16" i="2"/>
  <c r="CN16" i="2"/>
  <c r="CG16" i="2"/>
  <c r="CX16" i="2" s="1"/>
  <c r="CH15" i="2"/>
  <c r="CG15" i="2"/>
  <c r="CG14" i="2"/>
  <c r="CX15" i="2" s="1"/>
  <c r="DA13" i="2" a="1"/>
  <c r="DB13" i="2" s="1"/>
  <c r="CH13" i="2"/>
  <c r="CG13" i="2"/>
  <c r="CG12" i="2"/>
  <c r="AA9" i="2"/>
  <c r="CG4" i="2"/>
  <c r="BE4" i="2"/>
  <c r="AA4" i="2"/>
  <c r="CG3" i="2"/>
  <c r="BE3" i="2"/>
  <c r="A3" i="2"/>
  <c r="AA3" i="2" s="1"/>
  <c r="CG2" i="2"/>
  <c r="BE2" i="2"/>
  <c r="A2" i="2"/>
  <c r="CG1" i="2"/>
  <c r="BE1" i="2"/>
  <c r="AA1" i="2"/>
  <c r="S303" i="1"/>
  <c r="R303" i="1"/>
  <c r="S302" i="1"/>
  <c r="R302" i="1"/>
  <c r="S298" i="1"/>
  <c r="R298" i="1"/>
  <c r="Q298" i="1"/>
  <c r="P298" i="1"/>
  <c r="O298" i="1"/>
  <c r="S297" i="1"/>
  <c r="R297" i="1"/>
  <c r="Q297" i="1"/>
  <c r="P297" i="1"/>
  <c r="O297" i="1"/>
  <c r="S296" i="1"/>
  <c r="R296" i="1"/>
  <c r="Q296" i="1"/>
  <c r="P296" i="1"/>
  <c r="O296" i="1"/>
  <c r="S295" i="1"/>
  <c r="R295" i="1"/>
  <c r="Q295" i="1"/>
  <c r="P295" i="1"/>
  <c r="O295" i="1"/>
  <c r="S294" i="1"/>
  <c r="R294" i="1"/>
  <c r="Q294" i="1"/>
  <c r="P294" i="1"/>
  <c r="O294" i="1"/>
  <c r="S293" i="1"/>
  <c r="R293" i="1"/>
  <c r="Q293" i="1"/>
  <c r="P293" i="1"/>
  <c r="O293" i="1"/>
  <c r="S292" i="1"/>
  <c r="R292" i="1"/>
  <c r="Q292" i="1"/>
  <c r="P292" i="1"/>
  <c r="O292" i="1"/>
  <c r="E292" i="1"/>
  <c r="S291" i="1"/>
  <c r="R291" i="1"/>
  <c r="Q291" i="1"/>
  <c r="P291" i="1"/>
  <c r="O291" i="1"/>
  <c r="E291" i="1"/>
  <c r="S290" i="1"/>
  <c r="R290" i="1"/>
  <c r="Q290" i="1"/>
  <c r="P290" i="1"/>
  <c r="O290" i="1"/>
  <c r="S289" i="1"/>
  <c r="R289" i="1"/>
  <c r="Q289" i="1"/>
  <c r="P289" i="1"/>
  <c r="O289" i="1"/>
  <c r="E289" i="1"/>
  <c r="S288" i="1"/>
  <c r="R288" i="1"/>
  <c r="Q288" i="1"/>
  <c r="P288" i="1"/>
  <c r="O288" i="1"/>
  <c r="E288" i="1"/>
  <c r="S287" i="1"/>
  <c r="R287" i="1"/>
  <c r="Q287" i="1"/>
  <c r="P287" i="1"/>
  <c r="O287" i="1"/>
  <c r="S286" i="1"/>
  <c r="R286" i="1"/>
  <c r="Q286" i="1"/>
  <c r="P286" i="1"/>
  <c r="O286" i="1"/>
  <c r="S285" i="1"/>
  <c r="R285" i="1"/>
  <c r="Q285" i="1"/>
  <c r="P285" i="1"/>
  <c r="O285" i="1"/>
  <c r="S284" i="1"/>
  <c r="R284" i="1"/>
  <c r="Q284" i="1"/>
  <c r="P284" i="1"/>
  <c r="O284" i="1"/>
  <c r="S283" i="1"/>
  <c r="R283" i="1"/>
  <c r="Q283" i="1"/>
  <c r="P283" i="1"/>
  <c r="O283" i="1"/>
  <c r="S282" i="1"/>
  <c r="R282" i="1"/>
  <c r="Q282" i="1"/>
  <c r="P282" i="1"/>
  <c r="O282" i="1"/>
  <c r="S281" i="1"/>
  <c r="R281" i="1"/>
  <c r="Q281" i="1"/>
  <c r="P281" i="1"/>
  <c r="O281" i="1"/>
  <c r="E281" i="1"/>
  <c r="S280" i="1"/>
  <c r="R280" i="1"/>
  <c r="Q280" i="1"/>
  <c r="P280" i="1"/>
  <c r="O280" i="1"/>
  <c r="S279" i="1"/>
  <c r="R279" i="1"/>
  <c r="Q279" i="1"/>
  <c r="P279" i="1"/>
  <c r="O279" i="1"/>
  <c r="E279" i="1"/>
  <c r="S278" i="1"/>
  <c r="R278" i="1"/>
  <c r="Q278" i="1"/>
  <c r="P278" i="1"/>
  <c r="O278" i="1"/>
  <c r="S277" i="1"/>
  <c r="R277" i="1"/>
  <c r="Q277" i="1"/>
  <c r="P277" i="1"/>
  <c r="O277" i="1"/>
  <c r="S276" i="1"/>
  <c r="R276" i="1"/>
  <c r="Q276" i="1"/>
  <c r="P276" i="1"/>
  <c r="O276" i="1"/>
  <c r="S275" i="1"/>
  <c r="R275" i="1"/>
  <c r="Q275" i="1"/>
  <c r="P275" i="1"/>
  <c r="O275" i="1"/>
  <c r="S274" i="1"/>
  <c r="R274" i="1"/>
  <c r="Q274" i="1"/>
  <c r="P274" i="1"/>
  <c r="O274" i="1"/>
  <c r="S273" i="1"/>
  <c r="R273" i="1"/>
  <c r="Q273" i="1"/>
  <c r="P273" i="1"/>
  <c r="O273" i="1"/>
  <c r="E273" i="1"/>
  <c r="S272" i="1"/>
  <c r="R272" i="1"/>
  <c r="Q272" i="1"/>
  <c r="P272" i="1"/>
  <c r="O272" i="1"/>
  <c r="S271" i="1"/>
  <c r="R271" i="1"/>
  <c r="Q271" i="1"/>
  <c r="P271" i="1"/>
  <c r="O271" i="1"/>
  <c r="E271" i="1"/>
  <c r="S270" i="1"/>
  <c r="R270" i="1"/>
  <c r="Q270" i="1"/>
  <c r="P270" i="1"/>
  <c r="O270" i="1"/>
  <c r="S269" i="1"/>
  <c r="R269" i="1"/>
  <c r="Q269" i="1"/>
  <c r="P269" i="1"/>
  <c r="O269" i="1"/>
  <c r="E269" i="1"/>
  <c r="S268" i="1"/>
  <c r="R268" i="1"/>
  <c r="Q268" i="1"/>
  <c r="P268" i="1"/>
  <c r="O268" i="1"/>
  <c r="E268" i="1"/>
  <c r="S267" i="1"/>
  <c r="R267" i="1"/>
  <c r="Q267" i="1"/>
  <c r="P267" i="1"/>
  <c r="O267" i="1"/>
  <c r="S266" i="1"/>
  <c r="R266" i="1"/>
  <c r="Q266" i="1"/>
  <c r="P266" i="1"/>
  <c r="O266" i="1"/>
  <c r="S265" i="1"/>
  <c r="R265" i="1"/>
  <c r="Q265" i="1"/>
  <c r="P265" i="1"/>
  <c r="O265" i="1"/>
  <c r="S264" i="1"/>
  <c r="R264" i="1"/>
  <c r="P264" i="1"/>
  <c r="K264" i="1"/>
  <c r="Q264" i="1" s="1"/>
  <c r="I264" i="1"/>
  <c r="O264" i="1" s="1"/>
  <c r="E264" i="1"/>
  <c r="S263" i="1"/>
  <c r="R263" i="1"/>
  <c r="P263" i="1"/>
  <c r="K263" i="1"/>
  <c r="Q263" i="1" s="1"/>
  <c r="I263" i="1"/>
  <c r="O263" i="1" s="1"/>
  <c r="E263" i="1"/>
  <c r="S262" i="1"/>
  <c r="R262" i="1"/>
  <c r="Q262" i="1"/>
  <c r="P262" i="1"/>
  <c r="O262" i="1"/>
  <c r="E262" i="1"/>
  <c r="S261" i="1"/>
  <c r="R261" i="1"/>
  <c r="Q261" i="1"/>
  <c r="P261" i="1"/>
  <c r="O261" i="1"/>
  <c r="E261" i="1"/>
  <c r="S260" i="1"/>
  <c r="R260" i="1"/>
  <c r="Q260" i="1"/>
  <c r="P260" i="1"/>
  <c r="O260" i="1"/>
  <c r="S259" i="1"/>
  <c r="R259" i="1"/>
  <c r="Q259" i="1"/>
  <c r="P259" i="1"/>
  <c r="O259" i="1"/>
  <c r="E259" i="1"/>
  <c r="S258" i="1"/>
  <c r="R258" i="1"/>
  <c r="Q258" i="1"/>
  <c r="P258" i="1"/>
  <c r="O258" i="1"/>
  <c r="E258" i="1"/>
  <c r="S257" i="1"/>
  <c r="R257" i="1"/>
  <c r="Q257" i="1"/>
  <c r="P257" i="1"/>
  <c r="O257" i="1"/>
  <c r="S256" i="1"/>
  <c r="R256" i="1"/>
  <c r="Q256" i="1"/>
  <c r="P256" i="1"/>
  <c r="O256" i="1"/>
  <c r="E256" i="1"/>
  <c r="S255" i="1"/>
  <c r="R255" i="1"/>
  <c r="Q255" i="1"/>
  <c r="P255" i="1"/>
  <c r="O255" i="1"/>
  <c r="E255" i="1"/>
  <c r="S254" i="1"/>
  <c r="R254" i="1"/>
  <c r="Q254" i="1"/>
  <c r="P254" i="1"/>
  <c r="O254" i="1"/>
  <c r="E254" i="1"/>
  <c r="S253" i="1"/>
  <c r="R253" i="1"/>
  <c r="Q253" i="1"/>
  <c r="P253" i="1"/>
  <c r="O253" i="1"/>
  <c r="E253" i="1"/>
  <c r="S252" i="1"/>
  <c r="R252" i="1"/>
  <c r="Q252" i="1"/>
  <c r="P252" i="1"/>
  <c r="O252" i="1"/>
  <c r="S251" i="1"/>
  <c r="R251" i="1"/>
  <c r="Q251" i="1"/>
  <c r="P251" i="1"/>
  <c r="K251" i="1"/>
  <c r="I251" i="1"/>
  <c r="O251" i="1" s="1"/>
  <c r="E251" i="1"/>
  <c r="S250" i="1"/>
  <c r="R250" i="1"/>
  <c r="Q250" i="1"/>
  <c r="P250" i="1"/>
  <c r="O250" i="1"/>
  <c r="E250" i="1"/>
  <c r="S249" i="1"/>
  <c r="R249" i="1"/>
  <c r="Q249" i="1"/>
  <c r="P249" i="1"/>
  <c r="O249" i="1"/>
  <c r="E249" i="1"/>
  <c r="S248" i="1"/>
  <c r="R248" i="1"/>
  <c r="Q248" i="1"/>
  <c r="P248" i="1"/>
  <c r="O248" i="1"/>
  <c r="S247" i="1"/>
  <c r="R247" i="1"/>
  <c r="Q247" i="1"/>
  <c r="P247" i="1"/>
  <c r="O247" i="1"/>
  <c r="E247" i="1"/>
  <c r="S246" i="1"/>
  <c r="R246" i="1"/>
  <c r="Q246" i="1"/>
  <c r="P246" i="1"/>
  <c r="O246" i="1"/>
  <c r="E246" i="1"/>
  <c r="S245" i="1"/>
  <c r="R245" i="1"/>
  <c r="Q245" i="1"/>
  <c r="P245" i="1"/>
  <c r="O245" i="1"/>
  <c r="E245" i="1"/>
  <c r="S244" i="1"/>
  <c r="R244" i="1"/>
  <c r="Q244" i="1"/>
  <c r="P244" i="1"/>
  <c r="O244" i="1"/>
  <c r="S243" i="1"/>
  <c r="R243" i="1"/>
  <c r="Q243" i="1"/>
  <c r="P243" i="1"/>
  <c r="O243" i="1"/>
  <c r="E243" i="1"/>
  <c r="S242" i="1"/>
  <c r="R242" i="1"/>
  <c r="Q242" i="1"/>
  <c r="P242" i="1"/>
  <c r="O242" i="1"/>
  <c r="E242" i="1"/>
  <c r="S241" i="1"/>
  <c r="R241" i="1"/>
  <c r="Q241" i="1"/>
  <c r="P241" i="1"/>
  <c r="O241" i="1"/>
  <c r="E241" i="1"/>
  <c r="S240" i="1"/>
  <c r="R240" i="1"/>
  <c r="Q240" i="1"/>
  <c r="P240" i="1"/>
  <c r="O240" i="1"/>
  <c r="S239" i="1"/>
  <c r="R239" i="1"/>
  <c r="Q239" i="1"/>
  <c r="P239" i="1"/>
  <c r="O239" i="1"/>
  <c r="S238" i="1"/>
  <c r="R238" i="1"/>
  <c r="Q238" i="1"/>
  <c r="P238" i="1"/>
  <c r="O238" i="1"/>
  <c r="E238" i="1"/>
  <c r="S237" i="1"/>
  <c r="R237" i="1"/>
  <c r="Q237" i="1"/>
  <c r="P237" i="1"/>
  <c r="O237" i="1"/>
  <c r="S236" i="1"/>
  <c r="R236" i="1"/>
  <c r="Q236" i="1"/>
  <c r="P236" i="1"/>
  <c r="O236" i="1"/>
  <c r="E236" i="1"/>
  <c r="S235" i="1"/>
  <c r="R235" i="1"/>
  <c r="Q235" i="1"/>
  <c r="P235" i="1"/>
  <c r="O235" i="1"/>
  <c r="S234" i="1"/>
  <c r="R234" i="1"/>
  <c r="P234" i="1"/>
  <c r="O234" i="1"/>
  <c r="K234" i="1"/>
  <c r="Q234" i="1" s="1"/>
  <c r="I234" i="1"/>
  <c r="E234" i="1"/>
  <c r="S233" i="1"/>
  <c r="R233" i="1"/>
  <c r="Q233" i="1"/>
  <c r="P233" i="1"/>
  <c r="O233" i="1"/>
  <c r="S232" i="1"/>
  <c r="R232" i="1"/>
  <c r="Q232" i="1"/>
  <c r="P232" i="1"/>
  <c r="O232" i="1"/>
  <c r="S231" i="1"/>
  <c r="R231" i="1"/>
  <c r="Q231" i="1"/>
  <c r="P231" i="1"/>
  <c r="O231" i="1"/>
  <c r="E231" i="1"/>
  <c r="S230" i="1"/>
  <c r="R230" i="1"/>
  <c r="Q230" i="1"/>
  <c r="P230" i="1"/>
  <c r="O230" i="1"/>
  <c r="S229" i="1"/>
  <c r="R229" i="1"/>
  <c r="Q229" i="1"/>
  <c r="P229" i="1"/>
  <c r="O229" i="1"/>
  <c r="K229" i="1"/>
  <c r="I229" i="1"/>
  <c r="E229" i="1"/>
  <c r="S228" i="1"/>
  <c r="R228" i="1"/>
  <c r="Q228" i="1"/>
  <c r="P228" i="1"/>
  <c r="O228" i="1"/>
  <c r="K228" i="1"/>
  <c r="I228" i="1"/>
  <c r="E228" i="1"/>
  <c r="S227" i="1"/>
  <c r="R227" i="1"/>
  <c r="Q227" i="1"/>
  <c r="P227" i="1"/>
  <c r="O227" i="1"/>
  <c r="S226" i="1"/>
  <c r="R226" i="1"/>
  <c r="Q226" i="1"/>
  <c r="P226" i="1"/>
  <c r="K226" i="1"/>
  <c r="I226" i="1"/>
  <c r="O226" i="1" s="1"/>
  <c r="E226" i="1"/>
  <c r="S225" i="1"/>
  <c r="R225" i="1"/>
  <c r="Q225" i="1"/>
  <c r="P225" i="1"/>
  <c r="K225" i="1"/>
  <c r="I225" i="1"/>
  <c r="O225" i="1" s="1"/>
  <c r="E225" i="1"/>
  <c r="S224" i="1"/>
  <c r="R224" i="1"/>
  <c r="Q224" i="1"/>
  <c r="P224" i="1"/>
  <c r="O224" i="1"/>
  <c r="S223" i="1"/>
  <c r="R223" i="1"/>
  <c r="Q223" i="1"/>
  <c r="P223" i="1"/>
  <c r="O223" i="1"/>
  <c r="E223" i="1"/>
  <c r="S222" i="1"/>
  <c r="R222" i="1"/>
  <c r="Q222" i="1"/>
  <c r="P222" i="1"/>
  <c r="O222" i="1"/>
  <c r="S221" i="1"/>
  <c r="R221" i="1"/>
  <c r="Q221" i="1"/>
  <c r="P221" i="1"/>
  <c r="K221" i="1"/>
  <c r="I221" i="1"/>
  <c r="O221" i="1" s="1"/>
  <c r="E221" i="1"/>
  <c r="S220" i="1"/>
  <c r="R220" i="1"/>
  <c r="Q220" i="1"/>
  <c r="P220" i="1"/>
  <c r="O220" i="1"/>
  <c r="E220" i="1"/>
  <c r="S219" i="1"/>
  <c r="R219" i="1"/>
  <c r="Q219" i="1"/>
  <c r="P219" i="1"/>
  <c r="O219" i="1"/>
  <c r="E219" i="1"/>
  <c r="S218" i="1"/>
  <c r="R218" i="1"/>
  <c r="Q218" i="1"/>
  <c r="P218" i="1"/>
  <c r="O218" i="1"/>
  <c r="S217" i="1"/>
  <c r="R217" i="1"/>
  <c r="Q217" i="1"/>
  <c r="P217" i="1"/>
  <c r="O217" i="1"/>
  <c r="S216" i="1"/>
  <c r="R216" i="1"/>
  <c r="Q216" i="1"/>
  <c r="P216" i="1"/>
  <c r="O216" i="1"/>
  <c r="S215" i="1"/>
  <c r="R215" i="1"/>
  <c r="Q215" i="1"/>
  <c r="P215" i="1"/>
  <c r="O215" i="1"/>
  <c r="S214" i="1"/>
  <c r="R214" i="1"/>
  <c r="Q214" i="1"/>
  <c r="P214" i="1"/>
  <c r="O214" i="1"/>
  <c r="S213" i="1"/>
  <c r="R213" i="1"/>
  <c r="Q213" i="1"/>
  <c r="P213" i="1"/>
  <c r="O213" i="1"/>
  <c r="E213" i="1"/>
  <c r="S212" i="1"/>
  <c r="R212" i="1"/>
  <c r="Q212" i="1"/>
  <c r="P212" i="1"/>
  <c r="O212" i="1"/>
  <c r="E212" i="1"/>
  <c r="S211" i="1"/>
  <c r="R211" i="1"/>
  <c r="Q211" i="1"/>
  <c r="P211" i="1"/>
  <c r="O211" i="1"/>
  <c r="S210" i="1"/>
  <c r="R210" i="1"/>
  <c r="Q210" i="1"/>
  <c r="P210" i="1"/>
  <c r="O210" i="1"/>
  <c r="E210" i="1"/>
  <c r="S209" i="1"/>
  <c r="R209" i="1"/>
  <c r="Q209" i="1"/>
  <c r="P209" i="1"/>
  <c r="O209" i="1"/>
  <c r="S208" i="1"/>
  <c r="R208" i="1"/>
  <c r="Q208" i="1"/>
  <c r="P208" i="1"/>
  <c r="O208" i="1"/>
  <c r="S207" i="1"/>
  <c r="R207" i="1"/>
  <c r="Q207" i="1"/>
  <c r="P207" i="1"/>
  <c r="O207" i="1"/>
  <c r="E207" i="1"/>
  <c r="S206" i="1"/>
  <c r="R206" i="1"/>
  <c r="Q206" i="1"/>
  <c r="P206" i="1"/>
  <c r="O206" i="1"/>
  <c r="E206" i="1"/>
  <c r="S205" i="1"/>
  <c r="R205" i="1"/>
  <c r="Q205" i="1"/>
  <c r="P205" i="1"/>
  <c r="O205" i="1"/>
  <c r="E205" i="1"/>
  <c r="S204" i="1"/>
  <c r="R204" i="1"/>
  <c r="Q204" i="1"/>
  <c r="P204" i="1"/>
  <c r="O204" i="1"/>
  <c r="E204" i="1"/>
  <c r="S203" i="1"/>
  <c r="R203" i="1"/>
  <c r="Q203" i="1"/>
  <c r="P203" i="1"/>
  <c r="O203" i="1"/>
  <c r="E203" i="1"/>
  <c r="S202" i="1"/>
  <c r="R202" i="1"/>
  <c r="Q202" i="1"/>
  <c r="P202" i="1"/>
  <c r="O202" i="1"/>
  <c r="E202" i="1"/>
  <c r="S201" i="1"/>
  <c r="R201" i="1"/>
  <c r="Q201" i="1"/>
  <c r="P201" i="1"/>
  <c r="O201" i="1"/>
  <c r="S200" i="1"/>
  <c r="R200" i="1"/>
  <c r="Q200" i="1"/>
  <c r="P200" i="1"/>
  <c r="O200" i="1"/>
  <c r="E200" i="1"/>
  <c r="S199" i="1"/>
  <c r="R199" i="1"/>
  <c r="Q199" i="1"/>
  <c r="P199" i="1"/>
  <c r="O199" i="1"/>
  <c r="E199" i="1"/>
  <c r="S198" i="1"/>
  <c r="R198" i="1"/>
  <c r="Q198" i="1"/>
  <c r="P198" i="1"/>
  <c r="O198" i="1"/>
  <c r="E198" i="1"/>
  <c r="S197" i="1"/>
  <c r="R197" i="1"/>
  <c r="Q197" i="1"/>
  <c r="P197" i="1"/>
  <c r="O197" i="1"/>
  <c r="E197" i="1"/>
  <c r="S196" i="1"/>
  <c r="R196" i="1"/>
  <c r="Q196" i="1"/>
  <c r="P196" i="1"/>
  <c r="O196" i="1"/>
  <c r="E196" i="1"/>
  <c r="S195" i="1"/>
  <c r="R195" i="1"/>
  <c r="Q195" i="1"/>
  <c r="P195" i="1"/>
  <c r="O195" i="1"/>
  <c r="E195" i="1"/>
  <c r="S194" i="1"/>
  <c r="R194" i="1"/>
  <c r="Q194" i="1"/>
  <c r="P194" i="1"/>
  <c r="O194" i="1"/>
  <c r="E194" i="1"/>
  <c r="S193" i="1"/>
  <c r="R193" i="1"/>
  <c r="Q193" i="1"/>
  <c r="P193" i="1"/>
  <c r="O193" i="1"/>
  <c r="E193" i="1"/>
  <c r="S192" i="1"/>
  <c r="R192" i="1"/>
  <c r="Q192" i="1"/>
  <c r="P192" i="1"/>
  <c r="O192" i="1"/>
  <c r="E192" i="1"/>
  <c r="S191" i="1"/>
  <c r="R191" i="1"/>
  <c r="Q191" i="1"/>
  <c r="P191" i="1"/>
  <c r="O191" i="1"/>
  <c r="E191" i="1"/>
  <c r="S190" i="1"/>
  <c r="R190" i="1"/>
  <c r="Q190" i="1"/>
  <c r="P190" i="1"/>
  <c r="O190" i="1"/>
  <c r="E190" i="1"/>
  <c r="S189" i="1"/>
  <c r="R189" i="1"/>
  <c r="Q189" i="1"/>
  <c r="P189" i="1"/>
  <c r="O189" i="1"/>
  <c r="E189" i="1"/>
  <c r="S188" i="1"/>
  <c r="R188" i="1"/>
  <c r="Q188" i="1"/>
  <c r="P188" i="1"/>
  <c r="O188" i="1"/>
  <c r="E188" i="1"/>
  <c r="S187" i="1"/>
  <c r="R187" i="1"/>
  <c r="Q187" i="1"/>
  <c r="P187" i="1"/>
  <c r="O187" i="1"/>
  <c r="E187" i="1"/>
  <c r="S186" i="1"/>
  <c r="R186" i="1"/>
  <c r="Q186" i="1"/>
  <c r="P186" i="1"/>
  <c r="O186" i="1"/>
  <c r="E186" i="1"/>
  <c r="S185" i="1"/>
  <c r="R185" i="1"/>
  <c r="Q185" i="1"/>
  <c r="P185" i="1"/>
  <c r="O185" i="1"/>
  <c r="E185" i="1"/>
  <c r="S184" i="1"/>
  <c r="R184" i="1"/>
  <c r="Q184" i="1"/>
  <c r="P184" i="1"/>
  <c r="O184" i="1"/>
  <c r="E184" i="1"/>
  <c r="S183" i="1"/>
  <c r="R183" i="1"/>
  <c r="Q183" i="1"/>
  <c r="P183" i="1"/>
  <c r="O183" i="1"/>
  <c r="E183" i="1"/>
  <c r="S182" i="1"/>
  <c r="R182" i="1"/>
  <c r="Q182" i="1"/>
  <c r="P182" i="1"/>
  <c r="O182" i="1"/>
  <c r="E182" i="1"/>
  <c r="S181" i="1"/>
  <c r="R181" i="1"/>
  <c r="Q181" i="1"/>
  <c r="P181" i="1"/>
  <c r="O181" i="1"/>
  <c r="E181" i="1"/>
  <c r="S180" i="1"/>
  <c r="R180" i="1"/>
  <c r="Q180" i="1"/>
  <c r="P180" i="1"/>
  <c r="O180" i="1"/>
  <c r="E180" i="1"/>
  <c r="S179" i="1"/>
  <c r="R179" i="1"/>
  <c r="Q179" i="1"/>
  <c r="P179" i="1"/>
  <c r="O179" i="1"/>
  <c r="E179" i="1"/>
  <c r="S178" i="1"/>
  <c r="R178" i="1"/>
  <c r="Q178" i="1"/>
  <c r="P178" i="1"/>
  <c r="O178" i="1"/>
  <c r="E178" i="1"/>
  <c r="S177" i="1"/>
  <c r="R177" i="1"/>
  <c r="Q177" i="1"/>
  <c r="P177" i="1"/>
  <c r="O177" i="1"/>
  <c r="S176" i="1"/>
  <c r="R176" i="1"/>
  <c r="Q176" i="1"/>
  <c r="P176" i="1"/>
  <c r="O176" i="1"/>
  <c r="S175" i="1"/>
  <c r="R175" i="1"/>
  <c r="Q175" i="1"/>
  <c r="P175" i="1"/>
  <c r="O175" i="1"/>
  <c r="S174" i="1"/>
  <c r="R174" i="1"/>
  <c r="Q174" i="1"/>
  <c r="P174" i="1"/>
  <c r="O174" i="1"/>
  <c r="S173" i="1"/>
  <c r="R173" i="1"/>
  <c r="Q173" i="1"/>
  <c r="P173" i="1"/>
  <c r="O173" i="1"/>
  <c r="S172" i="1"/>
  <c r="R172" i="1"/>
  <c r="Q172" i="1"/>
  <c r="P172" i="1"/>
  <c r="O172" i="1"/>
  <c r="S171" i="1"/>
  <c r="R171" i="1"/>
  <c r="Q171" i="1"/>
  <c r="P171" i="1"/>
  <c r="O171" i="1"/>
  <c r="S170" i="1"/>
  <c r="R170" i="1"/>
  <c r="Q170" i="1"/>
  <c r="P170" i="1"/>
  <c r="O170" i="1"/>
  <c r="S169" i="1"/>
  <c r="R169" i="1"/>
  <c r="Q169" i="1"/>
  <c r="P169" i="1"/>
  <c r="O169" i="1"/>
  <c r="S168" i="1"/>
  <c r="R168" i="1"/>
  <c r="Q168" i="1"/>
  <c r="P168" i="1"/>
  <c r="O168" i="1"/>
  <c r="S167" i="1"/>
  <c r="R167" i="1"/>
  <c r="Q167" i="1"/>
  <c r="P167" i="1"/>
  <c r="O167" i="1"/>
  <c r="S166" i="1"/>
  <c r="R166" i="1"/>
  <c r="Q166" i="1"/>
  <c r="P166" i="1"/>
  <c r="O166" i="1"/>
  <c r="S165" i="1"/>
  <c r="R165" i="1"/>
  <c r="Q165" i="1"/>
  <c r="P165" i="1"/>
  <c r="K165" i="1"/>
  <c r="I165" i="1"/>
  <c r="O165" i="1" s="1"/>
  <c r="E165" i="1"/>
  <c r="S164" i="1"/>
  <c r="R164" i="1"/>
  <c r="Q164" i="1"/>
  <c r="P164" i="1"/>
  <c r="O164" i="1"/>
  <c r="E164" i="1"/>
  <c r="S163" i="1"/>
  <c r="R163" i="1"/>
  <c r="Q163" i="1"/>
  <c r="P163" i="1"/>
  <c r="O163" i="1"/>
  <c r="E163" i="1"/>
  <c r="S162" i="1"/>
  <c r="R162" i="1"/>
  <c r="Q162" i="1"/>
  <c r="P162" i="1"/>
  <c r="O162" i="1"/>
  <c r="E162" i="1"/>
  <c r="S161" i="1"/>
  <c r="R161" i="1"/>
  <c r="Q161" i="1"/>
  <c r="P161" i="1"/>
  <c r="O161" i="1"/>
  <c r="S160" i="1"/>
  <c r="R160" i="1"/>
  <c r="Q160" i="1"/>
  <c r="P160" i="1"/>
  <c r="K160" i="1"/>
  <c r="I160" i="1"/>
  <c r="O160" i="1" s="1"/>
  <c r="E160" i="1"/>
  <c r="S159" i="1"/>
  <c r="R159" i="1"/>
  <c r="Q159" i="1"/>
  <c r="P159" i="1"/>
  <c r="O159" i="1"/>
  <c r="S158" i="1"/>
  <c r="R158" i="1"/>
  <c r="Q158" i="1"/>
  <c r="P158" i="1"/>
  <c r="O158" i="1"/>
  <c r="S157" i="1"/>
  <c r="R157" i="1"/>
  <c r="P157" i="1"/>
  <c r="O157" i="1"/>
  <c r="K157" i="1"/>
  <c r="Q157" i="1" s="1"/>
  <c r="I157" i="1"/>
  <c r="E157" i="1"/>
  <c r="S156" i="1"/>
  <c r="R156" i="1"/>
  <c r="Q156" i="1"/>
  <c r="P156" i="1"/>
  <c r="O156" i="1"/>
  <c r="S155" i="1"/>
  <c r="R155" i="1"/>
  <c r="Q155" i="1"/>
  <c r="P155" i="1"/>
  <c r="O155" i="1"/>
  <c r="S154" i="1"/>
  <c r="R154" i="1"/>
  <c r="Q154" i="1"/>
  <c r="P154" i="1"/>
  <c r="O154" i="1"/>
  <c r="S153" i="1"/>
  <c r="R153" i="1"/>
  <c r="Q153" i="1"/>
  <c r="P153" i="1"/>
  <c r="O153" i="1"/>
  <c r="S152" i="1"/>
  <c r="R152" i="1"/>
  <c r="Q152" i="1"/>
  <c r="P152" i="1"/>
  <c r="O152" i="1"/>
  <c r="S151" i="1"/>
  <c r="R151" i="1"/>
  <c r="Q151" i="1"/>
  <c r="P151" i="1"/>
  <c r="O151" i="1"/>
  <c r="K151" i="1"/>
  <c r="I151" i="1"/>
  <c r="S150" i="1"/>
  <c r="R150" i="1"/>
  <c r="Q150" i="1"/>
  <c r="P150" i="1"/>
  <c r="O150" i="1"/>
  <c r="S149" i="1"/>
  <c r="R149" i="1"/>
  <c r="Q149" i="1"/>
  <c r="P149" i="1"/>
  <c r="O149" i="1"/>
  <c r="S148" i="1"/>
  <c r="R148" i="1"/>
  <c r="Q148" i="1"/>
  <c r="P148" i="1"/>
  <c r="O148" i="1"/>
  <c r="E148" i="1"/>
  <c r="S147" i="1"/>
  <c r="R147" i="1"/>
  <c r="Q147" i="1"/>
  <c r="P147" i="1"/>
  <c r="O147" i="1"/>
  <c r="S146" i="1"/>
  <c r="R146" i="1"/>
  <c r="Q146" i="1"/>
  <c r="P146" i="1"/>
  <c r="O146" i="1"/>
  <c r="S145" i="1"/>
  <c r="R145" i="1"/>
  <c r="Q145" i="1"/>
  <c r="P145" i="1"/>
  <c r="O145" i="1"/>
  <c r="S144" i="1"/>
  <c r="R144" i="1"/>
  <c r="P144" i="1"/>
  <c r="K144" i="1"/>
  <c r="Q144" i="1" s="1"/>
  <c r="I144" i="1"/>
  <c r="O144" i="1" s="1"/>
  <c r="E144" i="1"/>
  <c r="S143" i="1"/>
  <c r="R143" i="1"/>
  <c r="Q143" i="1"/>
  <c r="P143" i="1"/>
  <c r="O143" i="1"/>
  <c r="E143" i="1"/>
  <c r="S142" i="1"/>
  <c r="R142" i="1"/>
  <c r="Q142" i="1"/>
  <c r="P142" i="1"/>
  <c r="O142" i="1"/>
  <c r="E142" i="1"/>
  <c r="S141" i="1"/>
  <c r="R141" i="1"/>
  <c r="Q141" i="1"/>
  <c r="P141" i="1"/>
  <c r="O141" i="1"/>
  <c r="E141" i="1"/>
  <c r="S140" i="1"/>
  <c r="R140" i="1"/>
  <c r="Q140" i="1"/>
  <c r="P140" i="1"/>
  <c r="O140" i="1"/>
  <c r="S139" i="1"/>
  <c r="R139" i="1"/>
  <c r="Q139" i="1"/>
  <c r="P139" i="1"/>
  <c r="O139" i="1"/>
  <c r="S138" i="1"/>
  <c r="R138" i="1"/>
  <c r="Q138" i="1"/>
  <c r="P138" i="1"/>
  <c r="O138" i="1"/>
  <c r="E138" i="1"/>
  <c r="S137" i="1"/>
  <c r="R137" i="1"/>
  <c r="Q137" i="1"/>
  <c r="P137" i="1"/>
  <c r="O137" i="1"/>
  <c r="S136" i="1"/>
  <c r="R136" i="1"/>
  <c r="Q136" i="1"/>
  <c r="P136" i="1"/>
  <c r="K136" i="1"/>
  <c r="I136" i="1"/>
  <c r="O136" i="1" s="1"/>
  <c r="E136" i="1"/>
  <c r="S135" i="1"/>
  <c r="R135" i="1"/>
  <c r="Q135" i="1"/>
  <c r="P135" i="1"/>
  <c r="O135" i="1"/>
  <c r="S134" i="1"/>
  <c r="R134" i="1"/>
  <c r="Q134" i="1"/>
  <c r="P134" i="1"/>
  <c r="O134" i="1"/>
  <c r="E134" i="1"/>
  <c r="S133" i="1"/>
  <c r="R133" i="1"/>
  <c r="Q133" i="1"/>
  <c r="P133" i="1"/>
  <c r="O133" i="1"/>
  <c r="E133" i="1"/>
  <c r="S132" i="1"/>
  <c r="R132" i="1"/>
  <c r="Q132" i="1"/>
  <c r="P132" i="1"/>
  <c r="O132" i="1"/>
  <c r="E132" i="1"/>
  <c r="S131" i="1"/>
  <c r="R131" i="1"/>
  <c r="Q131" i="1"/>
  <c r="P131" i="1"/>
  <c r="O131" i="1"/>
  <c r="E131" i="1"/>
  <c r="S130" i="1"/>
  <c r="R130" i="1"/>
  <c r="Q130" i="1"/>
  <c r="P130" i="1"/>
  <c r="O130" i="1"/>
  <c r="S129" i="1"/>
  <c r="R129" i="1"/>
  <c r="Q129" i="1"/>
  <c r="P129" i="1"/>
  <c r="O129" i="1"/>
  <c r="S128" i="1"/>
  <c r="R128" i="1"/>
  <c r="Q128" i="1"/>
  <c r="P128" i="1"/>
  <c r="O128" i="1"/>
  <c r="S127" i="1"/>
  <c r="R127" i="1"/>
  <c r="Q127" i="1"/>
  <c r="P127" i="1"/>
  <c r="O127" i="1"/>
  <c r="S126" i="1"/>
  <c r="R126" i="1"/>
  <c r="Q126" i="1"/>
  <c r="P126" i="1"/>
  <c r="O126" i="1"/>
  <c r="S125" i="1"/>
  <c r="R125" i="1"/>
  <c r="P125" i="1"/>
  <c r="O125" i="1"/>
  <c r="K125" i="1"/>
  <c r="Q125" i="1" s="1"/>
  <c r="I125" i="1"/>
  <c r="S124" i="1"/>
  <c r="R124" i="1"/>
  <c r="Q124" i="1"/>
  <c r="P124" i="1"/>
  <c r="O124" i="1"/>
  <c r="S123" i="1"/>
  <c r="R123" i="1"/>
  <c r="Q123" i="1"/>
  <c r="P123" i="1"/>
  <c r="O123" i="1"/>
  <c r="S122" i="1"/>
  <c r="R122" i="1"/>
  <c r="Q122" i="1"/>
  <c r="P122" i="1"/>
  <c r="O122" i="1"/>
  <c r="S121" i="1"/>
  <c r="R121" i="1"/>
  <c r="Q121" i="1"/>
  <c r="P121" i="1"/>
  <c r="O121" i="1"/>
  <c r="S120" i="1"/>
  <c r="R120" i="1"/>
  <c r="Q120" i="1"/>
  <c r="P120" i="1"/>
  <c r="O120" i="1"/>
  <c r="E120" i="1"/>
  <c r="S119" i="1"/>
  <c r="R119" i="1"/>
  <c r="Q119" i="1"/>
  <c r="P119" i="1"/>
  <c r="O119" i="1"/>
  <c r="S118" i="1"/>
  <c r="R118" i="1"/>
  <c r="Q118" i="1"/>
  <c r="P118" i="1"/>
  <c r="O118" i="1"/>
  <c r="E118" i="1"/>
  <c r="S117" i="1"/>
  <c r="R117" i="1"/>
  <c r="Q117" i="1"/>
  <c r="P117" i="1"/>
  <c r="O117" i="1"/>
  <c r="S116" i="1"/>
  <c r="R116" i="1"/>
  <c r="Q116" i="1"/>
  <c r="P116" i="1"/>
  <c r="O116" i="1"/>
  <c r="E116" i="1"/>
  <c r="S115" i="1"/>
  <c r="R115" i="1"/>
  <c r="Q115" i="1"/>
  <c r="P115" i="1"/>
  <c r="O115" i="1"/>
  <c r="E115" i="1"/>
  <c r="S114" i="1"/>
  <c r="R114" i="1"/>
  <c r="Q114" i="1"/>
  <c r="P114" i="1"/>
  <c r="O114" i="1"/>
  <c r="E114" i="1"/>
  <c r="S113" i="1"/>
  <c r="R113" i="1"/>
  <c r="Q113" i="1"/>
  <c r="P113" i="1"/>
  <c r="O113" i="1"/>
  <c r="E113" i="1"/>
  <c r="S112" i="1"/>
  <c r="R112" i="1"/>
  <c r="Q112" i="1"/>
  <c r="P112" i="1"/>
  <c r="O112" i="1"/>
  <c r="K112" i="1"/>
  <c r="I112" i="1"/>
  <c r="E112" i="1"/>
  <c r="S111" i="1"/>
  <c r="R111" i="1"/>
  <c r="Q111" i="1"/>
  <c r="P111" i="1"/>
  <c r="O111" i="1"/>
  <c r="E111" i="1"/>
  <c r="S110" i="1"/>
  <c r="R110" i="1"/>
  <c r="Q110" i="1"/>
  <c r="P110" i="1"/>
  <c r="O110" i="1"/>
  <c r="E110" i="1"/>
  <c r="S109" i="1"/>
  <c r="R109" i="1"/>
  <c r="Q109" i="1"/>
  <c r="P109" i="1"/>
  <c r="O109" i="1"/>
  <c r="S108" i="1"/>
  <c r="R108" i="1"/>
  <c r="Q108" i="1"/>
  <c r="P108" i="1"/>
  <c r="K108" i="1"/>
  <c r="I108" i="1"/>
  <c r="O108" i="1" s="1"/>
  <c r="E108" i="1"/>
  <c r="S107" i="1"/>
  <c r="R107" i="1"/>
  <c r="Q107" i="1"/>
  <c r="P107" i="1"/>
  <c r="O107" i="1"/>
  <c r="S106" i="1"/>
  <c r="R106" i="1"/>
  <c r="P106" i="1"/>
  <c r="K106" i="1"/>
  <c r="Q106" i="1" s="1"/>
  <c r="I106" i="1"/>
  <c r="O106" i="1" s="1"/>
  <c r="E106" i="1"/>
  <c r="S105" i="1"/>
  <c r="R105" i="1"/>
  <c r="Q105" i="1"/>
  <c r="P105" i="1"/>
  <c r="O105" i="1"/>
  <c r="E105" i="1"/>
  <c r="S104" i="1"/>
  <c r="R104" i="1"/>
  <c r="Q104" i="1"/>
  <c r="P104" i="1"/>
  <c r="O104" i="1"/>
  <c r="E104" i="1"/>
  <c r="S103" i="1"/>
  <c r="R103" i="1"/>
  <c r="Q103" i="1"/>
  <c r="P103" i="1"/>
  <c r="O103" i="1"/>
  <c r="E103" i="1"/>
  <c r="S102" i="1"/>
  <c r="R102" i="1"/>
  <c r="Q102" i="1"/>
  <c r="P102" i="1"/>
  <c r="O102" i="1"/>
  <c r="E102" i="1"/>
  <c r="S101" i="1"/>
  <c r="R101" i="1"/>
  <c r="Q101" i="1"/>
  <c r="P101" i="1"/>
  <c r="O101" i="1"/>
  <c r="S100" i="1"/>
  <c r="R100" i="1"/>
  <c r="Q100" i="1"/>
  <c r="P100" i="1"/>
  <c r="O100" i="1"/>
  <c r="S99" i="1"/>
  <c r="R99" i="1"/>
  <c r="Q99" i="1"/>
  <c r="P99" i="1"/>
  <c r="O99" i="1"/>
  <c r="E99" i="1"/>
  <c r="S98" i="1"/>
  <c r="R98" i="1"/>
  <c r="Q98" i="1"/>
  <c r="P98" i="1"/>
  <c r="O98" i="1"/>
  <c r="E98" i="1"/>
  <c r="S97" i="1"/>
  <c r="R97" i="1"/>
  <c r="Q97" i="1"/>
  <c r="P97" i="1"/>
  <c r="O97" i="1"/>
  <c r="E97" i="1"/>
  <c r="S96" i="1"/>
  <c r="R96" i="1"/>
  <c r="Q96" i="1"/>
  <c r="P96" i="1"/>
  <c r="K96" i="1"/>
  <c r="I96" i="1"/>
  <c r="O96" i="1" s="1"/>
  <c r="E96" i="1"/>
  <c r="S95" i="1"/>
  <c r="R95" i="1"/>
  <c r="Q95" i="1"/>
  <c r="P95" i="1"/>
  <c r="O95" i="1"/>
  <c r="E95" i="1"/>
  <c r="S94" i="1"/>
  <c r="R94" i="1"/>
  <c r="Q94" i="1"/>
  <c r="P94" i="1"/>
  <c r="O94" i="1"/>
  <c r="E94" i="1"/>
  <c r="S93" i="1"/>
  <c r="R93" i="1"/>
  <c r="Q93" i="1"/>
  <c r="P93" i="1"/>
  <c r="O93" i="1"/>
  <c r="E93" i="1"/>
  <c r="S92" i="1"/>
  <c r="R92" i="1"/>
  <c r="Q92" i="1"/>
  <c r="P92" i="1"/>
  <c r="O92" i="1"/>
  <c r="E92" i="1"/>
  <c r="S91" i="1"/>
  <c r="R91" i="1"/>
  <c r="Q91" i="1"/>
  <c r="P91" i="1"/>
  <c r="O91" i="1"/>
  <c r="S90" i="1"/>
  <c r="R90" i="1"/>
  <c r="Q90" i="1"/>
  <c r="P90" i="1"/>
  <c r="O90" i="1"/>
  <c r="E90" i="1"/>
  <c r="S89" i="1"/>
  <c r="R89" i="1"/>
  <c r="Q89" i="1"/>
  <c r="P89" i="1"/>
  <c r="O89" i="1"/>
  <c r="S88" i="1"/>
  <c r="R88" i="1"/>
  <c r="Q88" i="1"/>
  <c r="P88" i="1"/>
  <c r="O88" i="1"/>
  <c r="E88" i="1"/>
  <c r="S87" i="1"/>
  <c r="R87" i="1"/>
  <c r="Q87" i="1"/>
  <c r="P87" i="1"/>
  <c r="O87" i="1"/>
  <c r="E87" i="1"/>
  <c r="S86" i="1"/>
  <c r="R86" i="1"/>
  <c r="Q86" i="1"/>
  <c r="P86" i="1"/>
  <c r="O86" i="1"/>
  <c r="E86" i="1"/>
  <c r="S85" i="1"/>
  <c r="R85" i="1"/>
  <c r="Q85" i="1"/>
  <c r="P85" i="1"/>
  <c r="O85" i="1"/>
  <c r="E85" i="1"/>
  <c r="S84" i="1"/>
  <c r="R84" i="1"/>
  <c r="Q84" i="1"/>
  <c r="P84" i="1"/>
  <c r="O84" i="1"/>
  <c r="E84" i="1"/>
  <c r="S83" i="1"/>
  <c r="R83" i="1"/>
  <c r="Q83" i="1"/>
  <c r="P83" i="1"/>
  <c r="O83" i="1"/>
  <c r="E83" i="1"/>
  <c r="S82" i="1"/>
  <c r="R82" i="1"/>
  <c r="Q82" i="1"/>
  <c r="P82" i="1"/>
  <c r="O82" i="1"/>
  <c r="E82" i="1"/>
  <c r="S81" i="1"/>
  <c r="R81" i="1"/>
  <c r="Q81" i="1"/>
  <c r="P81" i="1"/>
  <c r="O81" i="1"/>
  <c r="E81" i="1"/>
  <c r="S80" i="1"/>
  <c r="R80" i="1"/>
  <c r="Q80" i="1"/>
  <c r="P80" i="1"/>
  <c r="O80" i="1"/>
  <c r="E80" i="1"/>
  <c r="S79" i="1"/>
  <c r="R79" i="1"/>
  <c r="Q79" i="1"/>
  <c r="P79" i="1"/>
  <c r="O79" i="1"/>
  <c r="E79" i="1"/>
  <c r="S78" i="1"/>
  <c r="R78" i="1"/>
  <c r="Q78" i="1"/>
  <c r="P78" i="1"/>
  <c r="O78" i="1"/>
  <c r="E78" i="1"/>
  <c r="S77" i="1"/>
  <c r="R77" i="1"/>
  <c r="Q77" i="1"/>
  <c r="P77" i="1"/>
  <c r="O77" i="1"/>
  <c r="E77" i="1"/>
  <c r="S76" i="1"/>
  <c r="R76" i="1"/>
  <c r="Q76" i="1"/>
  <c r="P76" i="1"/>
  <c r="O76" i="1"/>
  <c r="E76" i="1"/>
  <c r="S75" i="1"/>
  <c r="R75" i="1"/>
  <c r="Q75" i="1"/>
  <c r="P75" i="1"/>
  <c r="O75" i="1"/>
  <c r="E75" i="1"/>
  <c r="S74" i="1"/>
  <c r="R74" i="1"/>
  <c r="Q74" i="1"/>
  <c r="P74" i="1"/>
  <c r="O74" i="1"/>
  <c r="E74" i="1"/>
  <c r="S73" i="1"/>
  <c r="R73" i="1"/>
  <c r="Q73" i="1"/>
  <c r="P73" i="1"/>
  <c r="O73" i="1"/>
  <c r="E73" i="1"/>
  <c r="S72" i="1"/>
  <c r="R72" i="1"/>
  <c r="Q72" i="1"/>
  <c r="P72" i="1"/>
  <c r="O72" i="1"/>
  <c r="E72" i="1"/>
  <c r="S71" i="1"/>
  <c r="R71" i="1"/>
  <c r="Q71" i="1"/>
  <c r="P71" i="1"/>
  <c r="O71" i="1"/>
  <c r="E71" i="1"/>
  <c r="S70" i="1"/>
  <c r="R70" i="1"/>
  <c r="Q70" i="1"/>
  <c r="P70" i="1"/>
  <c r="O70" i="1"/>
  <c r="E70" i="1"/>
  <c r="S69" i="1"/>
  <c r="R69" i="1"/>
  <c r="Q69" i="1"/>
  <c r="P69" i="1"/>
  <c r="O69" i="1"/>
  <c r="E69" i="1"/>
  <c r="S68" i="1"/>
  <c r="R68" i="1"/>
  <c r="Q68" i="1"/>
  <c r="P68" i="1"/>
  <c r="K68" i="1"/>
  <c r="I68" i="1"/>
  <c r="O68" i="1" s="1"/>
  <c r="E68" i="1"/>
  <c r="S67" i="1"/>
  <c r="R67" i="1"/>
  <c r="Q67" i="1"/>
  <c r="P67" i="1"/>
  <c r="O67" i="1"/>
  <c r="S66" i="1"/>
  <c r="R66" i="1"/>
  <c r="Q66" i="1"/>
  <c r="P66" i="1"/>
  <c r="O66" i="1"/>
  <c r="S65" i="1"/>
  <c r="R65" i="1"/>
  <c r="Q65" i="1"/>
  <c r="P65" i="1"/>
  <c r="O65" i="1"/>
  <c r="S64" i="1"/>
  <c r="R64" i="1"/>
  <c r="Q64" i="1"/>
  <c r="P64" i="1"/>
  <c r="O64" i="1"/>
  <c r="E64" i="1"/>
  <c r="S63" i="1"/>
  <c r="R63" i="1"/>
  <c r="Q63" i="1"/>
  <c r="P63" i="1"/>
  <c r="O63" i="1"/>
  <c r="S62" i="1"/>
  <c r="R62" i="1"/>
  <c r="Q62" i="1"/>
  <c r="P62" i="1"/>
  <c r="O62" i="1"/>
  <c r="S61" i="1"/>
  <c r="R61" i="1"/>
  <c r="Q61" i="1"/>
  <c r="P61" i="1"/>
  <c r="O61" i="1"/>
  <c r="S60" i="1"/>
  <c r="R60" i="1"/>
  <c r="Q60" i="1"/>
  <c r="P60" i="1"/>
  <c r="O60" i="1"/>
  <c r="S59" i="1"/>
  <c r="R59" i="1"/>
  <c r="Q59" i="1"/>
  <c r="P59" i="1"/>
  <c r="O59" i="1"/>
  <c r="S58" i="1"/>
  <c r="R58" i="1"/>
  <c r="Q58" i="1"/>
  <c r="P58" i="1"/>
  <c r="O58" i="1"/>
  <c r="E58" i="1"/>
  <c r="S57" i="1"/>
  <c r="R57" i="1"/>
  <c r="Q57" i="1"/>
  <c r="P57" i="1"/>
  <c r="O57" i="1"/>
  <c r="S56" i="1"/>
  <c r="R56" i="1"/>
  <c r="Q56" i="1"/>
  <c r="P56" i="1"/>
  <c r="O56" i="1"/>
  <c r="E56" i="1"/>
  <c r="S55" i="1"/>
  <c r="R55" i="1"/>
  <c r="Q55" i="1"/>
  <c r="P55" i="1"/>
  <c r="O55" i="1"/>
  <c r="E55" i="1"/>
  <c r="S54" i="1"/>
  <c r="R54" i="1"/>
  <c r="Q54" i="1"/>
  <c r="P54" i="1"/>
  <c r="O54" i="1"/>
  <c r="E54" i="1"/>
  <c r="S53" i="1"/>
  <c r="R53" i="1"/>
  <c r="Q53" i="1"/>
  <c r="P53" i="1"/>
  <c r="O53" i="1"/>
  <c r="E53" i="1"/>
  <c r="S52" i="1"/>
  <c r="R52" i="1"/>
  <c r="Q52" i="1"/>
  <c r="P52" i="1"/>
  <c r="O52" i="1"/>
  <c r="E52" i="1"/>
  <c r="S51" i="1"/>
  <c r="R51" i="1"/>
  <c r="Q51" i="1"/>
  <c r="P51" i="1"/>
  <c r="O51" i="1"/>
  <c r="E51" i="1"/>
  <c r="S50" i="1"/>
  <c r="R50" i="1"/>
  <c r="Q50" i="1"/>
  <c r="P50" i="1"/>
  <c r="O50" i="1"/>
  <c r="E50" i="1"/>
  <c r="S49" i="1"/>
  <c r="R49" i="1"/>
  <c r="Q49" i="1"/>
  <c r="P49" i="1"/>
  <c r="O49" i="1"/>
  <c r="E49" i="1"/>
  <c r="S48" i="1"/>
  <c r="R48" i="1"/>
  <c r="Q48" i="1"/>
  <c r="P48" i="1"/>
  <c r="O48" i="1"/>
  <c r="E48" i="1"/>
  <c r="S47" i="1"/>
  <c r="R47" i="1"/>
  <c r="Q47" i="1"/>
  <c r="P47" i="1"/>
  <c r="O47" i="1"/>
  <c r="E47" i="1"/>
  <c r="S46" i="1"/>
  <c r="R46" i="1"/>
  <c r="Q46" i="1"/>
  <c r="P46" i="1"/>
  <c r="O46" i="1"/>
  <c r="E46" i="1"/>
  <c r="S45" i="1"/>
  <c r="R45" i="1"/>
  <c r="Q45" i="1"/>
  <c r="P45" i="1"/>
  <c r="O45" i="1"/>
  <c r="S44" i="1"/>
  <c r="R44" i="1"/>
  <c r="Q44" i="1"/>
  <c r="P44" i="1"/>
  <c r="O44" i="1"/>
  <c r="E44" i="1"/>
  <c r="S43" i="1"/>
  <c r="R43" i="1"/>
  <c r="Q43" i="1"/>
  <c r="P43" i="1"/>
  <c r="O43" i="1"/>
  <c r="E43" i="1"/>
  <c r="S42" i="1"/>
  <c r="R42" i="1"/>
  <c r="Q42" i="1"/>
  <c r="P42" i="1"/>
  <c r="K42" i="1"/>
  <c r="I42" i="1"/>
  <c r="O42" i="1" s="1"/>
  <c r="E42" i="1"/>
  <c r="S41" i="1"/>
  <c r="R41" i="1"/>
  <c r="Q41" i="1"/>
  <c r="P41" i="1"/>
  <c r="O41" i="1"/>
  <c r="E41" i="1"/>
  <c r="S40" i="1"/>
  <c r="R40" i="1"/>
  <c r="Q40" i="1"/>
  <c r="P40" i="1"/>
  <c r="O40" i="1"/>
  <c r="E40" i="1"/>
  <c r="S39" i="1"/>
  <c r="R39" i="1"/>
  <c r="Q39" i="1"/>
  <c r="P39" i="1"/>
  <c r="O39" i="1"/>
  <c r="E39" i="1"/>
  <c r="S38" i="1"/>
  <c r="R38" i="1"/>
  <c r="Q38" i="1"/>
  <c r="P38" i="1"/>
  <c r="O38" i="1"/>
  <c r="E38" i="1"/>
  <c r="S37" i="1"/>
  <c r="R37" i="1"/>
  <c r="Q37" i="1"/>
  <c r="P37" i="1"/>
  <c r="O37" i="1"/>
  <c r="E37" i="1"/>
  <c r="S36" i="1"/>
  <c r="R36" i="1"/>
  <c r="Q36" i="1"/>
  <c r="P36" i="1"/>
  <c r="O36" i="1"/>
  <c r="E36" i="1"/>
  <c r="S35" i="1"/>
  <c r="R35" i="1"/>
  <c r="Q35" i="1"/>
  <c r="P35" i="1"/>
  <c r="O35" i="1"/>
  <c r="E35" i="1"/>
  <c r="S34" i="1"/>
  <c r="R34" i="1"/>
  <c r="Q34" i="1"/>
  <c r="P34" i="1"/>
  <c r="O34" i="1"/>
  <c r="K34" i="1"/>
  <c r="I34" i="1"/>
  <c r="E34" i="1"/>
  <c r="S33" i="1"/>
  <c r="R33" i="1"/>
  <c r="Q33" i="1"/>
  <c r="P33" i="1"/>
  <c r="O33" i="1"/>
  <c r="E33" i="1"/>
  <c r="S32" i="1"/>
  <c r="R32" i="1"/>
  <c r="Q32" i="1"/>
  <c r="P32" i="1"/>
  <c r="O32" i="1"/>
  <c r="E32" i="1"/>
  <c r="S31" i="1"/>
  <c r="R31" i="1"/>
  <c r="Q31" i="1"/>
  <c r="P31" i="1"/>
  <c r="O31" i="1"/>
  <c r="E31" i="1"/>
  <c r="S30" i="1"/>
  <c r="R30" i="1"/>
  <c r="Q30" i="1"/>
  <c r="P30" i="1"/>
  <c r="O30" i="1"/>
  <c r="E30" i="1"/>
  <c r="S29" i="1"/>
  <c r="R29" i="1"/>
  <c r="Q29" i="1"/>
  <c r="P29" i="1"/>
  <c r="O29" i="1"/>
  <c r="E29" i="1"/>
  <c r="S28" i="1"/>
  <c r="R28" i="1"/>
  <c r="Q28" i="1"/>
  <c r="P28" i="1"/>
  <c r="O28" i="1"/>
  <c r="E28" i="1"/>
  <c r="S27" i="1"/>
  <c r="R27" i="1"/>
  <c r="Q27" i="1"/>
  <c r="P27" i="1"/>
  <c r="O27" i="1"/>
  <c r="E27" i="1"/>
  <c r="S26" i="1"/>
  <c r="R26" i="1"/>
  <c r="Q26" i="1"/>
  <c r="P26" i="1"/>
  <c r="O26" i="1"/>
  <c r="S25" i="1"/>
  <c r="R25" i="1"/>
  <c r="Q25" i="1"/>
  <c r="P25" i="1"/>
  <c r="O25" i="1"/>
  <c r="A3" i="1"/>
  <c r="D12" i="2" s="1"/>
  <c r="A2" i="1"/>
  <c r="D20" i="2" s="1"/>
  <c r="H14" i="2" l="1"/>
  <c r="G16" i="2"/>
  <c r="F15" i="2"/>
  <c r="M15" i="2" s="1"/>
  <c r="E13" i="2"/>
  <c r="AG9" i="2"/>
  <c r="X9" i="2"/>
  <c r="AA10" i="2"/>
  <c r="H12" i="2"/>
  <c r="G12" i="2"/>
  <c r="D13" i="2"/>
  <c r="I13" i="2"/>
  <c r="F14" i="2"/>
  <c r="M14" i="2" s="1"/>
  <c r="CK14" i="2"/>
  <c r="CQ14" i="2"/>
  <c r="CV14" i="2"/>
  <c r="E15" i="2"/>
  <c r="CP15" i="2"/>
  <c r="D16" i="2"/>
  <c r="J17" i="2"/>
  <c r="E21" i="2"/>
  <c r="F13" i="3"/>
  <c r="G13" i="3"/>
  <c r="E13" i="3"/>
  <c r="I13" i="3"/>
  <c r="H13" i="3"/>
  <c r="CX14" i="2"/>
  <c r="CT14" i="2"/>
  <c r="CP14" i="2"/>
  <c r="CL14" i="2"/>
  <c r="CH14" i="2"/>
  <c r="CM14" i="2"/>
  <c r="CR14" i="2"/>
  <c r="CW14" i="2"/>
  <c r="CK15" i="2"/>
  <c r="CS15" i="2"/>
  <c r="J18" i="2"/>
  <c r="I21" i="2"/>
  <c r="E12" i="2"/>
  <c r="I12" i="2"/>
  <c r="CH12" i="2"/>
  <c r="G13" i="2"/>
  <c r="DA13" i="2"/>
  <c r="D14" i="2"/>
  <c r="I14" i="2"/>
  <c r="CI14" i="2"/>
  <c r="CN14" i="2"/>
  <c r="CS14" i="2"/>
  <c r="DA14" i="2" a="1"/>
  <c r="G15" i="2"/>
  <c r="CL15" i="2"/>
  <c r="CT15" i="2"/>
  <c r="H16" i="2"/>
  <c r="CH17" i="2"/>
  <c r="D19" i="2"/>
  <c r="G22" i="2"/>
  <c r="H22" i="2"/>
  <c r="I22" i="2"/>
  <c r="J21" i="2"/>
  <c r="F21" i="2"/>
  <c r="M21" i="2" s="1"/>
  <c r="E22" i="2"/>
  <c r="H21" i="2"/>
  <c r="D21" i="2"/>
  <c r="G20" i="2"/>
  <c r="J19" i="2"/>
  <c r="F19" i="2"/>
  <c r="M19" i="2" s="1"/>
  <c r="I18" i="2"/>
  <c r="E18" i="2"/>
  <c r="H17" i="2"/>
  <c r="D17" i="2"/>
  <c r="J22" i="2"/>
  <c r="D22" i="2"/>
  <c r="G21" i="2"/>
  <c r="J20" i="2"/>
  <c r="F20" i="2"/>
  <c r="M20" i="2" s="1"/>
  <c r="I19" i="2"/>
  <c r="E19" i="2"/>
  <c r="H18" i="2"/>
  <c r="D18" i="2"/>
  <c r="G17" i="2"/>
  <c r="F22" i="2"/>
  <c r="M22" i="2" s="1"/>
  <c r="H20" i="2"/>
  <c r="H19" i="2"/>
  <c r="G18" i="2"/>
  <c r="F17" i="2"/>
  <c r="M17" i="2" s="1"/>
  <c r="N17" i="2" s="1"/>
  <c r="J16" i="2"/>
  <c r="F16" i="2"/>
  <c r="M16" i="2" s="1"/>
  <c r="I15" i="2"/>
  <c r="E20" i="2"/>
  <c r="G19" i="2"/>
  <c r="F18" i="2"/>
  <c r="M18" i="2" s="1"/>
  <c r="E17" i="2"/>
  <c r="I16" i="2"/>
  <c r="E16" i="2"/>
  <c r="H15" i="2"/>
  <c r="D15" i="2"/>
  <c r="G14" i="2"/>
  <c r="J13" i="2"/>
  <c r="F13" i="2"/>
  <c r="M13" i="2" s="1"/>
  <c r="AA2" i="2"/>
  <c r="F12" i="2"/>
  <c r="M12" i="2" s="1"/>
  <c r="N12" i="2" s="1"/>
  <c r="J12" i="2"/>
  <c r="H13" i="2"/>
  <c r="DC13" i="2"/>
  <c r="E14" i="2"/>
  <c r="J14" i="2"/>
  <c r="CJ14" i="2"/>
  <c r="CO14" i="2"/>
  <c r="CU14" i="2"/>
  <c r="J15" i="2"/>
  <c r="CR16" i="2"/>
  <c r="CJ16" i="2"/>
  <c r="CV15" i="2"/>
  <c r="CR15" i="2"/>
  <c r="CN15" i="2"/>
  <c r="CJ15" i="2"/>
  <c r="CQ16" i="2"/>
  <c r="CI16" i="2"/>
  <c r="DA15" i="2" a="1"/>
  <c r="CU15" i="2"/>
  <c r="CQ15" i="2"/>
  <c r="CM15" i="2"/>
  <c r="CI15" i="2"/>
  <c r="CO15" i="2"/>
  <c r="CW15" i="2"/>
  <c r="CM16" i="2"/>
  <c r="I17" i="2"/>
  <c r="DA18" i="2" a="1"/>
  <c r="CT19" i="2"/>
  <c r="CL19" i="2"/>
  <c r="CQ19" i="2"/>
  <c r="CI19" i="2"/>
  <c r="CM19" i="2"/>
  <c r="I20" i="2"/>
  <c r="DC16" i="2"/>
  <c r="DB16" i="2"/>
  <c r="DB19" i="2"/>
  <c r="DA19" i="2"/>
  <c r="DA20" i="2"/>
  <c r="DC20" i="2"/>
  <c r="DB20" i="2"/>
  <c r="CK16" i="2"/>
  <c r="CO16" i="2"/>
  <c r="CS16" i="2"/>
  <c r="CW16" i="2"/>
  <c r="CJ19" i="2"/>
  <c r="CN19" i="2"/>
  <c r="CR19" i="2"/>
  <c r="CV19" i="2"/>
  <c r="CK20" i="2"/>
  <c r="CO20" i="2"/>
  <c r="CS20" i="2"/>
  <c r="CW20" i="2"/>
  <c r="CH21" i="2"/>
  <c r="CL21" i="2"/>
  <c r="CP21" i="2"/>
  <c r="CT21" i="2"/>
  <c r="CX21" i="2"/>
  <c r="CX22" i="2"/>
  <c r="CT22" i="2"/>
  <c r="CP22" i="2"/>
  <c r="CL22" i="2"/>
  <c r="CH22" i="2"/>
  <c r="DA22" i="2" a="1"/>
  <c r="CU22" i="2"/>
  <c r="CQ22" i="2"/>
  <c r="CM22" i="2"/>
  <c r="CI22" i="2"/>
  <c r="CO22" i="2"/>
  <c r="CW22" i="2"/>
  <c r="E11" i="3"/>
  <c r="F17" i="3"/>
  <c r="G17" i="3"/>
  <c r="E19" i="3"/>
  <c r="H21" i="3"/>
  <c r="CH16" i="2"/>
  <c r="CL16" i="2"/>
  <c r="CP16" i="2"/>
  <c r="CT16" i="2"/>
  <c r="CK19" i="2"/>
  <c r="CO19" i="2"/>
  <c r="CS19" i="2"/>
  <c r="CH20" i="2"/>
  <c r="CL20" i="2"/>
  <c r="CP20" i="2"/>
  <c r="CT20" i="2"/>
  <c r="CI21" i="2"/>
  <c r="CM21" i="2"/>
  <c r="CQ21" i="2"/>
  <c r="CU21" i="2"/>
  <c r="DA21" i="2" a="1"/>
  <c r="CJ22" i="2"/>
  <c r="CR22" i="2"/>
  <c r="F15" i="3"/>
  <c r="G15" i="3"/>
  <c r="E17" i="3"/>
  <c r="F21" i="3"/>
  <c r="G21" i="3"/>
  <c r="CK21" i="2"/>
  <c r="CO21" i="2"/>
  <c r="CS21" i="2"/>
  <c r="CW21" i="2"/>
  <c r="CN22" i="2"/>
  <c r="F11" i="3"/>
  <c r="G11" i="3"/>
  <c r="H15" i="3"/>
  <c r="H25" i="3" s="1"/>
  <c r="I17" i="3"/>
  <c r="F19" i="3"/>
  <c r="G19" i="3"/>
  <c r="E21" i="3"/>
  <c r="E12" i="3"/>
  <c r="I12" i="3"/>
  <c r="I25" i="3" s="1"/>
  <c r="E14" i="3"/>
  <c r="I14" i="3"/>
  <c r="E16" i="3"/>
  <c r="I16" i="3"/>
  <c r="E18" i="3"/>
  <c r="I18" i="3"/>
  <c r="E20" i="3"/>
  <c r="I20" i="3"/>
  <c r="E22" i="3"/>
  <c r="I22" i="3"/>
  <c r="G23" i="3"/>
  <c r="BQ3" i="5"/>
  <c r="BF13" i="5"/>
  <c r="CK13" i="5" s="1"/>
  <c r="BF14" i="5"/>
  <c r="CK14" i="5" s="1"/>
  <c r="BF15" i="5"/>
  <c r="CK15" i="5" s="1"/>
  <c r="BF16" i="5"/>
  <c r="CK16" i="5" s="1"/>
  <c r="BF17" i="5"/>
  <c r="CK17" i="5" s="1"/>
  <c r="BF18" i="5"/>
  <c r="CK18" i="5" s="1"/>
  <c r="BF19" i="5"/>
  <c r="CK19" i="5" s="1"/>
  <c r="AY20" i="5"/>
  <c r="BM20" i="5" s="1"/>
  <c r="AZ21" i="5"/>
  <c r="CH21" i="5" s="1"/>
  <c r="H23" i="3"/>
  <c r="AY13" i="5"/>
  <c r="BM13" i="5" s="1"/>
  <c r="AY14" i="5"/>
  <c r="BM14" i="5" s="1"/>
  <c r="BC14" i="5"/>
  <c r="CP14" i="5" s="1"/>
  <c r="AY15" i="5"/>
  <c r="BM15" i="5" s="1"/>
  <c r="AY16" i="5"/>
  <c r="BM16" i="5" s="1"/>
  <c r="BC16" i="5"/>
  <c r="CP16" i="5" s="1"/>
  <c r="AY17" i="5"/>
  <c r="BM17" i="5" s="1"/>
  <c r="AY18" i="5"/>
  <c r="BM18" i="5" s="1"/>
  <c r="BC18" i="5"/>
  <c r="CP18" i="5" s="1"/>
  <c r="AY19" i="5"/>
  <c r="BM19" i="5" s="1"/>
  <c r="AZ13" i="5"/>
  <c r="CH13" i="5" s="1"/>
  <c r="BD13" i="5"/>
  <c r="CS13" i="5" s="1"/>
  <c r="AZ14" i="5"/>
  <c r="CH14" i="5" s="1"/>
  <c r="AZ15" i="5"/>
  <c r="CH15" i="5" s="1"/>
  <c r="BD15" i="5"/>
  <c r="CS15" i="5" s="1"/>
  <c r="AZ16" i="5"/>
  <c r="CH16" i="5" s="1"/>
  <c r="AZ17" i="5"/>
  <c r="CH17" i="5" s="1"/>
  <c r="BD17" i="5"/>
  <c r="CS17" i="5" s="1"/>
  <c r="AZ18" i="5"/>
  <c r="CH18" i="5" s="1"/>
  <c r="AZ19" i="5"/>
  <c r="CH19" i="5" s="1"/>
  <c r="BD19" i="5"/>
  <c r="CS19" i="5" s="1"/>
  <c r="BF20" i="5"/>
  <c r="CK20" i="5" s="1"/>
  <c r="BE20" i="5"/>
  <c r="CL20" i="5" s="1"/>
  <c r="BA20" i="5"/>
  <c r="CI20" i="5" s="1"/>
  <c r="AW20" i="5"/>
  <c r="BC20" i="5" s="1"/>
  <c r="CP20" i="5" s="1"/>
  <c r="AY21" i="5"/>
  <c r="BM21" i="5" s="1"/>
  <c r="BF21" i="5"/>
  <c r="CK21" i="5" s="1"/>
  <c r="BE21" i="5"/>
  <c r="CL21" i="5" s="1"/>
  <c r="BA21" i="5"/>
  <c r="CI21" i="5" s="1"/>
  <c r="AW21" i="5"/>
  <c r="BD21" i="5" s="1"/>
  <c r="CS21" i="5" s="1"/>
  <c r="AW13" i="5"/>
  <c r="BB13" i="5" s="1"/>
  <c r="CM13" i="5" s="1"/>
  <c r="BA13" i="5"/>
  <c r="CI13" i="5" s="1"/>
  <c r="AW14" i="5"/>
  <c r="BB14" i="5" s="1"/>
  <c r="CM14" i="5" s="1"/>
  <c r="BA14" i="5"/>
  <c r="CI14" i="5" s="1"/>
  <c r="AW15" i="5"/>
  <c r="BB15" i="5" s="1"/>
  <c r="CM15" i="5" s="1"/>
  <c r="BA15" i="5"/>
  <c r="CI15" i="5" s="1"/>
  <c r="AW16" i="5"/>
  <c r="BB16" i="5" s="1"/>
  <c r="CM16" i="5" s="1"/>
  <c r="BA16" i="5"/>
  <c r="CI16" i="5" s="1"/>
  <c r="AW17" i="5"/>
  <c r="BB17" i="5" s="1"/>
  <c r="CM17" i="5" s="1"/>
  <c r="BA17" i="5"/>
  <c r="CI17" i="5" s="1"/>
  <c r="AW18" i="5"/>
  <c r="BB18" i="5" s="1"/>
  <c r="CM18" i="5" s="1"/>
  <c r="BA18" i="5"/>
  <c r="CI18" i="5" s="1"/>
  <c r="AW19" i="5"/>
  <c r="BB19" i="5" s="1"/>
  <c r="CM19" i="5" s="1"/>
  <c r="BA19" i="5"/>
  <c r="CI19" i="5" s="1"/>
  <c r="BC22" i="5"/>
  <c r="CP22" i="5" s="1"/>
  <c r="AZ22" i="5"/>
  <c r="CH22" i="5" s="1"/>
  <c r="BR3" i="6"/>
  <c r="AQ21" i="6"/>
  <c r="AU21" i="6"/>
  <c r="AY21" i="6"/>
  <c r="BC21" i="6"/>
  <c r="BG21" i="6"/>
  <c r="BK21" i="6"/>
  <c r="BO21" i="6"/>
  <c r="BS21" i="6"/>
  <c r="BW21" i="6"/>
  <c r="CA21" i="6"/>
  <c r="CE21" i="6"/>
  <c r="CI21" i="6"/>
  <c r="CM21" i="6"/>
  <c r="CL22" i="6"/>
  <c r="CO23" i="6"/>
  <c r="CK23" i="6"/>
  <c r="CG23" i="6"/>
  <c r="CC23" i="6"/>
  <c r="BY23" i="6"/>
  <c r="BU23" i="6"/>
  <c r="BQ23" i="6"/>
  <c r="BM23" i="6"/>
  <c r="BI23" i="6"/>
  <c r="BE23" i="6"/>
  <c r="BA23" i="6"/>
  <c r="AW23" i="6"/>
  <c r="AS23" i="6"/>
  <c r="AO23" i="6"/>
  <c r="AK23" i="6"/>
  <c r="AG23" i="6"/>
  <c r="AC23" i="6"/>
  <c r="Y23" i="6"/>
  <c r="U23" i="6"/>
  <c r="Q23" i="6"/>
  <c r="M23" i="6"/>
  <c r="I23" i="6"/>
  <c r="CN23" i="6"/>
  <c r="CJ23" i="6"/>
  <c r="CF23" i="6"/>
  <c r="CB23" i="6"/>
  <c r="BX23" i="6"/>
  <c r="CM23" i="6"/>
  <c r="CI23" i="6"/>
  <c r="E23" i="6"/>
  <c r="J23" i="6"/>
  <c r="O23" i="6"/>
  <c r="T23" i="6"/>
  <c r="Z23" i="6"/>
  <c r="AE23" i="6"/>
  <c r="AJ23" i="6"/>
  <c r="AP23" i="6"/>
  <c r="AU23" i="6"/>
  <c r="AZ23" i="6"/>
  <c r="BF23" i="6"/>
  <c r="BK23" i="6"/>
  <c r="BP23" i="6"/>
  <c r="BV23" i="6"/>
  <c r="CD23" i="6"/>
  <c r="AW22" i="5"/>
  <c r="BD22" i="5" s="1"/>
  <c r="CS22" i="5" s="1"/>
  <c r="BA22" i="5"/>
  <c r="CI22" i="5" s="1"/>
  <c r="BE22" i="5"/>
  <c r="CL22" i="5" s="1"/>
  <c r="P3" i="6"/>
  <c r="E20" i="6"/>
  <c r="I20" i="6"/>
  <c r="M20" i="6"/>
  <c r="Q20" i="6"/>
  <c r="U20" i="6"/>
  <c r="Y20" i="6"/>
  <c r="AC20" i="6"/>
  <c r="AG20" i="6"/>
  <c r="AK20" i="6"/>
  <c r="AO20" i="6"/>
  <c r="AS20" i="6"/>
  <c r="AW20" i="6"/>
  <c r="BA20" i="6"/>
  <c r="BE20" i="6"/>
  <c r="BI20" i="6"/>
  <c r="BM20" i="6"/>
  <c r="BQ20" i="6"/>
  <c r="BU20" i="6"/>
  <c r="BY20" i="6"/>
  <c r="CC20" i="6"/>
  <c r="CG20" i="6"/>
  <c r="CK20" i="6"/>
  <c r="CO20" i="6"/>
  <c r="D21" i="6"/>
  <c r="H21" i="6"/>
  <c r="L21" i="6"/>
  <c r="P21" i="6"/>
  <c r="T21" i="6"/>
  <c r="X21" i="6"/>
  <c r="AB21" i="6"/>
  <c r="AF21" i="6"/>
  <c r="AJ21" i="6"/>
  <c r="AN21" i="6"/>
  <c r="AR21" i="6"/>
  <c r="AV21" i="6"/>
  <c r="AZ21" i="6"/>
  <c r="BD21" i="6"/>
  <c r="BH21" i="6"/>
  <c r="BL21" i="6"/>
  <c r="BP21" i="6"/>
  <c r="BT21" i="6"/>
  <c r="BX21" i="6"/>
  <c r="CB21" i="6"/>
  <c r="CF21" i="6"/>
  <c r="CJ21" i="6"/>
  <c r="CN21" i="6"/>
  <c r="BO22" i="6"/>
  <c r="BS22" i="6"/>
  <c r="BW22" i="6"/>
  <c r="CA22" i="6"/>
  <c r="CE22" i="6"/>
  <c r="CI22" i="6"/>
  <c r="CM22" i="6"/>
  <c r="B23" i="6"/>
  <c r="F23" i="6"/>
  <c r="K23" i="6"/>
  <c r="P23" i="6"/>
  <c r="V23" i="6"/>
  <c r="AA23" i="6"/>
  <c r="AF23" i="6"/>
  <c r="AL23" i="6"/>
  <c r="AQ23" i="6"/>
  <c r="AV23" i="6"/>
  <c r="BB23" i="6"/>
  <c r="BG23" i="6"/>
  <c r="BL23" i="6"/>
  <c r="BR23" i="6"/>
  <c r="BW23" i="6"/>
  <c r="CE23" i="6"/>
  <c r="BB22" i="5"/>
  <c r="CM22" i="5" s="1"/>
  <c r="BF22" i="5"/>
  <c r="CK22" i="5" s="1"/>
  <c r="AH3" i="6"/>
  <c r="B20" i="6"/>
  <c r="F20" i="6"/>
  <c r="J20" i="6"/>
  <c r="N20" i="6"/>
  <c r="R20" i="6"/>
  <c r="V20" i="6"/>
  <c r="Z20" i="6"/>
  <c r="AD20" i="6"/>
  <c r="AH20" i="6"/>
  <c r="AL20" i="6"/>
  <c r="AP20" i="6"/>
  <c r="AT20" i="6"/>
  <c r="AX20" i="6"/>
  <c r="BB20" i="6"/>
  <c r="BF20" i="6"/>
  <c r="BJ20" i="6"/>
  <c r="BN20" i="6"/>
  <c r="BR20" i="6"/>
  <c r="BV20" i="6"/>
  <c r="BZ20" i="6"/>
  <c r="CD20" i="6"/>
  <c r="CH20" i="6"/>
  <c r="CL20" i="6"/>
  <c r="E21" i="6"/>
  <c r="I21" i="6"/>
  <c r="M21" i="6"/>
  <c r="Q21" i="6"/>
  <c r="U21" i="6"/>
  <c r="Y21" i="6"/>
  <c r="AC21" i="6"/>
  <c r="AG21" i="6"/>
  <c r="AK21" i="6"/>
  <c r="AO21" i="6"/>
  <c r="AS21" i="6"/>
  <c r="AW21" i="6"/>
  <c r="BA21" i="6"/>
  <c r="BE21" i="6"/>
  <c r="BI21" i="6"/>
  <c r="BM21" i="6"/>
  <c r="BQ21" i="6"/>
  <c r="BU21" i="6"/>
  <c r="BY21" i="6"/>
  <c r="CC21" i="6"/>
  <c r="CG21" i="6"/>
  <c r="CK21" i="6"/>
  <c r="CO21" i="6"/>
  <c r="BL22" i="6"/>
  <c r="BP22" i="6"/>
  <c r="BT22" i="6"/>
  <c r="BX22" i="6"/>
  <c r="CB22" i="6"/>
  <c r="CF22" i="6"/>
  <c r="CJ22" i="6"/>
  <c r="CN22" i="6"/>
  <c r="C23" i="6"/>
  <c r="G23" i="6"/>
  <c r="L23" i="6"/>
  <c r="R23" i="6"/>
  <c r="W23" i="6"/>
  <c r="AB23" i="6"/>
  <c r="AH23" i="6"/>
  <c r="AM23" i="6"/>
  <c r="AR23" i="6"/>
  <c r="AX23" i="6"/>
  <c r="BC23" i="6"/>
  <c r="BH23" i="6"/>
  <c r="BN23" i="6"/>
  <c r="BS23" i="6"/>
  <c r="BZ23" i="6"/>
  <c r="CH23" i="6"/>
  <c r="AY22" i="5"/>
  <c r="BM22" i="5" s="1"/>
  <c r="C20" i="6"/>
  <c r="G20" i="6"/>
  <c r="K20" i="6"/>
  <c r="O20" i="6"/>
  <c r="S20" i="6"/>
  <c r="W20" i="6"/>
  <c r="AA20" i="6"/>
  <c r="AE20" i="6"/>
  <c r="AI20" i="6"/>
  <c r="AM20" i="6"/>
  <c r="AQ20" i="6"/>
  <c r="AU20" i="6"/>
  <c r="AY20" i="6"/>
  <c r="BC20" i="6"/>
  <c r="BG20" i="6"/>
  <c r="BK20" i="6"/>
  <c r="BO20" i="6"/>
  <c r="BS20" i="6"/>
  <c r="BW20" i="6"/>
  <c r="CA20" i="6"/>
  <c r="CE20" i="6"/>
  <c r="CI20" i="6"/>
  <c r="B21" i="6"/>
  <c r="F21" i="6"/>
  <c r="J21" i="6"/>
  <c r="N21" i="6"/>
  <c r="R21" i="6"/>
  <c r="V21" i="6"/>
  <c r="Z21" i="6"/>
  <c r="AD21" i="6"/>
  <c r="AH21" i="6"/>
  <c r="AL21" i="6"/>
  <c r="AP21" i="6"/>
  <c r="AT21" i="6"/>
  <c r="AX21" i="6"/>
  <c r="BB21" i="6"/>
  <c r="BF21" i="6"/>
  <c r="BJ21" i="6"/>
  <c r="BN21" i="6"/>
  <c r="BR21" i="6"/>
  <c r="BV21" i="6"/>
  <c r="BZ21" i="6"/>
  <c r="CD21" i="6"/>
  <c r="CH21" i="6"/>
  <c r="E22" i="6"/>
  <c r="I22" i="6"/>
  <c r="M22" i="6"/>
  <c r="Q22" i="6"/>
  <c r="U22" i="6"/>
  <c r="Y22" i="6"/>
  <c r="AC22" i="6"/>
  <c r="AG22" i="6"/>
  <c r="AK22" i="6"/>
  <c r="AO22" i="6"/>
  <c r="AS22" i="6"/>
  <c r="AW22" i="6"/>
  <c r="BA22" i="6"/>
  <c r="BE22" i="6"/>
  <c r="BI22" i="6"/>
  <c r="BM22" i="6"/>
  <c r="BQ22" i="6"/>
  <c r="BU22" i="6"/>
  <c r="BY22" i="6"/>
  <c r="CC22" i="6"/>
  <c r="CG22" i="6"/>
  <c r="CK22" i="6"/>
  <c r="D23" i="6"/>
  <c r="H23" i="6"/>
  <c r="N23" i="6"/>
  <c r="S23" i="6"/>
  <c r="X23" i="6"/>
  <c r="AD23" i="6"/>
  <c r="AI23" i="6"/>
  <c r="AN23" i="6"/>
  <c r="AT23" i="6"/>
  <c r="AY23" i="6"/>
  <c r="BD23" i="6"/>
  <c r="BJ23" i="6"/>
  <c r="BO23" i="6"/>
  <c r="BT23" i="6"/>
  <c r="CA23" i="6"/>
  <c r="CL23" i="6"/>
  <c r="E24" i="6"/>
  <c r="I24" i="6"/>
  <c r="M24" i="6"/>
  <c r="Q24" i="6"/>
  <c r="U24" i="6"/>
  <c r="Y24" i="6"/>
  <c r="AC24" i="6"/>
  <c r="AG24" i="6"/>
  <c r="AK24" i="6"/>
  <c r="AO24" i="6"/>
  <c r="AS24" i="6"/>
  <c r="AW24" i="6"/>
  <c r="BA24" i="6"/>
  <c r="BE24" i="6"/>
  <c r="BI24" i="6"/>
  <c r="BM24" i="6"/>
  <c r="BQ24" i="6"/>
  <c r="BU24" i="6"/>
  <c r="BY24" i="6"/>
  <c r="CC24" i="6"/>
  <c r="CG24" i="6"/>
  <c r="CK24" i="6"/>
  <c r="CO24" i="6"/>
  <c r="D25" i="6"/>
  <c r="H25" i="6"/>
  <c r="L25" i="6"/>
  <c r="P25" i="6"/>
  <c r="T25" i="6"/>
  <c r="X25" i="6"/>
  <c r="AB25" i="6"/>
  <c r="AF25" i="6"/>
  <c r="AJ25" i="6"/>
  <c r="AN25" i="6"/>
  <c r="AR25" i="6"/>
  <c r="AV25" i="6"/>
  <c r="AZ25" i="6"/>
  <c r="BD25" i="6"/>
  <c r="BH25" i="6"/>
  <c r="BL25" i="6"/>
  <c r="BP25" i="6"/>
  <c r="BT25" i="6"/>
  <c r="BX25" i="6"/>
  <c r="CB25" i="6"/>
  <c r="CF25" i="6"/>
  <c r="CJ25" i="6"/>
  <c r="CN25" i="6"/>
  <c r="C26" i="6"/>
  <c r="G26" i="6"/>
  <c r="K26" i="6"/>
  <c r="O26" i="6"/>
  <c r="S26" i="6"/>
  <c r="W26" i="6"/>
  <c r="AA26" i="6"/>
  <c r="AE26" i="6"/>
  <c r="AJ26" i="6"/>
  <c r="AP26" i="6"/>
  <c r="AU26" i="6"/>
  <c r="AZ26" i="6"/>
  <c r="BF26" i="6"/>
  <c r="BL26" i="6"/>
  <c r="BT26" i="6"/>
  <c r="CB26" i="6"/>
  <c r="CJ26" i="6"/>
  <c r="B24" i="6"/>
  <c r="F24" i="6"/>
  <c r="J24" i="6"/>
  <c r="N24" i="6"/>
  <c r="R24" i="6"/>
  <c r="V24" i="6"/>
  <c r="Z24" i="6"/>
  <c r="AD24" i="6"/>
  <c r="AH24" i="6"/>
  <c r="AL24" i="6"/>
  <c r="AP24" i="6"/>
  <c r="AT24" i="6"/>
  <c r="AX24" i="6"/>
  <c r="BB24" i="6"/>
  <c r="BF24" i="6"/>
  <c r="BJ24" i="6"/>
  <c r="BN24" i="6"/>
  <c r="BR24" i="6"/>
  <c r="BV24" i="6"/>
  <c r="BZ24" i="6"/>
  <c r="CD24" i="6"/>
  <c r="CH24" i="6"/>
  <c r="CL24" i="6"/>
  <c r="E25" i="6"/>
  <c r="I25" i="6"/>
  <c r="M25" i="6"/>
  <c r="Q25" i="6"/>
  <c r="U25" i="6"/>
  <c r="Y25" i="6"/>
  <c r="AC25" i="6"/>
  <c r="AG25" i="6"/>
  <c r="AK25" i="6"/>
  <c r="AO25" i="6"/>
  <c r="AS25" i="6"/>
  <c r="AW25" i="6"/>
  <c r="BA25" i="6"/>
  <c r="BE25" i="6"/>
  <c r="BI25" i="6"/>
  <c r="BM25" i="6"/>
  <c r="BQ25" i="6"/>
  <c r="BU25" i="6"/>
  <c r="BY25" i="6"/>
  <c r="CC25" i="6"/>
  <c r="CG25" i="6"/>
  <c r="CK25" i="6"/>
  <c r="CO25" i="6"/>
  <c r="D26" i="6"/>
  <c r="H26" i="6"/>
  <c r="L26" i="6"/>
  <c r="P26" i="6"/>
  <c r="T26" i="6"/>
  <c r="X26" i="6"/>
  <c r="AB26" i="6"/>
  <c r="AF26" i="6"/>
  <c r="AL26" i="6"/>
  <c r="AQ26" i="6"/>
  <c r="AV26" i="6"/>
  <c r="BB26" i="6"/>
  <c r="BG26" i="6"/>
  <c r="BN26" i="6"/>
  <c r="BV26" i="6"/>
  <c r="CD26" i="6"/>
  <c r="C24" i="6"/>
  <c r="G24" i="6"/>
  <c r="K24" i="6"/>
  <c r="O24" i="6"/>
  <c r="S24" i="6"/>
  <c r="W24" i="6"/>
  <c r="AA24" i="6"/>
  <c r="AE24" i="6"/>
  <c r="AI24" i="6"/>
  <c r="AM24" i="6"/>
  <c r="AQ24" i="6"/>
  <c r="AU24" i="6"/>
  <c r="AY24" i="6"/>
  <c r="BC24" i="6"/>
  <c r="BG24" i="6"/>
  <c r="BK24" i="6"/>
  <c r="BO24" i="6"/>
  <c r="BS24" i="6"/>
  <c r="BW24" i="6"/>
  <c r="CA24" i="6"/>
  <c r="CE24" i="6"/>
  <c r="CI24" i="6"/>
  <c r="CM24" i="6"/>
  <c r="B25" i="6"/>
  <c r="F25" i="6"/>
  <c r="J25" i="6"/>
  <c r="N25" i="6"/>
  <c r="R25" i="6"/>
  <c r="V25" i="6"/>
  <c r="Z25" i="6"/>
  <c r="AD25" i="6"/>
  <c r="AH25" i="6"/>
  <c r="AL25" i="6"/>
  <c r="AP25" i="6"/>
  <c r="AT25" i="6"/>
  <c r="AX25" i="6"/>
  <c r="BB25" i="6"/>
  <c r="BF25" i="6"/>
  <c r="BJ25" i="6"/>
  <c r="BN25" i="6"/>
  <c r="BR25" i="6"/>
  <c r="BV25" i="6"/>
  <c r="BZ25" i="6"/>
  <c r="CD25" i="6"/>
  <c r="CH25" i="6"/>
  <c r="CL25" i="6"/>
  <c r="CM26" i="6"/>
  <c r="CI26" i="6"/>
  <c r="CE26" i="6"/>
  <c r="CA26" i="6"/>
  <c r="BW26" i="6"/>
  <c r="BS26" i="6"/>
  <c r="BO26" i="6"/>
  <c r="BK26" i="6"/>
  <c r="CO26" i="6"/>
  <c r="CK26" i="6"/>
  <c r="CG26" i="6"/>
  <c r="CC26" i="6"/>
  <c r="BY26" i="6"/>
  <c r="BU26" i="6"/>
  <c r="BQ26" i="6"/>
  <c r="BM26" i="6"/>
  <c r="BI26" i="6"/>
  <c r="BE26" i="6"/>
  <c r="BA26" i="6"/>
  <c r="AW26" i="6"/>
  <c r="AS26" i="6"/>
  <c r="AO26" i="6"/>
  <c r="AK26" i="6"/>
  <c r="AG26" i="6"/>
  <c r="E26" i="6"/>
  <c r="I26" i="6"/>
  <c r="M26" i="6"/>
  <c r="Q26" i="6"/>
  <c r="U26" i="6"/>
  <c r="Y26" i="6"/>
  <c r="AC26" i="6"/>
  <c r="AH26" i="6"/>
  <c r="AM26" i="6"/>
  <c r="AR26" i="6"/>
  <c r="AX26" i="6"/>
  <c r="BC26" i="6"/>
  <c r="BH26" i="6"/>
  <c r="BP26" i="6"/>
  <c r="BX26" i="6"/>
  <c r="CF26" i="6"/>
  <c r="CN26" i="6"/>
  <c r="D24" i="6"/>
  <c r="H24" i="6"/>
  <c r="L24" i="6"/>
  <c r="P24" i="6"/>
  <c r="T24" i="6"/>
  <c r="X24" i="6"/>
  <c r="AB24" i="6"/>
  <c r="AF24" i="6"/>
  <c r="AJ24" i="6"/>
  <c r="AN24" i="6"/>
  <c r="AR24" i="6"/>
  <c r="AV24" i="6"/>
  <c r="AZ24" i="6"/>
  <c r="BD24" i="6"/>
  <c r="BH24" i="6"/>
  <c r="BL24" i="6"/>
  <c r="BP24" i="6"/>
  <c r="BT24" i="6"/>
  <c r="BX24" i="6"/>
  <c r="CB24" i="6"/>
  <c r="CF24" i="6"/>
  <c r="CJ24" i="6"/>
  <c r="C25" i="6"/>
  <c r="G25" i="6"/>
  <c r="K25" i="6"/>
  <c r="O25" i="6"/>
  <c r="S25" i="6"/>
  <c r="W25" i="6"/>
  <c r="AA25" i="6"/>
  <c r="AE25" i="6"/>
  <c r="AI25" i="6"/>
  <c r="AM25" i="6"/>
  <c r="AQ25" i="6"/>
  <c r="AU25" i="6"/>
  <c r="AY25" i="6"/>
  <c r="BC25" i="6"/>
  <c r="BG25" i="6"/>
  <c r="BK25" i="6"/>
  <c r="BO25" i="6"/>
  <c r="BS25" i="6"/>
  <c r="BW25" i="6"/>
  <c r="CA25" i="6"/>
  <c r="CE25" i="6"/>
  <c r="CI25" i="6"/>
  <c r="B26" i="6"/>
  <c r="F26" i="6"/>
  <c r="J26" i="6"/>
  <c r="N26" i="6"/>
  <c r="R26" i="6"/>
  <c r="V26" i="6"/>
  <c r="Z26" i="6"/>
  <c r="AD26" i="6"/>
  <c r="AI26" i="6"/>
  <c r="AN26" i="6"/>
  <c r="AT26" i="6"/>
  <c r="AY26" i="6"/>
  <c r="BD26" i="6"/>
  <c r="BJ26" i="6"/>
  <c r="BR26" i="6"/>
  <c r="BZ26" i="6"/>
  <c r="CH26" i="6"/>
  <c r="CD28" i="6"/>
  <c r="CH28" i="6"/>
  <c r="CL28" i="6"/>
  <c r="E29" i="6"/>
  <c r="I29" i="6"/>
  <c r="M29" i="6"/>
  <c r="Q29" i="6"/>
  <c r="U29" i="6"/>
  <c r="Y29" i="6"/>
  <c r="AC29" i="6"/>
  <c r="AG29" i="6"/>
  <c r="AK29" i="6"/>
  <c r="AO29" i="6"/>
  <c r="AS29" i="6"/>
  <c r="AW29" i="6"/>
  <c r="BA29" i="6"/>
  <c r="BE29" i="6"/>
  <c r="BI29" i="6"/>
  <c r="BM29" i="6"/>
  <c r="BQ29" i="6"/>
  <c r="BU29" i="6"/>
  <c r="BY29" i="6"/>
  <c r="CC29" i="6"/>
  <c r="CG29" i="6"/>
  <c r="CK29" i="6"/>
  <c r="CO29" i="6"/>
  <c r="D27" i="6"/>
  <c r="H27" i="6"/>
  <c r="L27" i="6"/>
  <c r="P27" i="6"/>
  <c r="T27" i="6"/>
  <c r="X27" i="6"/>
  <c r="AB27" i="6"/>
  <c r="AF27" i="6"/>
  <c r="AJ27" i="6"/>
  <c r="AN27" i="6"/>
  <c r="AR27" i="6"/>
  <c r="AV27" i="6"/>
  <c r="AZ27" i="6"/>
  <c r="BD27" i="6"/>
  <c r="BH27" i="6"/>
  <c r="BL27" i="6"/>
  <c r="BP27" i="6"/>
  <c r="BT27" i="6"/>
  <c r="BX27" i="6"/>
  <c r="CB27" i="6"/>
  <c r="CF27" i="6"/>
  <c r="CJ27" i="6"/>
  <c r="CN27" i="6"/>
  <c r="C28" i="6"/>
  <c r="G28" i="6"/>
  <c r="K28" i="6"/>
  <c r="O28" i="6"/>
  <c r="S28" i="6"/>
  <c r="W28" i="6"/>
  <c r="AA28" i="6"/>
  <c r="AE28" i="6"/>
  <c r="AI28" i="6"/>
  <c r="AM28" i="6"/>
  <c r="AQ28" i="6"/>
  <c r="AU28" i="6"/>
  <c r="AY28" i="6"/>
  <c r="BC28" i="6"/>
  <c r="BG28" i="6"/>
  <c r="BK28" i="6"/>
  <c r="BO28" i="6"/>
  <c r="BS28" i="6"/>
  <c r="BW28" i="6"/>
  <c r="CA28" i="6"/>
  <c r="CE28" i="6"/>
  <c r="CI28" i="6"/>
  <c r="CM28" i="6"/>
  <c r="B29" i="6"/>
  <c r="F29" i="6"/>
  <c r="J29" i="6"/>
  <c r="N29" i="6"/>
  <c r="R29" i="6"/>
  <c r="V29" i="6"/>
  <c r="Z29" i="6"/>
  <c r="AD29" i="6"/>
  <c r="AH29" i="6"/>
  <c r="AL29" i="6"/>
  <c r="AP29" i="6"/>
  <c r="AT29" i="6"/>
  <c r="AX29" i="6"/>
  <c r="BB29" i="6"/>
  <c r="BF29" i="6"/>
  <c r="BJ29" i="6"/>
  <c r="BN29" i="6"/>
  <c r="BR29" i="6"/>
  <c r="BV29" i="6"/>
  <c r="BZ29" i="6"/>
  <c r="CD29" i="6"/>
  <c r="CH29" i="6"/>
  <c r="CL29" i="6"/>
  <c r="E27" i="6"/>
  <c r="I27" i="6"/>
  <c r="M27" i="6"/>
  <c r="Q27" i="6"/>
  <c r="U27" i="6"/>
  <c r="Y27" i="6"/>
  <c r="AC27" i="6"/>
  <c r="AG27" i="6"/>
  <c r="AK27" i="6"/>
  <c r="AO27" i="6"/>
  <c r="AS27" i="6"/>
  <c r="AW27" i="6"/>
  <c r="BA27" i="6"/>
  <c r="BE27" i="6"/>
  <c r="BI27" i="6"/>
  <c r="BM27" i="6"/>
  <c r="BQ27" i="6"/>
  <c r="BU27" i="6"/>
  <c r="BY27" i="6"/>
  <c r="CC27" i="6"/>
  <c r="CG27" i="6"/>
  <c r="CK27" i="6"/>
  <c r="CO27" i="6"/>
  <c r="D28" i="6"/>
  <c r="H28" i="6"/>
  <c r="L28" i="6"/>
  <c r="P28" i="6"/>
  <c r="T28" i="6"/>
  <c r="X28" i="6"/>
  <c r="AB28" i="6"/>
  <c r="AF28" i="6"/>
  <c r="AJ28" i="6"/>
  <c r="AN28" i="6"/>
  <c r="AR28" i="6"/>
  <c r="AV28" i="6"/>
  <c r="AZ28" i="6"/>
  <c r="BD28" i="6"/>
  <c r="BH28" i="6"/>
  <c r="BL28" i="6"/>
  <c r="BP28" i="6"/>
  <c r="BT28" i="6"/>
  <c r="BX28" i="6"/>
  <c r="CB28" i="6"/>
  <c r="CF28" i="6"/>
  <c r="CJ28" i="6"/>
  <c r="CN28" i="6"/>
  <c r="C29" i="6"/>
  <c r="G29" i="6"/>
  <c r="K29" i="6"/>
  <c r="O29" i="6"/>
  <c r="S29" i="6"/>
  <c r="W29" i="6"/>
  <c r="AA29" i="6"/>
  <c r="AE29" i="6"/>
  <c r="AI29" i="6"/>
  <c r="AM29" i="6"/>
  <c r="AQ29" i="6"/>
  <c r="AU29" i="6"/>
  <c r="AY29" i="6"/>
  <c r="BC29" i="6"/>
  <c r="BG29" i="6"/>
  <c r="BK29" i="6"/>
  <c r="BO29" i="6"/>
  <c r="BS29" i="6"/>
  <c r="BW29" i="6"/>
  <c r="CA29" i="6"/>
  <c r="CE29" i="6"/>
  <c r="CI29" i="6"/>
  <c r="CM29" i="6"/>
  <c r="B27" i="6"/>
  <c r="F27" i="6"/>
  <c r="J27" i="6"/>
  <c r="N27" i="6"/>
  <c r="R27" i="6"/>
  <c r="V27" i="6"/>
  <c r="Z27" i="6"/>
  <c r="AD27" i="6"/>
  <c r="AH27" i="6"/>
  <c r="AL27" i="6"/>
  <c r="AP27" i="6"/>
  <c r="AT27" i="6"/>
  <c r="AX27" i="6"/>
  <c r="BB27" i="6"/>
  <c r="BF27" i="6"/>
  <c r="BJ27" i="6"/>
  <c r="BN27" i="6"/>
  <c r="BR27" i="6"/>
  <c r="BV27" i="6"/>
  <c r="BZ27" i="6"/>
  <c r="CD27" i="6"/>
  <c r="CH27" i="6"/>
  <c r="E28" i="6"/>
  <c r="I28" i="6"/>
  <c r="M28" i="6"/>
  <c r="Q28" i="6"/>
  <c r="U28" i="6"/>
  <c r="Y28" i="6"/>
  <c r="AC28" i="6"/>
  <c r="AG28" i="6"/>
  <c r="AK28" i="6"/>
  <c r="AO28" i="6"/>
  <c r="AS28" i="6"/>
  <c r="AW28" i="6"/>
  <c r="BA28" i="6"/>
  <c r="BE28" i="6"/>
  <c r="BI28" i="6"/>
  <c r="BM28" i="6"/>
  <c r="BQ28" i="6"/>
  <c r="BU28" i="6"/>
  <c r="BY28" i="6"/>
  <c r="CC28" i="6"/>
  <c r="CG28" i="6"/>
  <c r="CK28" i="6"/>
  <c r="D29" i="6"/>
  <c r="H29" i="6"/>
  <c r="L29" i="6"/>
  <c r="P29" i="6"/>
  <c r="T29" i="6"/>
  <c r="X29" i="6"/>
  <c r="AB29" i="6"/>
  <c r="AF29" i="6"/>
  <c r="AJ29" i="6"/>
  <c r="AN29" i="6"/>
  <c r="AR29" i="6"/>
  <c r="AV29" i="6"/>
  <c r="AZ29" i="6"/>
  <c r="BD29" i="6"/>
  <c r="BH29" i="6"/>
  <c r="BL29" i="6"/>
  <c r="BP29" i="6"/>
  <c r="BT29" i="6"/>
  <c r="BX29" i="6"/>
  <c r="CB29" i="6"/>
  <c r="CF29" i="6"/>
  <c r="CJ29" i="6"/>
  <c r="BC21" i="5" l="1"/>
  <c r="CP21" i="5" s="1"/>
  <c r="BD18" i="5"/>
  <c r="CS18" i="5" s="1"/>
  <c r="BD16" i="5"/>
  <c r="CS16" i="5" s="1"/>
  <c r="BD14" i="5"/>
  <c r="CS14" i="5" s="1"/>
  <c r="BC19" i="5"/>
  <c r="CP19" i="5" s="1"/>
  <c r="BC17" i="5"/>
  <c r="CP17" i="5" s="1"/>
  <c r="BC15" i="5"/>
  <c r="CP15" i="5" s="1"/>
  <c r="BC13" i="5"/>
  <c r="CP13" i="5" s="1"/>
  <c r="BD20" i="5"/>
  <c r="CS20" i="5" s="1"/>
  <c r="F24" i="3"/>
  <c r="H24" i="3"/>
  <c r="AA17" i="2"/>
  <c r="L17" i="2"/>
  <c r="AA18" i="2"/>
  <c r="N21" i="2"/>
  <c r="DC14" i="2"/>
  <c r="DA14" i="2"/>
  <c r="DB14" i="2"/>
  <c r="I24" i="3"/>
  <c r="N15" i="2"/>
  <c r="BB21" i="5"/>
  <c r="CM21" i="5" s="1"/>
  <c r="BB20" i="5"/>
  <c r="CM20" i="5" s="1"/>
  <c r="DB21" i="2"/>
  <c r="DC21" i="2"/>
  <c r="DA21" i="2"/>
  <c r="DC22" i="2"/>
  <c r="DA22" i="2"/>
  <c r="DB22" i="2"/>
  <c r="DA18" i="2"/>
  <c r="DC18" i="2"/>
  <c r="DB18" i="2"/>
  <c r="AA14" i="2"/>
  <c r="N13" i="2"/>
  <c r="L13" i="2" s="1"/>
  <c r="N18" i="2"/>
  <c r="L18" i="2" s="1"/>
  <c r="N16" i="2"/>
  <c r="N20" i="2"/>
  <c r="L20" i="2" s="1"/>
  <c r="AA12" i="2"/>
  <c r="AA21" i="2"/>
  <c r="X15" i="2"/>
  <c r="AA15" i="2"/>
  <c r="N14" i="2"/>
  <c r="U9" i="2"/>
  <c r="X10" i="2"/>
  <c r="X18" i="2" s="1"/>
  <c r="L16" i="2"/>
  <c r="E24" i="3"/>
  <c r="DA15" i="2"/>
  <c r="DC15" i="2"/>
  <c r="DB15" i="2"/>
  <c r="AA16" i="2"/>
  <c r="X16" i="2"/>
  <c r="N19" i="2"/>
  <c r="L12" i="2"/>
  <c r="AJ9" i="2"/>
  <c r="AG10" i="2"/>
  <c r="AG14" i="2" s="1"/>
  <c r="G24" i="3"/>
  <c r="G25" i="3"/>
  <c r="K12" i="2"/>
  <c r="AB12" i="2"/>
  <c r="L14" i="2"/>
  <c r="AA20" i="2"/>
  <c r="X20" i="2"/>
  <c r="AB17" i="2"/>
  <c r="K17" i="2"/>
  <c r="N22" i="2"/>
  <c r="AG19" i="2"/>
  <c r="X19" i="2"/>
  <c r="AA19" i="2"/>
  <c r="L21" i="2"/>
  <c r="AA22" i="2"/>
  <c r="X22" i="2"/>
  <c r="AG22" i="2"/>
  <c r="L15" i="2"/>
  <c r="X13" i="2"/>
  <c r="AG13" i="2"/>
  <c r="AA13" i="2"/>
  <c r="K22" i="2" l="1"/>
  <c r="AB22" i="2"/>
  <c r="Y22" i="2"/>
  <c r="AH22" i="2"/>
  <c r="E302" i="1"/>
  <c r="AG16" i="2"/>
  <c r="AH16" i="2" s="1"/>
  <c r="AG15" i="2"/>
  <c r="X21" i="2"/>
  <c r="X12" i="2"/>
  <c r="Y12" i="2" s="1"/>
  <c r="AG12" i="2"/>
  <c r="AH12" i="2" s="1"/>
  <c r="Y16" i="2"/>
  <c r="K16" i="2"/>
  <c r="AB16" i="2"/>
  <c r="L22" i="2"/>
  <c r="AG18" i="2"/>
  <c r="AH19" i="2"/>
  <c r="Y19" i="2"/>
  <c r="K19" i="2"/>
  <c r="AB19" i="2"/>
  <c r="U10" i="2"/>
  <c r="R9" i="2"/>
  <c r="Y18" i="2"/>
  <c r="AB18" i="2"/>
  <c r="AH18" i="2"/>
  <c r="K18" i="2"/>
  <c r="AB21" i="2"/>
  <c r="K21" i="2"/>
  <c r="Y21" i="2"/>
  <c r="X17" i="2"/>
  <c r="Y17" i="2" s="1"/>
  <c r="L19" i="2"/>
  <c r="K14" i="2"/>
  <c r="Y14" i="2"/>
  <c r="AH14" i="2"/>
  <c r="AB14" i="2"/>
  <c r="AG21" i="2"/>
  <c r="AH21" i="2" s="1"/>
  <c r="AH13" i="2"/>
  <c r="AB13" i="2"/>
  <c r="AC12" i="2" s="1"/>
  <c r="K13" i="2"/>
  <c r="Y13" i="2"/>
  <c r="X14" i="2"/>
  <c r="Y15" i="2"/>
  <c r="AB15" i="2"/>
  <c r="AH15" i="2"/>
  <c r="K15" i="2"/>
  <c r="AG17" i="2"/>
  <c r="AH17" i="2" s="1"/>
  <c r="AG20" i="2"/>
  <c r="AH20" i="2" s="1"/>
  <c r="AJ10" i="2"/>
  <c r="AM9" i="2"/>
  <c r="K20" i="2"/>
  <c r="Y20" i="2"/>
  <c r="AB20" i="2"/>
  <c r="AC18" i="2" s="1"/>
  <c r="E303" i="1"/>
  <c r="BS18" i="2" l="1"/>
  <c r="AD18" i="2"/>
  <c r="AE18" i="2" s="1"/>
  <c r="AD12" i="2"/>
  <c r="AE12" i="2" s="1"/>
  <c r="BS12" i="2"/>
  <c r="AJ14" i="2"/>
  <c r="AK14" i="2" s="1"/>
  <c r="AJ22" i="2"/>
  <c r="AK22" i="2" s="1"/>
  <c r="AJ13" i="2"/>
  <c r="AK13" i="2" s="1"/>
  <c r="AJ19" i="2"/>
  <c r="AK19" i="2" s="1"/>
  <c r="AJ17" i="2"/>
  <c r="AK17" i="2" s="1"/>
  <c r="AJ21" i="2"/>
  <c r="AK21" i="2" s="1"/>
  <c r="AJ16" i="2"/>
  <c r="AK16" i="2" s="1"/>
  <c r="AJ18" i="2"/>
  <c r="AK18" i="2" s="1"/>
  <c r="AJ12" i="2"/>
  <c r="AK12" i="2" s="1"/>
  <c r="AJ15" i="2"/>
  <c r="AK15" i="2" s="1"/>
  <c r="AJ20" i="2"/>
  <c r="AK20" i="2" s="1"/>
  <c r="AC22" i="2"/>
  <c r="AC16" i="2"/>
  <c r="AC17" i="2"/>
  <c r="AC19" i="2"/>
  <c r="AC15" i="2"/>
  <c r="AC14" i="2"/>
  <c r="AI15" i="2"/>
  <c r="BT15" i="2" s="1"/>
  <c r="AI12" i="2"/>
  <c r="BT12" i="2" s="1"/>
  <c r="AI16" i="2"/>
  <c r="BT16" i="2" s="1"/>
  <c r="AI14" i="2"/>
  <c r="BT14" i="2" s="1"/>
  <c r="AI13" i="2"/>
  <c r="BT13" i="2" s="1"/>
  <c r="AI19" i="2"/>
  <c r="BT19" i="2" s="1"/>
  <c r="AI18" i="2"/>
  <c r="BT18" i="2" s="1"/>
  <c r="AI22" i="2"/>
  <c r="BT22" i="2" s="1"/>
  <c r="AI21" i="2"/>
  <c r="BT21" i="2" s="1"/>
  <c r="AI20" i="2"/>
  <c r="BT20" i="2" s="1"/>
  <c r="AI17" i="2"/>
  <c r="BT17" i="2" s="1"/>
  <c r="AC21" i="2"/>
  <c r="AC20" i="2"/>
  <c r="R10" i="2"/>
  <c r="O9" i="2"/>
  <c r="AC13" i="2"/>
  <c r="Z13" i="2"/>
  <c r="BR13" i="2" s="1"/>
  <c r="Z14" i="2"/>
  <c r="BR14" i="2" s="1"/>
  <c r="Z16" i="2"/>
  <c r="BR16" i="2" s="1"/>
  <c r="Z12" i="2"/>
  <c r="BR12" i="2" s="1"/>
  <c r="Z15" i="2"/>
  <c r="BR15" i="2" s="1"/>
  <c r="AM10" i="2"/>
  <c r="AP9" i="2"/>
  <c r="Z18" i="2"/>
  <c r="BR18" i="2" s="1"/>
  <c r="Z17" i="2"/>
  <c r="BR17" i="2" s="1"/>
  <c r="Z21" i="2"/>
  <c r="BR21" i="2" s="1"/>
  <c r="Z22" i="2"/>
  <c r="BR22" i="2" s="1"/>
  <c r="Z20" i="2"/>
  <c r="BR20" i="2" s="1"/>
  <c r="Z19" i="2"/>
  <c r="BR19" i="2" s="1"/>
  <c r="U18" i="2"/>
  <c r="V18" i="2" s="1"/>
  <c r="U14" i="2"/>
  <c r="V14" i="2" s="1"/>
  <c r="U12" i="2"/>
  <c r="V12" i="2" s="1"/>
  <c r="U21" i="2"/>
  <c r="V21" i="2" s="1"/>
  <c r="U15" i="2"/>
  <c r="V15" i="2" s="1"/>
  <c r="U16" i="2"/>
  <c r="V16" i="2" s="1"/>
  <c r="U20" i="2"/>
  <c r="V20" i="2" s="1"/>
  <c r="U22" i="2"/>
  <c r="V22" i="2" s="1"/>
  <c r="U17" i="2"/>
  <c r="V17" i="2" s="1"/>
  <c r="U19" i="2"/>
  <c r="V19" i="2" s="1"/>
  <c r="U13" i="2"/>
  <c r="V13" i="2" s="1"/>
  <c r="BS21" i="2" l="1"/>
  <c r="AD21" i="2"/>
  <c r="AE21" i="2" s="1"/>
  <c r="AD14" i="2"/>
  <c r="AE14" i="2" s="1"/>
  <c r="BS14" i="2"/>
  <c r="AL15" i="2"/>
  <c r="BU15" i="2" s="1"/>
  <c r="AL14" i="2"/>
  <c r="BU14" i="2" s="1"/>
  <c r="AL12" i="2"/>
  <c r="BU12" i="2" s="1"/>
  <c r="AL16" i="2"/>
  <c r="BU16" i="2" s="1"/>
  <c r="AL13" i="2"/>
  <c r="BU13" i="2" s="1"/>
  <c r="AS9" i="2"/>
  <c r="AP10" i="2"/>
  <c r="BS15" i="2"/>
  <c r="AD15" i="2"/>
  <c r="AE15" i="2" s="1"/>
  <c r="AF13" i="2" s="1"/>
  <c r="BS22" i="2"/>
  <c r="AD22" i="2"/>
  <c r="AE22" i="2" s="1"/>
  <c r="BS13" i="2"/>
  <c r="AD13" i="2"/>
  <c r="AE13" i="2" s="1"/>
  <c r="BS16" i="2"/>
  <c r="AD16" i="2"/>
  <c r="AE16" i="2" s="1"/>
  <c r="AL20" i="2"/>
  <c r="BU20" i="2" s="1"/>
  <c r="AL18" i="2"/>
  <c r="BU18" i="2" s="1"/>
  <c r="AL19" i="2"/>
  <c r="BU19" i="2" s="1"/>
  <c r="AL17" i="2"/>
  <c r="BU17" i="2" s="1"/>
  <c r="AL21" i="2"/>
  <c r="BU21" i="2" s="1"/>
  <c r="AL22" i="2"/>
  <c r="BU22" i="2" s="1"/>
  <c r="O10" i="2"/>
  <c r="CI9" i="2"/>
  <c r="BO9" i="2"/>
  <c r="W22" i="2"/>
  <c r="BQ22" i="2" s="1"/>
  <c r="W21" i="2"/>
  <c r="BQ21" i="2" s="1"/>
  <c r="W20" i="2"/>
  <c r="BQ20" i="2" s="1"/>
  <c r="W17" i="2"/>
  <c r="BQ17" i="2" s="1"/>
  <c r="W19" i="2"/>
  <c r="BQ19" i="2" s="1"/>
  <c r="W18" i="2"/>
  <c r="BQ18" i="2" s="1"/>
  <c r="AM15" i="2"/>
  <c r="AN15" i="2" s="1"/>
  <c r="AM20" i="2"/>
  <c r="AN20" i="2" s="1"/>
  <c r="AM17" i="2"/>
  <c r="AN17" i="2" s="1"/>
  <c r="AM18" i="2"/>
  <c r="AN18" i="2" s="1"/>
  <c r="AM21" i="2"/>
  <c r="AN21" i="2" s="1"/>
  <c r="AM19" i="2"/>
  <c r="AN19" i="2" s="1"/>
  <c r="AM13" i="2"/>
  <c r="AN13" i="2" s="1"/>
  <c r="AM14" i="2"/>
  <c r="AN14" i="2" s="1"/>
  <c r="AM12" i="2"/>
  <c r="AN12" i="2" s="1"/>
  <c r="AM16" i="2"/>
  <c r="AN16" i="2" s="1"/>
  <c r="AM22" i="2"/>
  <c r="AN22" i="2" s="1"/>
  <c r="R17" i="2"/>
  <c r="S17" i="2" s="1"/>
  <c r="R12" i="2"/>
  <c r="S12" i="2" s="1"/>
  <c r="R16" i="2"/>
  <c r="S16" i="2" s="1"/>
  <c r="R13" i="2"/>
  <c r="S13" i="2" s="1"/>
  <c r="R18" i="2"/>
  <c r="S18" i="2" s="1"/>
  <c r="R20" i="2"/>
  <c r="S20" i="2" s="1"/>
  <c r="R14" i="2"/>
  <c r="S14" i="2" s="1"/>
  <c r="R15" i="2"/>
  <c r="S15" i="2" s="1"/>
  <c r="R19" i="2"/>
  <c r="S19" i="2" s="1"/>
  <c r="R21" i="2"/>
  <c r="S21" i="2" s="1"/>
  <c r="R22" i="2"/>
  <c r="S22" i="2" s="1"/>
  <c r="BS19" i="2"/>
  <c r="AD19" i="2"/>
  <c r="AE19" i="2" s="1"/>
  <c r="D302" i="1"/>
  <c r="AF16" i="2"/>
  <c r="BS17" i="2"/>
  <c r="AD17" i="2"/>
  <c r="AE17" i="2" s="1"/>
  <c r="BS20" i="2"/>
  <c r="AD20" i="2"/>
  <c r="AE20" i="2" s="1"/>
  <c r="W12" i="2"/>
  <c r="BQ12" i="2" s="1"/>
  <c r="W14" i="2"/>
  <c r="BQ14" i="2" s="1"/>
  <c r="W13" i="2"/>
  <c r="BQ13" i="2" s="1"/>
  <c r="W15" i="2"/>
  <c r="BQ15" i="2" s="1"/>
  <c r="W16" i="2"/>
  <c r="BQ16" i="2" s="1"/>
  <c r="AF12" i="2" l="1"/>
  <c r="AO21" i="2"/>
  <c r="BV21" i="2" s="1"/>
  <c r="AO19" i="2"/>
  <c r="BV19" i="2" s="1"/>
  <c r="AO18" i="2"/>
  <c r="BV18" i="2" s="1"/>
  <c r="AO22" i="2"/>
  <c r="BV22" i="2" s="1"/>
  <c r="AO17" i="2"/>
  <c r="BV17" i="2" s="1"/>
  <c r="AO20" i="2"/>
  <c r="BV20" i="2" s="1"/>
  <c r="AO13" i="2"/>
  <c r="BV13" i="2" s="1"/>
  <c r="AO16" i="2"/>
  <c r="BV16" i="2" s="1"/>
  <c r="AO15" i="2"/>
  <c r="BV15" i="2" s="1"/>
  <c r="AO14" i="2"/>
  <c r="BV14" i="2" s="1"/>
  <c r="AO12" i="2"/>
  <c r="BV12" i="2" s="1"/>
  <c r="AF14" i="2"/>
  <c r="T22" i="2"/>
  <c r="BP22" i="2" s="1"/>
  <c r="T21" i="2"/>
  <c r="BP21" i="2" s="1"/>
  <c r="T18" i="2"/>
  <c r="BP18" i="2" s="1"/>
  <c r="T19" i="2"/>
  <c r="BP19" i="2" s="1"/>
  <c r="T17" i="2"/>
  <c r="BP17" i="2" s="1"/>
  <c r="T20" i="2"/>
  <c r="BP20" i="2" s="1"/>
  <c r="O12" i="2"/>
  <c r="P12" i="2" s="1"/>
  <c r="O21" i="2"/>
  <c r="P21" i="2" s="1"/>
  <c r="O14" i="2"/>
  <c r="P14" i="2" s="1"/>
  <c r="O15" i="2"/>
  <c r="P15" i="2" s="1"/>
  <c r="O16" i="2"/>
  <c r="P16" i="2" s="1"/>
  <c r="O22" i="2"/>
  <c r="P22" i="2" s="1"/>
  <c r="O13" i="2"/>
  <c r="P13" i="2" s="1"/>
  <c r="O20" i="2"/>
  <c r="P20" i="2" s="1"/>
  <c r="O17" i="2"/>
  <c r="P17" i="2" s="1"/>
  <c r="O18" i="2"/>
  <c r="P18" i="2" s="1"/>
  <c r="O19" i="2"/>
  <c r="P19" i="2" s="1"/>
  <c r="AF15" i="2"/>
  <c r="BP9" i="2"/>
  <c r="BO10" i="2"/>
  <c r="AP20" i="2"/>
  <c r="AQ20" i="2" s="1"/>
  <c r="AP15" i="2"/>
  <c r="AQ15" i="2" s="1"/>
  <c r="AP19" i="2"/>
  <c r="AQ19" i="2" s="1"/>
  <c r="AP17" i="2"/>
  <c r="AQ17" i="2" s="1"/>
  <c r="AP12" i="2"/>
  <c r="AQ12" i="2" s="1"/>
  <c r="AP21" i="2"/>
  <c r="AQ21" i="2" s="1"/>
  <c r="AP22" i="2"/>
  <c r="AQ22" i="2" s="1"/>
  <c r="AP18" i="2"/>
  <c r="AQ18" i="2" s="1"/>
  <c r="AP14" i="2"/>
  <c r="AQ14" i="2" s="1"/>
  <c r="AP16" i="2"/>
  <c r="AQ16" i="2" s="1"/>
  <c r="AP13" i="2"/>
  <c r="AQ13" i="2" s="1"/>
  <c r="T13" i="2"/>
  <c r="BP13" i="2" s="1"/>
  <c r="T15" i="2"/>
  <c r="BP15" i="2" s="1"/>
  <c r="T14" i="2"/>
  <c r="BP14" i="2" s="1"/>
  <c r="T16" i="2"/>
  <c r="BP16" i="2" s="1"/>
  <c r="T12" i="2"/>
  <c r="BP12" i="2" s="1"/>
  <c r="CJ9" i="2"/>
  <c r="CI10" i="2"/>
  <c r="CI17" i="2"/>
  <c r="CI12" i="2"/>
  <c r="AV9" i="2"/>
  <c r="AS10" i="2"/>
  <c r="D303" i="1"/>
  <c r="AF22" i="2"/>
  <c r="AF21" i="2"/>
  <c r="AF18" i="2"/>
  <c r="AF19" i="2"/>
  <c r="AF17" i="2"/>
  <c r="AF20" i="2"/>
  <c r="AS20" i="2" l="1"/>
  <c r="AT20" i="2" s="1"/>
  <c r="AS19" i="2"/>
  <c r="AT19" i="2" s="1"/>
  <c r="AS22" i="2"/>
  <c r="AT22" i="2" s="1"/>
  <c r="AS17" i="2"/>
  <c r="AT17" i="2" s="1"/>
  <c r="AS14" i="2"/>
  <c r="AT14" i="2" s="1"/>
  <c r="AS18" i="2"/>
  <c r="AT18" i="2" s="1"/>
  <c r="AS12" i="2"/>
  <c r="AT12" i="2" s="1"/>
  <c r="AS21" i="2"/>
  <c r="AT21" i="2" s="1"/>
  <c r="AS15" i="2"/>
  <c r="AT15" i="2" s="1"/>
  <c r="AS13" i="2"/>
  <c r="AT13" i="2" s="1"/>
  <c r="AS16" i="2"/>
  <c r="AT16" i="2" s="1"/>
  <c r="BQ9" i="2"/>
  <c r="BP10" i="2"/>
  <c r="AV10" i="2"/>
  <c r="AY9" i="2"/>
  <c r="CK9" i="2"/>
  <c r="CJ10" i="2"/>
  <c r="CJ12" i="2"/>
  <c r="CJ17" i="2"/>
  <c r="AR16" i="2"/>
  <c r="BW16" i="2" s="1"/>
  <c r="AR14" i="2"/>
  <c r="BW14" i="2" s="1"/>
  <c r="AR12" i="2"/>
  <c r="BW12" i="2" s="1"/>
  <c r="AR15" i="2"/>
  <c r="BW15" i="2" s="1"/>
  <c r="AR13" i="2"/>
  <c r="BW13" i="2" s="1"/>
  <c r="Q20" i="2"/>
  <c r="Q17" i="2"/>
  <c r="Q22" i="2"/>
  <c r="Q21" i="2"/>
  <c r="Q19" i="2"/>
  <c r="Q18" i="2"/>
  <c r="Q16" i="2"/>
  <c r="Q14" i="2"/>
  <c r="Q15" i="2"/>
  <c r="Q13" i="2"/>
  <c r="Q12" i="2"/>
  <c r="CJ18" i="2"/>
  <c r="CJ13" i="2"/>
  <c r="AR20" i="2"/>
  <c r="BW20" i="2" s="1"/>
  <c r="AR19" i="2"/>
  <c r="BW19" i="2" s="1"/>
  <c r="AR21" i="2"/>
  <c r="BW21" i="2" s="1"/>
  <c r="AR18" i="2"/>
  <c r="BW18" i="2" s="1"/>
  <c r="AR17" i="2"/>
  <c r="BW17" i="2" s="1"/>
  <c r="AR22" i="2"/>
  <c r="BW22" i="2" s="1"/>
  <c r="DF14" i="2" l="1"/>
  <c r="DE14" i="2" s="1"/>
  <c r="DD14" i="2"/>
  <c r="BO14" i="2"/>
  <c r="DF21" i="2"/>
  <c r="DE21" i="2" s="1"/>
  <c r="BO21" i="2"/>
  <c r="DD21" i="2"/>
  <c r="CK10" i="2"/>
  <c r="CL9" i="2"/>
  <c r="CK12" i="2"/>
  <c r="CK17" i="2"/>
  <c r="BQ10" i="2"/>
  <c r="BR9" i="2"/>
  <c r="AU20" i="2"/>
  <c r="BX20" i="2" s="1"/>
  <c r="AU17" i="2"/>
  <c r="BX17" i="2" s="1"/>
  <c r="AU19" i="2"/>
  <c r="BX19" i="2" s="1"/>
  <c r="AU18" i="2"/>
  <c r="BX18" i="2" s="1"/>
  <c r="AU22" i="2"/>
  <c r="BX22" i="2" s="1"/>
  <c r="AU21" i="2"/>
  <c r="BX21" i="2" s="1"/>
  <c r="BO12" i="2"/>
  <c r="DF16" i="2"/>
  <c r="BO16" i="2"/>
  <c r="DE16" i="2"/>
  <c r="DD16" i="2"/>
  <c r="DD22" i="2"/>
  <c r="DF22" i="2"/>
  <c r="DE22" i="2" s="1"/>
  <c r="BO22" i="2"/>
  <c r="AY10" i="2"/>
  <c r="BB9" i="2"/>
  <c r="AU13" i="2"/>
  <c r="BX13" i="2" s="1"/>
  <c r="AU12" i="2"/>
  <c r="BX12" i="2" s="1"/>
  <c r="AU16" i="2"/>
  <c r="BX16" i="2" s="1"/>
  <c r="AU14" i="2"/>
  <c r="BX14" i="2" s="1"/>
  <c r="AU15" i="2"/>
  <c r="BX15" i="2" s="1"/>
  <c r="DF13" i="2"/>
  <c r="BO13" i="2"/>
  <c r="CI13" i="2" s="1"/>
  <c r="DD13" i="2"/>
  <c r="DE13" i="2" s="1"/>
  <c r="DD18" i="2"/>
  <c r="BO18" i="2"/>
  <c r="CI18" i="2" s="1"/>
  <c r="DF18" i="2"/>
  <c r="DE18" i="2" s="1"/>
  <c r="BO17" i="2"/>
  <c r="AV17" i="2"/>
  <c r="AW17" i="2" s="1"/>
  <c r="AV13" i="2"/>
  <c r="AW13" i="2" s="1"/>
  <c r="AV12" i="2"/>
  <c r="AW12" i="2" s="1"/>
  <c r="AV21" i="2"/>
  <c r="AW21" i="2" s="1"/>
  <c r="AV16" i="2"/>
  <c r="AW16" i="2" s="1"/>
  <c r="AV18" i="2"/>
  <c r="AW18" i="2" s="1"/>
  <c r="AV14" i="2"/>
  <c r="AW14" i="2" s="1"/>
  <c r="AV15" i="2"/>
  <c r="AW15" i="2" s="1"/>
  <c r="AV20" i="2"/>
  <c r="AW20" i="2" s="1"/>
  <c r="AV19" i="2"/>
  <c r="AW19" i="2" s="1"/>
  <c r="AV22" i="2"/>
  <c r="AW22" i="2" s="1"/>
  <c r="DD15" i="2"/>
  <c r="DE15" i="2" s="1"/>
  <c r="DF15" i="2"/>
  <c r="BO15" i="2"/>
  <c r="DF19" i="2"/>
  <c r="BO19" i="2"/>
  <c r="DD19" i="2"/>
  <c r="DE19" i="2" s="1"/>
  <c r="DF20" i="2"/>
  <c r="DE20" i="2" s="1"/>
  <c r="BO20" i="2"/>
  <c r="DD20" i="2"/>
  <c r="AX14" i="2" l="1"/>
  <c r="BY14" i="2" s="1"/>
  <c r="AX12" i="2"/>
  <c r="BY12" i="2" s="1"/>
  <c r="AX16" i="2"/>
  <c r="BY16" i="2" s="1"/>
  <c r="AX15" i="2"/>
  <c r="BY15" i="2" s="1"/>
  <c r="AX13" i="2"/>
  <c r="BY13" i="2" s="1"/>
  <c r="BE9" i="2"/>
  <c r="BB10" i="2"/>
  <c r="CK13" i="2"/>
  <c r="AY17" i="2"/>
  <c r="AZ17" i="2" s="1"/>
  <c r="AY18" i="2"/>
  <c r="AZ18" i="2" s="1"/>
  <c r="AY21" i="2"/>
  <c r="AZ21" i="2" s="1"/>
  <c r="AY13" i="2"/>
  <c r="AZ13" i="2" s="1"/>
  <c r="AY14" i="2"/>
  <c r="AZ14" i="2" s="1"/>
  <c r="AY12" i="2"/>
  <c r="AZ12" i="2" s="1"/>
  <c r="AY16" i="2"/>
  <c r="AZ16" i="2" s="1"/>
  <c r="AY19" i="2"/>
  <c r="AZ19" i="2" s="1"/>
  <c r="AY22" i="2"/>
  <c r="AZ22" i="2" s="1"/>
  <c r="AY15" i="2"/>
  <c r="AZ15" i="2" s="1"/>
  <c r="AY20" i="2"/>
  <c r="AZ20" i="2" s="1"/>
  <c r="BR10" i="2"/>
  <c r="BS9" i="2"/>
  <c r="CL10" i="2"/>
  <c r="CM9" i="2"/>
  <c r="CL17" i="2"/>
  <c r="CL18" i="2" s="1"/>
  <c r="CL12" i="2"/>
  <c r="CL13" i="2" s="1"/>
  <c r="AX19" i="2"/>
  <c r="BY19" i="2" s="1"/>
  <c r="AX22" i="2"/>
  <c r="BY22" i="2" s="1"/>
  <c r="AX18" i="2"/>
  <c r="BY18" i="2" s="1"/>
  <c r="AX21" i="2"/>
  <c r="BY21" i="2" s="1"/>
  <c r="AX20" i="2"/>
  <c r="BY20" i="2" s="1"/>
  <c r="AX17" i="2"/>
  <c r="BY17" i="2" s="1"/>
  <c r="CK18" i="2"/>
  <c r="BT9" i="2" l="1"/>
  <c r="BS10" i="2"/>
  <c r="BA13" i="2"/>
  <c r="BZ13" i="2" s="1"/>
  <c r="BA15" i="2"/>
  <c r="BZ15" i="2" s="1"/>
  <c r="BA12" i="2"/>
  <c r="BZ12" i="2" s="1"/>
  <c r="BA14" i="2"/>
  <c r="BZ14" i="2" s="1"/>
  <c r="BA16" i="2"/>
  <c r="BZ16" i="2" s="1"/>
  <c r="BB17" i="2"/>
  <c r="BC17" i="2" s="1"/>
  <c r="BB18" i="2"/>
  <c r="BC18" i="2" s="1"/>
  <c r="BB12" i="2"/>
  <c r="BC12" i="2" s="1"/>
  <c r="BB19" i="2"/>
  <c r="BC19" i="2" s="1"/>
  <c r="BB22" i="2"/>
  <c r="BC22" i="2" s="1"/>
  <c r="BB21" i="2"/>
  <c r="BC21" i="2" s="1"/>
  <c r="BB15" i="2"/>
  <c r="BC15" i="2" s="1"/>
  <c r="BB16" i="2"/>
  <c r="BC16" i="2" s="1"/>
  <c r="BB13" i="2"/>
  <c r="BC13" i="2" s="1"/>
  <c r="BB14" i="2"/>
  <c r="BC14" i="2" s="1"/>
  <c r="BB20" i="2"/>
  <c r="BC20" i="2" s="1"/>
  <c r="BA18" i="2"/>
  <c r="BZ18" i="2" s="1"/>
  <c r="BA21" i="2"/>
  <c r="BZ21" i="2" s="1"/>
  <c r="BA22" i="2"/>
  <c r="BZ22" i="2" s="1"/>
  <c r="BA17" i="2"/>
  <c r="BZ17" i="2" s="1"/>
  <c r="BA19" i="2"/>
  <c r="BZ19" i="2" s="1"/>
  <c r="BA20" i="2"/>
  <c r="BZ20" i="2" s="1"/>
  <c r="BH9" i="2"/>
  <c r="BE10" i="2"/>
  <c r="CN9" i="2"/>
  <c r="CM10" i="2"/>
  <c r="CM12" i="2"/>
  <c r="CM17" i="2"/>
  <c r="BD17" i="2" l="1"/>
  <c r="CA17" i="2" s="1"/>
  <c r="BD19" i="2"/>
  <c r="CA19" i="2" s="1"/>
  <c r="BD22" i="2"/>
  <c r="CA22" i="2" s="1"/>
  <c r="BD20" i="2"/>
  <c r="CA20" i="2" s="1"/>
  <c r="BD21" i="2"/>
  <c r="CA21" i="2" s="1"/>
  <c r="BD18" i="2"/>
  <c r="CA18" i="2" s="1"/>
  <c r="CM18" i="2"/>
  <c r="CO9" i="2"/>
  <c r="CN10" i="2"/>
  <c r="CN17" i="2"/>
  <c r="CN18" i="2" s="1"/>
  <c r="CN12" i="2"/>
  <c r="CN13" i="2" s="1"/>
  <c r="BE18" i="2"/>
  <c r="BF18" i="2" s="1"/>
  <c r="BE12" i="2"/>
  <c r="BF12" i="2" s="1"/>
  <c r="BE15" i="2"/>
  <c r="BF15" i="2" s="1"/>
  <c r="BE16" i="2"/>
  <c r="BF16" i="2" s="1"/>
  <c r="BE20" i="2"/>
  <c r="BF20" i="2" s="1"/>
  <c r="BE22" i="2"/>
  <c r="BF22" i="2" s="1"/>
  <c r="BE17" i="2"/>
  <c r="BF17" i="2" s="1"/>
  <c r="BE14" i="2"/>
  <c r="BF14" i="2" s="1"/>
  <c r="BE21" i="2"/>
  <c r="BF21" i="2" s="1"/>
  <c r="BE19" i="2"/>
  <c r="BF19" i="2" s="1"/>
  <c r="BE13" i="2"/>
  <c r="BF13" i="2" s="1"/>
  <c r="CM13" i="2"/>
  <c r="BH10" i="2"/>
  <c r="BK9" i="2"/>
  <c r="BK10" i="2" s="1"/>
  <c r="BD14" i="2"/>
  <c r="CA14" i="2" s="1"/>
  <c r="BD13" i="2"/>
  <c r="CA13" i="2" s="1"/>
  <c r="BD15" i="2"/>
  <c r="CA15" i="2" s="1"/>
  <c r="BD12" i="2"/>
  <c r="CA12" i="2" s="1"/>
  <c r="BD16" i="2"/>
  <c r="CA16" i="2" s="1"/>
  <c r="BU9" i="2"/>
  <c r="BT10" i="2"/>
  <c r="BH21" i="2" l="1"/>
  <c r="BI21" i="2" s="1"/>
  <c r="BH16" i="2"/>
  <c r="BI16" i="2" s="1"/>
  <c r="BH13" i="2"/>
  <c r="BI13" i="2" s="1"/>
  <c r="BH18" i="2"/>
  <c r="BI18" i="2" s="1"/>
  <c r="BH12" i="2"/>
  <c r="BI12" i="2" s="1"/>
  <c r="BH15" i="2"/>
  <c r="BI15" i="2" s="1"/>
  <c r="BH20" i="2"/>
  <c r="BI20" i="2" s="1"/>
  <c r="BH14" i="2"/>
  <c r="BI14" i="2" s="1"/>
  <c r="BH22" i="2"/>
  <c r="BI22" i="2" s="1"/>
  <c r="BH17" i="2"/>
  <c r="BI17" i="2" s="1"/>
  <c r="BH19" i="2"/>
  <c r="BI19" i="2" s="1"/>
  <c r="BG13" i="2"/>
  <c r="CB13" i="2" s="1"/>
  <c r="BG15" i="2"/>
  <c r="CB15" i="2" s="1"/>
  <c r="BG12" i="2"/>
  <c r="CB12" i="2" s="1"/>
  <c r="BG16" i="2"/>
  <c r="CB16" i="2" s="1"/>
  <c r="BG14" i="2"/>
  <c r="CB14" i="2" s="1"/>
  <c r="CO10" i="2"/>
  <c r="CO17" i="2"/>
  <c r="CO18" i="2" s="1"/>
  <c r="CP9" i="2"/>
  <c r="CO12" i="2"/>
  <c r="CO13" i="2" s="1"/>
  <c r="BU10" i="2"/>
  <c r="BV9" i="2"/>
  <c r="BK21" i="2"/>
  <c r="BL21" i="2" s="1"/>
  <c r="BK18" i="2"/>
  <c r="BL18" i="2" s="1"/>
  <c r="BK14" i="2"/>
  <c r="BL14" i="2" s="1"/>
  <c r="BK12" i="2"/>
  <c r="BL12" i="2" s="1"/>
  <c r="BK16" i="2"/>
  <c r="BL16" i="2" s="1"/>
  <c r="BK19" i="2"/>
  <c r="BL19" i="2" s="1"/>
  <c r="BK22" i="2"/>
  <c r="BL22" i="2" s="1"/>
  <c r="BK20" i="2"/>
  <c r="BL20" i="2" s="1"/>
  <c r="BK13" i="2"/>
  <c r="BL13" i="2" s="1"/>
  <c r="BK17" i="2"/>
  <c r="BL17" i="2" s="1"/>
  <c r="BK15" i="2"/>
  <c r="BL15" i="2" s="1"/>
  <c r="BG19" i="2"/>
  <c r="CB19" i="2" s="1"/>
  <c r="BG22" i="2"/>
  <c r="CB22" i="2" s="1"/>
  <c r="BG21" i="2"/>
  <c r="CB21" i="2" s="1"/>
  <c r="BG20" i="2"/>
  <c r="CB20" i="2" s="1"/>
  <c r="BG17" i="2"/>
  <c r="CB17" i="2" s="1"/>
  <c r="BG18" i="2"/>
  <c r="CB18" i="2" s="1"/>
  <c r="BM16" i="2" l="1"/>
  <c r="CD16" i="2" s="1"/>
  <c r="BM14" i="2"/>
  <c r="CD14" i="2" s="1"/>
  <c r="BM15" i="2"/>
  <c r="CD15" i="2" s="1"/>
  <c r="BM12" i="2"/>
  <c r="CD12" i="2" s="1"/>
  <c r="BM13" i="2"/>
  <c r="CD13" i="2" s="1"/>
  <c r="BV10" i="2"/>
  <c r="BW9" i="2"/>
  <c r="CP10" i="2"/>
  <c r="CQ9" i="2"/>
  <c r="CP12" i="2"/>
  <c r="CP13" i="2" s="1"/>
  <c r="CP17" i="2"/>
  <c r="CP18" i="2" s="1"/>
  <c r="BM20" i="2"/>
  <c r="CD20" i="2" s="1"/>
  <c r="BM17" i="2"/>
  <c r="CD17" i="2" s="1"/>
  <c r="BM21" i="2"/>
  <c r="CD21" i="2" s="1"/>
  <c r="BM22" i="2"/>
  <c r="CD22" i="2" s="1"/>
  <c r="BM19" i="2"/>
  <c r="CD19" i="2" s="1"/>
  <c r="BM18" i="2"/>
  <c r="CD18" i="2" s="1"/>
  <c r="BJ17" i="2"/>
  <c r="CC17" i="2" s="1"/>
  <c r="BJ21" i="2"/>
  <c r="CC21" i="2" s="1"/>
  <c r="BJ22" i="2"/>
  <c r="CC22" i="2" s="1"/>
  <c r="BJ20" i="2"/>
  <c r="CC20" i="2" s="1"/>
  <c r="BJ19" i="2"/>
  <c r="CC19" i="2" s="1"/>
  <c r="BJ18" i="2"/>
  <c r="CC18" i="2" s="1"/>
  <c r="BJ15" i="2"/>
  <c r="CC15" i="2" s="1"/>
  <c r="BJ13" i="2"/>
  <c r="CC13" i="2" s="1"/>
  <c r="BJ12" i="2"/>
  <c r="CC12" i="2" s="1"/>
  <c r="BJ16" i="2"/>
  <c r="CC16" i="2" s="1"/>
  <c r="BJ14" i="2"/>
  <c r="CC14" i="2" s="1"/>
  <c r="BX9" i="2" l="1"/>
  <c r="BW10" i="2"/>
  <c r="CR9" i="2"/>
  <c r="CQ10" i="2"/>
  <c r="CQ17" i="2"/>
  <c r="CQ18" i="2" s="1"/>
  <c r="CQ12" i="2"/>
  <c r="CQ13" i="2" s="1"/>
  <c r="BY9" i="2" l="1"/>
  <c r="BX10" i="2"/>
  <c r="CS9" i="2"/>
  <c r="CR10" i="2"/>
  <c r="CR17" i="2"/>
  <c r="CR18" i="2" s="1"/>
  <c r="CR12" i="2"/>
  <c r="CR13" i="2" s="1"/>
  <c r="CS10" i="2" l="1"/>
  <c r="CT9" i="2"/>
  <c r="CS12" i="2"/>
  <c r="CS13" i="2" s="1"/>
  <c r="CS17" i="2"/>
  <c r="CS18" i="2" s="1"/>
  <c r="BY10" i="2"/>
  <c r="BZ9" i="2"/>
  <c r="CT10" i="2" l="1"/>
  <c r="CU9" i="2"/>
  <c r="CT17" i="2"/>
  <c r="CT18" i="2" s="1"/>
  <c r="CT12" i="2"/>
  <c r="CT13" i="2" s="1"/>
  <c r="BZ10" i="2"/>
  <c r="CA9" i="2"/>
  <c r="CB9" i="2" l="1"/>
  <c r="CA10" i="2"/>
  <c r="CV9" i="2"/>
  <c r="CU10" i="2"/>
  <c r="CU12" i="2"/>
  <c r="CU13" i="2" s="1"/>
  <c r="CU17" i="2"/>
  <c r="CU18" i="2" s="1"/>
  <c r="CW9" i="2" l="1"/>
  <c r="CV10" i="2"/>
  <c r="CV17" i="2"/>
  <c r="CV18" i="2" s="1"/>
  <c r="CV12" i="2"/>
  <c r="CV13" i="2" s="1"/>
  <c r="CC9" i="2"/>
  <c r="CB10" i="2"/>
  <c r="CC10" i="2" l="1"/>
  <c r="CD9" i="2"/>
  <c r="CD10" i="2" s="1"/>
  <c r="CW10" i="2"/>
  <c r="CX9" i="2"/>
  <c r="CW17" i="2"/>
  <c r="CW18" i="2" s="1"/>
  <c r="CW12" i="2"/>
  <c r="CW13" i="2" s="1"/>
  <c r="CX10" i="2" l="1"/>
  <c r="CX17" i="2"/>
  <c r="CX18" i="2" s="1"/>
  <c r="DA17" i="2" s="1" a="1"/>
  <c r="CX12" i="2"/>
  <c r="CX13" i="2" s="1"/>
  <c r="DA12" i="2" s="1" a="1"/>
  <c r="DA12" i="2" l="1"/>
  <c r="DF12" i="2" s="1"/>
  <c r="K302" i="1" s="1"/>
  <c r="Q302" i="1" s="1"/>
  <c r="DC12" i="2"/>
  <c r="DD12" i="2" s="1"/>
  <c r="DB12" i="2"/>
  <c r="DC17" i="2"/>
  <c r="DD17" i="2" s="1"/>
  <c r="DB17" i="2"/>
  <c r="DA17" i="2"/>
  <c r="DF17" i="2" s="1"/>
  <c r="K303" i="1" s="1"/>
  <c r="Q303" i="1" s="1"/>
  <c r="I303" i="1" l="1"/>
  <c r="O303" i="1" s="1"/>
  <c r="DE17" i="2"/>
  <c r="J303" i="1" s="1"/>
  <c r="P303" i="1" s="1"/>
  <c r="I302" i="1"/>
  <c r="O302" i="1" s="1"/>
  <c r="DE12" i="2"/>
  <c r="J302" i="1" s="1"/>
  <c r="P30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Ward, Ellen</author>
    <author>Guerrero, Alyshia</author>
  </authors>
  <commentList>
    <comment ref="A26" authorId="0" shapeId="0" xr:uid="{97213CC4-B7E0-4DA7-BBA9-1456DB150C85}">
      <text>
        <r>
          <rPr>
            <b/>
            <sz val="9"/>
            <color indexed="81"/>
            <rFont val="Tahoma"/>
            <family val="2"/>
          </rPr>
          <t>Ward, Ellen:</t>
        </r>
        <r>
          <rPr>
            <sz val="9"/>
            <color indexed="81"/>
            <rFont val="Tahoma"/>
            <family val="2"/>
          </rPr>
          <t xml:space="preserve">
aka Methyl Chloroform</t>
        </r>
      </text>
    </comment>
    <comment ref="A61" authorId="0" shapeId="0" xr:uid="{D3F9DEFD-748B-40A3-98EB-86EF77B8510A}">
      <text>
        <r>
          <rPr>
            <b/>
            <sz val="9"/>
            <color indexed="81"/>
            <rFont val="Tahoma"/>
            <family val="2"/>
          </rPr>
          <t>Ward, Ellen:</t>
        </r>
        <r>
          <rPr>
            <sz val="9"/>
            <color indexed="81"/>
            <rFont val="Tahoma"/>
            <family val="2"/>
          </rPr>
          <t xml:space="preserve">
aka dimethyl ether</t>
        </r>
      </text>
    </comment>
    <comment ref="D90" authorId="1" shapeId="0" xr:uid="{A0DD64E5-6F6B-4D8E-908D-FBE66AAD1ED6}">
      <text>
        <r>
          <rPr>
            <b/>
            <sz val="9"/>
            <color indexed="81"/>
            <rFont val="Tahoma"/>
            <family val="2"/>
          </rPr>
          <t>Guerrero, Alyshia:</t>
        </r>
        <r>
          <rPr>
            <sz val="9"/>
            <color indexed="81"/>
            <rFont val="Tahoma"/>
            <family val="2"/>
          </rPr>
          <t xml:space="preserve">
Used MW of Asbestos (Crysotile) CAS # 12001-29-5</t>
        </r>
      </text>
    </comment>
    <comment ref="A101" authorId="1" shapeId="0" xr:uid="{FE559CB4-9D97-4AD9-BA9A-E8FB38A957DB}">
      <text>
        <r>
          <rPr>
            <b/>
            <sz val="9"/>
            <color indexed="81"/>
            <rFont val="Tahoma"/>
            <family val="2"/>
          </rPr>
          <t>Guerrero, Alyshia:</t>
        </r>
        <r>
          <rPr>
            <sz val="9"/>
            <color indexed="81"/>
            <rFont val="Tahoma"/>
            <family val="2"/>
          </rPr>
          <t xml:space="preserve">
aka BUTYL ALCOHOL, N-</t>
        </r>
      </text>
    </comment>
    <comment ref="A159" authorId="1" shapeId="0" xr:uid="{FB8C4854-7AEE-4076-9B2B-BEA7ED17CA98}">
      <text>
        <r>
          <rPr>
            <b/>
            <sz val="9"/>
            <color indexed="81"/>
            <rFont val="Tahoma"/>
            <family val="2"/>
          </rPr>
          <t>Guerrero, Alyshia:</t>
        </r>
        <r>
          <rPr>
            <sz val="9"/>
            <color indexed="81"/>
            <rFont val="Tahoma"/>
            <family val="2"/>
          </rPr>
          <t xml:space="preserve">
aka Diethyl Ether</t>
        </r>
      </text>
    </comment>
    <comment ref="A271" authorId="1" shapeId="0" xr:uid="{EB62265C-3CDC-4CCA-BC05-B773BD18B322}">
      <text>
        <r>
          <rPr>
            <b/>
            <sz val="9"/>
            <color indexed="81"/>
            <rFont val="Tahoma"/>
            <family val="2"/>
          </rPr>
          <t>Guerrero, Alyshia:</t>
        </r>
        <r>
          <rPr>
            <sz val="9"/>
            <color indexed="81"/>
            <rFont val="Tahoma"/>
            <family val="2"/>
          </rPr>
          <t xml:space="preserve">
aka DIHYDROXYBENZENE, 1,3-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Ward, Ellen</author>
  </authors>
  <commentList>
    <comment ref="E183" authorId="0" shapeId="0" xr:uid="{6D1718DD-0C47-4D1E-BC72-1DDD39240B20}">
      <text>
        <r>
          <rPr>
            <b/>
            <sz val="9"/>
            <color indexed="81"/>
            <rFont val="Tahoma"/>
            <family val="2"/>
          </rPr>
          <t>Ward, Ellen:</t>
        </r>
        <r>
          <rPr>
            <sz val="9"/>
            <color indexed="81"/>
            <rFont val="Tahoma"/>
            <family val="2"/>
          </rPr>
          <t xml:space="preserve">
The value listed in AP-42 for this value is 1608 which is not the average of these numbers. </t>
        </r>
      </text>
    </comment>
    <comment ref="E316" authorId="0" shapeId="0" xr:uid="{8AE03542-0DB7-4677-86B8-0FB5814EDF57}">
      <text>
        <r>
          <rPr>
            <b/>
            <sz val="9"/>
            <color indexed="81"/>
            <rFont val="Tahoma"/>
            <family val="2"/>
          </rPr>
          <t>Ward, Ellen:</t>
        </r>
        <r>
          <rPr>
            <sz val="9"/>
            <color indexed="81"/>
            <rFont val="Tahoma"/>
            <family val="2"/>
          </rPr>
          <t xml:space="preserve">
A value of 1165 is shown in the table. </t>
        </r>
      </text>
    </comment>
  </commentList>
</comments>
</file>

<file path=xl/sharedStrings.xml><?xml version="1.0" encoding="utf-8"?>
<sst xmlns="http://schemas.openxmlformats.org/spreadsheetml/2006/main" count="3881" uniqueCount="1257">
  <si>
    <t>Table No. X</t>
  </si>
  <si>
    <t xml:space="preserve"> </t>
  </si>
  <si>
    <t>Instructions:</t>
  </si>
  <si>
    <t>The starter library includes all species listed in AP-42 Chapter 7 and its background document Manual of Petroleum Measurement Standards, Chapter 19.4 - November 2013. Also included are most HAPs and most exempt VOCs.</t>
  </si>
  <si>
    <t>For single component liquids:</t>
  </si>
  <si>
    <t>Product Data</t>
  </si>
  <si>
    <t>Product Code:</t>
  </si>
  <si>
    <t>Enter product name or code. The product names will be used to populate drop down lists on calculation pages.</t>
  </si>
  <si>
    <t>CAS No.:</t>
  </si>
  <si>
    <t xml:space="preserve">Enter product CAS number if known. </t>
  </si>
  <si>
    <t>[1] Reference 1:  AP-42, Fifth Edition, Volume 1, Chapter 7.1 Organic Liquid Storage Tanks - November 2006</t>
  </si>
  <si>
    <t>Classification:</t>
  </si>
  <si>
    <t>Select product classification:</t>
  </si>
  <si>
    <t>[2] Reference 2:  Manual of Petroleum Measurement Standards, Chapter 19.4 - November 2013</t>
  </si>
  <si>
    <t>Non-VOC</t>
  </si>
  <si>
    <t>Use for chemicals that are volatile, but are not organics such as ammonia</t>
  </si>
  <si>
    <t>PM</t>
  </si>
  <si>
    <t>Use for particulates</t>
  </si>
  <si>
    <t>Conversion of RVP to Antoine Coefficients (Figure 7.1-6):</t>
  </si>
  <si>
    <r>
      <t>Calculation of Product Factor K</t>
    </r>
    <r>
      <rPr>
        <b/>
        <u/>
        <vertAlign val="subscript"/>
        <sz val="11"/>
        <rFont val="Arial"/>
        <family val="2"/>
      </rPr>
      <t>C</t>
    </r>
    <r>
      <rPr>
        <b/>
        <u/>
        <sz val="11"/>
        <rFont val="Arial"/>
        <family val="2"/>
      </rPr>
      <t xml:space="preserve"> (Equation 2-3):</t>
    </r>
  </si>
  <si>
    <t>PM HAP</t>
  </si>
  <si>
    <t>Use for particulates that are also on the HAP list. Most of these have been included in the starter library. The list is here: http://iaspub.epa.gov/triexplorer/tri_text.list_chemical_hap</t>
  </si>
  <si>
    <t>A = 12.82 - 0.9672 * ln (RVP)</t>
  </si>
  <si>
    <r>
      <t>K</t>
    </r>
    <r>
      <rPr>
        <vertAlign val="subscript"/>
        <sz val="11"/>
        <rFont val="Arial"/>
        <family val="2"/>
      </rPr>
      <t>C</t>
    </r>
    <r>
      <rPr>
        <sz val="11"/>
        <rFont val="Arial"/>
        <family val="2"/>
      </rPr>
      <t xml:space="preserve"> = 0.4 for crude oils</t>
    </r>
  </si>
  <si>
    <t>VOC</t>
  </si>
  <si>
    <t xml:space="preserve">Use for volatile organic compounds as defined in 40 Code of Federal Regulations §51.100(s), except §51.100(s)(2) - (4), as amended on January 21, 2009 (74 FR 3441). </t>
  </si>
  <si>
    <t>B = 7261 - 1216 * ln (RVP)</t>
  </si>
  <si>
    <r>
      <t>K</t>
    </r>
    <r>
      <rPr>
        <vertAlign val="subscript"/>
        <sz val="11"/>
        <rFont val="Arial"/>
        <family val="2"/>
      </rPr>
      <t>C</t>
    </r>
    <r>
      <rPr>
        <sz val="11"/>
        <rFont val="Arial"/>
        <family val="2"/>
      </rPr>
      <t xml:space="preserve"> = 1 for all other organic liquids</t>
    </r>
  </si>
  <si>
    <t>VOC HAP</t>
  </si>
  <si>
    <t>Use for VOCs that are also on the HAP list. Most of these have been included in the starter library. The list is here: http://iaspub.epa.gov/triexplorer/tri_text.list_chemical_hap</t>
  </si>
  <si>
    <t>where:</t>
  </si>
  <si>
    <t>RVP = Reid vapor pressure, psi</t>
  </si>
  <si>
    <t>(used with floating roof tanks)</t>
  </si>
  <si>
    <t>VOC Exempt</t>
  </si>
  <si>
    <t>Use for VOCs that are exempt solvents. Most of these have been included in the starter library. The list is here: http://www.ecfr.gov/cgi-bin/text-idx?SID=84aa2b76157dfb08df4e9591543e0a4a&amp;mc=true&amp;node=se40.2.51_1100&amp;rgn=div8</t>
  </si>
  <si>
    <t>ln = natural logarithm function</t>
  </si>
  <si>
    <t>VOC Exempt HAP</t>
  </si>
  <si>
    <t>Use for VOCs that are both exempt solvents and HAPs</t>
  </si>
  <si>
    <t>Exempt compounds not included in the starter library include:</t>
  </si>
  <si>
    <t>Conversion of RVP+S to Antoine Coefficients (Figure 7.1-15):</t>
  </si>
  <si>
    <r>
      <t>Calculation of Working Loss Product Factor K</t>
    </r>
    <r>
      <rPr>
        <b/>
        <u/>
        <vertAlign val="subscript"/>
        <sz val="11"/>
        <rFont val="Arial"/>
        <family val="2"/>
      </rPr>
      <t>P</t>
    </r>
    <r>
      <rPr>
        <b/>
        <u/>
        <sz val="11"/>
        <rFont val="Arial"/>
        <family val="2"/>
      </rPr>
      <t xml:space="preserve"> (Equation 1-35):</t>
    </r>
  </si>
  <si>
    <t>(i) Cyclic, branched, or linear, completely fluorinated alkanes;</t>
  </si>
  <si>
    <r>
      <t>A = 15.64 - 1.854 * S</t>
    </r>
    <r>
      <rPr>
        <vertAlign val="superscript"/>
        <sz val="11"/>
        <rFont val="Arial"/>
        <family val="2"/>
      </rPr>
      <t>0.5</t>
    </r>
    <r>
      <rPr>
        <sz val="11"/>
        <rFont val="Arial"/>
        <family val="2"/>
      </rPr>
      <t xml:space="preserve"> - (0.8742 - 0.3280 * S</t>
    </r>
    <r>
      <rPr>
        <vertAlign val="superscript"/>
        <sz val="11"/>
        <rFont val="Arial"/>
        <family val="2"/>
      </rPr>
      <t>0.5</t>
    </r>
    <r>
      <rPr>
        <sz val="11"/>
        <rFont val="Arial"/>
        <family val="2"/>
      </rPr>
      <t>) * ln(RVP)</t>
    </r>
  </si>
  <si>
    <r>
      <t>K</t>
    </r>
    <r>
      <rPr>
        <vertAlign val="subscript"/>
        <sz val="11"/>
        <rFont val="Arial"/>
        <family val="2"/>
      </rPr>
      <t>P</t>
    </r>
    <r>
      <rPr>
        <sz val="11"/>
        <rFont val="Arial"/>
        <family val="2"/>
      </rPr>
      <t xml:space="preserve"> = 0.75 for crude oils</t>
    </r>
  </si>
  <si>
    <t>(ii) Cyclic, branched, or linear, completely fluorinated ethers with no unsaturations;</t>
  </si>
  <si>
    <r>
      <t>B = 8742 - 1042 * S</t>
    </r>
    <r>
      <rPr>
        <vertAlign val="superscript"/>
        <sz val="11"/>
        <rFont val="Arial"/>
        <family val="2"/>
      </rPr>
      <t>0.5</t>
    </r>
    <r>
      <rPr>
        <sz val="11"/>
        <rFont val="Arial"/>
        <family val="2"/>
      </rPr>
      <t xml:space="preserve"> - (1049 - 179.4 * S</t>
    </r>
    <r>
      <rPr>
        <vertAlign val="superscript"/>
        <sz val="11"/>
        <rFont val="Arial"/>
        <family val="2"/>
      </rPr>
      <t>0.5</t>
    </r>
    <r>
      <rPr>
        <sz val="11"/>
        <rFont val="Arial"/>
        <family val="2"/>
      </rPr>
      <t>) * ln(RVP)</t>
    </r>
  </si>
  <si>
    <r>
      <t>K</t>
    </r>
    <r>
      <rPr>
        <vertAlign val="subscript"/>
        <sz val="11"/>
        <rFont val="Arial"/>
        <family val="2"/>
      </rPr>
      <t>P</t>
    </r>
    <r>
      <rPr>
        <sz val="11"/>
        <rFont val="Arial"/>
        <family val="2"/>
      </rPr>
      <t xml:space="preserve"> = 1 for all other organic liquids</t>
    </r>
  </si>
  <si>
    <t>(iii) Cyclic, branched, or linear, completely fluorinated tertiary amines with no unsaturations; and</t>
  </si>
  <si>
    <t>RVP = stock Reid vapor pressure, in psi</t>
  </si>
  <si>
    <t>(used with fixed roof tanks)</t>
  </si>
  <si>
    <t>(iv) Sulfur containing perfluorocarbons with no unsaturations and with sulfur bonds only to carbon and fluorine.</t>
  </si>
  <si>
    <t>Cyclic, Branched, Or Linear Completely Methylated Siloxanes</t>
  </si>
  <si>
    <t>S = stock ASTM-D86 distillation slope at 10 volume percent evaporation (°F/vol%)</t>
  </si>
  <si>
    <t>Refrigerants</t>
  </si>
  <si>
    <t>Metallic Carbides/Carbonates</t>
  </si>
  <si>
    <t>Data to be Entered for All Products</t>
  </si>
  <si>
    <t>Calculated Product Properties</t>
  </si>
  <si>
    <t>VOC Non-Emitted</t>
  </si>
  <si>
    <t>Use for VOCs that are not expected to be emitted because the vapor pressure &lt; 0.01 mmHg, or boiling point &gt; 400F, or molecular weight &gt; 200 lb/lb-mol (This guidance is for coating projects at TCEQ and may not be accepted by other agencies.)</t>
  </si>
  <si>
    <t>Product Code</t>
  </si>
  <si>
    <t>CAS No.</t>
  </si>
  <si>
    <t>Classification</t>
  </si>
  <si>
    <r>
      <t>Vapor Molecular Weight
M</t>
    </r>
    <r>
      <rPr>
        <b/>
        <vertAlign val="subscript"/>
        <sz val="11"/>
        <rFont val="Arial"/>
        <family val="2"/>
      </rPr>
      <t>V</t>
    </r>
    <r>
      <rPr>
        <b/>
        <sz val="11"/>
        <rFont val="Arial"/>
        <family val="2"/>
      </rPr>
      <t xml:space="preserve">
(lb/lb-mol)</t>
    </r>
  </si>
  <si>
    <r>
      <t>Liquid Density
W</t>
    </r>
    <r>
      <rPr>
        <b/>
        <vertAlign val="subscript"/>
        <sz val="11"/>
        <rFont val="Arial"/>
        <family val="2"/>
      </rPr>
      <t>L</t>
    </r>
    <r>
      <rPr>
        <b/>
        <sz val="11"/>
        <rFont val="Arial"/>
        <family val="2"/>
      </rPr>
      <t xml:space="preserve">
(lb/gal)</t>
    </r>
  </si>
  <si>
    <t>Calculation Type</t>
  </si>
  <si>
    <t>RVP
(psia)</t>
  </si>
  <si>
    <t>S-Value 
(unitless)</t>
  </si>
  <si>
    <r>
      <t>Antoine's A</t>
    </r>
    <r>
      <rPr>
        <b/>
        <vertAlign val="subscript"/>
        <sz val="11"/>
        <rFont val="Arial"/>
        <family val="2"/>
      </rPr>
      <t>1</t>
    </r>
    <r>
      <rPr>
        <b/>
        <sz val="11"/>
        <rFont val="Arial"/>
        <family val="2"/>
      </rPr>
      <t xml:space="preserve">
 (unitless)</t>
    </r>
  </si>
  <si>
    <r>
      <t>Antoine's B</t>
    </r>
    <r>
      <rPr>
        <b/>
        <vertAlign val="subscript"/>
        <sz val="11"/>
        <rFont val="Arial"/>
        <family val="2"/>
      </rPr>
      <t>1</t>
    </r>
    <r>
      <rPr>
        <b/>
        <sz val="11"/>
        <rFont val="Arial"/>
        <family val="2"/>
      </rPr>
      <t xml:space="preserve">
(°R or °C)</t>
    </r>
  </si>
  <si>
    <r>
      <t>Antoine's C</t>
    </r>
    <r>
      <rPr>
        <b/>
        <vertAlign val="subscript"/>
        <sz val="11"/>
        <rFont val="Arial"/>
        <family val="2"/>
      </rPr>
      <t>1</t>
    </r>
    <r>
      <rPr>
        <b/>
        <sz val="11"/>
        <rFont val="Arial"/>
        <family val="2"/>
      </rPr>
      <t xml:space="preserve">
 (°C)</t>
    </r>
  </si>
  <si>
    <r>
      <t>Antoine's Temperature Range
T</t>
    </r>
    <r>
      <rPr>
        <b/>
        <vertAlign val="subscript"/>
        <sz val="11"/>
        <rFont val="Arial"/>
        <family val="2"/>
      </rPr>
      <t>min</t>
    </r>
    <r>
      <rPr>
        <b/>
        <sz val="11"/>
        <rFont val="Arial"/>
        <family val="2"/>
      </rPr>
      <t xml:space="preserve">
(°R)</t>
    </r>
  </si>
  <si>
    <r>
      <t>Antoine's Temperature Range
T</t>
    </r>
    <r>
      <rPr>
        <b/>
        <vertAlign val="subscript"/>
        <sz val="11"/>
        <rFont val="Arial"/>
        <family val="2"/>
      </rPr>
      <t xml:space="preserve">max
</t>
    </r>
    <r>
      <rPr>
        <b/>
        <sz val="11"/>
        <rFont val="Arial"/>
        <family val="2"/>
      </rPr>
      <t>(°R)</t>
    </r>
  </si>
  <si>
    <t>Reference</t>
  </si>
  <si>
    <t>Antoine's A
(unitless)</t>
  </si>
  <si>
    <t>Antoine's B
(°R or °C)</t>
  </si>
  <si>
    <t>Antoine's C
(°C)</t>
  </si>
  <si>
    <r>
      <t>Product Factor 
K</t>
    </r>
    <r>
      <rPr>
        <b/>
        <vertAlign val="subscript"/>
        <sz val="11"/>
        <color rgb="FF0070C0"/>
        <rFont val="Arial"/>
        <family val="2"/>
      </rPr>
      <t xml:space="preserve">C
</t>
    </r>
    <r>
      <rPr>
        <b/>
        <sz val="11"/>
        <color rgb="FF0070C0"/>
        <rFont val="Arial"/>
        <family val="2"/>
      </rPr>
      <t>(unitless)</t>
    </r>
  </si>
  <si>
    <r>
      <t>Working Loss Product Factor
K</t>
    </r>
    <r>
      <rPr>
        <b/>
        <vertAlign val="subscript"/>
        <sz val="11"/>
        <color rgb="FF0070C0"/>
        <rFont val="Arial"/>
        <family val="2"/>
      </rPr>
      <t xml:space="preserve">P
</t>
    </r>
    <r>
      <rPr>
        <b/>
        <sz val="11"/>
        <color rgb="FF0070C0"/>
        <rFont val="Arial"/>
        <family val="2"/>
      </rPr>
      <t>(unitless)</t>
    </r>
  </si>
  <si>
    <t>Water</t>
  </si>
  <si>
    <t>Use for water</t>
  </si>
  <si>
    <t>[1] Figure 7.1-6, 7.1-15</t>
  </si>
  <si>
    <t>[1] Eq. 2-3</t>
  </si>
  <si>
    <t>[1] Eq. 1-35</t>
  </si>
  <si>
    <t>Vapor Molecular Weight MV (lb/lb-mol):</t>
  </si>
  <si>
    <t>Enter molecular weight.</t>
  </si>
  <si>
    <t>Empty</t>
  </si>
  <si>
    <t>N/A</t>
  </si>
  <si>
    <t>None</t>
  </si>
  <si>
    <t>Liquid Density WL (lb/gal):</t>
  </si>
  <si>
    <t>Enter density.</t>
  </si>
  <si>
    <t>1,1,1-Trichloroethane</t>
  </si>
  <si>
    <t>71-55-6</t>
  </si>
  <si>
    <t>Antoine's</t>
  </si>
  <si>
    <t>[1] Table 7.1-5 and [2] Table 3</t>
  </si>
  <si>
    <t>Calculation Type:</t>
  </si>
  <si>
    <t>Choose the appropriate calculation type: "RVP" for crude oil products, "RVP+S" for refined products, or "Antoine" for organic compounds with known Antoine's Coefficients.</t>
  </si>
  <si>
    <t>1,2,4-Trichlorobenzene</t>
  </si>
  <si>
    <t>120-82-1</t>
  </si>
  <si>
    <t>Yaws Handbook of Vapor Pressure</t>
  </si>
  <si>
    <t>RVP (psia)</t>
  </si>
  <si>
    <t xml:space="preserve">If using, enter Reid vapor pressure. </t>
  </si>
  <si>
    <t>1,2-Dibromo-3-chloropropane</t>
  </si>
  <si>
    <t>96-12-8</t>
  </si>
  <si>
    <t>Non-volatile</t>
  </si>
  <si>
    <t>Vapor pressure data not available</t>
  </si>
  <si>
    <t>S-Value (unitless)</t>
  </si>
  <si>
    <t xml:space="preserve">If using, enter S value. </t>
  </si>
  <si>
    <t>1,2-Diphenylhydrazine</t>
  </si>
  <si>
    <t>122-66-7</t>
  </si>
  <si>
    <t>PubChem</t>
  </si>
  <si>
    <r>
      <t>Antoine's A</t>
    </r>
    <r>
      <rPr>
        <vertAlign val="subscript"/>
        <sz val="11"/>
        <rFont val="Arial"/>
        <family val="2"/>
      </rPr>
      <t xml:space="preserve">1 </t>
    </r>
    <r>
      <rPr>
        <sz val="11"/>
        <rFont val="Arial"/>
        <family val="2"/>
      </rPr>
      <t xml:space="preserve"> (unitless)</t>
    </r>
  </si>
  <si>
    <t>If using, enter Antoine's A value.</t>
  </si>
  <si>
    <t>1,2-Epoxybutane</t>
  </si>
  <si>
    <t>106-88-7</t>
  </si>
  <si>
    <r>
      <t>Antoine's B</t>
    </r>
    <r>
      <rPr>
        <vertAlign val="subscript"/>
        <sz val="11"/>
        <rFont val="Arial"/>
        <family val="2"/>
      </rPr>
      <t xml:space="preserve">1 </t>
    </r>
    <r>
      <rPr>
        <sz val="11"/>
        <rFont val="Arial"/>
        <family val="2"/>
      </rPr>
      <t>(°R or °C)</t>
    </r>
  </si>
  <si>
    <t>If using, enter Antoine's B value.</t>
  </si>
  <si>
    <t>1,2-Propylenimine (2-Methyl aziridine)</t>
  </si>
  <si>
    <t>75-55-8</t>
  </si>
  <si>
    <r>
      <t>Antoine's C</t>
    </r>
    <r>
      <rPr>
        <vertAlign val="subscript"/>
        <sz val="11"/>
        <rFont val="Arial"/>
        <family val="2"/>
      </rPr>
      <t>1</t>
    </r>
    <r>
      <rPr>
        <sz val="11"/>
        <rFont val="Arial"/>
        <family val="2"/>
      </rPr>
      <t xml:space="preserve">
 (°C)</t>
    </r>
  </si>
  <si>
    <t>If using, enter Antoine's C value.</t>
  </si>
  <si>
    <t>1,3-Dichloropropene</t>
  </si>
  <si>
    <t>542-75-6</t>
  </si>
  <si>
    <r>
      <t>Antoine's Temperature Range T</t>
    </r>
    <r>
      <rPr>
        <vertAlign val="subscript"/>
        <sz val="11"/>
        <rFont val="Arial"/>
        <family val="2"/>
      </rPr>
      <t xml:space="preserve">min </t>
    </r>
    <r>
      <rPr>
        <sz val="11"/>
        <rFont val="Arial"/>
        <family val="2"/>
      </rPr>
      <t>(°R)</t>
    </r>
  </si>
  <si>
    <t>Enter the minimum and maximum temperatures at which the Antoine Coefficients are valid (if known).</t>
  </si>
  <si>
    <t>1,3-Propane sultone</t>
  </si>
  <si>
    <t>1120-71-4</t>
  </si>
  <si>
    <t>Chemical Book</t>
  </si>
  <si>
    <r>
      <t>Antoine's Temperature Range T</t>
    </r>
    <r>
      <rPr>
        <vertAlign val="subscript"/>
        <sz val="11"/>
        <rFont val="Arial"/>
        <family val="2"/>
      </rPr>
      <t xml:space="preserve">max </t>
    </r>
    <r>
      <rPr>
        <sz val="11"/>
        <rFont val="Arial"/>
        <family val="2"/>
      </rPr>
      <t>(°R)</t>
    </r>
  </si>
  <si>
    <t>1,4-Dichlorobenzene(p)</t>
  </si>
  <si>
    <t>106-46-7</t>
  </si>
  <si>
    <t>NIST</t>
  </si>
  <si>
    <t>Petroleum liquid stocks calculated using Antoine's may only have values for A and B. In these cases, C will be zero and B will be in °R.  For organic liquids, the B constant will be in °C, and C will have a non-zero value.</t>
  </si>
  <si>
    <t>2,2,4-Trimethylpentane</t>
  </si>
  <si>
    <t>540-84-1</t>
  </si>
  <si>
    <t>2,3,7,8-Tetrachlorodibenzo-p-dioxin</t>
  </si>
  <si>
    <t>1746-01-6</t>
  </si>
  <si>
    <t xml:space="preserve">Instructions for converting Antoine's Coefficients to different temperature and pressure units </t>
  </si>
  <si>
    <t>2,4,5-Trichlorophenol</t>
  </si>
  <si>
    <t>95-95-4</t>
  </si>
  <si>
    <t>Sometimes the Antoine's constants available in literature are not in the units required here (mmHg and °C). There is a way to convert the constants from other units into the units required:</t>
  </si>
  <si>
    <t>2,4,6-Trichlorophenol</t>
  </si>
  <si>
    <t>88-06-2</t>
  </si>
  <si>
    <t>Antoine Coefficient A</t>
  </si>
  <si>
    <t>2,4-D, salts and esters</t>
  </si>
  <si>
    <t>94-75-7</t>
  </si>
  <si>
    <t>ChemSpider</t>
  </si>
  <si>
    <t>From the given A value, subtract the logarithm of the units given over the units desired.</t>
  </si>
  <si>
    <t>2,4-Dinitrophenol</t>
  </si>
  <si>
    <t>51-28-5</t>
  </si>
  <si>
    <t xml:space="preserve">For example: convert A factor from bar to mmHg </t>
  </si>
  <si>
    <t>2,4-Dinitrotoluene</t>
  </si>
  <si>
    <t>121-14-2</t>
  </si>
  <si>
    <r>
      <t>A</t>
    </r>
    <r>
      <rPr>
        <vertAlign val="subscript"/>
        <sz val="11"/>
        <rFont val="Arial"/>
        <family val="2"/>
      </rPr>
      <t>mmHg</t>
    </r>
    <r>
      <rPr>
        <sz val="11"/>
        <rFont val="Arial"/>
        <family val="2"/>
      </rPr>
      <t xml:space="preserve"> = A</t>
    </r>
    <r>
      <rPr>
        <vertAlign val="subscript"/>
        <sz val="11"/>
        <rFont val="Arial"/>
        <family val="2"/>
      </rPr>
      <t>bar</t>
    </r>
    <r>
      <rPr>
        <sz val="11"/>
        <rFont val="Arial"/>
        <family val="2"/>
      </rPr>
      <t xml:space="preserve"> - log</t>
    </r>
    <r>
      <rPr>
        <vertAlign val="subscript"/>
        <sz val="11"/>
        <rFont val="Arial"/>
        <family val="2"/>
      </rPr>
      <t>10</t>
    </r>
    <r>
      <rPr>
        <sz val="11"/>
        <rFont val="Arial"/>
        <family val="2"/>
      </rPr>
      <t>(1.01325/760) = A</t>
    </r>
    <r>
      <rPr>
        <vertAlign val="subscript"/>
        <sz val="11"/>
        <rFont val="Arial"/>
        <family val="2"/>
      </rPr>
      <t>mmHg</t>
    </r>
    <r>
      <rPr>
        <sz val="11"/>
        <rFont val="Arial"/>
        <family val="2"/>
      </rPr>
      <t xml:space="preserve"> - (-2.871)</t>
    </r>
  </si>
  <si>
    <t>2,4-Toluene diamine</t>
  </si>
  <si>
    <t>95-80-7</t>
  </si>
  <si>
    <r>
      <t>where log</t>
    </r>
    <r>
      <rPr>
        <vertAlign val="subscript"/>
        <sz val="11"/>
        <rFont val="Arial"/>
        <family val="2"/>
      </rPr>
      <t>10</t>
    </r>
    <r>
      <rPr>
        <sz val="11"/>
        <rFont val="Arial"/>
        <family val="2"/>
      </rPr>
      <t>(1.01325/760) is the logarithm of the factor between both units (i.e., 1.01325 bar equates to 760 mmHg)</t>
    </r>
  </si>
  <si>
    <t>2,4-Toluene diisocyanate</t>
  </si>
  <si>
    <t>584-84-9</t>
  </si>
  <si>
    <t>EPA</t>
  </si>
  <si>
    <t>2-Acetylaminofluorene</t>
  </si>
  <si>
    <t>53-96-3</t>
  </si>
  <si>
    <t>Antoine Coefficient B</t>
  </si>
  <si>
    <t>2-Amino-2-Methyl-1-Propanol</t>
  </si>
  <si>
    <t>124-68-5</t>
  </si>
  <si>
    <t>Chemspider</t>
  </si>
  <si>
    <t>No conversion required</t>
  </si>
  <si>
    <t>2-Chloroacetophenone</t>
  </si>
  <si>
    <t>532-27-4</t>
  </si>
  <si>
    <t>Wikipedia</t>
  </si>
  <si>
    <t>2-Nitropropane</t>
  </si>
  <si>
    <t xml:space="preserve"> 79-46-9</t>
  </si>
  <si>
    <t>Antoine Coefficient C</t>
  </si>
  <si>
    <t>3,3-Dichlorobenzidene</t>
  </si>
  <si>
    <t>91-94-1</t>
  </si>
  <si>
    <t>For example: convert C factor from K to °C</t>
  </si>
  <si>
    <t>3,3-Dimethoxybenzidine</t>
  </si>
  <si>
    <t>119-90-4</t>
  </si>
  <si>
    <t>3,3'-Dimethyl benzidine</t>
  </si>
  <si>
    <t>119-93-7</t>
  </si>
  <si>
    <t>C (°C) =  C (K) + 273.15</t>
  </si>
  <si>
    <t>4,4-Methylene bis(2-chloroaniline)</t>
  </si>
  <si>
    <t>101-14-44</t>
  </si>
  <si>
    <t>4,4'-Methylenedianiline</t>
  </si>
  <si>
    <t>101-77-9</t>
  </si>
  <si>
    <t>Reference:</t>
  </si>
  <si>
    <t xml:space="preserve">Record source for product data. </t>
  </si>
  <si>
    <t>4,6-Dinitro-o-cresol, and salts</t>
  </si>
  <si>
    <t>534-52-1</t>
  </si>
  <si>
    <t>4-Aminobiphenyl</t>
  </si>
  <si>
    <t>92-67-1</t>
  </si>
  <si>
    <t>4-Nitrobiphenyl</t>
  </si>
  <si>
    <t>92-93-3</t>
  </si>
  <si>
    <t>4-Nitrophenol</t>
  </si>
  <si>
    <t>100-02-7</t>
  </si>
  <si>
    <t>Acetaldehyde</t>
  </si>
  <si>
    <t>75-07-0</t>
  </si>
  <si>
    <t>Acetamide</t>
  </si>
  <si>
    <t>60-35-5</t>
  </si>
  <si>
    <t>For mixture liquids:</t>
  </si>
  <si>
    <t>Acetic acid</t>
  </si>
  <si>
    <t>64-19-7</t>
  </si>
  <si>
    <t>Mixture Code:</t>
  </si>
  <si>
    <t>Enter mixture name or code. The mixture names will be used to populate drop down lists on calculation pages.</t>
  </si>
  <si>
    <t>Acetic anhydride</t>
  </si>
  <si>
    <t>108-24-7</t>
  </si>
  <si>
    <t>Acetone</t>
  </si>
  <si>
    <t>67-64-1</t>
  </si>
  <si>
    <t>Acetonitrile</t>
  </si>
  <si>
    <t>75-05-8</t>
  </si>
  <si>
    <t>Enter "Mix"</t>
  </si>
  <si>
    <t>Acetophenone</t>
  </si>
  <si>
    <t>98-86-2</t>
  </si>
  <si>
    <t>Acrolein</t>
  </si>
  <si>
    <t>107-02-8</t>
  </si>
  <si>
    <t>Acrylamide</t>
  </si>
  <si>
    <t>79-06-1</t>
  </si>
  <si>
    <t>[1] Table 7.1-5</t>
  </si>
  <si>
    <t>Acrylic acid</t>
  </si>
  <si>
    <t>79-10-7</t>
  </si>
  <si>
    <t>Acrylonitrile</t>
  </si>
  <si>
    <t>107-13-1</t>
  </si>
  <si>
    <t>Allyl chloride</t>
  </si>
  <si>
    <t>107-05-1</t>
  </si>
  <si>
    <t>Ammonia up to 14.29%</t>
  </si>
  <si>
    <t>7664-41-7</t>
  </si>
  <si>
    <t>Derived based on Experimental Data</t>
  </si>
  <si>
    <t>Ammonia up to 19.10%</t>
  </si>
  <si>
    <t>Ammonia up to 23.94%</t>
  </si>
  <si>
    <t>Ammonia up to 28.81%</t>
  </si>
  <si>
    <t>Ammonia up to 33.71%</t>
  </si>
  <si>
    <r>
      <t>Vapor Molecular Weight M</t>
    </r>
    <r>
      <rPr>
        <vertAlign val="subscript"/>
        <sz val="11"/>
        <rFont val="Arial"/>
        <family val="2"/>
      </rPr>
      <t>V</t>
    </r>
    <r>
      <rPr>
        <sz val="11"/>
        <rFont val="Arial"/>
        <family val="2"/>
      </rPr>
      <t xml:space="preserve"> (lb/lb-mol):</t>
    </r>
  </si>
  <si>
    <t xml:space="preserve">Will be calculated on Mixture Data page. Example formulas to pull data through are provided. </t>
  </si>
  <si>
    <t>Ammonia up to 38.64%</t>
  </si>
  <si>
    <r>
      <t>Liquid Density W</t>
    </r>
    <r>
      <rPr>
        <vertAlign val="subscript"/>
        <sz val="11"/>
        <rFont val="Arial"/>
        <family val="2"/>
      </rPr>
      <t>L</t>
    </r>
    <r>
      <rPr>
        <sz val="11"/>
        <rFont val="Arial"/>
        <family val="2"/>
      </rPr>
      <t xml:space="preserve"> (lb/gal):</t>
    </r>
  </si>
  <si>
    <t>Ammonia up to 4.74%</t>
  </si>
  <si>
    <t>Ammonia up to 43.59%</t>
  </si>
  <si>
    <t>Ammonia up to 48.57%</t>
  </si>
  <si>
    <t>Ammonia up to 53.58%</t>
  </si>
  <si>
    <t>Ammonia up to 58.62%</t>
  </si>
  <si>
    <t xml:space="preserve">Select "Antoine's." The coefficients Will be calculated on Mixture Data page. Example formulas to pull data through are provided. </t>
  </si>
  <si>
    <t>Ammonia up to 63.69%</t>
  </si>
  <si>
    <t>Ammonia up to 68.79%</t>
  </si>
  <si>
    <t>Ammonia up to 73.91%</t>
  </si>
  <si>
    <t>Ammonia up to 79.07%</t>
  </si>
  <si>
    <t>Ammonia up to 84.26%</t>
  </si>
  <si>
    <t>Ammonia up to 89.47%</t>
  </si>
  <si>
    <t>Ammonia up to 9.50%</t>
  </si>
  <si>
    <t>Ammonia up to 94.72%</t>
  </si>
  <si>
    <t>Ammonium Carbonate</t>
  </si>
  <si>
    <t>506-87-6</t>
  </si>
  <si>
    <t>Constants not available - vapor pressure &gt; 1atm</t>
  </si>
  <si>
    <t>Aniline</t>
  </si>
  <si>
    <t>62-53-3</t>
  </si>
  <si>
    <t>Asbestos</t>
  </si>
  <si>
    <t>1332-21-4</t>
  </si>
  <si>
    <t>Record source for product data or enter "calculated."</t>
  </si>
  <si>
    <t>Benzene</t>
  </si>
  <si>
    <t>71-43-2</t>
  </si>
  <si>
    <t>Benzidine</t>
  </si>
  <si>
    <t>92-87-5</t>
  </si>
  <si>
    <t>Benzotrichloride</t>
  </si>
  <si>
    <t>98-07-7</t>
  </si>
  <si>
    <t>Benzyl chloride</t>
  </si>
  <si>
    <t>100-44-7</t>
  </si>
  <si>
    <t>Note:</t>
  </si>
  <si>
    <t>Concentrations of certain HAPS and PAHS in some petroleum liquids are available in Manual of Petroleum Measurement Standards Chapter 19.4</t>
  </si>
  <si>
    <t>beta-Propiolactone</t>
  </si>
  <si>
    <t>57-57-8</t>
  </si>
  <si>
    <t>Biphenyl</t>
  </si>
  <si>
    <t>92-52-4</t>
  </si>
  <si>
    <t>Bis(2-ethylhexyl)phthalate (DEHP)</t>
  </si>
  <si>
    <t>117-81-7</t>
  </si>
  <si>
    <t>Bis(chloromethyl)ether</t>
  </si>
  <si>
    <t>542-88-1</t>
  </si>
  <si>
    <t>Bromoform</t>
  </si>
  <si>
    <t>75-25-2</t>
  </si>
  <si>
    <t>Butanol (iso)</t>
  </si>
  <si>
    <t>78-83-1</t>
  </si>
  <si>
    <t>Butanol-(1)</t>
  </si>
  <si>
    <t>71-36-3</t>
  </si>
  <si>
    <t>Calcium cyanamide</t>
  </si>
  <si>
    <t>156-62-7</t>
  </si>
  <si>
    <t>Caprolactam</t>
  </si>
  <si>
    <t>105-60-2</t>
  </si>
  <si>
    <t>Captan</t>
  </si>
  <si>
    <t>133-06-2</t>
  </si>
  <si>
    <t>Carbaryl</t>
  </si>
  <si>
    <t>63-25-2</t>
  </si>
  <si>
    <t>Carbon Dioxide</t>
  </si>
  <si>
    <t>124-38-9</t>
  </si>
  <si>
    <t>www.IrChe.com</t>
  </si>
  <si>
    <t>Carbon disulfide</t>
  </si>
  <si>
    <t>75-15-0</t>
  </si>
  <si>
    <t>Carbon Monoxide</t>
  </si>
  <si>
    <t>630-08-0</t>
  </si>
  <si>
    <t>Carbon tetrachloride</t>
  </si>
  <si>
    <t>56-23-5</t>
  </si>
  <si>
    <t>Carbonic Acid</t>
  </si>
  <si>
    <t>463-79-6</t>
  </si>
  <si>
    <t>Carbonyl sulfide</t>
  </si>
  <si>
    <t>463-58-1</t>
  </si>
  <si>
    <t>Catechol</t>
  </si>
  <si>
    <t>120-80-9</t>
  </si>
  <si>
    <t>Chloramben</t>
  </si>
  <si>
    <t>133-90-4</t>
  </si>
  <si>
    <t>Chlordane</t>
  </si>
  <si>
    <t>57-74-9</t>
  </si>
  <si>
    <t>Chlorine</t>
  </si>
  <si>
    <t>7782-50-5</t>
  </si>
  <si>
    <t>Chloroacetic acid</t>
  </si>
  <si>
    <t>79-11-8</t>
  </si>
  <si>
    <t>Chlorobenzene</t>
  </si>
  <si>
    <t>108-90-7</t>
  </si>
  <si>
    <t>Chlorobenzilate</t>
  </si>
  <si>
    <t>510-15-6</t>
  </si>
  <si>
    <t>Chloroform</t>
  </si>
  <si>
    <t>67-66-3</t>
  </si>
  <si>
    <t>Chloromethyl methyl ether</t>
  </si>
  <si>
    <t>107-30-2</t>
  </si>
  <si>
    <t>Chloroprene</t>
  </si>
  <si>
    <t>126-99-8</t>
  </si>
  <si>
    <t>Cresol(m-)</t>
  </si>
  <si>
    <t>108-39-4</t>
  </si>
  <si>
    <t>Cresol(o-)</t>
  </si>
  <si>
    <t xml:space="preserve"> 95-48-7</t>
  </si>
  <si>
    <t>Cresol(p-)</t>
  </si>
  <si>
    <t>106-44-5</t>
  </si>
  <si>
    <t>Cresols/Cresylic acid (isomers and mixture)</t>
  </si>
  <si>
    <t>1319-77-3</t>
  </si>
  <si>
    <t>NIST (based on p-cresol)</t>
  </si>
  <si>
    <t>Crude RVP 5</t>
  </si>
  <si>
    <t>RVP</t>
  </si>
  <si>
    <t>[1] Table 7.1-2</t>
  </si>
  <si>
    <t>Cumene (isopropylbenzene)</t>
  </si>
  <si>
    <t>98-82-8</t>
  </si>
  <si>
    <t>Cyclohexane</t>
  </si>
  <si>
    <t>110-82-7</t>
  </si>
  <si>
    <t>Cyclohexanol</t>
  </si>
  <si>
    <t>108-93-0</t>
  </si>
  <si>
    <t>Cyclohexanone</t>
  </si>
  <si>
    <t>108-94-1</t>
  </si>
  <si>
    <t>DDE</t>
  </si>
  <si>
    <t>3547-04-4</t>
  </si>
  <si>
    <t>Diazomethane</t>
  </si>
  <si>
    <t>334-88-3</t>
  </si>
  <si>
    <t>Dibenzofurans</t>
  </si>
  <si>
    <t>132-64-9</t>
  </si>
  <si>
    <t>Dibutylphthalate</t>
  </si>
  <si>
    <t>84-74-2</t>
  </si>
  <si>
    <t>Dichloroethane(1,2)</t>
  </si>
  <si>
    <t>107-06-2</t>
  </si>
  <si>
    <t>Dichloroethyl ether (Bis(2-chloroethyl)ether)</t>
  </si>
  <si>
    <t>111-44-4</t>
  </si>
  <si>
    <t>Dichloroethylene(1,2)</t>
  </si>
  <si>
    <t>156-60-5</t>
  </si>
  <si>
    <t>Dichlorvos</t>
  </si>
  <si>
    <t>62-73-7</t>
  </si>
  <si>
    <t>Diethanolamine</t>
  </si>
  <si>
    <t>111-42-2</t>
  </si>
  <si>
    <t>Diethyl (N,N) anilin</t>
  </si>
  <si>
    <t>91-66-7</t>
  </si>
  <si>
    <t>Diethyl sulfate</t>
  </si>
  <si>
    <t>64-67-5</t>
  </si>
  <si>
    <t>Dimethyl aminoazobenzene</t>
  </si>
  <si>
    <t>60-11-7</t>
  </si>
  <si>
    <t>Dimethyl carbamoyl chloride</t>
  </si>
  <si>
    <t>79-44-7</t>
  </si>
  <si>
    <t>Dimethyl Carbonate</t>
  </si>
  <si>
    <t>616-38-6</t>
  </si>
  <si>
    <t>Dimethyl formamide</t>
  </si>
  <si>
    <t>68-12-2</t>
  </si>
  <si>
    <t>Dimethyl hydrazine (1,1)</t>
  </si>
  <si>
    <t>57-14-7</t>
  </si>
  <si>
    <t>Dimethyl phthalate</t>
  </si>
  <si>
    <t>131-11-3</t>
  </si>
  <si>
    <t>Dimethyl sulfate</t>
  </si>
  <si>
    <t>77-78-1</t>
  </si>
  <si>
    <t>Dioxane(1,4)</t>
  </si>
  <si>
    <t>123-91-1</t>
  </si>
  <si>
    <t>Epichlorohydrin</t>
  </si>
  <si>
    <t>106-89-8</t>
  </si>
  <si>
    <t>Ethane</t>
  </si>
  <si>
    <t>74-84-0</t>
  </si>
  <si>
    <t>Ethanol</t>
  </si>
  <si>
    <t>64-17-5</t>
  </si>
  <si>
    <t>Ethanolamine(mono-)</t>
  </si>
  <si>
    <t>141-43-5</t>
  </si>
  <si>
    <t>Ethyl acetate</t>
  </si>
  <si>
    <t>141-78-6</t>
  </si>
  <si>
    <t>Ethyl acrylate</t>
  </si>
  <si>
    <t>140-88-5</t>
  </si>
  <si>
    <t>Ethyl benzene</t>
  </si>
  <si>
    <t>100-41-4</t>
  </si>
  <si>
    <t>Ethyl carbamate (Urethane)</t>
  </si>
  <si>
    <t xml:space="preserve"> ‎51-79-6</t>
  </si>
  <si>
    <t>Ethyl chloride</t>
  </si>
  <si>
    <t>75-00-3</t>
  </si>
  <si>
    <t>Ethyl ether</t>
  </si>
  <si>
    <t>60-29-7</t>
  </si>
  <si>
    <t>Ethylene dibromide (Dibromoethane)</t>
  </si>
  <si>
    <t>106-93-4</t>
  </si>
  <si>
    <t>Ethylene glycol</t>
  </si>
  <si>
    <t>107-21-1</t>
  </si>
  <si>
    <t>Ethylene imine (Aziridine)</t>
  </si>
  <si>
    <t xml:space="preserve"> 151-56-4</t>
  </si>
  <si>
    <t>Handbook of the Thermodynamics of Organic Compounds</t>
  </si>
  <si>
    <t>Ethylene oxide</t>
  </si>
  <si>
    <t>75-21-8</t>
  </si>
  <si>
    <t>Ethylene thiourea</t>
  </si>
  <si>
    <t>96-45-7</t>
  </si>
  <si>
    <t>Ethylidene dichloride (1,1-Dichloroethane)</t>
  </si>
  <si>
    <t>75-34-3</t>
  </si>
  <si>
    <t>Formaldehyde</t>
  </si>
  <si>
    <t>50-00-0</t>
  </si>
  <si>
    <t>Formic acid</t>
  </si>
  <si>
    <t>64-18-6</t>
  </si>
  <si>
    <t>Furan</t>
  </si>
  <si>
    <t>110-00-9</t>
  </si>
  <si>
    <t>Furfural</t>
  </si>
  <si>
    <t>98-01-1</t>
  </si>
  <si>
    <t>Gasoline RVP 10</t>
  </si>
  <si>
    <t>RVP+S</t>
  </si>
  <si>
    <t>Gasoline RVP 11.5</t>
  </si>
  <si>
    <t>Gasoline RVP 13</t>
  </si>
  <si>
    <t>Gasoline RVP 13.5</t>
  </si>
  <si>
    <t>Gasoline RVP 15</t>
  </si>
  <si>
    <t>Gasoline RVP 7</t>
  </si>
  <si>
    <t>Gasoline RVP 7.8</t>
  </si>
  <si>
    <t>Gasoline RVP 8.3</t>
  </si>
  <si>
    <t>HCl up to 10%</t>
  </si>
  <si>
    <t>7647-01-0</t>
  </si>
  <si>
    <t>HCl up to 12%</t>
  </si>
  <si>
    <t>HCl up to 14%</t>
  </si>
  <si>
    <t>HCl up to 16%</t>
  </si>
  <si>
    <t>HCl up to 18%</t>
  </si>
  <si>
    <t>HCl up to 2%</t>
  </si>
  <si>
    <t>HCl up to 20%</t>
  </si>
  <si>
    <t>HCl up to 22%</t>
  </si>
  <si>
    <t>HCl up to 24%</t>
  </si>
  <si>
    <t>HCl up to 26%</t>
  </si>
  <si>
    <t>HCl up to 28%</t>
  </si>
  <si>
    <t>HCl up to 30%</t>
  </si>
  <si>
    <t>HCl up to 32%</t>
  </si>
  <si>
    <t>HCl up to 34%</t>
  </si>
  <si>
    <t>HCl up to 36%</t>
  </si>
  <si>
    <t>HCl up to 38%</t>
  </si>
  <si>
    <t>HCl up to 4%</t>
  </si>
  <si>
    <t>HCl up to 40%</t>
  </si>
  <si>
    <t>HCl up to 42%</t>
  </si>
  <si>
    <t>HCl up to 46%</t>
  </si>
  <si>
    <t>HCl up to 6%</t>
  </si>
  <si>
    <t>HCl up to 8%</t>
  </si>
  <si>
    <t>Heptachlor</t>
  </si>
  <si>
    <t>76-44-8</t>
  </si>
  <si>
    <t>Heptane(iso)</t>
  </si>
  <si>
    <t>31394-54-4</t>
  </si>
  <si>
    <t>Hexachlorobenzene</t>
  </si>
  <si>
    <t>118-74-1</t>
  </si>
  <si>
    <t>Hexachlorobutadiene</t>
  </si>
  <si>
    <t>87-68-3</t>
  </si>
  <si>
    <t>Hexachlorocyclopentadiene</t>
  </si>
  <si>
    <t>77-47-4</t>
  </si>
  <si>
    <t>Hexachloroethane</t>
  </si>
  <si>
    <t>67-72-1</t>
  </si>
  <si>
    <t>Hexamethylene-1,6-diisocyanate</t>
  </si>
  <si>
    <t>822-06-0</t>
  </si>
  <si>
    <t>Hexamethylphosphoramide</t>
  </si>
  <si>
    <t>680-31-9</t>
  </si>
  <si>
    <t>Hexane(-N)</t>
  </si>
  <si>
    <t>110-54-3</t>
  </si>
  <si>
    <t>Hexanol(-1)</t>
  </si>
  <si>
    <t>111-27-3</t>
  </si>
  <si>
    <t>Hydrazine</t>
  </si>
  <si>
    <t>302-01-2</t>
  </si>
  <si>
    <t>Hydrocyanic acid</t>
  </si>
  <si>
    <t>74-90-8</t>
  </si>
  <si>
    <t>Hydrogen fluoride (Hydrofluoric acid)</t>
  </si>
  <si>
    <t>7664-39-3</t>
  </si>
  <si>
    <t>Hydrogen sulfide</t>
  </si>
  <si>
    <t>7783-06-4</t>
  </si>
  <si>
    <t>Hydroquinone</t>
  </si>
  <si>
    <t>123-31-9</t>
  </si>
  <si>
    <t>Isophorone</t>
  </si>
  <si>
    <t>78-59-1</t>
  </si>
  <si>
    <t>Isopropyl alcohol</t>
  </si>
  <si>
    <t>67-63-0</t>
  </si>
  <si>
    <t>Jet Kerosene (Jet A)</t>
  </si>
  <si>
    <t>[1] Table 7.1-2 - Antoine's Derived</t>
  </si>
  <si>
    <t>Jet Naphtha (JP-4)</t>
  </si>
  <si>
    <t>Lindane (all isomers)</t>
  </si>
  <si>
    <t>58-89-9</t>
  </si>
  <si>
    <t>Maleic anhydride</t>
  </si>
  <si>
    <t>108-31-6</t>
  </si>
  <si>
    <t>Methane</t>
  </si>
  <si>
    <t>74-82-8</t>
  </si>
  <si>
    <t>Methanol</t>
  </si>
  <si>
    <t>67-56-1</t>
  </si>
  <si>
    <t>Methoxychlor</t>
  </si>
  <si>
    <t>72-43-5</t>
  </si>
  <si>
    <t>Methyl acetate</t>
  </si>
  <si>
    <t>79-20-9</t>
  </si>
  <si>
    <t>Methyl bromide (Bromomethane)</t>
  </si>
  <si>
    <t>74-83-9</t>
  </si>
  <si>
    <t>Methyl chloride (Chloromethane)</t>
  </si>
  <si>
    <t>74-87-3</t>
  </si>
  <si>
    <t>Methyl ethyl ketone</t>
  </si>
  <si>
    <t>78-93-3</t>
  </si>
  <si>
    <t>Methyl hydrazine</t>
  </si>
  <si>
    <t>60-34-4</t>
  </si>
  <si>
    <t>Methyl iodide (Iodomethane)</t>
  </si>
  <si>
    <t>74-88-4</t>
  </si>
  <si>
    <t>Methyl isobutyl ketone</t>
  </si>
  <si>
    <t>108-10-1</t>
  </si>
  <si>
    <t>Methyl isocyanate</t>
  </si>
  <si>
    <t>624-83-9</t>
  </si>
  <si>
    <t>Methyl methacrylate</t>
  </si>
  <si>
    <t>80-62-6</t>
  </si>
  <si>
    <t>Methyl styrene (alpha)</t>
  </si>
  <si>
    <t>98-83-9</t>
  </si>
  <si>
    <t>Methyl tert butyl ether</t>
  </si>
  <si>
    <t>1634-04-4</t>
  </si>
  <si>
    <t>Methylene chloride ( Dichloromethane)</t>
  </si>
  <si>
    <t>75-09-2</t>
  </si>
  <si>
    <t>Methylene diphenyl diisocyanate (MDI)</t>
  </si>
  <si>
    <t>101-68-8</t>
  </si>
  <si>
    <t>Morpholine</t>
  </si>
  <si>
    <t>110-91-8</t>
  </si>
  <si>
    <t>N,N-Dimethylaniline</t>
  </si>
  <si>
    <t>121-69-7</t>
  </si>
  <si>
    <t>Naphthalene</t>
  </si>
  <si>
    <t>91-20-3</t>
  </si>
  <si>
    <t>Nitrobenzene</t>
  </si>
  <si>
    <t>98-95-3</t>
  </si>
  <si>
    <t>N-Nitrosodimethylamine</t>
  </si>
  <si>
    <t>62-75-9</t>
  </si>
  <si>
    <t>N-Nitrosomorpholine</t>
  </si>
  <si>
    <t>59-89-2</t>
  </si>
  <si>
    <t>N-Nitroso-N-methylurea</t>
  </si>
  <si>
    <t>684-93-5</t>
  </si>
  <si>
    <t>NOAA</t>
  </si>
  <si>
    <t>No. 2 Fuel Oil (Diesel)</t>
  </si>
  <si>
    <t>o-Anisidine</t>
  </si>
  <si>
    <t>90-04-0</t>
  </si>
  <si>
    <t>o-Toluidine</t>
  </si>
  <si>
    <t>95-53-4</t>
  </si>
  <si>
    <t>Parathion</t>
  </si>
  <si>
    <t>56-38-2</t>
  </si>
  <si>
    <t>Pentachloroethane</t>
  </si>
  <si>
    <t>76-01-7</t>
  </si>
  <si>
    <t>Pentachloronitrobenzene (Quintobenzene)</t>
  </si>
  <si>
    <t>82-68-8</t>
  </si>
  <si>
    <t>Pentachlorophenol</t>
  </si>
  <si>
    <t>87-86-5</t>
  </si>
  <si>
    <t>Perchloroethylene (Tetrachloroethylene)</t>
  </si>
  <si>
    <t>127-18-4</t>
  </si>
  <si>
    <t>Phenol</t>
  </si>
  <si>
    <t>108-95-2</t>
  </si>
  <si>
    <t>Phosgene</t>
  </si>
  <si>
    <t>75-44-5</t>
  </si>
  <si>
    <t>Phosphine</t>
  </si>
  <si>
    <t>7803-51-2</t>
  </si>
  <si>
    <t>Phosphorus</t>
  </si>
  <si>
    <t>7723-14-0</t>
  </si>
  <si>
    <t>Phthalic anhydride</t>
  </si>
  <si>
    <t>85-44-9</t>
  </si>
  <si>
    <t>Picoline(-2) (2-methyl pyridine)</t>
  </si>
  <si>
    <t>109-06-8</t>
  </si>
  <si>
    <t>Polychlorinated biphenyls (Aroclors)</t>
  </si>
  <si>
    <t>1336-36-3</t>
  </si>
  <si>
    <t>p-Phenylenediamine</t>
  </si>
  <si>
    <t>106-50-3</t>
  </si>
  <si>
    <t>Propanol (iso)</t>
  </si>
  <si>
    <t>Propionaldehyde</t>
  </si>
  <si>
    <t>123-38-6</t>
  </si>
  <si>
    <t>Propoxur (Baygon)</t>
  </si>
  <si>
    <t>114-26-1</t>
  </si>
  <si>
    <t>Propylene Carbonate</t>
  </si>
  <si>
    <t>108-32-7</t>
  </si>
  <si>
    <t>https://shareok.org/bitstream/handle/11244/19378/Thesis-1983D-K97v.pdf?sequence=1&amp;isAllowed=y</t>
  </si>
  <si>
    <t>Propylene dichloride (1,2-Dichloropropane)</t>
  </si>
  <si>
    <t>78-87-5</t>
  </si>
  <si>
    <t>Propylene glycol</t>
  </si>
  <si>
    <t>57-55-6</t>
  </si>
  <si>
    <t>Propylene oxide</t>
  </si>
  <si>
    <t>75-56-9</t>
  </si>
  <si>
    <t>Pyridine</t>
  </si>
  <si>
    <t>110-86-1</t>
  </si>
  <si>
    <t>Quinoline</t>
  </si>
  <si>
    <t>91-22-5</t>
  </si>
  <si>
    <t>Quinone</t>
  </si>
  <si>
    <t>106-51-4</t>
  </si>
  <si>
    <t>Residual Oil No.6</t>
  </si>
  <si>
    <t>Resorcinol</t>
  </si>
  <si>
    <t>108-46-3</t>
  </si>
  <si>
    <t>Styrene</t>
  </si>
  <si>
    <t>100-42-5</t>
  </si>
  <si>
    <t>Styrene oxide</t>
  </si>
  <si>
    <t>96-09-3</t>
  </si>
  <si>
    <t>T-Butyl Acetate</t>
  </si>
  <si>
    <t>540-88-5</t>
  </si>
  <si>
    <t>Wikipedia / www.IrChe.com</t>
  </si>
  <si>
    <t>Tetrachloroethane(1,1,1,2)</t>
  </si>
  <si>
    <t>630-20-6</t>
  </si>
  <si>
    <t>Tetrachloroethane(1,1,2,2)</t>
  </si>
  <si>
    <t>79-34-5</t>
  </si>
  <si>
    <t>Tetrachloroethylene</t>
  </si>
  <si>
    <t>Tetrahydrofuran</t>
  </si>
  <si>
    <t>109-99-9</t>
  </si>
  <si>
    <t>Titanium tetrachloride</t>
  </si>
  <si>
    <t>7550-45-0</t>
  </si>
  <si>
    <t>Toluene</t>
  </si>
  <si>
    <t>108-88-3</t>
  </si>
  <si>
    <t>Toxaphene (chlorinated camphene)</t>
  </si>
  <si>
    <t>8001-35-2</t>
  </si>
  <si>
    <t>Trichloro(1,1,2)trifluoroethane</t>
  </si>
  <si>
    <t>76-13-1</t>
  </si>
  <si>
    <t>Trichloroethane(1,1,1)</t>
  </si>
  <si>
    <t>Trichloroethane(1,1,2)</t>
  </si>
  <si>
    <t>79-00-5</t>
  </si>
  <si>
    <t>Trichloroethylene</t>
  </si>
  <si>
    <t>79-01-6</t>
  </si>
  <si>
    <t>Trichlorofluoromethane</t>
  </si>
  <si>
    <t>75-69-4</t>
  </si>
  <si>
    <t>Trichloropropane(1,2,3)</t>
  </si>
  <si>
    <t>96-18-4</t>
  </si>
  <si>
    <t>Triethylamine</t>
  </si>
  <si>
    <t>121-44-8</t>
  </si>
  <si>
    <t>Trifluralin</t>
  </si>
  <si>
    <t>1582-09-8</t>
  </si>
  <si>
    <t>Vinyl acetate</t>
  </si>
  <si>
    <t>108-05-4</t>
  </si>
  <si>
    <t>Vinyl bromide</t>
  </si>
  <si>
    <t>593-60-2</t>
  </si>
  <si>
    <t>Vinyl chloride</t>
  </si>
  <si>
    <t>75-01-4</t>
  </si>
  <si>
    <t>Vinylidene chloride</t>
  </si>
  <si>
    <t>75-35-4</t>
  </si>
  <si>
    <t>7732-18-5</t>
  </si>
  <si>
    <t>Xylene(m-)</t>
  </si>
  <si>
    <t>108-38-3</t>
  </si>
  <si>
    <t>Xylene(o-)</t>
  </si>
  <si>
    <t>95-47-6</t>
  </si>
  <si>
    <t>Xylene(p-)</t>
  </si>
  <si>
    <t>106-42-3</t>
  </si>
  <si>
    <t>Xylenes (isomers and mixture)</t>
  </si>
  <si>
    <t>1330-20-7</t>
  </si>
  <si>
    <t>Mixture Code</t>
  </si>
  <si>
    <r>
      <t>Vapor Molecular Weight
M</t>
    </r>
    <r>
      <rPr>
        <b/>
        <vertAlign val="subscript"/>
        <sz val="11"/>
        <color rgb="FF0070C0"/>
        <rFont val="Arial"/>
        <family val="2"/>
      </rPr>
      <t>V</t>
    </r>
    <r>
      <rPr>
        <b/>
        <sz val="11"/>
        <color rgb="FF0070C0"/>
        <rFont val="Arial"/>
        <family val="2"/>
      </rPr>
      <t xml:space="preserve">
(lb/lb-mol)</t>
    </r>
  </si>
  <si>
    <r>
      <t>Liquid Density
W</t>
    </r>
    <r>
      <rPr>
        <b/>
        <vertAlign val="subscript"/>
        <sz val="11"/>
        <color rgb="FF0070C0"/>
        <rFont val="Arial"/>
        <family val="2"/>
      </rPr>
      <t>L</t>
    </r>
    <r>
      <rPr>
        <b/>
        <sz val="11"/>
        <color rgb="FF0070C0"/>
        <rFont val="Arial"/>
        <family val="2"/>
      </rPr>
      <t xml:space="preserve">
(lb/gal)</t>
    </r>
  </si>
  <si>
    <r>
      <t>Antoine's A</t>
    </r>
    <r>
      <rPr>
        <b/>
        <vertAlign val="subscript"/>
        <sz val="11"/>
        <color rgb="FF0070C0"/>
        <rFont val="Arial"/>
        <family val="2"/>
      </rPr>
      <t>1</t>
    </r>
    <r>
      <rPr>
        <b/>
        <sz val="11"/>
        <color rgb="FF0070C0"/>
        <rFont val="Arial"/>
        <family val="2"/>
      </rPr>
      <t xml:space="preserve">
 (unitless)</t>
    </r>
  </si>
  <si>
    <r>
      <t>Antoine's B</t>
    </r>
    <r>
      <rPr>
        <b/>
        <vertAlign val="subscript"/>
        <sz val="11"/>
        <color rgb="FF0070C0"/>
        <rFont val="Arial"/>
        <family val="2"/>
      </rPr>
      <t>1</t>
    </r>
    <r>
      <rPr>
        <b/>
        <sz val="11"/>
        <color rgb="FF0070C0"/>
        <rFont val="Arial"/>
        <family val="2"/>
      </rPr>
      <t xml:space="preserve">
(°R or °C)</t>
    </r>
  </si>
  <si>
    <r>
      <t>Antoine's C</t>
    </r>
    <r>
      <rPr>
        <b/>
        <vertAlign val="subscript"/>
        <sz val="11"/>
        <color rgb="FF0070C0"/>
        <rFont val="Arial"/>
        <family val="2"/>
      </rPr>
      <t>1</t>
    </r>
    <r>
      <rPr>
        <b/>
        <sz val="11"/>
        <color rgb="FF0070C0"/>
        <rFont val="Arial"/>
        <family val="2"/>
      </rPr>
      <t xml:space="preserve">
 (°C)</t>
    </r>
  </si>
  <si>
    <t>Calculated on Mixture Data tab</t>
  </si>
  <si>
    <t>Example 1</t>
  </si>
  <si>
    <t>Mix</t>
  </si>
  <si>
    <t>Calculated</t>
  </si>
  <si>
    <t>Example 2</t>
  </si>
  <si>
    <t>Mixture:</t>
  </si>
  <si>
    <t>Enter the mixture name on as many lines as there are components in the mixture.</t>
  </si>
  <si>
    <t>Component:</t>
  </si>
  <si>
    <t>Select components from drop down list.</t>
  </si>
  <si>
    <t>Mixture Data</t>
  </si>
  <si>
    <t>Liquid Content (Liquid Weight %):</t>
  </si>
  <si>
    <t>Enter the liquid weight percent for each component.</t>
  </si>
  <si>
    <t>Increase Temperature in Increments of :</t>
  </si>
  <si>
    <t>Enter the temperature increments to be used to determine vapor pressures at different temperatures.  Results will be used to derive Antoine Coefficients for the mixture.</t>
  </si>
  <si>
    <t>[1] Raoult's law - The partial vapor pressure of each component of an ideal mixture of liquids is equal to the vapor pressure of the pure component multiplied by its mole fraction in the mixture.</t>
  </si>
  <si>
    <t>Temperature for Speciation:</t>
  </si>
  <si>
    <t>Enter the average temperature that will be used for speciation and vapor molecular weight determination.</t>
  </si>
  <si>
    <t>Increase Temperature in Increments of:</t>
  </si>
  <si>
    <t>°F</t>
  </si>
  <si>
    <t>Temperature Used for Speciation</t>
  </si>
  <si>
    <t xml:space="preserve">Batch Characteristics at Temperature: </t>
  </si>
  <si>
    <t xml:space="preserve">The remaining columns to the right will calculate the properties of the mixture at each temperature. </t>
  </si>
  <si>
    <t>Uses Excel LINEST function to calculate curve fit parameters</t>
  </si>
  <si>
    <t xml:space="preserve">The columns beginning with BO are used to calculate the Antoine's Coefficients for the mixture based on its properties at each temperature. </t>
  </si>
  <si>
    <t>Looked Up on Product Data Sheet</t>
  </si>
  <si>
    <t>°R</t>
  </si>
  <si>
    <t xml:space="preserve">Be sure to also enter each mixture name into the second block (for mixtures) on the Product Data tab. This will allow you to use the calculated Antoine's in the emission calculation sheets. </t>
  </si>
  <si>
    <t>Mixture</t>
  </si>
  <si>
    <t>Component</t>
  </si>
  <si>
    <t>Liquid Content
(Liquid Weight %)</t>
  </si>
  <si>
    <t>Liquid Molecular Weight Contribution
(lb/lb-mol)</t>
  </si>
  <si>
    <t>Liquid Density Contribution
(lb/gal)</t>
  </si>
  <si>
    <t>Liquid Moles
(mol)</t>
  </si>
  <si>
    <t>Liquid Mole Percent</t>
  </si>
  <si>
    <t>Vapor Pressure
(psia)</t>
  </si>
  <si>
    <t>Partial Pressure
(psia)</t>
  </si>
  <si>
    <t>Mixture Vapor Pressure
(psia)</t>
  </si>
  <si>
    <t>Vapor Mole Percent
(%)</t>
  </si>
  <si>
    <t>Vapor Molecular Weight
(lb/mol)</t>
  </si>
  <si>
    <t>Vapor Mass Percent
(%)</t>
  </si>
  <si>
    <t>y = Log (VP)</t>
  </si>
  <si>
    <t>New Block Designator</t>
  </si>
  <si>
    <t>x1 = 1 / T</t>
  </si>
  <si>
    <t>m2</t>
  </si>
  <si>
    <t>m1</t>
  </si>
  <si>
    <t>b</t>
  </si>
  <si>
    <t>Isopropyl Alcohol</t>
  </si>
  <si>
    <t>Select location from drop-down menu in cell B8. Choose the nearest city to your site. The table will self-populate with the data set for the city selected. If you need a location added, please see Ellen or Jill.</t>
  </si>
  <si>
    <t>Input a temperature to use for short term emissions if different from 95°F.</t>
  </si>
  <si>
    <t>Meteorological Data</t>
  </si>
  <si>
    <t>Select Location:</t>
  </si>
  <si>
    <t>Dallas, TX</t>
  </si>
  <si>
    <t>Location</t>
  </si>
  <si>
    <t>Month</t>
  </si>
  <si>
    <t>Days / Month</t>
  </si>
  <si>
    <t>Month Code</t>
  </si>
  <si>
    <r>
      <t>Daily Ambient Minimum Temperature
T</t>
    </r>
    <r>
      <rPr>
        <b/>
        <vertAlign val="subscript"/>
        <sz val="11"/>
        <color rgb="FF0070C0"/>
        <rFont val="Arial"/>
        <family val="2"/>
      </rPr>
      <t xml:space="preserve">AN
</t>
    </r>
    <r>
      <rPr>
        <b/>
        <sz val="11"/>
        <color rgb="FF0070C0"/>
        <rFont val="Arial"/>
        <family val="2"/>
      </rPr>
      <t>(°F)</t>
    </r>
  </si>
  <si>
    <r>
      <t>Daily Ambient Maximum Temperature
T</t>
    </r>
    <r>
      <rPr>
        <b/>
        <vertAlign val="subscript"/>
        <sz val="11"/>
        <color rgb="FF0070C0"/>
        <rFont val="Arial"/>
        <family val="2"/>
      </rPr>
      <t xml:space="preserve">AX
</t>
    </r>
    <r>
      <rPr>
        <b/>
        <sz val="11"/>
        <color rgb="FF0070C0"/>
        <rFont val="Arial"/>
        <family val="2"/>
      </rPr>
      <t>(°F)</t>
    </r>
  </si>
  <si>
    <r>
      <t>Solar Insolation Factor
I
(BTU/ ft</t>
    </r>
    <r>
      <rPr>
        <b/>
        <vertAlign val="superscript"/>
        <sz val="11"/>
        <color rgb="FF0070C0"/>
        <rFont val="Arial"/>
        <family val="2"/>
      </rPr>
      <t>2</t>
    </r>
    <r>
      <rPr>
        <b/>
        <sz val="11"/>
        <color rgb="FF0070C0"/>
        <rFont val="Arial"/>
        <family val="2"/>
      </rPr>
      <t xml:space="preserve"> day)</t>
    </r>
  </si>
  <si>
    <t>Average Wind Speed 
v 
(mph)</t>
  </si>
  <si>
    <t>Atmospheric Pressure
Pa
(psia)</t>
  </si>
  <si>
    <t>JAN</t>
  </si>
  <si>
    <t>FEB</t>
  </si>
  <si>
    <t>MAR</t>
  </si>
  <si>
    <t>APR</t>
  </si>
  <si>
    <t>MAY</t>
  </si>
  <si>
    <t>JUN</t>
  </si>
  <si>
    <t>JUL</t>
  </si>
  <si>
    <t>AUG</t>
  </si>
  <si>
    <t>SEP</t>
  </si>
  <si>
    <t>OCT</t>
  </si>
  <si>
    <t>NOV</t>
  </si>
  <si>
    <t>DEC</t>
  </si>
  <si>
    <t>YEAR</t>
  </si>
  <si>
    <t>Annual</t>
  </si>
  <si>
    <t>Maximum</t>
  </si>
  <si>
    <t>Hourly</t>
  </si>
  <si>
    <t>Data to be Entered for All Tanks:</t>
  </si>
  <si>
    <t>Tank ID:</t>
  </si>
  <si>
    <t>Enter tank ID. ID's entered in this column will be used to populate tank drop down list on other tables.</t>
  </si>
  <si>
    <t>Tank Data</t>
  </si>
  <si>
    <t>Roof Type:</t>
  </si>
  <si>
    <t>Select roof type:</t>
  </si>
  <si>
    <t>VFR = Vertical Fixed Roof</t>
  </si>
  <si>
    <t>HFR = Horizontal Fixed Roof</t>
  </si>
  <si>
    <t>IFR = Internal Floating Roof</t>
  </si>
  <si>
    <t>Data to be Entered for All Tanks</t>
  </si>
  <si>
    <t>Calculated for All Tanks</t>
  </si>
  <si>
    <t>Data to be Entered for Fixed Roof Tanks</t>
  </si>
  <si>
    <t>Calculated for Fixed Roof Tanks</t>
  </si>
  <si>
    <t>Data to be Entered for Floating Roof Tanks</t>
  </si>
  <si>
    <t>Calculated for Floating Roof Tanks</t>
  </si>
  <si>
    <t>Comments:</t>
  </si>
  <si>
    <t>EFR = External Floating Roof</t>
  </si>
  <si>
    <t>Tank ID</t>
  </si>
  <si>
    <t>Roof Type</t>
  </si>
  <si>
    <t>Working Capacity 
(bbl)</t>
  </si>
  <si>
    <r>
      <t>Maximum Filling Rate 
F</t>
    </r>
    <r>
      <rPr>
        <b/>
        <vertAlign val="subscript"/>
        <sz val="11"/>
        <rFont val="Arial"/>
        <family val="2"/>
      </rPr>
      <t xml:space="preserve">RM 
</t>
    </r>
    <r>
      <rPr>
        <b/>
        <sz val="11"/>
        <rFont val="Arial"/>
        <family val="2"/>
      </rPr>
      <t>(gal/hr)</t>
    </r>
  </si>
  <si>
    <t>Slope of Cone Bottom 
s 
(in/ft)</t>
  </si>
  <si>
    <t>Paint Color &amp; Shade</t>
  </si>
  <si>
    <t>Paint Condition</t>
  </si>
  <si>
    <r>
      <t xml:space="preserve">Paint Solar Absorptance Factor 
</t>
    </r>
    <r>
      <rPr>
        <b/>
        <sz val="11"/>
        <color rgb="FF0070C0"/>
        <rFont val="Calibri"/>
        <family val="2"/>
      </rPr>
      <t>α</t>
    </r>
    <r>
      <rPr>
        <b/>
        <sz val="11"/>
        <color rgb="FF0070C0"/>
        <rFont val="Arial"/>
        <family val="2"/>
      </rPr>
      <t xml:space="preserve">
(unitless)</t>
    </r>
  </si>
  <si>
    <t>VFR Diameter
D
(ft)</t>
  </si>
  <si>
    <r>
      <t>VFR
Shell Height 
H</t>
    </r>
    <r>
      <rPr>
        <b/>
        <vertAlign val="subscript"/>
        <sz val="11"/>
        <rFont val="Arial"/>
        <family val="2"/>
      </rPr>
      <t xml:space="preserve">S
</t>
    </r>
    <r>
      <rPr>
        <b/>
        <sz val="11"/>
        <rFont val="Arial"/>
        <family val="2"/>
      </rPr>
      <t>(ft)</t>
    </r>
  </si>
  <si>
    <t xml:space="preserve">VFR
Roof Type
</t>
  </si>
  <si>
    <t>HFR Diameter
D
(ft)</t>
  </si>
  <si>
    <t>HFR
Shell Length 
(ft)</t>
  </si>
  <si>
    <r>
      <t>Breather Vent Pressure
P</t>
    </r>
    <r>
      <rPr>
        <b/>
        <vertAlign val="subscript"/>
        <sz val="11"/>
        <rFont val="Arial"/>
        <family val="2"/>
      </rPr>
      <t xml:space="preserve">BP
</t>
    </r>
    <r>
      <rPr>
        <b/>
        <sz val="11"/>
        <rFont val="Arial"/>
        <family val="2"/>
      </rPr>
      <t>(psig)</t>
    </r>
  </si>
  <si>
    <r>
      <t>Breather Vent Vacuum
P</t>
    </r>
    <r>
      <rPr>
        <b/>
        <vertAlign val="subscript"/>
        <sz val="11"/>
        <rFont val="Arial"/>
        <family val="2"/>
      </rPr>
      <t xml:space="preserve">BV
</t>
    </r>
    <r>
      <rPr>
        <b/>
        <sz val="11"/>
        <rFont val="Arial"/>
        <family val="2"/>
      </rPr>
      <t>(psig)</t>
    </r>
  </si>
  <si>
    <r>
      <t>Average Liquid Height 
H</t>
    </r>
    <r>
      <rPr>
        <b/>
        <vertAlign val="subscript"/>
        <sz val="11"/>
        <color rgb="FF0070C0"/>
        <rFont val="Arial"/>
        <family val="2"/>
      </rPr>
      <t xml:space="preserve">L
</t>
    </r>
    <r>
      <rPr>
        <b/>
        <sz val="11"/>
        <color rgb="FF0070C0"/>
        <rFont val="Arial"/>
        <family val="2"/>
      </rPr>
      <t>(ft)</t>
    </r>
  </si>
  <si>
    <r>
      <t>HFR Effective Diameter
D</t>
    </r>
    <r>
      <rPr>
        <b/>
        <vertAlign val="subscript"/>
        <sz val="11"/>
        <color rgb="FF0070C0"/>
        <rFont val="Arial"/>
        <family val="2"/>
      </rPr>
      <t xml:space="preserve">eff
</t>
    </r>
    <r>
      <rPr>
        <b/>
        <sz val="11"/>
        <color rgb="FF0070C0"/>
        <rFont val="Arial"/>
        <family val="2"/>
      </rPr>
      <t>(ft)</t>
    </r>
  </si>
  <si>
    <r>
      <t>Roof Outage
H</t>
    </r>
    <r>
      <rPr>
        <b/>
        <vertAlign val="subscript"/>
        <sz val="11"/>
        <color rgb="FF0070C0"/>
        <rFont val="Arial"/>
        <family val="2"/>
      </rPr>
      <t>RO</t>
    </r>
    <r>
      <rPr>
        <b/>
        <sz val="11"/>
        <color rgb="FF0070C0"/>
        <rFont val="Arial"/>
        <family val="2"/>
      </rPr>
      <t xml:space="preserve">
(ft)</t>
    </r>
  </si>
  <si>
    <r>
      <t>Vapor Space Outage
H</t>
    </r>
    <r>
      <rPr>
        <b/>
        <vertAlign val="subscript"/>
        <sz val="11"/>
        <color rgb="FF0070C0"/>
        <rFont val="Arial"/>
        <family val="2"/>
      </rPr>
      <t>VO</t>
    </r>
    <r>
      <rPr>
        <b/>
        <sz val="11"/>
        <color rgb="FF0070C0"/>
        <rFont val="Arial"/>
        <family val="2"/>
      </rPr>
      <t xml:space="preserve">
(ft)</t>
    </r>
  </si>
  <si>
    <t>Floating Roof Tank Diameter
D
(ft)</t>
  </si>
  <si>
    <t>EFR Roof Type</t>
  </si>
  <si>
    <t>Shell Construction</t>
  </si>
  <si>
    <t>Shell Condition</t>
  </si>
  <si>
    <t>Deck Construction</t>
  </si>
  <si>
    <t>Primary Seal</t>
  </si>
  <si>
    <t>Secondary Seal</t>
  </si>
  <si>
    <t>Is Roof Self Supported?</t>
  </si>
  <si>
    <r>
      <t>Effective Column Diameter 
F</t>
    </r>
    <r>
      <rPr>
        <b/>
        <vertAlign val="subscript"/>
        <sz val="11"/>
        <rFont val="Arial"/>
        <family val="2"/>
      </rPr>
      <t xml:space="preserve">C
</t>
    </r>
    <r>
      <rPr>
        <b/>
        <sz val="11"/>
        <rFont val="Arial"/>
        <family val="2"/>
      </rPr>
      <t>(ft)</t>
    </r>
  </si>
  <si>
    <r>
      <t>Deck Seam Length 
S</t>
    </r>
    <r>
      <rPr>
        <b/>
        <vertAlign val="subscript"/>
        <sz val="11"/>
        <rFont val="Arial"/>
        <family val="2"/>
      </rPr>
      <t xml:space="preserve">D
</t>
    </r>
    <r>
      <rPr>
        <b/>
        <sz val="11"/>
        <rFont val="Arial"/>
        <family val="2"/>
      </rPr>
      <t>(ft/ft</t>
    </r>
    <r>
      <rPr>
        <b/>
        <vertAlign val="superscript"/>
        <sz val="11"/>
        <rFont val="Arial"/>
        <family val="2"/>
      </rPr>
      <t>2</t>
    </r>
    <r>
      <rPr>
        <b/>
        <sz val="11"/>
        <rFont val="Arial"/>
        <family val="2"/>
      </rPr>
      <t>)</t>
    </r>
  </si>
  <si>
    <t>Maximum Withdrawal Rate 
(gal/hr)</t>
  </si>
  <si>
    <r>
      <t>Zero Wind Speed Rim Seal Loss Factor 
K</t>
    </r>
    <r>
      <rPr>
        <b/>
        <vertAlign val="subscript"/>
        <sz val="11"/>
        <color rgb="FF0070C0"/>
        <rFont val="Arial"/>
        <family val="2"/>
      </rPr>
      <t xml:space="preserve">Ra
</t>
    </r>
    <r>
      <rPr>
        <b/>
        <sz val="11"/>
        <color rgb="FF0070C0"/>
        <rFont val="Arial"/>
        <family val="2"/>
      </rPr>
      <t>(lb-mol / 
ft yr )</t>
    </r>
  </si>
  <si>
    <r>
      <t>Wind Speed Dependent Rim Seal Loss Factor 
K</t>
    </r>
    <r>
      <rPr>
        <b/>
        <vertAlign val="subscript"/>
        <sz val="11"/>
        <color rgb="FF0070C0"/>
        <rFont val="Arial"/>
        <family val="2"/>
      </rPr>
      <t xml:space="preserve">Rb
</t>
    </r>
    <r>
      <rPr>
        <b/>
        <sz val="11"/>
        <color rgb="FF0070C0"/>
        <rFont val="Arial"/>
        <family val="2"/>
      </rPr>
      <t>(lb-mol / 
mph</t>
    </r>
    <r>
      <rPr>
        <b/>
        <vertAlign val="superscript"/>
        <sz val="11"/>
        <color rgb="FF0070C0"/>
        <rFont val="Arial"/>
        <family val="2"/>
      </rPr>
      <t>n</t>
    </r>
    <r>
      <rPr>
        <b/>
        <sz val="11"/>
        <color rgb="FF0070C0"/>
        <rFont val="Arial"/>
        <family val="2"/>
      </rPr>
      <t xml:space="preserve"> ft yr )</t>
    </r>
  </si>
  <si>
    <t>n
(unitless)</t>
  </si>
  <si>
    <r>
      <t>N</t>
    </r>
    <r>
      <rPr>
        <b/>
        <vertAlign val="subscript"/>
        <sz val="11"/>
        <color rgb="FF0070C0"/>
        <rFont val="Arial"/>
        <family val="2"/>
      </rPr>
      <t xml:space="preserve">C
</t>
    </r>
    <r>
      <rPr>
        <b/>
        <sz val="11"/>
        <color rgb="FF0070C0"/>
        <rFont val="Arial"/>
        <family val="2"/>
      </rPr>
      <t>(unitless)</t>
    </r>
  </si>
  <si>
    <t xml:space="preserve">Enter any comments. This column is for reference only. </t>
  </si>
  <si>
    <t>DEFR = Domed External Floating Roof</t>
  </si>
  <si>
    <t>Tank No.</t>
  </si>
  <si>
    <t>Coordinates</t>
  </si>
  <si>
    <t>Emission Point No.</t>
  </si>
  <si>
    <t>FIN</t>
  </si>
  <si>
    <t>CIN</t>
  </si>
  <si>
    <t>Status</t>
  </si>
  <si>
    <t>Previous Permit No., Permit by Rule No., or Exemption No.:</t>
  </si>
  <si>
    <t>Underground?</t>
  </si>
  <si>
    <t>[1] Table 7.1-6</t>
  </si>
  <si>
    <r>
      <t>H</t>
    </r>
    <r>
      <rPr>
        <vertAlign val="subscript"/>
        <sz val="11"/>
        <color rgb="FF0070C0"/>
        <rFont val="Arial"/>
        <family val="2"/>
      </rPr>
      <t>s</t>
    </r>
    <r>
      <rPr>
        <sz val="11"/>
        <color rgb="FF0070C0"/>
        <rFont val="Arial"/>
        <family val="2"/>
      </rPr>
      <t>/2 (VFR)
D/2 (HFR)</t>
    </r>
  </si>
  <si>
    <t>[1] Eq. 1-13</t>
  </si>
  <si>
    <t>[1] Eq. 1-14, 16, 17, 18, 19</t>
  </si>
  <si>
    <t>[1] Eq. 1-14, 15.</t>
  </si>
  <si>
    <t>[1] Table 7.1-8</t>
  </si>
  <si>
    <t>[1] Table 7.1-11</t>
  </si>
  <si>
    <t>Working Capacity (bbl):</t>
  </si>
  <si>
    <t>Enter tank capacity (volume) in barrels.</t>
  </si>
  <si>
    <t>Test VFR</t>
  </si>
  <si>
    <t>VFR</t>
  </si>
  <si>
    <t>White</t>
  </si>
  <si>
    <t>Good</t>
  </si>
  <si>
    <t>Cone</t>
  </si>
  <si>
    <t xml:space="preserve">Slope of Cone Bottom (in/ft): </t>
  </si>
  <si>
    <t xml:space="preserve">If tank floor is sloped, enter slope of the cone bottom. If it is a 'cone up' bottom, enter a negative slope. </t>
  </si>
  <si>
    <t>718,168 E   3,643,453 N</t>
  </si>
  <si>
    <t>VFR-1</t>
  </si>
  <si>
    <t>VFR-F</t>
  </si>
  <si>
    <t>TO</t>
  </si>
  <si>
    <t>Relocation</t>
  </si>
  <si>
    <t>No</t>
  </si>
  <si>
    <r>
      <t>Maximum Filling Rate (F</t>
    </r>
    <r>
      <rPr>
        <vertAlign val="subscript"/>
        <sz val="11"/>
        <rFont val="Arial"/>
        <family val="2"/>
      </rPr>
      <t>RM</t>
    </r>
    <r>
      <rPr>
        <sz val="11"/>
        <rFont val="Arial"/>
        <family val="2"/>
      </rPr>
      <t>) (gal/hr):</t>
    </r>
  </si>
  <si>
    <t xml:space="preserve">Enter maximum filling rate in gallons per hour. For floating roof tanks, if the maximum withdrawal rate is greater than the maximum filling rate, use the maximum withdrawal rate. </t>
  </si>
  <si>
    <t>HFR-1</t>
  </si>
  <si>
    <t>HFR-F</t>
  </si>
  <si>
    <t>Altered Tank</t>
  </si>
  <si>
    <t>Yes</t>
  </si>
  <si>
    <t>Paint Color &amp; Shade:</t>
  </si>
  <si>
    <t>Select tank color/shade from drop down list based on AP-42 Chapter 7, Table 7.1-6.</t>
  </si>
  <si>
    <t>Paint Condition:</t>
  </si>
  <si>
    <t>Select paint condition from drop down list based on AP-42 Chapter 7, Table 7.1-6.</t>
  </si>
  <si>
    <t>EFR-1</t>
  </si>
  <si>
    <t>EFR-F</t>
  </si>
  <si>
    <t>New Tank</t>
  </si>
  <si>
    <t>Data to be Entered for Fixed Roof Tanks:</t>
  </si>
  <si>
    <t>VFR D (ft):</t>
  </si>
  <si>
    <r>
      <t xml:space="preserve">For VFR tank, enter tank diameter in feet. For a rectangular tank, enter a diameter that would produce the same surface area as the area of the rectangle. For that case, D = (length * width * 4 / PI ) ^ </t>
    </r>
    <r>
      <rPr>
        <vertAlign val="superscript"/>
        <sz val="11"/>
        <rFont val="Arial"/>
        <family val="2"/>
      </rPr>
      <t>0.5.</t>
    </r>
  </si>
  <si>
    <r>
      <t>VFR Shell Height  H</t>
    </r>
    <r>
      <rPr>
        <vertAlign val="subscript"/>
        <sz val="11"/>
        <rFont val="Arial"/>
        <family val="2"/>
      </rPr>
      <t xml:space="preserve">S </t>
    </r>
    <r>
      <rPr>
        <sz val="11"/>
        <rFont val="Arial"/>
        <family val="2"/>
      </rPr>
      <t>(ft):</t>
    </r>
  </si>
  <si>
    <t>For VFR tank. enter shell height in feet.</t>
  </si>
  <si>
    <t>VFR Roof Type:</t>
  </si>
  <si>
    <t>For VFR tank, select roof type - cone or dome.</t>
  </si>
  <si>
    <t>HFR D (ft):</t>
  </si>
  <si>
    <t>For HFR tank, enter tank diameter in feet.</t>
  </si>
  <si>
    <t xml:space="preserve">HFR Shell Length (ft): </t>
  </si>
  <si>
    <t>For HFR tank, enter shell length in feet.</t>
  </si>
  <si>
    <r>
      <t>Breather Vent Pressure P</t>
    </r>
    <r>
      <rPr>
        <vertAlign val="subscript"/>
        <sz val="11"/>
        <rFont val="Arial"/>
        <family val="2"/>
      </rPr>
      <t xml:space="preserve">BP </t>
    </r>
    <r>
      <rPr>
        <sz val="11"/>
        <rFont val="Arial"/>
        <family val="2"/>
      </rPr>
      <t>(psig):</t>
    </r>
  </si>
  <si>
    <t>For fixed roof tanks, enter breather vent pressure setting. If unknown use 0.03 psig per AP-42 Chapter 7, Equation 1-7 - Note 3.</t>
  </si>
  <si>
    <r>
      <t>Breather Vent Vacuum P</t>
    </r>
    <r>
      <rPr>
        <vertAlign val="subscript"/>
        <sz val="11"/>
        <rFont val="Arial"/>
        <family val="2"/>
      </rPr>
      <t xml:space="preserve">BV </t>
    </r>
    <r>
      <rPr>
        <sz val="11"/>
        <rFont val="Arial"/>
        <family val="2"/>
      </rPr>
      <t>(psig):</t>
    </r>
  </si>
  <si>
    <t>For fixed roof tanks, enter breather vent vacuum setting. If unknown use  -0.03 psig per AP-42 Chapter 7, Equation 1-7 - Note 3.</t>
  </si>
  <si>
    <t>Data to be entered for Floating Roof Tanks:</t>
  </si>
  <si>
    <t>Floating Roof Tank Diameter D(ft):</t>
  </si>
  <si>
    <t>Enter the diameter of the floating roof tank.</t>
  </si>
  <si>
    <t>Shell Construction:</t>
  </si>
  <si>
    <t xml:space="preserve">Select shell construction method - Welded (W) or Bolted (B). This will almost always be welded. </t>
  </si>
  <si>
    <t>Shell Condition:</t>
  </si>
  <si>
    <t>Select shell clingage factor:</t>
  </si>
  <si>
    <t xml:space="preserve">For gasoline or single component stocks </t>
  </si>
  <si>
    <t xml:space="preserve">   = 0.0015 for light rust</t>
  </si>
  <si>
    <t xml:space="preserve">   = 0.0075 for dense rust</t>
  </si>
  <si>
    <t xml:space="preserve">   = 0.15 for gunite lining</t>
  </si>
  <si>
    <t>For crude oil</t>
  </si>
  <si>
    <t xml:space="preserve">   = 0.0060 for light rust</t>
  </si>
  <si>
    <t xml:space="preserve">   = 0.0030 for dense rust</t>
  </si>
  <si>
    <t xml:space="preserve">   = 0.60 for gunite lining</t>
  </si>
  <si>
    <t>Deck Construction:</t>
  </si>
  <si>
    <t>Select deck construction method - Welded (W) or Bolted (B).</t>
  </si>
  <si>
    <t>Primary Seal:</t>
  </si>
  <si>
    <t>Select appropriate primary seal.</t>
  </si>
  <si>
    <t xml:space="preserve">If seal information is unknown, use Mechanical Shoe as the default for EFR or DEFR and Vapor Mounted for IFR as defaults. </t>
  </si>
  <si>
    <t>Secondary Seal:</t>
  </si>
  <si>
    <t xml:space="preserve">Select appropriate secondary seal. </t>
  </si>
  <si>
    <t xml:space="preserve">If seal information is unknown, assume there is only a primary seal as a default. </t>
  </si>
  <si>
    <t>Effective Column Diameter:</t>
  </si>
  <si>
    <t xml:space="preserve">  = 1.1 for 9 in x 7 in built up columns</t>
  </si>
  <si>
    <t xml:space="preserve">  = 0.7 for 8 in diameter pipe columns</t>
  </si>
  <si>
    <t xml:space="preserve">  = 1.0 if construction details unknown</t>
  </si>
  <si>
    <t>Deck Seam Length:</t>
  </si>
  <si>
    <r>
      <t>Select deck seam length factors (S</t>
    </r>
    <r>
      <rPr>
        <vertAlign val="subscript"/>
        <sz val="11"/>
        <rFont val="Arial"/>
        <family val="2"/>
      </rPr>
      <t>D</t>
    </r>
    <r>
      <rPr>
        <sz val="11"/>
        <rFont val="Arial"/>
        <family val="2"/>
      </rPr>
      <t>), AP-42, Chapter 7, Table 7.1-16</t>
    </r>
  </si>
  <si>
    <t xml:space="preserve">  = 0 for welded decks</t>
  </si>
  <si>
    <t xml:space="preserve">  = 0.20 for 5 ft wide continuous sheets [if specific info is not available, this value can be assumed to represent the most common bolted decks currently in use]</t>
  </si>
  <si>
    <t xml:space="preserve">  = 0.17 for 6 ft wide continuous sheets</t>
  </si>
  <si>
    <t xml:space="preserve">  = 0.14 for 7 ft wide continuous sheets</t>
  </si>
  <si>
    <t xml:space="preserve">  = 0.33 for 5 ft x 7.5 ft rectangular panels  </t>
  </si>
  <si>
    <t xml:space="preserve">  = 0.28 for 5 ft x 12  ft rectangular panels  </t>
  </si>
  <si>
    <t>Should be 0 for EFRs</t>
  </si>
  <si>
    <t>If you will need a Table 7 for the tank, also fill in the data to the right starting in column AN. [not yet working]</t>
  </si>
  <si>
    <t>First fill in the Tank Data sheet for all floating roof tanks.</t>
  </si>
  <si>
    <t>Select floating roof tank from the drop down menu.</t>
  </si>
  <si>
    <t>Floating Roof Tank Fitting Data</t>
  </si>
  <si>
    <t>Typical or Detailed Fittings:</t>
  </si>
  <si>
    <t xml:space="preserve">Select from the dropdown menu. Use "Typical" if you do not know the specific fittings on the selected tank and want to use values recommended by AP-42. If you have selected the "Typical" option, this table is complete. </t>
  </si>
  <si>
    <t xml:space="preserve">Use "Detailed" if you know the number of fittings for the selected tank. Fill in columns C through AT with the actual number of fittings for the selected tank.  </t>
  </si>
  <si>
    <t>Assumptions:</t>
  </si>
  <si>
    <t>If "typical" is selected, fitting loss factors are calculated based on the typical number of deck fittings for floating roof tanks presented in Tables 7.1-11, 7.1-12, 7.1-13, 7.1-14, and 7.1-15.</t>
  </si>
  <si>
    <t>In selecting the typical number of deck fittings for floating roof tanks based on tank diameter in Tables 7.1-13, 7.1-14, and 7.1-15 of AP-42, the tank diameter was replaced with the inner/outer range of diameter presented in the tables if the tank diameter fell outside of said range.</t>
  </si>
  <si>
    <r>
      <t>The number of deck drains for tanks with a diameter larger than 350 ft, shown as "ND" in Table 7.1-13 of AP-42, was replaced by the last determined value (N</t>
    </r>
    <r>
      <rPr>
        <vertAlign val="subscript"/>
        <sz val="11"/>
        <rFont val="Arial"/>
        <family val="2"/>
      </rPr>
      <t>d</t>
    </r>
    <r>
      <rPr>
        <sz val="11"/>
        <rFont val="Arial"/>
        <family val="2"/>
      </rPr>
      <t>=7).</t>
    </r>
  </si>
  <si>
    <t>Data to be Entered for Each Floating Roof Tank:</t>
  </si>
  <si>
    <t>Data Looked up on Tank Data Sheet:</t>
  </si>
  <si>
    <t>Calculated Values Based on Data Looked up on Reference Tables:</t>
  </si>
  <si>
    <t>Data Looked up on Reference Tables:</t>
  </si>
  <si>
    <t>Typical or Detailed Fittings?</t>
  </si>
  <si>
    <t>Number of Fittings</t>
  </si>
  <si>
    <t>Typical Number of Fittings</t>
  </si>
  <si>
    <t>Access Hatch 
(24-inch diameter well)</t>
  </si>
  <si>
    <t>Fixed roof support column well</t>
  </si>
  <si>
    <t>Unslotted guide pole and well 
(8-inch diameter unslotted pole, 21-inch diameter well)</t>
  </si>
  <si>
    <t>Slotted guide pole / sample well 
(8-inch diameter unslotted pole, 21-inch diameter well)</t>
  </si>
  <si>
    <t>Gauge float well (automatic gauge)</t>
  </si>
  <si>
    <t>Gauge hatch / sample port</t>
  </si>
  <si>
    <t>Vacuum breaker</t>
  </si>
  <si>
    <t>Deck drain</t>
  </si>
  <si>
    <t>Stub drain 
(1-inch diameter)</t>
  </si>
  <si>
    <t>Deck leg 
(3-inch diameter)</t>
  </si>
  <si>
    <t>Rim vent</t>
  </si>
  <si>
    <t>Ladder well</t>
  </si>
  <si>
    <t>Fixed roof support column wellBuilt up column, ungasketed sliding cover</t>
  </si>
  <si>
    <t>Vacuum breakerWeighted mechanical actuation, gasketed</t>
  </si>
  <si>
    <t>Deck drainOpen</t>
  </si>
  <si>
    <t>Deck leg (3-inch diameter)Adjustable, pontoon area - ungasketed</t>
  </si>
  <si>
    <t>Deck leg (3-inch diameter)Adjustable, center area - ungasketed</t>
  </si>
  <si>
    <t>Deck leg (3-inch diameter)Adjustable, double deck roofs</t>
  </si>
  <si>
    <t>Deck leg (3-inch diameter)Adjustable, internal floating deck</t>
  </si>
  <si>
    <t>Stub drain (1-inch diameter)Stub Drain</t>
  </si>
  <si>
    <t>Access Hatch (24-inch diameter well)</t>
  </si>
  <si>
    <t>Unslotted guide pole and well (8-inch diameter unslotted pole, 21-inch diameter well)</t>
  </si>
  <si>
    <t>Slotted guide pole / sample well (8-inch diameter unslotted pole, 21-inch diameter well)</t>
  </si>
  <si>
    <t>Stub drain (1-inch diameter)</t>
  </si>
  <si>
    <t>Deck leg (3-inch diameter)</t>
  </si>
  <si>
    <t>Bolted cover, gasketed</t>
  </si>
  <si>
    <t>Unbolted cover, ungasketed</t>
  </si>
  <si>
    <t>Unbolted cover, gasketed</t>
  </si>
  <si>
    <t>Round pipe, ungasketed sliding cover</t>
  </si>
  <si>
    <t>Round pipe, gasketed sliding cover</t>
  </si>
  <si>
    <t>Round pipe, flexible fabric sleeve seal</t>
  </si>
  <si>
    <t>Built up column, ungasketed sliding cover</t>
  </si>
  <si>
    <t>Built up column, gasketed sliding cover</t>
  </si>
  <si>
    <t>Ungasketed sliding cover</t>
  </si>
  <si>
    <t>Ungasketed sliding cover with pole sleeve</t>
  </si>
  <si>
    <t>Gasketed sliding cover</t>
  </si>
  <si>
    <t>Gasketed sliding cover with pole wiper</t>
  </si>
  <si>
    <t>Gasketed sliding cover with pole sleeve</t>
  </si>
  <si>
    <t>Ungasketed or gasketed sliding cover</t>
  </si>
  <si>
    <t>Ungasketed or gasketed sliding cover with float</t>
  </si>
  <si>
    <t>Gasketed sliding cover with pole sleeve and pole wiper</t>
  </si>
  <si>
    <t>Gasketed sliding cover with float and pole wiper</t>
  </si>
  <si>
    <t>Gasketed sliding cover with float, pole sleeve, and pole wiper</t>
  </si>
  <si>
    <t>Weighted mechanical actuation, gasketed</t>
  </si>
  <si>
    <t>Weighted mechanical actuation, ungasketed</t>
  </si>
  <si>
    <t>Slit fabric seal, 10% open area</t>
  </si>
  <si>
    <t>Open</t>
  </si>
  <si>
    <t>90% Closed</t>
  </si>
  <si>
    <t>Adjustable, internal floating deck</t>
  </si>
  <si>
    <t>Adjustable, pontoon area - ungasketed</t>
  </si>
  <si>
    <t>Adjustable, pontoon area - gasketed</t>
  </si>
  <si>
    <t>Adjustable, pontoon area - sock</t>
  </si>
  <si>
    <t>Adjustable, center area - ungasketed</t>
  </si>
  <si>
    <t>Adjustable, center area - gasketed</t>
  </si>
  <si>
    <t>Adjustable, center area - sock</t>
  </si>
  <si>
    <t>Adjustable, double deck roofs</t>
  </si>
  <si>
    <t>Fixed</t>
  </si>
  <si>
    <t>Sliding cover, ungasketed</t>
  </si>
  <si>
    <t>Sliding cover, gasketed</t>
  </si>
  <si>
    <r>
      <t>N</t>
    </r>
    <r>
      <rPr>
        <b/>
        <vertAlign val="subscript"/>
        <sz val="8"/>
        <color rgb="FF0070C0"/>
        <rFont val="Arial"/>
        <family val="2"/>
      </rPr>
      <t>c</t>
    </r>
    <r>
      <rPr>
        <b/>
        <sz val="8"/>
        <color rgb="FF0070C0"/>
        <rFont val="Arial"/>
        <family val="2"/>
      </rPr>
      <t xml:space="preserve">
(Table 7.1-11)</t>
    </r>
  </si>
  <si>
    <r>
      <t>N</t>
    </r>
    <r>
      <rPr>
        <b/>
        <vertAlign val="subscript"/>
        <sz val="8"/>
        <color rgb="FF0070C0"/>
        <rFont val="Arial"/>
        <family val="2"/>
      </rPr>
      <t>vb</t>
    </r>
    <r>
      <rPr>
        <b/>
        <sz val="8"/>
        <color rgb="FF0070C0"/>
        <rFont val="Arial"/>
        <family val="2"/>
      </rPr>
      <t xml:space="preserve"> 
(Table 7.1-13)</t>
    </r>
  </si>
  <si>
    <r>
      <t>N</t>
    </r>
    <r>
      <rPr>
        <b/>
        <vertAlign val="subscript"/>
        <sz val="8"/>
        <color rgb="FF0070C0"/>
        <rFont val="Arial"/>
        <family val="2"/>
      </rPr>
      <t>d</t>
    </r>
    <r>
      <rPr>
        <b/>
        <sz val="8"/>
        <color rgb="FF0070C0"/>
        <rFont val="Arial"/>
        <family val="2"/>
      </rPr>
      <t xml:space="preserve"> 
(Table 7.1-13)</t>
    </r>
  </si>
  <si>
    <r>
      <t>N</t>
    </r>
    <r>
      <rPr>
        <b/>
        <vertAlign val="subscript"/>
        <sz val="8"/>
        <color rgb="FF0070C0"/>
        <rFont val="Arial"/>
        <family val="2"/>
      </rPr>
      <t>l</t>
    </r>
    <r>
      <rPr>
        <b/>
        <sz val="8"/>
        <color rgb="FF0070C0"/>
        <rFont val="Arial"/>
        <family val="2"/>
      </rPr>
      <t xml:space="preserve"> 
(Table 7.1-14)</t>
    </r>
  </si>
  <si>
    <r>
      <t>N</t>
    </r>
    <r>
      <rPr>
        <b/>
        <vertAlign val="subscript"/>
        <sz val="8"/>
        <color rgb="FF0070C0"/>
        <rFont val="Arial"/>
        <family val="2"/>
      </rPr>
      <t>l</t>
    </r>
    <r>
      <rPr>
        <b/>
        <sz val="8"/>
        <color rgb="FF0070C0"/>
        <rFont val="Arial"/>
        <family val="2"/>
      </rPr>
      <t xml:space="preserve"> 
(Table 7.1-15)</t>
    </r>
  </si>
  <si>
    <r>
      <t>N</t>
    </r>
    <r>
      <rPr>
        <b/>
        <vertAlign val="subscript"/>
        <sz val="8"/>
        <color rgb="FF0070C0"/>
        <rFont val="Arial"/>
        <family val="2"/>
      </rPr>
      <t>d</t>
    </r>
    <r>
      <rPr>
        <b/>
        <sz val="8"/>
        <color rgb="FF0070C0"/>
        <rFont val="Arial"/>
        <family val="2"/>
      </rPr>
      <t xml:space="preserve"> 
(Table 7.1-15)</t>
    </r>
  </si>
  <si>
    <t>Stub Drain</t>
  </si>
  <si>
    <t xml:space="preserve">Users are not expected to enter data on this page. You may need to "fill down" formulas based on the number of floating roof tanks you have. </t>
  </si>
  <si>
    <t>Tank Fitting Loss Factors</t>
  </si>
  <si>
    <t>Deck Fitting Loss Factor (Equation 2-7):</t>
  </si>
  <si>
    <r>
      <t>K</t>
    </r>
    <r>
      <rPr>
        <b/>
        <vertAlign val="subscript"/>
        <sz val="11"/>
        <rFont val="Arial"/>
        <family val="2"/>
      </rPr>
      <t>Fi</t>
    </r>
    <r>
      <rPr>
        <b/>
        <sz val="11"/>
        <rFont val="Arial"/>
        <family val="2"/>
      </rPr>
      <t xml:space="preserve">  = K</t>
    </r>
    <r>
      <rPr>
        <b/>
        <vertAlign val="subscript"/>
        <sz val="11"/>
        <rFont val="Arial"/>
        <family val="2"/>
      </rPr>
      <t>Fai</t>
    </r>
    <r>
      <rPr>
        <b/>
        <sz val="11"/>
        <rFont val="Arial"/>
        <family val="2"/>
      </rPr>
      <t xml:space="preserve"> + K</t>
    </r>
    <r>
      <rPr>
        <b/>
        <vertAlign val="subscript"/>
        <sz val="11"/>
        <rFont val="Arial"/>
        <family val="2"/>
      </rPr>
      <t>Fbi</t>
    </r>
    <r>
      <rPr>
        <b/>
        <sz val="11"/>
        <rFont val="Arial"/>
        <family val="2"/>
      </rPr>
      <t xml:space="preserve"> (K</t>
    </r>
    <r>
      <rPr>
        <b/>
        <vertAlign val="subscript"/>
        <sz val="11"/>
        <rFont val="Arial"/>
        <family val="2"/>
      </rPr>
      <t>v</t>
    </r>
    <r>
      <rPr>
        <b/>
        <sz val="11"/>
        <rFont val="Arial"/>
        <family val="2"/>
      </rPr>
      <t xml:space="preserve"> * v) </t>
    </r>
    <r>
      <rPr>
        <b/>
        <vertAlign val="superscript"/>
        <sz val="11"/>
        <rFont val="Arial"/>
        <family val="2"/>
      </rPr>
      <t>mi</t>
    </r>
  </si>
  <si>
    <r>
      <t>K</t>
    </r>
    <r>
      <rPr>
        <vertAlign val="subscript"/>
        <sz val="11"/>
        <rFont val="Arial"/>
        <family val="2"/>
      </rPr>
      <t>Fi</t>
    </r>
    <r>
      <rPr>
        <sz val="11"/>
        <rFont val="Arial"/>
        <family val="2"/>
      </rPr>
      <t xml:space="preserve"> = loss factor for a particular type of deck fitting, lb-mole/yr</t>
    </r>
  </si>
  <si>
    <r>
      <t>K</t>
    </r>
    <r>
      <rPr>
        <vertAlign val="subscript"/>
        <sz val="11"/>
        <rFont val="Arial"/>
        <family val="2"/>
      </rPr>
      <t>v</t>
    </r>
    <r>
      <rPr>
        <sz val="11"/>
        <rFont val="Arial"/>
        <family val="2"/>
      </rPr>
      <t xml:space="preserve"> = fitting wind speed correction factor, dimensionless</t>
    </r>
  </si>
  <si>
    <r>
      <t>K</t>
    </r>
    <r>
      <rPr>
        <vertAlign val="subscript"/>
        <sz val="11"/>
        <rFont val="Arial"/>
        <family val="2"/>
      </rPr>
      <t>Fai</t>
    </r>
    <r>
      <rPr>
        <sz val="11"/>
        <rFont val="Arial"/>
        <family val="2"/>
      </rPr>
      <t xml:space="preserve"> = zero wind speed loss factor for a particular type of fitting, lb-mole/yr - from reference table</t>
    </r>
  </si>
  <si>
    <t>if EFR = 0.7</t>
  </si>
  <si>
    <r>
      <t>K</t>
    </r>
    <r>
      <rPr>
        <vertAlign val="subscript"/>
        <sz val="11"/>
        <rFont val="Arial"/>
        <family val="2"/>
      </rPr>
      <t>Fbi</t>
    </r>
    <r>
      <rPr>
        <sz val="11"/>
        <rFont val="Arial"/>
        <family val="2"/>
      </rPr>
      <t xml:space="preserve"> = wind speed dependent loss factor for a particular type of fitting, lb-mole/(mph)</t>
    </r>
    <r>
      <rPr>
        <vertAlign val="superscript"/>
        <sz val="11"/>
        <rFont val="Arial"/>
        <family val="2"/>
      </rPr>
      <t>m</t>
    </r>
    <r>
      <rPr>
        <sz val="11"/>
        <rFont val="Arial"/>
        <family val="2"/>
      </rPr>
      <t>/yr - from reference table</t>
    </r>
  </si>
  <si>
    <t>if IFR or DEFR = 0</t>
  </si>
  <si>
    <r>
      <t>m</t>
    </r>
    <r>
      <rPr>
        <vertAlign val="subscript"/>
        <sz val="11"/>
        <rFont val="Arial"/>
        <family val="2"/>
      </rPr>
      <t>i</t>
    </r>
    <r>
      <rPr>
        <sz val="11"/>
        <rFont val="Arial"/>
        <family val="2"/>
      </rPr>
      <t xml:space="preserve"> = loss factor for a particular type of deck fitting, dimensionless - from reference table</t>
    </r>
  </si>
  <si>
    <t>v = average ambient wind speed, mph - from met data</t>
  </si>
  <si>
    <t>i = 1, 2, ..., n, dimensionless</t>
  </si>
  <si>
    <t>Data Looked up on Fitting Data Sheet:</t>
  </si>
  <si>
    <t>Data Looked up on Met Data Sheet:</t>
  </si>
  <si>
    <t>Values calculated for use in calculations:</t>
  </si>
  <si>
    <t>Average ambient wind speed
v
(mph)</t>
  </si>
  <si>
    <r>
      <t>Fitting wind speed correction factor
K</t>
    </r>
    <r>
      <rPr>
        <b/>
        <vertAlign val="subscript"/>
        <sz val="11"/>
        <color rgb="FF0070C0"/>
        <rFont val="Arial"/>
        <family val="2"/>
      </rPr>
      <t xml:space="preserve">V
</t>
    </r>
    <r>
      <rPr>
        <b/>
        <sz val="11"/>
        <color rgb="FF0070C0"/>
        <rFont val="Arial"/>
        <family val="2"/>
      </rPr>
      <t>(unitless)</t>
    </r>
  </si>
  <si>
    <t>Deck Fitting Loss Factors for a Particular Type Fitting (lb-mole/yr)</t>
  </si>
  <si>
    <r>
      <t>Deck Fitting Loss Factor
F</t>
    </r>
    <r>
      <rPr>
        <b/>
        <vertAlign val="subscript"/>
        <sz val="11"/>
        <color rgb="FF0070C0"/>
        <rFont val="Arial"/>
        <family val="2"/>
      </rPr>
      <t xml:space="preserve">F
</t>
    </r>
    <r>
      <rPr>
        <b/>
        <sz val="11"/>
        <color rgb="FF0070C0"/>
        <rFont val="Arial"/>
        <family val="2"/>
      </rPr>
      <t>(lb-mole/yr)</t>
    </r>
  </si>
  <si>
    <t>This page is for reference only.</t>
  </si>
  <si>
    <t>Reference Tables</t>
  </si>
  <si>
    <t>Table 7.1-6 Paint Solar Absorbtance for Fixed Roof Tanks</t>
  </si>
  <si>
    <t>Paint Color</t>
  </si>
  <si>
    <r>
      <rPr>
        <b/>
        <sz val="11"/>
        <rFont val="Symbol"/>
        <family val="1"/>
        <charset val="2"/>
      </rPr>
      <t>a</t>
    </r>
    <r>
      <rPr>
        <b/>
        <sz val="11"/>
        <rFont val="Arial"/>
        <family val="2"/>
      </rPr>
      <t xml:space="preserve">
(unitless)
Good Paint Condition</t>
    </r>
  </si>
  <si>
    <r>
      <rPr>
        <b/>
        <sz val="11"/>
        <rFont val="Symbol"/>
        <family val="1"/>
        <charset val="2"/>
      </rPr>
      <t>a</t>
    </r>
    <r>
      <rPr>
        <b/>
        <sz val="11"/>
        <rFont val="Arial"/>
        <family val="2"/>
      </rPr>
      <t xml:space="preserve">
(unitless)
Poor Paint Condition</t>
    </r>
  </si>
  <si>
    <t>Aluminum Specular</t>
  </si>
  <si>
    <t>Aluminum Diffuse</t>
  </si>
  <si>
    <t>Aluminum Unpainted</t>
  </si>
  <si>
    <t>Beige/Cream</t>
  </si>
  <si>
    <t>Black</t>
  </si>
  <si>
    <t>Brown</t>
  </si>
  <si>
    <t>Gray Light</t>
  </si>
  <si>
    <t>Gray Medium</t>
  </si>
  <si>
    <t>Green Dark</t>
  </si>
  <si>
    <t>Red Primer</t>
  </si>
  <si>
    <t>Rust</t>
  </si>
  <si>
    <t>Tan</t>
  </si>
  <si>
    <r>
      <t>Table 7.1-7 Meteorological Data (T</t>
    </r>
    <r>
      <rPr>
        <b/>
        <vertAlign val="subscript"/>
        <sz val="11"/>
        <rFont val="Arial"/>
        <family val="2"/>
      </rPr>
      <t>AX</t>
    </r>
    <r>
      <rPr>
        <b/>
        <sz val="11"/>
        <rFont val="Arial"/>
        <family val="2"/>
      </rPr>
      <t>, T</t>
    </r>
    <r>
      <rPr>
        <b/>
        <vertAlign val="subscript"/>
        <sz val="11"/>
        <rFont val="Arial"/>
        <family val="2"/>
      </rPr>
      <t>AN</t>
    </r>
    <r>
      <rPr>
        <b/>
        <sz val="11"/>
        <rFont val="Arial"/>
        <family val="2"/>
      </rPr>
      <t>, I) for Selected U.S. Locations and Table 7.1-9 Average Annual Wind Speed (v) for Selected U.S. Locations (Atmospheric Pressure From TANKS 4.09d)</t>
    </r>
  </si>
  <si>
    <r>
      <t>Daily Ambient Minimum Temperature 
(T</t>
    </r>
    <r>
      <rPr>
        <b/>
        <vertAlign val="subscript"/>
        <sz val="11"/>
        <rFont val="Arial"/>
        <family val="2"/>
      </rPr>
      <t>AN</t>
    </r>
    <r>
      <rPr>
        <b/>
        <sz val="11"/>
        <rFont val="Arial"/>
        <family val="2"/>
      </rPr>
      <t>)   
(°F)</t>
    </r>
  </si>
  <si>
    <r>
      <t>Daily Ambient Maximum Temperature (T</t>
    </r>
    <r>
      <rPr>
        <b/>
        <vertAlign val="subscript"/>
        <sz val="11"/>
        <rFont val="Arial"/>
        <family val="2"/>
      </rPr>
      <t>AX</t>
    </r>
    <r>
      <rPr>
        <b/>
        <sz val="11"/>
        <rFont val="Arial"/>
        <family val="2"/>
      </rPr>
      <t>) 
 (°F)</t>
    </r>
  </si>
  <si>
    <r>
      <t>Solar Insolation Factor (I) (BTU/ ft</t>
    </r>
    <r>
      <rPr>
        <b/>
        <vertAlign val="superscript"/>
        <sz val="11"/>
        <rFont val="Arial"/>
        <family val="2"/>
      </rPr>
      <t>2</t>
    </r>
    <r>
      <rPr>
        <b/>
        <sz val="11"/>
        <rFont val="Arial"/>
        <family val="2"/>
      </rPr>
      <t xml:space="preserve"> day)</t>
    </r>
  </si>
  <si>
    <t>Average Wind Speed (v) (mph)</t>
  </si>
  <si>
    <t>Atmospheric Pressure (psia)</t>
  </si>
  <si>
    <t>Location List</t>
  </si>
  <si>
    <t>Birmingham, AL</t>
  </si>
  <si>
    <t>Montgomery, AL</t>
  </si>
  <si>
    <t>Homer, AK</t>
  </si>
  <si>
    <t>Phoenix, AZ</t>
  </si>
  <si>
    <t>Tucson, AZ</t>
  </si>
  <si>
    <t>Fort Smith, AR</t>
  </si>
  <si>
    <t>Little Rock, AR</t>
  </si>
  <si>
    <t>Bakersfield, CA</t>
  </si>
  <si>
    <t>Long Beach, CA</t>
  </si>
  <si>
    <t>Los Angeles AP, CA</t>
  </si>
  <si>
    <t>Sacramento, CA</t>
  </si>
  <si>
    <t>San Francisco AP, CA</t>
  </si>
  <si>
    <t>Santa Maria, CA</t>
  </si>
  <si>
    <t>Denver, CO</t>
  </si>
  <si>
    <t>Grand Junction, CO</t>
  </si>
  <si>
    <t>Wilmington, DE</t>
  </si>
  <si>
    <t>Atlanta, GA</t>
  </si>
  <si>
    <t>Savannah, GA</t>
  </si>
  <si>
    <t>Honolulu, HI</t>
  </si>
  <si>
    <t>Chicago, IL</t>
  </si>
  <si>
    <t>Springfield, IL</t>
  </si>
  <si>
    <t>Indianapolis, IN</t>
  </si>
  <si>
    <t>Wichita, KS</t>
  </si>
  <si>
    <t>Louisville, KY</t>
  </si>
  <si>
    <t>Baton Rouge, LA</t>
  </si>
  <si>
    <t>Lake Charles, LA</t>
  </si>
  <si>
    <t>New Orleans, LA</t>
  </si>
  <si>
    <t>Detroit, MI</t>
  </si>
  <si>
    <t>Grand Rapids, MI</t>
  </si>
  <si>
    <t>Minneapolis-St.Paul, MN</t>
  </si>
  <si>
    <t>Jackson, MS</t>
  </si>
  <si>
    <t>Billings, MT</t>
  </si>
  <si>
    <t>Las Vegas, NV</t>
  </si>
  <si>
    <t>Newark, NJ</t>
  </si>
  <si>
    <t>Roswell, NM</t>
  </si>
  <si>
    <t>Buffalo, NY</t>
  </si>
  <si>
    <t>New York, NY (LaGuardia Airport)</t>
  </si>
  <si>
    <t>Cleveland, OH</t>
  </si>
  <si>
    <t>Columbus, OH</t>
  </si>
  <si>
    <t>Toledo, OH</t>
  </si>
  <si>
    <t>Oklahoma City, OK</t>
  </si>
  <si>
    <t>Tulsa, OK</t>
  </si>
  <si>
    <t>Astoria, OR</t>
  </si>
  <si>
    <t>Portland, OR</t>
  </si>
  <si>
    <t>Philadelphia, PA</t>
  </si>
  <si>
    <t>Pittsburgh, PA</t>
  </si>
  <si>
    <t>Providence, RI</t>
  </si>
  <si>
    <t>Columbia, SC</t>
  </si>
  <si>
    <t>Sioux Falls, SD</t>
  </si>
  <si>
    <t>Memphis, TN</t>
  </si>
  <si>
    <t>Amarillo, TX</t>
  </si>
  <si>
    <t>Corpus Christi, TX</t>
  </si>
  <si>
    <t>Houston, TX</t>
  </si>
  <si>
    <t>Midland-Odessa, TX</t>
  </si>
  <si>
    <t>Salt Lake City, UT</t>
  </si>
  <si>
    <t>Richmond, VA</t>
  </si>
  <si>
    <t>Seattle, WA (Sea-Tac Airport)</t>
  </si>
  <si>
    <t>Charleston, WV</t>
  </si>
  <si>
    <t>Huntington, WV</t>
  </si>
  <si>
    <t>Cheyenne, WY</t>
  </si>
  <si>
    <t>Table 7.1-8 Rim Seal Loss Factors</t>
  </si>
  <si>
    <t>Tank Shell Construction</t>
  </si>
  <si>
    <r>
      <t>K</t>
    </r>
    <r>
      <rPr>
        <b/>
        <vertAlign val="subscript"/>
        <sz val="11"/>
        <rFont val="Arial"/>
        <family val="2"/>
      </rPr>
      <t xml:space="preserve">RA
</t>
    </r>
    <r>
      <rPr>
        <b/>
        <sz val="11"/>
        <rFont val="Arial"/>
        <family val="2"/>
      </rPr>
      <t>(lb-mol / ft yr )</t>
    </r>
  </si>
  <si>
    <r>
      <t>K</t>
    </r>
    <r>
      <rPr>
        <b/>
        <vertAlign val="subscript"/>
        <sz val="11"/>
        <rFont val="Arial"/>
        <family val="2"/>
      </rPr>
      <t xml:space="preserve">RB
</t>
    </r>
    <r>
      <rPr>
        <b/>
        <sz val="11"/>
        <rFont val="Arial"/>
        <family val="2"/>
      </rPr>
      <t>(lb-mol / mph</t>
    </r>
    <r>
      <rPr>
        <b/>
        <vertAlign val="superscript"/>
        <sz val="11"/>
        <rFont val="Arial"/>
        <family val="2"/>
      </rPr>
      <t>n</t>
    </r>
    <r>
      <rPr>
        <b/>
        <sz val="11"/>
        <rFont val="Arial"/>
        <family val="2"/>
      </rPr>
      <t xml:space="preserve"> ft yr )</t>
    </r>
  </si>
  <si>
    <t>Welded</t>
  </si>
  <si>
    <t>Mechanical Shoe</t>
  </si>
  <si>
    <t>Primary only</t>
  </si>
  <si>
    <t>Shoe mounted</t>
  </si>
  <si>
    <t>Rim mounted</t>
  </si>
  <si>
    <t>Liquid mounted</t>
  </si>
  <si>
    <t>Weather shield</t>
  </si>
  <si>
    <t>Vapor mounted</t>
  </si>
  <si>
    <t>Riveted</t>
  </si>
  <si>
    <r>
      <t>Table 7.1-10 Average Clingage Factors C</t>
    </r>
    <r>
      <rPr>
        <b/>
        <vertAlign val="subscript"/>
        <sz val="11"/>
        <rFont val="Arial"/>
        <family val="2"/>
      </rPr>
      <t>s</t>
    </r>
    <r>
      <rPr>
        <b/>
        <sz val="11"/>
        <rFont val="Arial"/>
        <family val="2"/>
      </rPr>
      <t xml:space="preserve"> (bbl/10</t>
    </r>
    <r>
      <rPr>
        <b/>
        <vertAlign val="superscript"/>
        <sz val="11"/>
        <rFont val="Arial"/>
        <family val="2"/>
      </rPr>
      <t>3</t>
    </r>
    <r>
      <rPr>
        <b/>
        <sz val="11"/>
        <rFont val="Arial"/>
        <family val="2"/>
      </rPr>
      <t xml:space="preserve"> ft</t>
    </r>
    <r>
      <rPr>
        <b/>
        <vertAlign val="superscript"/>
        <sz val="11"/>
        <rFont val="Arial"/>
        <family val="2"/>
      </rPr>
      <t>2</t>
    </r>
    <r>
      <rPr>
        <b/>
        <sz val="11"/>
        <rFont val="Arial"/>
        <family val="2"/>
      </rPr>
      <t>) (Modified)</t>
    </r>
  </si>
  <si>
    <t>Product Stored</t>
  </si>
  <si>
    <t>Light Rust</t>
  </si>
  <si>
    <t>Dense Rust</t>
  </si>
  <si>
    <t>Gunite Lining</t>
  </si>
  <si>
    <t>Gasoline</t>
  </si>
  <si>
    <t>Single Component Stocks</t>
  </si>
  <si>
    <t>Crude Oil</t>
  </si>
  <si>
    <t>Table 7.1-11. Typical Number Of Columns As A Function Of Tank Diameter For Internal Floating Roof Tanks With Column Supported Fixed Roofs</t>
  </si>
  <si>
    <t>Tank Diameter Range D, (ft)</t>
  </si>
  <si>
    <r>
      <t>Typical Number Of Columns, N</t>
    </r>
    <r>
      <rPr>
        <b/>
        <vertAlign val="subscript"/>
        <sz val="11"/>
        <rFont val="Arial"/>
        <family val="2"/>
      </rPr>
      <t>C</t>
    </r>
  </si>
  <si>
    <t>&gt;</t>
  </si>
  <si>
    <t>&lt;=</t>
  </si>
  <si>
    <r>
      <t>Table 7.1-12 Deck Fitting Loss Factors K</t>
    </r>
    <r>
      <rPr>
        <b/>
        <vertAlign val="subscript"/>
        <sz val="11"/>
        <rFont val="Arial"/>
        <family val="2"/>
      </rPr>
      <t>Fa</t>
    </r>
    <r>
      <rPr>
        <b/>
        <sz val="11"/>
        <rFont val="Arial"/>
        <family val="2"/>
      </rPr>
      <t>, K</t>
    </r>
    <r>
      <rPr>
        <b/>
        <vertAlign val="subscript"/>
        <sz val="11"/>
        <rFont val="Arial"/>
        <family val="2"/>
      </rPr>
      <t>Fb</t>
    </r>
    <r>
      <rPr>
        <b/>
        <sz val="11"/>
        <rFont val="Arial"/>
        <family val="2"/>
      </rPr>
      <t>, and m</t>
    </r>
  </si>
  <si>
    <t>Fitting Type</t>
  </si>
  <si>
    <t>Construction Details</t>
  </si>
  <si>
    <r>
      <t>K</t>
    </r>
    <r>
      <rPr>
        <b/>
        <vertAlign val="subscript"/>
        <sz val="11"/>
        <rFont val="Arial"/>
        <family val="2"/>
      </rPr>
      <t>Fa</t>
    </r>
    <r>
      <rPr>
        <b/>
        <sz val="11"/>
        <rFont val="Arial"/>
        <family val="2"/>
      </rPr>
      <t xml:space="preserve">
(lb-mol/yr)</t>
    </r>
  </si>
  <si>
    <r>
      <t>K</t>
    </r>
    <r>
      <rPr>
        <b/>
        <vertAlign val="subscript"/>
        <sz val="11"/>
        <rFont val="Arial"/>
        <family val="2"/>
      </rPr>
      <t>Fb</t>
    </r>
    <r>
      <rPr>
        <b/>
        <sz val="11"/>
        <rFont val="Arial"/>
        <family val="2"/>
      </rPr>
      <t xml:space="preserve">
(lb-mol/mph</t>
    </r>
    <r>
      <rPr>
        <b/>
        <vertAlign val="superscript"/>
        <sz val="11"/>
        <rFont val="Arial"/>
        <family val="2"/>
      </rPr>
      <t>m</t>
    </r>
    <r>
      <rPr>
        <b/>
        <sz val="11"/>
        <rFont val="Arial"/>
        <family val="2"/>
      </rPr>
      <t xml:space="preserve"> yr)</t>
    </r>
  </si>
  <si>
    <t>m 
(unitless)</t>
  </si>
  <si>
    <r>
      <t>Typical Number of Fittings, N</t>
    </r>
    <r>
      <rPr>
        <b/>
        <vertAlign val="subscript"/>
        <sz val="11"/>
        <rFont val="Arial"/>
        <family val="2"/>
      </rPr>
      <t>F</t>
    </r>
  </si>
  <si>
    <t>Notes</t>
  </si>
  <si>
    <t>Both EFR and DEFR - Most common</t>
  </si>
  <si>
    <t>Both EFR and IFR - Most common for IFR</t>
  </si>
  <si>
    <t>Both EFR and IFR</t>
  </si>
  <si>
    <t>IFR only - Not typically used with self supported roofs</t>
  </si>
  <si>
    <r>
      <t>N</t>
    </r>
    <r>
      <rPr>
        <vertAlign val="subscript"/>
        <sz val="11"/>
        <rFont val="Arial"/>
        <family val="2"/>
      </rPr>
      <t>C</t>
    </r>
    <r>
      <rPr>
        <sz val="11"/>
        <rFont val="Arial"/>
        <family val="2"/>
      </rPr>
      <t xml:space="preserve"> (Table 7.1-11)</t>
    </r>
  </si>
  <si>
    <t>IFR only - Not typically used with self supported roofs - Most common</t>
  </si>
  <si>
    <t>Not typically used</t>
  </si>
  <si>
    <t>Both EFR and IFR - Most common</t>
  </si>
  <si>
    <t>Both EFR and IFR - Most common for EFR and DEFR</t>
  </si>
  <si>
    <t>IFR only - Most common for IFR</t>
  </si>
  <si>
    <r>
      <t>N</t>
    </r>
    <r>
      <rPr>
        <vertAlign val="subscript"/>
        <sz val="11"/>
        <rFont val="Arial"/>
        <family val="2"/>
      </rPr>
      <t>vb</t>
    </r>
    <r>
      <rPr>
        <sz val="11"/>
        <rFont val="Arial"/>
        <family val="2"/>
      </rPr>
      <t xml:space="preserve"> (Table 7.1-13)</t>
    </r>
  </si>
  <si>
    <r>
      <t>Both EFR and IFR (N</t>
    </r>
    <r>
      <rPr>
        <vertAlign val="subscript"/>
        <sz val="11"/>
        <rFont val="Arial"/>
        <family val="2"/>
      </rPr>
      <t>vb</t>
    </r>
    <r>
      <rPr>
        <sz val="11"/>
        <rFont val="Arial"/>
        <family val="2"/>
      </rPr>
      <t>=1 for IFRs)</t>
    </r>
  </si>
  <si>
    <r>
      <t>Both EFR and IFR - Most common - (N</t>
    </r>
    <r>
      <rPr>
        <vertAlign val="subscript"/>
        <sz val="11"/>
        <rFont val="Arial"/>
        <family val="2"/>
      </rPr>
      <t>vb</t>
    </r>
    <r>
      <rPr>
        <sz val="11"/>
        <rFont val="Arial"/>
        <family val="2"/>
      </rPr>
      <t>=1 for IFRs)</t>
    </r>
  </si>
  <si>
    <r>
      <t>N</t>
    </r>
    <r>
      <rPr>
        <vertAlign val="subscript"/>
        <sz val="11"/>
        <rFont val="Arial"/>
        <family val="2"/>
      </rPr>
      <t>d</t>
    </r>
    <r>
      <rPr>
        <sz val="11"/>
        <rFont val="Arial"/>
        <family val="2"/>
      </rPr>
      <t xml:space="preserve"> (Table 7.1-13)</t>
    </r>
  </si>
  <si>
    <t>EFR only - Most common</t>
  </si>
  <si>
    <t>EFR only</t>
  </si>
  <si>
    <r>
      <t>N</t>
    </r>
    <r>
      <rPr>
        <vertAlign val="subscript"/>
        <sz val="11"/>
        <rFont val="Arial"/>
        <family val="2"/>
      </rPr>
      <t>d</t>
    </r>
    <r>
      <rPr>
        <sz val="11"/>
        <rFont val="Arial"/>
        <family val="2"/>
      </rPr>
      <t xml:space="preserve"> (Table 7.1-15)</t>
    </r>
  </si>
  <si>
    <t>IFR only - Not used on welded deck IFR</t>
  </si>
  <si>
    <r>
      <t>N</t>
    </r>
    <r>
      <rPr>
        <vertAlign val="subscript"/>
        <sz val="11"/>
        <rFont val="Arial"/>
        <family val="2"/>
      </rPr>
      <t>l</t>
    </r>
    <r>
      <rPr>
        <sz val="11"/>
        <rFont val="Arial"/>
        <family val="2"/>
      </rPr>
      <t xml:space="preserve"> (Table 7.1-15)
(Table 7.1-14)</t>
    </r>
  </si>
  <si>
    <t>Both EFR and IFR - Only used with mechanical shoe primary seals</t>
  </si>
  <si>
    <t>Both EFR and IFR - Only used with mechanical shoe primary seals - Most common for EFR</t>
  </si>
  <si>
    <t>IFR only - Most common - Not typically used with self supported roofs</t>
  </si>
  <si>
    <r>
      <t>Table 7.1-13. External Floating Roof Tanks: Typical Number Of Vacuum Breakers, N</t>
    </r>
    <r>
      <rPr>
        <b/>
        <vertAlign val="subscript"/>
        <sz val="11"/>
        <color theme="1"/>
        <rFont val="Arial"/>
        <family val="2"/>
      </rPr>
      <t>v</t>
    </r>
    <r>
      <rPr>
        <b/>
        <sz val="11"/>
        <rFont val="Arial"/>
        <family val="2"/>
      </rPr>
      <t>, And Deck Drains, N</t>
    </r>
    <r>
      <rPr>
        <b/>
        <vertAlign val="subscript"/>
        <sz val="11"/>
        <color theme="1"/>
        <rFont val="Arial"/>
        <family val="2"/>
      </rPr>
      <t>d</t>
    </r>
    <r>
      <rPr>
        <b/>
        <sz val="11"/>
        <color theme="1"/>
        <rFont val="Arial"/>
        <family val="2"/>
      </rPr>
      <t xml:space="preserve"> (Modified)</t>
    </r>
  </si>
  <si>
    <r>
      <t>Number Of Vacuum Breakers, N</t>
    </r>
    <r>
      <rPr>
        <b/>
        <vertAlign val="subscript"/>
        <sz val="11"/>
        <color theme="1"/>
        <rFont val="Calibri"/>
        <family val="2"/>
        <scheme val="minor"/>
      </rPr>
      <t>v</t>
    </r>
  </si>
  <si>
    <t>Tank Diameter D (feet)</t>
  </si>
  <si>
    <t>Pontoon Roof</t>
  </si>
  <si>
    <t>Double-Deck Roof</t>
  </si>
  <si>
    <r>
      <t>Number Of Deck drains, N</t>
    </r>
    <r>
      <rPr>
        <b/>
        <vertAlign val="subscript"/>
        <sz val="11"/>
        <color theme="1"/>
        <rFont val="Calibri"/>
        <family val="2"/>
        <scheme val="minor"/>
      </rPr>
      <t>d</t>
    </r>
  </si>
  <si>
    <r>
      <t>Table 7.1-14. External Floating Roof Tanks: Typical Number Of Roof Legs, N</t>
    </r>
    <r>
      <rPr>
        <b/>
        <vertAlign val="subscript"/>
        <sz val="11"/>
        <color theme="1"/>
        <rFont val="Calibri"/>
        <family val="2"/>
        <scheme val="minor"/>
      </rPr>
      <t>l</t>
    </r>
  </si>
  <si>
    <t>Tank Diameter, D (feet)</t>
  </si>
  <si>
    <t>Number Of Legs On
Double-Deck Roof</t>
  </si>
  <si>
    <t>Number Of Pontoon Legs</t>
  </si>
  <si>
    <t>Number Of Center Legs</t>
  </si>
  <si>
    <r>
      <t>Table 7.1-15. Internal Floating Roof Tanks: Typical Number of Deck Legs, N</t>
    </r>
    <r>
      <rPr>
        <b/>
        <vertAlign val="subscript"/>
        <sz val="11"/>
        <rFont val="Arial"/>
        <family val="2"/>
      </rPr>
      <t>l</t>
    </r>
    <r>
      <rPr>
        <b/>
        <sz val="11"/>
        <rFont val="Arial"/>
        <family val="2"/>
      </rPr>
      <t>, and Stub Drains, N</t>
    </r>
    <r>
      <rPr>
        <b/>
        <vertAlign val="subscript"/>
        <sz val="11"/>
        <rFont val="Arial"/>
        <family val="2"/>
      </rPr>
      <t>d</t>
    </r>
  </si>
  <si>
    <t>Deck Fitting Type</t>
  </si>
  <si>
    <t>Deck leg or hanger well</t>
  </si>
  <si>
    <r>
      <t>(5 + D/10 + D</t>
    </r>
    <r>
      <rPr>
        <vertAlign val="superscript"/>
        <sz val="11"/>
        <rFont val="Arial"/>
        <family val="2"/>
      </rPr>
      <t>2</t>
    </r>
    <r>
      <rPr>
        <sz val="11"/>
        <rFont val="Arial"/>
        <family val="2"/>
      </rPr>
      <t>/600)</t>
    </r>
  </si>
  <si>
    <r>
      <t>(D</t>
    </r>
    <r>
      <rPr>
        <vertAlign val="superscript"/>
        <sz val="11"/>
        <rFont val="Arial"/>
        <family val="2"/>
      </rPr>
      <t>2</t>
    </r>
    <r>
      <rPr>
        <sz val="11"/>
        <rFont val="Arial"/>
        <family val="2"/>
      </rPr>
      <t>/125)</t>
    </r>
  </si>
  <si>
    <r>
      <t>Table 7.1-16. Deck Seam Length Factors (S</t>
    </r>
    <r>
      <rPr>
        <b/>
        <vertAlign val="subscript"/>
        <sz val="11"/>
        <rFont val="Arial"/>
        <family val="2"/>
      </rPr>
      <t>D</t>
    </r>
    <r>
      <rPr>
        <b/>
        <sz val="11"/>
        <rFont val="Arial"/>
        <family val="2"/>
      </rPr>
      <t>) for Typical Deck Constructions for Internal Floating Roof Decks</t>
    </r>
  </si>
  <si>
    <t>Detail</t>
  </si>
  <si>
    <r>
      <t>Typical Deck Seam Length Factor (S</t>
    </r>
    <r>
      <rPr>
        <b/>
        <vertAlign val="subscript"/>
        <sz val="11"/>
        <rFont val="Arial"/>
        <family val="2"/>
      </rPr>
      <t>D</t>
    </r>
    <r>
      <rPr>
        <b/>
        <sz val="11"/>
        <rFont val="Arial"/>
        <family val="2"/>
      </rPr>
      <t>) (ft/ft</t>
    </r>
    <r>
      <rPr>
        <b/>
        <vertAlign val="superscript"/>
        <sz val="11"/>
        <rFont val="Arial"/>
        <family val="2"/>
      </rPr>
      <t>2</t>
    </r>
    <r>
      <rPr>
        <b/>
        <sz val="11"/>
        <rFont val="Arial"/>
        <family val="2"/>
      </rPr>
      <t>)</t>
    </r>
  </si>
  <si>
    <t>Continuous Sheet Construction</t>
  </si>
  <si>
    <t>5 ft wide</t>
  </si>
  <si>
    <t>6 ft wide</t>
  </si>
  <si>
    <t>7 ft wide</t>
  </si>
  <si>
    <t>Panel Construction</t>
  </si>
  <si>
    <t>5 x 7.5 ft rectangular</t>
  </si>
  <si>
    <t>5 x 12 ft rectangular</t>
  </si>
  <si>
    <t>Unit Conversion</t>
  </si>
  <si>
    <t>Units to be converted</t>
  </si>
  <si>
    <t>Formula Used</t>
  </si>
  <si>
    <t>Constants to link to</t>
  </si>
  <si>
    <t>from °R to °C</t>
  </si>
  <si>
    <t>[°C] = ([°R] − 491.67) × 5⁄9</t>
  </si>
  <si>
    <t>from °C to °F</t>
  </si>
  <si>
    <t>[°F] = [°C] × 9⁄5 + 32</t>
  </si>
  <si>
    <t>from °F to °R</t>
  </si>
  <si>
    <t>[°R] = [°F] + 459.67</t>
  </si>
  <si>
    <t>from psig to psia</t>
  </si>
  <si>
    <t>[psia] = [psig] + 14.7</t>
  </si>
  <si>
    <t>from gallons (gal) to barrels (bbl)</t>
  </si>
  <si>
    <t>[bbl] = [gal] / 42</t>
  </si>
  <si>
    <t>Constants</t>
  </si>
  <si>
    <t>Name</t>
  </si>
  <si>
    <t>Value</t>
  </si>
  <si>
    <t>Units</t>
  </si>
  <si>
    <t>Ideal Gas Constant</t>
  </si>
  <si>
    <r>
      <t>psia∙ft</t>
    </r>
    <r>
      <rPr>
        <vertAlign val="superscript"/>
        <sz val="11"/>
        <rFont val="Arial"/>
        <family val="2"/>
      </rPr>
      <t>3</t>
    </r>
    <r>
      <rPr>
        <sz val="11"/>
        <rFont val="Arial"/>
        <family val="2"/>
      </rPr>
      <t xml:space="preserve"> / lb-mole∙R</t>
    </r>
  </si>
  <si>
    <t>Table 5.2-1. Saturation (S) Factors for Calculating Petroleum Liquid Loading Losses</t>
  </si>
  <si>
    <t>Cargo Carrier</t>
  </si>
  <si>
    <t>Mode of Operation</t>
  </si>
  <si>
    <t>S Factor</t>
  </si>
  <si>
    <t>Truck/Rail</t>
  </si>
  <si>
    <t>Submerged loading of a clean cargo tank</t>
  </si>
  <si>
    <t>Submerged loading: dedicated normal service</t>
  </si>
  <si>
    <t>Submerged loading: dedicated vapor balance service</t>
  </si>
  <si>
    <t>Splash loading of a clean cargo tank</t>
  </si>
  <si>
    <t>Splash loading: dedicated normal service</t>
  </si>
  <si>
    <t>Splash loading: dedicated vapor balance service</t>
  </si>
  <si>
    <t>Marine</t>
  </si>
  <si>
    <t>Submerged loading: ships</t>
  </si>
  <si>
    <t>Submerged loading: barges</t>
  </si>
  <si>
    <t>TCEQ  Air Permit Technical Guidance for Chemical Sources APDG 6422 - Fugitive Guidance  - June 2018</t>
  </si>
  <si>
    <t>Table I: Uncontrolled SOCMI Fugitive Emission Factors</t>
  </si>
  <si>
    <t>Table II:  Facility/Compound Specific Fugitive Emission Factors</t>
  </si>
  <si>
    <t>Table V: Control Efficiencies for LDAR</t>
  </si>
  <si>
    <t>Equipment</t>
  </si>
  <si>
    <t>Service</t>
  </si>
  <si>
    <t>SOCMI Average</t>
  </si>
  <si>
    <t>SOCMI Without Ethylene (C2)</t>
  </si>
  <si>
    <t>SOCMI With Ethylene (C2)</t>
  </si>
  <si>
    <t>SOCMI Non-Leaker</t>
  </si>
  <si>
    <t>Ethylene Oxide</t>
  </si>
  <si>
    <t>Butadiene</t>
  </si>
  <si>
    <t>Petroleum Marketing Terminal</t>
  </si>
  <si>
    <t>Refinery</t>
  </si>
  <si>
    <t>28M</t>
  </si>
  <si>
    <t>28RCT</t>
  </si>
  <si>
    <t>28VHP</t>
  </si>
  <si>
    <t>28MID</t>
  </si>
  <si>
    <t>28LAER</t>
  </si>
  <si>
    <t>28PI</t>
  </si>
  <si>
    <t>28AVO</t>
  </si>
  <si>
    <t>28CNTQ</t>
  </si>
  <si>
    <t>28CNTA</t>
  </si>
  <si>
    <t>Oil and Gas Production</t>
  </si>
  <si>
    <t>Required LDAR</t>
  </si>
  <si>
    <t>28PET</t>
  </si>
  <si>
    <t>Control efficiencies apply only to components that are actually monitored. Control efficiencies do not apply to components that are difficult or unsafe-to-monitor on the standard schedule. However, difficult-to-monitor gas or light liquid valves under the 28RCT, 28VHP, 28MID, or 28LAER programs that are monitored once per year may apply a 75% reduction credit.
Any component with double mechanical seals given 75% credit. 100% if barrier fluid seal pot controlled or barrier fluid at higher pressure than process.</t>
  </si>
  <si>
    <t>Valves</t>
  </si>
  <si>
    <t>Gas</t>
  </si>
  <si>
    <t>Gas/Vapor</t>
  </si>
  <si>
    <t>Heavy Oil &lt; 20 API</t>
  </si>
  <si>
    <t>Light Liquid</t>
  </si>
  <si>
    <t>Light Oil</t>
  </si>
  <si>
    <t>Heavy Liquid</t>
  </si>
  <si>
    <t>Monitoring components in heavy liquid service using an instrument is not required by any of the 28 Series LDAR programs. If monitored with an instrument, the applicant must demonstrate that the VOC being monitored has sufficient vapor pressure to allow for reduction credit. Monitoring near or below background concentration is unreasonable and additional credit is not given for monitoring generic VOC below 500 ppmv. Credit will be given in cases where a specific compound is monitored below 500 ppmv when sufficient demonstration has been made of the ability to monitor at the specified concentration and there is no concern about the monitoring concentration being close to the background concentration. No credit may be taken if the concentration at saturation is below the leak definition of the monitoring program. 
Contact the TCEQ to determine whether valves in heavy liquid service may be given a 97% credit if monitored at 500 ppmv
Ultra heavy liquid with a vapor pressure &lt; 0.0147 psia at operating temperature may receive a 97% reduction (matching 28AVO) provided a 28PI inspection program is performed on these components (28LAER, 28PI).</t>
  </si>
  <si>
    <t>Water/ Light Oil</t>
  </si>
  <si>
    <t>Pumps</t>
  </si>
  <si>
    <t>Credit applies only If the concentration at saturation is greater than the leak definition. Contact the TCEQ to determine whether pumps in heavy liquid service may be given a 85% reduction credit if monitored at 2,000 ppmv (28 RCT or 28VHP) or a 93% credit if monitored at 500 ppmv (28MID). Ultra heavy liquid with a vapor pressure &lt; 0.0147 psia at operating temperature may receive a 93% reduction (matching 28AVO) provided a 28PI inspection program is performed on these components (28MID, 28LAER, 28PI).</t>
  </si>
  <si>
    <t>Pump factor was not derived during the API study. The factor is the SOCMI without C2 Heavy Liquid  Pump factor with a 93% reduction credit for the physical inspection.</t>
  </si>
  <si>
    <t>Flanges/Connectors</t>
  </si>
  <si>
    <t>See note for heavy liquid valves. 
Ultra heavy liquid with a vapor pressure &lt; 0.0147 psia at operating temperature may receive a 97% reduction (matching 28AVO) provided a 28PI inspection program is performed on these components (all 28 series).</t>
  </si>
  <si>
    <t>Flanges</t>
  </si>
  <si>
    <t>Compressors</t>
  </si>
  <si>
    <t>Relief Valve</t>
  </si>
  <si>
    <t>100% control may be taken if a relief valve vents to an operating control device or if it is equipped with a rupture disc and a pressure-sensing device between the valve and disc to monitor for disc integrity. For new facilities, BACT guidelines generally require that all relief valves vent to a control device. When there are safety reasons that the relief valve cannot achieve 100% control, the relief valve can be monitored under the LDAR programs for the credit listed. This monitoring must be performed regardless of whether the relief valve is considered accessible, difficult-to-monitor, or unsafe-to-monitor. Relief valves that do not achieve 100% control should not be built in locations that are unsafe-to-monitor.</t>
  </si>
  <si>
    <t>Open-ended Lines</t>
  </si>
  <si>
    <t xml:space="preserve">The 28 Series quarterly LDAR programs require open-ended lines to be equipped with a cap, blind flange, plug, or a second valve. If so equipped, open-ended lines may be given a 100% control credit. </t>
  </si>
  <si>
    <t>Good design criteria for special chemicals handling and most LDAR programs require open-ended lines to be equipped with an appropriately sized cap, blind flange, plug, or a second valve. If so equipped, open-ended lines may be given a 100% control credit. Regardless of the lines given 100% credit, these lines should be mentioned in permit applications. Exceptions to the LDAR program criteria may be made for safety reasons with the approval of TCEQ management.</t>
  </si>
  <si>
    <t>Sampling Connection</t>
  </si>
  <si>
    <t>Emission factor is in terms of pounds per hour per sample taken. Valves, connectors and open-ended lines should be quantified separately. No factors were developed for non leaker sampling connections. The SOCMI sampling connection factor is also used for Non-Leaker.</t>
  </si>
  <si>
    <t>Sampling connection control efficiencies are covered under other equipment and services. Sampling emissions are based on the number of samples taken per year as opposed to the number of connections. Fugitives for a closed loop sampling system are based on the component count.</t>
  </si>
  <si>
    <t>Connectors</t>
  </si>
  <si>
    <t>Agitators</t>
  </si>
  <si>
    <t>Same as light liquid pump factors</t>
  </si>
  <si>
    <t>Liquid Relief Valves</t>
  </si>
  <si>
    <t>Same as light liquid valve factors for existing units. New units are expected to have no emissions if they meet BACT.</t>
  </si>
  <si>
    <t>Other</t>
  </si>
  <si>
    <t>For Petroleum Marketing Terminals, “Other” includes any component excluding fittings, pumps, and valves.</t>
  </si>
  <si>
    <t>Light/Heavy Liquid</t>
  </si>
  <si>
    <t>Process Drains</t>
  </si>
  <si>
    <t>Refinery factor for process drains can be applied to any process drain regardless of facility or industry</t>
  </si>
  <si>
    <t xml:space="preserve">Process drains can get 75% credit for annual monitoring, or 95% for quarterly monitoring. </t>
  </si>
  <si>
    <t>Use SOCMI factors for chemical plants and chemical process units in refineries.</t>
  </si>
  <si>
    <t>From EPA document, EPA-453/R-95-017, November 1995, Page 2-12. Use if Ethylene content is between 11% and 85%.</t>
  </si>
  <si>
    <t>TCEQ derived, “without Ethylene (C2)” means components contain less than 11% Ethylene.</t>
  </si>
  <si>
    <t>TCEQ derived, "with Ethylene (C2)” means components contain greater than 85% Ethylene.</t>
  </si>
  <si>
    <t xml:space="preserve">Only for components where liquid vapor pressure is between 0.0147 psia and 0.147 psia. Control credit is included in factor; no additional control credit can be applied to these factors.  </t>
  </si>
  <si>
    <t>No additional control credit can be applied to these factors except 28CNTQ and 28CNTA. Emission factors are from EOIC Fugitive Emission Study, summer 1988.</t>
  </si>
  <si>
    <t>Monitoring must occur at a leak definition of 50 ppmv. No additional control credit can be applied to these factors. Emission factors are from Phosgene Panel Study, summer 1988.</t>
  </si>
  <si>
    <t>Monitoring must occur at a leak definition of 100 ppmv. No additional control credit can be applied to these factors. Emission factors are from Randall, J. L., et al., Radian Corporation. Fugitive Emissions from the 1,3-butadiene Production Industry: A Field Study. Final Report. Prepared for the 1,3-Butadiene Panel for the Chemical Manufacturers Association. April 1989.</t>
  </si>
  <si>
    <t>Control credit  for monthly PET inspection is included in the factor; no additional control credit can be applied to these factors.  From EPA 453/R-95-017. For gasoline distribution facilities one step removed from gas stations. Can also use for pipeline breakout stations for crude oil, gasoline, diesel, and jet fuel at facilities consisting only of storage tanks and truck loading. Do not use for chemical plants, large terminals for hire, or refineries. Small terminals for hire can use if &lt;25 tanks, limited by permit to only store fuels and fuel related products, prohibited by permit condition or physical constraint from using PBR to authorize other compounds, load only trucks.</t>
  </si>
  <si>
    <t>Factors are taken from EPA Document EPA-453/R-95-017, November 1995, pages 2-13, 2-14, and 2-15. Do not use for chemical processes at refinery</t>
  </si>
  <si>
    <t>AVO credit is based on the chemical constituent, not vapor pressure or service type. This program is approved for chlorine, ammonia, hydrogen sulfide, hydrogen fluoride, mercaptans, and hydrogen cyanide only. Other odorous compounds with approval. Frequency can be reduced on case-by-case basis, but not to less than once per shift.</t>
  </si>
  <si>
    <t>Can be used in conjunction with any other 28 series except 28 LAER.</t>
  </si>
  <si>
    <t xml:space="preserve"> For Oil and Gas Production Operations, “Other” includes diaphragms, dump arms, hatches, instruments, meters, polished rods, and vents.</t>
  </si>
  <si>
    <t>Factors are taken from EPA Document EPA-453/R-95-017, November 1995, pages 2-13, 2-14, and 2-15. Replaces the Gas Plant Fugitive Factors from the EPA protocol document (EPA-453/R-93-026).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</si>
</sst>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
    <numFmt numFmtId="165" formatCode="#,##0.0"/>
    <numFmt numFmtId="166" formatCode="0.0"/>
    <numFmt numFmtId="167" formatCode="#,##0.000"/>
    <numFmt numFmtId="168" formatCode="0.0000"/>
    <numFmt numFmtId="169" formatCode="###0;###0"/>
    <numFmt numFmtId="170" formatCode="??/??"/>
  </numFmts>
  <fonts count="66">
    <font>
      <sz val="11"/>
      <color theme="1"/>
      <name val="Calibri"/>
      <family val="2"/>
      <scheme val="minor"/>
    </font>
    <font>
      <sz val="11"/>
      <color theme="1"/>
      <name val="Calibri"/>
      <family val="2"/>
      <scheme val="minor"/>
    </font>
    <font>
      <sz val="10"/>
      <name val="Arial"/>
      <family val="2"/>
    </font>
    <font>
      <b/>
      <sz val="14"/>
      <name val="Arial"/>
      <family val="2"/>
    </font>
    <font>
      <sz val="14"/>
      <name val="Arial"/>
      <family val="2"/>
    </font>
    <font>
      <sz val="10"/>
      <name val="MS Sans Serif"/>
      <family val="2"/>
    </font>
    <font>
      <b/>
      <u/>
      <sz val="11"/>
      <name val="Arial"/>
      <family val="2"/>
    </font>
    <font>
      <sz val="11"/>
      <name val="Arial"/>
      <family val="2"/>
    </font>
    <font>
      <b/>
      <sz val="14"/>
      <color indexed="30"/>
      <name val="Arial"/>
      <family val="2"/>
    </font>
    <font>
      <u/>
      <sz val="11"/>
      <name val="Arial"/>
      <family val="2"/>
    </font>
    <font>
      <sz val="11"/>
      <color rgb="FF0070C0"/>
      <name val="Arial"/>
      <family val="2"/>
    </font>
    <font>
      <b/>
      <sz val="11"/>
      <color rgb="FFFF0000"/>
      <name val="Arial"/>
      <family val="2"/>
    </font>
    <font>
      <b/>
      <u/>
      <vertAlign val="subscript"/>
      <sz val="11"/>
      <name val="Arial"/>
      <family val="2"/>
    </font>
    <font>
      <vertAlign val="subscript"/>
      <sz val="11"/>
      <name val="Arial"/>
      <family val="2"/>
    </font>
    <font>
      <i/>
      <sz val="11"/>
      <name val="Arial"/>
      <family val="2"/>
    </font>
    <font>
      <sz val="11"/>
      <color rgb="FFFF0000"/>
      <name val="Arial"/>
      <family val="2"/>
    </font>
    <font>
      <b/>
      <sz val="11"/>
      <name val="Arial"/>
      <family val="2"/>
    </font>
    <font>
      <vertAlign val="superscript"/>
      <sz val="11"/>
      <name val="Arial"/>
      <family val="2"/>
    </font>
    <font>
      <b/>
      <vertAlign val="subscript"/>
      <sz val="11"/>
      <name val="Arial"/>
      <family val="2"/>
    </font>
    <font>
      <b/>
      <sz val="11"/>
      <color rgb="FF0070C0"/>
      <name val="Arial"/>
      <family val="2"/>
    </font>
    <font>
      <b/>
      <vertAlign val="subscript"/>
      <sz val="11"/>
      <color rgb="FF0070C0"/>
      <name val="Arial"/>
      <family val="2"/>
    </font>
    <font>
      <sz val="11"/>
      <color theme="1"/>
      <name val="Arial"/>
      <family val="2"/>
    </font>
    <font>
      <b/>
      <sz val="9"/>
      <color indexed="81"/>
      <name val="Tahoma"/>
      <family val="2"/>
    </font>
    <font>
      <sz val="9"/>
      <color indexed="81"/>
      <name val="Tahoma"/>
      <family val="2"/>
    </font>
    <font>
      <sz val="14"/>
      <color rgb="FFFF0000"/>
      <name val="Arial"/>
      <family val="2"/>
    </font>
    <font>
      <b/>
      <sz val="14"/>
      <color rgb="FF0070C0"/>
      <name val="Arial"/>
      <family val="2"/>
    </font>
    <font>
      <b/>
      <sz val="11"/>
      <color theme="0" tint="-0.249977111117893"/>
      <name val="Arial"/>
      <family val="2"/>
    </font>
    <font>
      <b/>
      <sz val="11"/>
      <color theme="5" tint="-0.249977111117893"/>
      <name val="Arial"/>
      <family val="2"/>
    </font>
    <font>
      <b/>
      <vertAlign val="superscript"/>
      <sz val="11"/>
      <color rgb="FF0070C0"/>
      <name val="Arial"/>
      <family val="2"/>
    </font>
    <font>
      <sz val="11"/>
      <color theme="5"/>
      <name val="Arial"/>
      <family val="2"/>
    </font>
    <font>
      <b/>
      <sz val="11"/>
      <color indexed="30"/>
      <name val="Arial"/>
      <family val="2"/>
    </font>
    <font>
      <sz val="14"/>
      <color indexed="12"/>
      <name val="Arial"/>
      <family val="2"/>
    </font>
    <font>
      <b/>
      <sz val="10"/>
      <name val="Arial"/>
      <family val="2"/>
    </font>
    <font>
      <sz val="18"/>
      <color rgb="FF000000"/>
      <name val="Arial"/>
      <family val="2"/>
    </font>
    <font>
      <sz val="8"/>
      <name val="Arial"/>
      <family val="2"/>
    </font>
    <font>
      <sz val="11"/>
      <color indexed="12"/>
      <name val="Arial"/>
      <family val="2"/>
    </font>
    <font>
      <sz val="11"/>
      <color indexed="10"/>
      <name val="Arial"/>
      <family val="2"/>
    </font>
    <font>
      <sz val="11"/>
      <color indexed="30"/>
      <name val="Arial"/>
      <family val="2"/>
    </font>
    <font>
      <sz val="10"/>
      <color theme="5"/>
      <name val="Arial"/>
      <family val="2"/>
    </font>
    <font>
      <sz val="10"/>
      <color rgb="FFFF0000"/>
      <name val="Arial"/>
      <family val="2"/>
    </font>
    <font>
      <b/>
      <sz val="11"/>
      <color rgb="FF0070C0"/>
      <name val="Calibri"/>
      <family val="2"/>
    </font>
    <font>
      <b/>
      <vertAlign val="superscript"/>
      <sz val="11"/>
      <name val="Arial"/>
      <family val="2"/>
    </font>
    <font>
      <sz val="11"/>
      <color indexed="8"/>
      <name val="Arial"/>
      <family val="2"/>
    </font>
    <font>
      <vertAlign val="subscript"/>
      <sz val="11"/>
      <color rgb="FF0070C0"/>
      <name val="Arial"/>
      <family val="2"/>
    </font>
    <font>
      <sz val="10"/>
      <color indexed="8"/>
      <name val="Arial"/>
      <family val="2"/>
    </font>
    <font>
      <i/>
      <sz val="8"/>
      <color theme="1"/>
      <name val="Arial"/>
      <family val="2"/>
    </font>
    <font>
      <i/>
      <sz val="10"/>
      <name val="Arial"/>
      <family val="2"/>
    </font>
    <font>
      <b/>
      <sz val="8"/>
      <color rgb="FF0070C0"/>
      <name val="Arial"/>
      <family val="2"/>
    </font>
    <font>
      <b/>
      <vertAlign val="subscript"/>
      <sz val="8"/>
      <color rgb="FF0070C0"/>
      <name val="Arial"/>
      <family val="2"/>
    </font>
    <font>
      <sz val="11"/>
      <color indexed="17"/>
      <name val="Arial"/>
      <family val="2"/>
    </font>
    <font>
      <sz val="14"/>
      <color rgb="FF0070C0"/>
      <name val="Arial"/>
      <family val="2"/>
    </font>
    <font>
      <b/>
      <sz val="8"/>
      <color indexed="30"/>
      <name val="Arial"/>
      <family val="2"/>
    </font>
    <font>
      <b/>
      <sz val="11"/>
      <color rgb="FF0066CC"/>
      <name val="Arial"/>
      <family val="2"/>
    </font>
    <font>
      <b/>
      <sz val="10"/>
      <color indexed="30"/>
      <name val="Arial"/>
      <family val="2"/>
    </font>
    <font>
      <sz val="11"/>
      <color rgb="FF0066CC"/>
      <name val="Arial"/>
      <family val="2"/>
    </font>
    <font>
      <b/>
      <sz val="11"/>
      <name val="Symbol"/>
      <family val="1"/>
      <charset val="2"/>
    </font>
    <font>
      <b/>
      <sz val="11"/>
      <color indexed="8"/>
      <name val="Arial"/>
      <family val="2"/>
    </font>
    <font>
      <b/>
      <vertAlign val="subscript"/>
      <sz val="11"/>
      <color theme="1"/>
      <name val="Arial"/>
      <family val="2"/>
    </font>
    <font>
      <b/>
      <sz val="11"/>
      <color theme="1"/>
      <name val="Arial"/>
      <family val="2"/>
    </font>
    <font>
      <b/>
      <vertAlign val="subscript"/>
      <sz val="11"/>
      <color theme="1"/>
      <name val="Calibri"/>
      <family val="2"/>
      <scheme val="minor"/>
    </font>
    <font>
      <sz val="12"/>
      <name val="HP-TIMES"/>
    </font>
    <font>
      <b/>
      <sz val="11"/>
      <name val="Calibri"/>
      <family val="2"/>
    </font>
    <font>
      <b/>
      <sz val="8"/>
      <name val="Arial"/>
      <family val="2"/>
    </font>
    <font>
      <b/>
      <sz val="8"/>
      <color rgb="FFFF0000"/>
      <name val="Arial"/>
      <family val="2"/>
    </font>
    <font>
      <sz val="8"/>
      <color rgb="FFFF0000"/>
      <name val="Arial"/>
      <family val="2"/>
    </font>
    <font>
      <b/>
      <sz val="6.5"/>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indexed="22"/>
        <bgColor indexed="64"/>
      </patternFill>
    </fill>
    <fill>
      <patternFill patternType="solid">
        <fgColor theme="0" tint="-0.24994659260841701"/>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auto="1"/>
      </bottom>
      <diagonal/>
    </border>
    <border>
      <left/>
      <right/>
      <top/>
      <bottom style="thin">
        <color auto="1"/>
      </bottom>
      <diagonal/>
    </border>
    <border>
      <left style="thin">
        <color indexed="64"/>
      </left>
      <right/>
      <top style="thin">
        <color indexed="64"/>
      </top>
      <bottom/>
      <diagonal/>
    </border>
    <border>
      <left style="thin">
        <color indexed="64"/>
      </left>
      <right/>
      <top/>
      <bottom/>
      <diagonal/>
    </border>
  </borders>
  <cellStyleXfs count="13">
    <xf numFmtId="0" fontId="0" fillId="0" borderId="0"/>
    <xf numFmtId="0" fontId="2" fillId="0" borderId="0"/>
    <xf numFmtId="0" fontId="2" fillId="0" borderId="0"/>
    <xf numFmtId="0" fontId="5" fillId="0" borderId="0"/>
    <xf numFmtId="0" fontId="5" fillId="0" borderId="0"/>
    <xf numFmtId="0" fontId="2" fillId="0" borderId="0"/>
    <xf numFmtId="0" fontId="1" fillId="0" borderId="0"/>
    <xf numFmtId="0" fontId="1" fillId="0" borderId="0"/>
    <xf numFmtId="0" fontId="5" fillId="0" borderId="0"/>
    <xf numFmtId="0" fontId="2" fillId="0" borderId="0"/>
    <xf numFmtId="0" fontId="2" fillId="0" borderId="0"/>
    <xf numFmtId="0" fontId="44" fillId="0" borderId="0"/>
    <xf numFmtId="0" fontId="60" fillId="0" borderId="0"/>
  </cellStyleXfs>
  <cellXfs count="463">
    <xf numFmtId="0" fontId="0" fillId="0" borderId="0" xfId="0"/>
    <xf numFmtId="0" fontId="3" fillId="0" borderId="0" xfId="1" applyFont="1" applyAlignment="1">
      <alignment horizontal="centerContinuous" vertical="center"/>
    </xf>
    <xf numFmtId="0" fontId="3" fillId="0" borderId="0" xfId="2" applyFont="1" applyFill="1" applyAlignment="1" applyProtection="1">
      <alignment horizontal="centerContinuous" vertical="center"/>
    </xf>
    <xf numFmtId="0" fontId="4" fillId="0" borderId="0" xfId="1" applyFont="1" applyFill="1" applyAlignment="1" applyProtection="1">
      <alignment horizontal="centerContinuous" vertical="center"/>
    </xf>
    <xf numFmtId="0" fontId="6" fillId="0" borderId="0" xfId="3" applyFont="1" applyFill="1" applyAlignment="1">
      <alignment horizontal="left" vertical="center"/>
    </xf>
    <xf numFmtId="0" fontId="7" fillId="0" borderId="0" xfId="1" applyFont="1" applyFill="1" applyAlignment="1" applyProtection="1">
      <alignment vertical="center"/>
    </xf>
    <xf numFmtId="0" fontId="7" fillId="0" borderId="0" xfId="1" applyFont="1" applyFill="1" applyAlignment="1" applyProtection="1">
      <alignment horizontal="center" vertical="center"/>
    </xf>
    <xf numFmtId="0" fontId="7" fillId="0" borderId="0" xfId="3" applyFont="1" applyFill="1" applyAlignment="1">
      <alignment horizontal="center" vertical="center"/>
    </xf>
    <xf numFmtId="0" fontId="4" fillId="0" borderId="0" xfId="1" applyFont="1" applyFill="1" applyAlignment="1" applyProtection="1">
      <alignment vertical="center"/>
    </xf>
    <xf numFmtId="0" fontId="8" fillId="0" borderId="0" xfId="1" applyFont="1" applyAlignment="1">
      <alignment horizontal="centerContinuous" vertical="center"/>
    </xf>
    <xf numFmtId="0" fontId="3" fillId="0" borderId="0" xfId="2" applyFont="1" applyAlignment="1">
      <alignment horizontal="centerContinuous" vertical="center"/>
    </xf>
    <xf numFmtId="0" fontId="7" fillId="0" borderId="0" xfId="3" applyFont="1" applyFill="1" applyAlignment="1">
      <alignment horizontal="left" vertical="center"/>
    </xf>
    <xf numFmtId="0" fontId="9" fillId="0" borderId="0" xfId="3" applyFont="1" applyFill="1" applyAlignment="1">
      <alignment horizontal="left" vertical="center"/>
    </xf>
    <xf numFmtId="0" fontId="7" fillId="0" borderId="0" xfId="1" applyFont="1" applyAlignment="1">
      <alignment horizontal="left" vertical="center"/>
    </xf>
    <xf numFmtId="0" fontId="7" fillId="0" borderId="0" xfId="1" applyFont="1" applyFill="1" applyBorder="1" applyAlignment="1">
      <alignment vertical="center"/>
    </xf>
    <xf numFmtId="0" fontId="4" fillId="0" borderId="0" xfId="1" applyFont="1" applyFill="1" applyAlignment="1" applyProtection="1">
      <alignment horizontal="center" vertical="center"/>
    </xf>
    <xf numFmtId="0" fontId="10" fillId="0" borderId="0" xfId="1" applyFont="1" applyFill="1" applyBorder="1" applyAlignment="1" applyProtection="1">
      <alignment horizontal="centerContinuous" vertical="center"/>
    </xf>
    <xf numFmtId="0" fontId="7" fillId="0" borderId="0" xfId="1" applyFont="1" applyAlignment="1">
      <alignment vertical="center"/>
    </xf>
    <xf numFmtId="0" fontId="7" fillId="0" borderId="0" xfId="1" applyFont="1" applyFill="1" applyBorder="1" applyAlignment="1" applyProtection="1">
      <alignment vertical="center"/>
    </xf>
    <xf numFmtId="0" fontId="11" fillId="0" borderId="0" xfId="1" applyFont="1" applyFill="1" applyBorder="1" applyAlignment="1" applyProtection="1">
      <alignment vertical="center"/>
    </xf>
    <xf numFmtId="2" fontId="10" fillId="0" borderId="0" xfId="1" applyNumberFormat="1" applyFont="1" applyFill="1" applyBorder="1" applyAlignment="1" applyProtection="1">
      <alignment horizontal="center" vertical="center"/>
    </xf>
    <xf numFmtId="0" fontId="6" fillId="0" borderId="0" xfId="4" applyFont="1" applyFill="1" applyBorder="1" applyAlignment="1">
      <alignment horizontal="left" vertical="center"/>
    </xf>
    <xf numFmtId="0" fontId="7" fillId="0" borderId="0" xfId="3" applyFont="1" applyFill="1" applyBorder="1" applyAlignment="1">
      <alignment horizontal="center" vertical="center"/>
    </xf>
    <xf numFmtId="0" fontId="6" fillId="0" borderId="0" xfId="4" applyFont="1" applyFill="1" applyBorder="1" applyAlignment="1">
      <alignment horizontal="center" vertical="center"/>
    </xf>
    <xf numFmtId="2" fontId="7" fillId="0" borderId="0" xfId="1" applyNumberFormat="1" applyFont="1" applyFill="1" applyAlignment="1" applyProtection="1">
      <alignment vertical="center"/>
    </xf>
    <xf numFmtId="0" fontId="7" fillId="0" borderId="0" xfId="3" applyFont="1" applyFill="1" applyBorder="1" applyAlignment="1">
      <alignment vertical="center"/>
    </xf>
    <xf numFmtId="0" fontId="6" fillId="0" borderId="0" xfId="4" quotePrefix="1" applyFont="1" applyFill="1" applyBorder="1" applyAlignment="1">
      <alignment horizontal="left" vertical="center"/>
    </xf>
    <xf numFmtId="0" fontId="14" fillId="0" borderId="0" xfId="1" applyFont="1" applyBorder="1" applyAlignment="1">
      <alignment horizontal="right" vertical="center"/>
    </xf>
    <xf numFmtId="0" fontId="7" fillId="0" borderId="0" xfId="1" applyFont="1" applyFill="1" applyBorder="1" applyAlignment="1" applyProtection="1">
      <alignment horizontal="left" vertical="center"/>
    </xf>
    <xf numFmtId="9" fontId="4" fillId="0" borderId="0" xfId="1" applyNumberFormat="1" applyFont="1" applyFill="1" applyAlignment="1" applyProtection="1">
      <alignment horizontal="centerContinuous" vertical="center"/>
    </xf>
    <xf numFmtId="0" fontId="14" fillId="0" borderId="0" xfId="1" applyFont="1" applyFill="1" applyBorder="1" applyAlignment="1" applyProtection="1">
      <alignment vertical="center"/>
    </xf>
    <xf numFmtId="0" fontId="15" fillId="0" borderId="0" xfId="1" applyFont="1" applyFill="1" applyBorder="1" applyAlignment="1" applyProtection="1">
      <alignment horizontal="left" vertical="center" indent="5"/>
    </xf>
    <xf numFmtId="0" fontId="16" fillId="0" borderId="0" xfId="1" applyFont="1" applyAlignment="1">
      <alignment horizontal="left" vertical="center"/>
    </xf>
    <xf numFmtId="0" fontId="7" fillId="0" borderId="0" xfId="1" applyFont="1"/>
    <xf numFmtId="14" fontId="7" fillId="0" borderId="0" xfId="1" applyNumberFormat="1" applyFont="1" applyFill="1" applyAlignment="1" applyProtection="1">
      <alignment vertical="center"/>
    </xf>
    <xf numFmtId="0" fontId="7" fillId="0" borderId="0" xfId="1" applyFont="1" applyFill="1" applyAlignment="1" applyProtection="1">
      <alignment horizontal="left" vertical="center"/>
    </xf>
    <xf numFmtId="0" fontId="7" fillId="0" borderId="0" xfId="1" applyFont="1" applyFill="1" applyBorder="1" applyAlignment="1" applyProtection="1">
      <alignment horizontal="left" vertical="center" indent="5"/>
    </xf>
    <xf numFmtId="0" fontId="15" fillId="0" borderId="0" xfId="1" applyFont="1" applyFill="1" applyBorder="1" applyAlignment="1" applyProtection="1">
      <alignment vertical="center"/>
    </xf>
    <xf numFmtId="0" fontId="16" fillId="0" borderId="1" xfId="1" applyFont="1" applyBorder="1" applyAlignment="1">
      <alignment horizontal="centerContinuous" vertical="center" wrapText="1"/>
    </xf>
    <xf numFmtId="0" fontId="16" fillId="0" borderId="2" xfId="2" applyFont="1" applyFill="1" applyBorder="1" applyAlignment="1" applyProtection="1">
      <alignment horizontal="centerContinuous" vertical="center"/>
    </xf>
    <xf numFmtId="0" fontId="7" fillId="0" borderId="2" xfId="1" applyFont="1" applyFill="1" applyBorder="1" applyAlignment="1" applyProtection="1">
      <alignment horizontal="centerContinuous" vertical="center"/>
    </xf>
    <xf numFmtId="0" fontId="15" fillId="0" borderId="2" xfId="1" applyFont="1" applyFill="1" applyBorder="1" applyAlignment="1" applyProtection="1">
      <alignment horizontal="centerContinuous" vertical="center"/>
    </xf>
    <xf numFmtId="0" fontId="15" fillId="0" borderId="2" xfId="1" applyFont="1" applyFill="1" applyBorder="1" applyAlignment="1" applyProtection="1">
      <alignment horizontal="center" vertical="center"/>
    </xf>
    <xf numFmtId="0" fontId="16" fillId="0" borderId="3" xfId="1" applyFont="1" applyBorder="1" applyAlignment="1">
      <alignment horizontal="centerContinuous" vertical="center"/>
    </xf>
    <xf numFmtId="0" fontId="10" fillId="0" borderId="2" xfId="1" applyFont="1" applyFill="1" applyBorder="1" applyAlignment="1" applyProtection="1">
      <alignment horizontal="centerContinuous" vertical="center"/>
    </xf>
    <xf numFmtId="0" fontId="10" fillId="0" borderId="4" xfId="1" applyFont="1" applyFill="1" applyBorder="1" applyAlignment="1" applyProtection="1">
      <alignment horizontal="centerContinuous" vertical="center"/>
    </xf>
    <xf numFmtId="0" fontId="16" fillId="2" borderId="5" xfId="1" applyFont="1" applyFill="1" applyBorder="1" applyAlignment="1" applyProtection="1">
      <alignment horizontal="center" vertical="center" wrapText="1"/>
    </xf>
    <xf numFmtId="49" fontId="16" fillId="2" borderId="6" xfId="1" applyNumberFormat="1" applyFont="1" applyFill="1" applyBorder="1" applyAlignment="1">
      <alignment horizontal="center" vertical="center" wrapText="1"/>
    </xf>
    <xf numFmtId="0" fontId="16" fillId="2" borderId="6" xfId="1" applyFont="1" applyFill="1" applyBorder="1" applyAlignment="1">
      <alignment horizontal="center" vertical="center" wrapText="1"/>
    </xf>
    <xf numFmtId="164" fontId="16" fillId="2" borderId="5" xfId="1" applyNumberFormat="1" applyFont="1" applyFill="1" applyBorder="1" applyAlignment="1" applyProtection="1">
      <alignment horizontal="center" vertical="center" wrapText="1"/>
    </xf>
    <xf numFmtId="165" fontId="16" fillId="2" borderId="5" xfId="1" applyNumberFormat="1" applyFont="1" applyFill="1" applyBorder="1" applyAlignment="1" applyProtection="1">
      <alignment horizontal="center" vertical="center" wrapText="1"/>
    </xf>
    <xf numFmtId="0" fontId="16" fillId="2" borderId="1" xfId="1" applyFont="1" applyFill="1" applyBorder="1" applyAlignment="1" applyProtection="1">
      <alignment horizontal="center" vertical="center" wrapText="1"/>
    </xf>
    <xf numFmtId="0" fontId="19" fillId="2" borderId="1" xfId="1" applyFont="1" applyFill="1" applyBorder="1" applyAlignment="1" applyProtection="1">
      <alignment horizontal="center" vertical="center" wrapText="1"/>
    </xf>
    <xf numFmtId="0" fontId="19" fillId="2" borderId="7" xfId="1" applyFont="1" applyFill="1" applyBorder="1" applyAlignment="1" applyProtection="1">
      <alignment horizontal="center" vertical="center" wrapText="1"/>
    </xf>
    <xf numFmtId="0" fontId="11" fillId="2" borderId="5" xfId="1" applyFont="1" applyFill="1" applyBorder="1" applyAlignment="1" applyProtection="1">
      <alignment horizontal="center" vertical="center" wrapText="1"/>
    </xf>
    <xf numFmtId="0" fontId="10" fillId="2" borderId="1" xfId="1" applyFont="1" applyFill="1" applyBorder="1" applyAlignment="1" applyProtection="1">
      <alignment horizontal="centerContinuous" vertical="center" wrapText="1"/>
    </xf>
    <xf numFmtId="0" fontId="19" fillId="2" borderId="1" xfId="1" applyFont="1" applyFill="1" applyBorder="1" applyAlignment="1" applyProtection="1">
      <alignment horizontal="centerContinuous" vertical="center" wrapText="1"/>
    </xf>
    <xf numFmtId="0" fontId="10" fillId="2" borderId="1" xfId="1" applyFont="1" applyFill="1" applyBorder="1" applyAlignment="1" applyProtection="1">
      <alignment horizontal="center" vertical="center" wrapText="1"/>
    </xf>
    <xf numFmtId="2" fontId="7" fillId="0" borderId="0" xfId="1" applyNumberFormat="1" applyFont="1" applyFill="1" applyBorder="1" applyAlignment="1" applyProtection="1">
      <alignment horizontal="left" vertical="center" wrapText="1"/>
    </xf>
    <xf numFmtId="0" fontId="7" fillId="0" borderId="1" xfId="1" applyFont="1" applyFill="1" applyBorder="1" applyAlignment="1" applyProtection="1">
      <alignment horizontal="center" vertical="center"/>
    </xf>
    <xf numFmtId="0" fontId="7" fillId="0" borderId="1" xfId="5" applyFont="1" applyFill="1" applyBorder="1" applyAlignment="1">
      <alignment horizontal="center" vertical="center"/>
    </xf>
    <xf numFmtId="2" fontId="7" fillId="0" borderId="1" xfId="1" applyNumberFormat="1" applyFont="1" applyFill="1" applyBorder="1" applyAlignment="1" applyProtection="1">
      <alignment horizontal="center" vertical="center"/>
    </xf>
    <xf numFmtId="165" fontId="7" fillId="0" borderId="1" xfId="1" applyNumberFormat="1" applyFont="1" applyFill="1" applyBorder="1" applyAlignment="1" applyProtection="1">
      <alignment horizontal="center" vertical="center"/>
    </xf>
    <xf numFmtId="165" fontId="10" fillId="0" borderId="1" xfId="1" applyNumberFormat="1" applyFont="1" applyFill="1" applyBorder="1" applyAlignment="1" applyProtection="1">
      <alignment horizontal="center" vertical="center"/>
    </xf>
    <xf numFmtId="2" fontId="10" fillId="0" borderId="1" xfId="1" applyNumberFormat="1" applyFont="1" applyFill="1" applyBorder="1" applyAlignment="1" applyProtection="1">
      <alignment horizontal="center" vertical="center"/>
    </xf>
    <xf numFmtId="0" fontId="7" fillId="0" borderId="1" xfId="1" applyFont="1" applyFill="1" applyBorder="1" applyAlignment="1" applyProtection="1">
      <alignment horizontal="center" vertical="center" wrapText="1"/>
    </xf>
    <xf numFmtId="0" fontId="15" fillId="0" borderId="0" xfId="1" applyFont="1" applyFill="1" applyAlignment="1" applyProtection="1">
      <alignment vertical="center"/>
    </xf>
    <xf numFmtId="165" fontId="7" fillId="3" borderId="1" xfId="1" applyNumberFormat="1" applyFont="1" applyFill="1" applyBorder="1" applyAlignment="1" applyProtection="1">
      <alignment horizontal="center" vertical="center"/>
    </xf>
    <xf numFmtId="166" fontId="7" fillId="0" borderId="0" xfId="1" applyNumberFormat="1" applyFont="1" applyFill="1" applyBorder="1" applyAlignment="1" applyProtection="1">
      <alignment vertical="center"/>
    </xf>
    <xf numFmtId="0" fontId="7" fillId="0" borderId="0" xfId="1" applyFont="1" applyFill="1" applyBorder="1" applyAlignment="1" applyProtection="1">
      <alignment horizontal="center" vertical="center"/>
    </xf>
    <xf numFmtId="2" fontId="7" fillId="0" borderId="0" xfId="1" applyNumberFormat="1" applyFont="1" applyFill="1" applyBorder="1" applyAlignment="1" applyProtection="1">
      <alignment horizontal="left" vertical="center"/>
    </xf>
    <xf numFmtId="0" fontId="14" fillId="0" borderId="0" xfId="1" applyFont="1" applyAlignment="1">
      <alignment horizontal="left" vertical="center"/>
    </xf>
    <xf numFmtId="1" fontId="7" fillId="0" borderId="0" xfId="1" applyNumberFormat="1" applyFont="1" applyFill="1" applyAlignment="1" applyProtection="1">
      <alignment vertical="center"/>
    </xf>
    <xf numFmtId="0" fontId="14" fillId="0" borderId="0" xfId="1" applyFont="1" applyFill="1" applyAlignment="1" applyProtection="1">
      <alignment horizontal="left" vertical="center"/>
    </xf>
    <xf numFmtId="0" fontId="7" fillId="0" borderId="0" xfId="1" applyFont="1" applyFill="1" applyAlignment="1" applyProtection="1">
      <alignment horizontal="left" vertical="center" indent="5"/>
    </xf>
    <xf numFmtId="0" fontId="7" fillId="0" borderId="0" xfId="1" applyFont="1" applyAlignment="1">
      <alignment horizontal="left" vertical="center" indent="5"/>
    </xf>
    <xf numFmtId="0" fontId="15" fillId="0" borderId="0" xfId="1" applyFont="1" applyFill="1" applyBorder="1" applyAlignment="1" applyProtection="1">
      <alignment horizontal="center" vertical="center"/>
    </xf>
    <xf numFmtId="49" fontId="7" fillId="0" borderId="1" xfId="1" applyNumberFormat="1" applyFont="1" applyFill="1" applyBorder="1" applyAlignment="1" applyProtection="1">
      <alignment horizontal="center" vertical="center"/>
    </xf>
    <xf numFmtId="3" fontId="7" fillId="0" borderId="1" xfId="1" applyNumberFormat="1" applyFont="1" applyFill="1" applyBorder="1" applyAlignment="1" applyProtection="1">
      <alignment horizontal="center" vertical="center"/>
    </xf>
    <xf numFmtId="165" fontId="7" fillId="0" borderId="1" xfId="1" applyNumberFormat="1" applyFont="1" applyFill="1" applyBorder="1" applyAlignment="1" applyProtection="1">
      <alignment horizontal="left" vertical="center"/>
    </xf>
    <xf numFmtId="166" fontId="7" fillId="0" borderId="0" xfId="1" applyNumberFormat="1" applyFont="1" applyFill="1" applyAlignment="1" applyProtection="1">
      <alignment vertical="center"/>
    </xf>
    <xf numFmtId="164" fontId="21" fillId="0" borderId="1" xfId="1" applyNumberFormat="1" applyFont="1" applyBorder="1" applyAlignment="1">
      <alignment horizontal="center"/>
    </xf>
    <xf numFmtId="49" fontId="7" fillId="0" borderId="1" xfId="1" quotePrefix="1" applyNumberFormat="1" applyFont="1" applyFill="1" applyBorder="1" applyAlignment="1" applyProtection="1">
      <alignment horizontal="center" vertical="center"/>
    </xf>
    <xf numFmtId="2" fontId="7" fillId="0" borderId="1" xfId="1" applyNumberFormat="1" applyFont="1" applyFill="1" applyBorder="1" applyAlignment="1" applyProtection="1">
      <alignment horizontal="center" vertical="center" wrapText="1"/>
    </xf>
    <xf numFmtId="0" fontId="2" fillId="0" borderId="0" xfId="1" applyFont="1" applyAlignment="1">
      <alignment vertical="center" wrapText="1"/>
    </xf>
    <xf numFmtId="49" fontId="16" fillId="2" borderId="1" xfId="1" applyNumberFormat="1" applyFont="1" applyFill="1" applyBorder="1" applyAlignment="1">
      <alignment horizontal="center" vertical="center" wrapText="1"/>
    </xf>
    <xf numFmtId="0" fontId="16" fillId="2" borderId="1" xfId="1" applyFont="1" applyFill="1" applyBorder="1" applyAlignment="1">
      <alignment horizontal="center" vertical="center" wrapText="1"/>
    </xf>
    <xf numFmtId="164" fontId="19" fillId="2" borderId="1" xfId="1" applyNumberFormat="1" applyFont="1" applyFill="1" applyBorder="1" applyAlignment="1" applyProtection="1">
      <alignment horizontal="center" vertical="center" wrapText="1"/>
    </xf>
    <xf numFmtId="165" fontId="16" fillId="2" borderId="1" xfId="1" applyNumberFormat="1" applyFont="1" applyFill="1" applyBorder="1" applyAlignment="1" applyProtection="1">
      <alignment horizontal="center" vertical="center" wrapText="1"/>
    </xf>
    <xf numFmtId="0" fontId="7" fillId="2" borderId="1" xfId="1" applyFont="1" applyFill="1" applyBorder="1" applyAlignment="1" applyProtection="1">
      <alignment horizontal="center" vertical="center" wrapText="1"/>
    </xf>
    <xf numFmtId="49" fontId="7" fillId="2" borderId="1" xfId="1" applyNumberFormat="1" applyFont="1" applyFill="1" applyBorder="1" applyAlignment="1">
      <alignment horizontal="center" vertical="center" wrapText="1"/>
    </xf>
    <xf numFmtId="0" fontId="7" fillId="2" borderId="1" xfId="1" applyFont="1" applyFill="1" applyBorder="1" applyAlignment="1">
      <alignment horizontal="center" vertical="center" wrapText="1"/>
    </xf>
    <xf numFmtId="0" fontId="10" fillId="2" borderId="1" xfId="1" applyFont="1" applyFill="1" applyBorder="1" applyAlignment="1">
      <alignment horizontal="centerContinuous" vertical="center" wrapText="1"/>
    </xf>
    <xf numFmtId="164" fontId="7" fillId="2" borderId="1" xfId="1" applyNumberFormat="1" applyFont="1" applyFill="1" applyBorder="1" applyAlignment="1" applyProtection="1">
      <alignment horizontal="centerContinuous" vertical="center" wrapText="1"/>
    </xf>
    <xf numFmtId="165" fontId="7" fillId="2" borderId="1" xfId="1" applyNumberFormat="1" applyFont="1" applyFill="1" applyBorder="1" applyAlignment="1" applyProtection="1">
      <alignment horizontal="center" vertical="center" wrapText="1"/>
    </xf>
    <xf numFmtId="0" fontId="10" fillId="2" borderId="1" xfId="1" applyFont="1" applyFill="1" applyBorder="1" applyAlignment="1">
      <alignment horizontal="centerContinuous" vertical="center"/>
    </xf>
    <xf numFmtId="0" fontId="7" fillId="2" borderId="1" xfId="1" applyFont="1" applyFill="1" applyBorder="1" applyAlignment="1" applyProtection="1">
      <alignment horizontal="centerContinuous" vertical="center" wrapText="1"/>
    </xf>
    <xf numFmtId="0" fontId="7" fillId="0" borderId="1" xfId="1" applyNumberFormat="1" applyFont="1" applyFill="1" applyBorder="1" applyAlignment="1" applyProtection="1">
      <alignment horizontal="center" vertical="center"/>
    </xf>
    <xf numFmtId="2" fontId="15" fillId="0" borderId="1" xfId="1" applyNumberFormat="1" applyFont="1" applyFill="1" applyBorder="1" applyAlignment="1" applyProtection="1">
      <alignment horizontal="center" vertical="center"/>
    </xf>
    <xf numFmtId="165" fontId="15" fillId="0" borderId="1" xfId="1" applyNumberFormat="1" applyFont="1" applyFill="1" applyBorder="1" applyAlignment="1" applyProtection="1">
      <alignment horizontal="center" vertical="center"/>
    </xf>
    <xf numFmtId="165" fontId="7" fillId="2" borderId="1" xfId="1" applyNumberFormat="1" applyFont="1" applyFill="1" applyBorder="1" applyAlignment="1" applyProtection="1">
      <alignment horizontal="center" vertical="center"/>
    </xf>
    <xf numFmtId="0" fontId="4" fillId="0" borderId="0" xfId="1" applyFont="1" applyAlignment="1">
      <alignment horizontal="centerContinuous" vertical="center"/>
    </xf>
    <xf numFmtId="0" fontId="24" fillId="0" borderId="0" xfId="1" applyFont="1" applyAlignment="1">
      <alignment horizontal="centerContinuous" vertical="center"/>
    </xf>
    <xf numFmtId="0" fontId="25" fillId="0" borderId="0" xfId="1" applyFont="1" applyAlignment="1">
      <alignment horizontal="centerContinuous" vertical="center"/>
    </xf>
    <xf numFmtId="0" fontId="4" fillId="0" borderId="0" xfId="1" applyFont="1" applyAlignment="1">
      <alignment vertical="center"/>
    </xf>
    <xf numFmtId="0" fontId="6" fillId="0" borderId="0" xfId="3" applyFont="1" applyFill="1" applyAlignment="1">
      <alignment horizontal="left"/>
    </xf>
    <xf numFmtId="0" fontId="7" fillId="0" borderId="0" xfId="1" applyFont="1" applyAlignment="1"/>
    <xf numFmtId="0" fontId="7" fillId="0" borderId="0" xfId="1" applyFont="1" applyAlignment="1">
      <alignment horizontal="left"/>
    </xf>
    <xf numFmtId="0" fontId="7" fillId="0" borderId="0" xfId="1" applyFont="1" applyFill="1" applyAlignment="1" applyProtection="1">
      <alignment horizontal="left"/>
    </xf>
    <xf numFmtId="164" fontId="4" fillId="0" borderId="0" xfId="1" applyNumberFormat="1" applyFont="1" applyAlignment="1">
      <alignment horizontal="centerContinuous" vertical="center"/>
    </xf>
    <xf numFmtId="164" fontId="25" fillId="0" borderId="0" xfId="1" applyNumberFormat="1" applyFont="1" applyAlignment="1">
      <alignment horizontal="centerContinuous" vertical="center"/>
    </xf>
    <xf numFmtId="167" fontId="7" fillId="0" borderId="0" xfId="3" applyNumberFormat="1" applyFont="1" applyFill="1" applyAlignment="1">
      <alignment horizontal="left"/>
    </xf>
    <xf numFmtId="164" fontId="4" fillId="0" borderId="0" xfId="1" applyNumberFormat="1" applyFont="1" applyAlignment="1">
      <alignment vertical="center"/>
    </xf>
    <xf numFmtId="0" fontId="16" fillId="2" borderId="3" xfId="1" applyFont="1" applyFill="1" applyBorder="1" applyAlignment="1">
      <alignment horizontal="right" vertical="center"/>
    </xf>
    <xf numFmtId="0" fontId="16" fillId="2" borderId="2" xfId="1" applyFont="1" applyFill="1" applyBorder="1" applyAlignment="1">
      <alignment horizontal="right" vertical="center"/>
    </xf>
    <xf numFmtId="1" fontId="16" fillId="2" borderId="1" xfId="1" applyNumberFormat="1" applyFont="1" applyFill="1" applyBorder="1" applyAlignment="1">
      <alignment horizontal="center" vertical="center"/>
    </xf>
    <xf numFmtId="0" fontId="16" fillId="2" borderId="1" xfId="1" applyFont="1" applyFill="1" applyBorder="1" applyAlignment="1">
      <alignment horizontal="center" vertical="center"/>
    </xf>
    <xf numFmtId="11" fontId="15" fillId="0" borderId="0" xfId="1" applyNumberFormat="1" applyFont="1" applyAlignment="1">
      <alignment horizontal="centerContinuous" vertical="center"/>
    </xf>
    <xf numFmtId="0" fontId="15" fillId="0" borderId="0" xfId="1" applyFont="1" applyAlignment="1">
      <alignment horizontal="centerContinuous" vertical="center"/>
    </xf>
    <xf numFmtId="0" fontId="16" fillId="2" borderId="1" xfId="1" applyFont="1" applyFill="1" applyBorder="1" applyAlignment="1">
      <alignment horizontal="centerContinuous" vertical="center"/>
    </xf>
    <xf numFmtId="0" fontId="11" fillId="2" borderId="1" xfId="1" applyFont="1" applyFill="1" applyBorder="1" applyAlignment="1">
      <alignment horizontal="centerContinuous" vertical="center"/>
    </xf>
    <xf numFmtId="0" fontId="11" fillId="0" borderId="0" xfId="1" applyFont="1" applyAlignment="1">
      <alignment vertical="center"/>
    </xf>
    <xf numFmtId="0" fontId="15" fillId="0" borderId="0" xfId="1" applyFont="1" applyAlignment="1">
      <alignment vertical="center"/>
    </xf>
    <xf numFmtId="0" fontId="16" fillId="2" borderId="1" xfId="1" applyFont="1" applyFill="1" applyBorder="1" applyAlignment="1">
      <alignment horizontal="left" vertical="center"/>
    </xf>
    <xf numFmtId="0" fontId="15" fillId="2" borderId="1" xfId="1" applyFont="1" applyFill="1" applyBorder="1" applyAlignment="1">
      <alignment vertical="center"/>
    </xf>
    <xf numFmtId="0" fontId="24" fillId="0" borderId="0" xfId="1" applyFont="1" applyAlignment="1">
      <alignment vertical="center"/>
    </xf>
    <xf numFmtId="0" fontId="16" fillId="2" borderId="2" xfId="1" applyFont="1" applyFill="1" applyBorder="1" applyAlignment="1">
      <alignment horizontal="center" vertical="center"/>
    </xf>
    <xf numFmtId="1" fontId="16" fillId="0" borderId="8" xfId="1" applyNumberFormat="1" applyFont="1" applyFill="1" applyBorder="1" applyAlignment="1">
      <alignment horizontal="center" vertical="center"/>
    </xf>
    <xf numFmtId="0" fontId="15" fillId="0" borderId="9" xfId="1" applyFont="1" applyBorder="1" applyAlignment="1">
      <alignment vertical="center"/>
    </xf>
    <xf numFmtId="0" fontId="16" fillId="2" borderId="1" xfId="1" applyFont="1" applyFill="1" applyBorder="1" applyAlignment="1">
      <alignment horizontal="right" vertical="center"/>
    </xf>
    <xf numFmtId="1" fontId="19" fillId="2" borderId="3" xfId="1" applyNumberFormat="1" applyFont="1" applyFill="1" applyBorder="1" applyAlignment="1">
      <alignment horizontal="center" vertical="center"/>
    </xf>
    <xf numFmtId="0" fontId="19" fillId="2" borderId="2" xfId="1" applyFont="1" applyFill="1" applyBorder="1" applyAlignment="1">
      <alignment horizontal="center" vertical="center"/>
    </xf>
    <xf numFmtId="0" fontId="19" fillId="2" borderId="4" xfId="1" applyFont="1" applyFill="1" applyBorder="1" applyAlignment="1">
      <alignment horizontal="centerContinuous" vertical="center"/>
    </xf>
    <xf numFmtId="0" fontId="19" fillId="2" borderId="2" xfId="1" applyFont="1" applyFill="1" applyBorder="1" applyAlignment="1">
      <alignment horizontal="centerContinuous" vertical="center"/>
    </xf>
    <xf numFmtId="0" fontId="19" fillId="2" borderId="1" xfId="1" applyFont="1" applyFill="1" applyBorder="1" applyAlignment="1">
      <alignment horizontal="center" vertical="center"/>
    </xf>
    <xf numFmtId="0" fontId="7" fillId="0" borderId="0" xfId="1" applyFont="1" applyAlignment="1">
      <alignment horizontal="centerContinuous" vertical="center"/>
    </xf>
    <xf numFmtId="0" fontId="26" fillId="2" borderId="10" xfId="1" applyFont="1" applyFill="1" applyBorder="1" applyAlignment="1">
      <alignment horizontal="center" vertical="center"/>
    </xf>
    <xf numFmtId="0" fontId="11" fillId="2" borderId="6" xfId="1" applyFont="1" applyFill="1" applyBorder="1" applyAlignment="1">
      <alignment horizontal="left" vertical="center"/>
    </xf>
    <xf numFmtId="0" fontId="11" fillId="2" borderId="6" xfId="1" applyFont="1" applyFill="1" applyBorder="1" applyAlignment="1">
      <alignment horizontal="centerContinuous" vertical="center" wrapText="1"/>
    </xf>
    <xf numFmtId="0" fontId="15" fillId="2" borderId="0" xfId="1" applyFont="1" applyFill="1" applyAlignment="1">
      <alignment horizontal="centerContinuous" vertical="center"/>
    </xf>
    <xf numFmtId="0" fontId="11" fillId="2" borderId="10" xfId="1" applyFont="1" applyFill="1" applyBorder="1" applyAlignment="1">
      <alignment horizontal="centerContinuous" vertical="center"/>
    </xf>
    <xf numFmtId="0" fontId="11" fillId="2" borderId="1" xfId="1" applyFont="1" applyFill="1" applyBorder="1" applyAlignment="1" applyProtection="1">
      <alignment horizontal="centerContinuous" vertical="center" wrapText="1"/>
    </xf>
    <xf numFmtId="0" fontId="16" fillId="2" borderId="3" xfId="1" applyFont="1" applyFill="1" applyBorder="1" applyAlignment="1" applyProtection="1">
      <alignment horizontal="centerContinuous" vertical="center" wrapText="1"/>
    </xf>
    <xf numFmtId="0" fontId="16" fillId="2" borderId="1" xfId="1" applyFont="1" applyFill="1" applyBorder="1" applyAlignment="1" applyProtection="1">
      <alignment horizontal="centerContinuous" vertical="center" wrapText="1"/>
    </xf>
    <xf numFmtId="0" fontId="10" fillId="2" borderId="4" xfId="1" applyFont="1" applyFill="1" applyBorder="1" applyAlignment="1">
      <alignment vertical="center"/>
    </xf>
    <xf numFmtId="0" fontId="10" fillId="2" borderId="2" xfId="1" applyFont="1" applyFill="1" applyBorder="1" applyAlignment="1">
      <alignment vertical="center"/>
    </xf>
    <xf numFmtId="0" fontId="19" fillId="2" borderId="4" xfId="1" applyFont="1" applyFill="1" applyBorder="1" applyAlignment="1">
      <alignment horizontal="center" vertical="center"/>
    </xf>
    <xf numFmtId="0" fontId="19" fillId="2" borderId="1" xfId="1" applyFont="1" applyFill="1" applyBorder="1" applyAlignment="1">
      <alignment horizontal="center" vertical="center" wrapText="1"/>
    </xf>
    <xf numFmtId="0" fontId="19" fillId="2" borderId="3" xfId="1" applyFont="1" applyFill="1" applyBorder="1" applyAlignment="1" applyProtection="1">
      <alignment horizontal="center" vertical="center" wrapText="1"/>
    </xf>
    <xf numFmtId="0" fontId="11" fillId="0" borderId="0" xfId="1" applyFont="1" applyAlignment="1">
      <alignment horizontal="center" vertical="center"/>
    </xf>
    <xf numFmtId="0" fontId="19" fillId="0" borderId="0" xfId="1" applyFont="1" applyAlignment="1">
      <alignment horizontal="center" vertical="center"/>
    </xf>
    <xf numFmtId="0" fontId="16" fillId="0" borderId="0" xfId="1" applyFont="1" applyAlignment="1">
      <alignment horizontal="center" vertical="center"/>
    </xf>
    <xf numFmtId="0" fontId="16" fillId="0" borderId="0" xfId="1" applyFont="1" applyAlignment="1">
      <alignment horizontal="center"/>
    </xf>
    <xf numFmtId="0" fontId="7" fillId="0" borderId="1" xfId="1" applyNumberFormat="1" applyFont="1" applyFill="1" applyBorder="1" applyAlignment="1">
      <alignment horizontal="center" vertical="center"/>
    </xf>
    <xf numFmtId="0" fontId="7" fillId="0" borderId="1" xfId="1" applyFont="1" applyFill="1" applyBorder="1" applyAlignment="1">
      <alignment vertical="center"/>
    </xf>
    <xf numFmtId="10" fontId="7" fillId="0" borderId="1" xfId="1" applyNumberFormat="1" applyFont="1" applyFill="1" applyBorder="1" applyAlignment="1">
      <alignment horizontal="center" vertical="center"/>
    </xf>
    <xf numFmtId="2" fontId="10" fillId="0" borderId="1" xfId="1" applyNumberFormat="1" applyFont="1" applyFill="1" applyBorder="1" applyAlignment="1">
      <alignment horizontal="center" vertical="center"/>
    </xf>
    <xf numFmtId="11" fontId="10" fillId="0" borderId="1" xfId="1" applyNumberFormat="1" applyFont="1" applyFill="1" applyBorder="1" applyAlignment="1">
      <alignment horizontal="center" vertical="center"/>
    </xf>
    <xf numFmtId="10" fontId="10" fillId="0" borderId="1" xfId="1" applyNumberFormat="1" applyFont="1" applyFill="1" applyBorder="1" applyAlignment="1">
      <alignment horizontal="center" vertical="center"/>
    </xf>
    <xf numFmtId="164" fontId="10" fillId="0" borderId="1" xfId="1" applyNumberFormat="1" applyFont="1" applyBorder="1" applyAlignment="1">
      <alignment horizontal="center" vertical="center"/>
    </xf>
    <xf numFmtId="10" fontId="10" fillId="0" borderId="1" xfId="1" applyNumberFormat="1" applyFont="1" applyBorder="1" applyAlignment="1">
      <alignment horizontal="center" vertical="center"/>
    </xf>
    <xf numFmtId="2" fontId="10" fillId="0" borderId="1" xfId="1" applyNumberFormat="1" applyFont="1" applyBorder="1" applyAlignment="1">
      <alignment horizontal="center" vertical="center"/>
    </xf>
    <xf numFmtId="164" fontId="11" fillId="0" borderId="0" xfId="1" applyNumberFormat="1" applyFont="1" applyAlignment="1">
      <alignment horizontal="center" vertical="center"/>
    </xf>
    <xf numFmtId="2" fontId="10" fillId="0" borderId="1" xfId="6" applyNumberFormat="1" applyFont="1" applyBorder="1" applyAlignment="1">
      <alignment horizontal="center"/>
    </xf>
    <xf numFmtId="164" fontId="10" fillId="0" borderId="0" xfId="1" applyNumberFormat="1" applyFont="1" applyBorder="1" applyAlignment="1">
      <alignment horizontal="center" vertical="center"/>
    </xf>
    <xf numFmtId="164" fontId="16" fillId="0" borderId="0" xfId="1" applyNumberFormat="1" applyFont="1" applyAlignment="1">
      <alignment horizontal="center" vertical="center"/>
    </xf>
    <xf numFmtId="2" fontId="4" fillId="0" borderId="0" xfId="1" applyNumberFormat="1" applyFont="1" applyAlignment="1">
      <alignment horizontal="centerContinuous" vertical="center"/>
    </xf>
    <xf numFmtId="0" fontId="7" fillId="0" borderId="0" xfId="1" applyFont="1" applyFill="1" applyAlignment="1">
      <alignment horizontal="left" vertical="center"/>
    </xf>
    <xf numFmtId="0" fontId="7" fillId="0" borderId="0" xfId="1" applyFont="1" applyAlignment="1">
      <alignment horizontal="center" vertical="center"/>
    </xf>
    <xf numFmtId="2" fontId="7" fillId="0" borderId="0" xfId="1" applyNumberFormat="1" applyFont="1" applyAlignment="1">
      <alignment vertical="center"/>
    </xf>
    <xf numFmtId="0" fontId="7" fillId="0" borderId="0" xfId="1" applyFont="1" applyAlignment="1">
      <alignment vertical="center" wrapText="1"/>
    </xf>
    <xf numFmtId="0" fontId="27" fillId="0" borderId="0" xfId="1" applyFont="1" applyAlignment="1">
      <alignment vertical="center"/>
    </xf>
    <xf numFmtId="0" fontId="9" fillId="0" borderId="0" xfId="1" applyFont="1" applyAlignment="1">
      <alignment horizontal="left" vertical="center"/>
    </xf>
    <xf numFmtId="0" fontId="16" fillId="0" borderId="1" xfId="1" applyFont="1" applyBorder="1" applyAlignment="1">
      <alignment horizontal="center" vertical="center"/>
    </xf>
    <xf numFmtId="0" fontId="16" fillId="0" borderId="2" xfId="1" applyFont="1" applyBorder="1" applyAlignment="1">
      <alignment horizontal="center" vertical="center"/>
    </xf>
    <xf numFmtId="0" fontId="16" fillId="0" borderId="9" xfId="1" applyFont="1" applyBorder="1" applyAlignment="1">
      <alignment horizontal="center" vertical="center"/>
    </xf>
    <xf numFmtId="167" fontId="7" fillId="0" borderId="0" xfId="3" applyNumberFormat="1" applyFont="1" applyFill="1" applyAlignment="1">
      <alignment horizontal="left" vertical="center"/>
    </xf>
    <xf numFmtId="49" fontId="19" fillId="4" borderId="1" xfId="1" applyNumberFormat="1" applyFont="1" applyFill="1" applyBorder="1" applyAlignment="1">
      <alignment horizontal="center" vertical="center" wrapText="1"/>
    </xf>
    <xf numFmtId="49" fontId="16" fillId="4" borderId="1" xfId="1" applyNumberFormat="1" applyFont="1" applyFill="1" applyBorder="1" applyAlignment="1">
      <alignment horizontal="center" vertical="center" wrapText="1"/>
    </xf>
    <xf numFmtId="2" fontId="19" fillId="4" borderId="1" xfId="1" applyNumberFormat="1" applyFont="1" applyFill="1" applyBorder="1" applyAlignment="1">
      <alignment horizontal="center" vertical="center" wrapText="1"/>
    </xf>
    <xf numFmtId="0" fontId="10" fillId="0" borderId="1" xfId="1" applyFont="1" applyBorder="1" applyAlignment="1">
      <alignment horizontal="center" vertical="center"/>
    </xf>
    <xf numFmtId="0" fontId="7" fillId="0" borderId="1" xfId="1" applyFont="1" applyBorder="1" applyAlignment="1">
      <alignment horizontal="center" vertical="center"/>
    </xf>
    <xf numFmtId="165" fontId="10" fillId="0" borderId="1" xfId="1" applyNumberFormat="1" applyFont="1" applyBorder="1" applyAlignment="1">
      <alignment horizontal="center" vertical="center"/>
    </xf>
    <xf numFmtId="3" fontId="10" fillId="0" borderId="1" xfId="1" applyNumberFormat="1" applyFont="1" applyBorder="1" applyAlignment="1">
      <alignment horizontal="center" vertical="center"/>
    </xf>
    <xf numFmtId="166" fontId="10" fillId="0" borderId="1" xfId="1" applyNumberFormat="1" applyFont="1" applyBorder="1" applyAlignment="1">
      <alignment horizontal="center" vertical="center"/>
    </xf>
    <xf numFmtId="0" fontId="7" fillId="0" borderId="1" xfId="1" applyFont="1" applyFill="1" applyBorder="1" applyAlignment="1">
      <alignment horizontal="center" vertical="center"/>
    </xf>
    <xf numFmtId="0" fontId="29" fillId="0" borderId="0" xfId="1" applyFont="1" applyAlignment="1">
      <alignment vertical="center"/>
    </xf>
    <xf numFmtId="49" fontId="30" fillId="4" borderId="1" xfId="1" applyNumberFormat="1" applyFont="1" applyFill="1" applyBorder="1" applyAlignment="1">
      <alignment horizontal="center" vertical="center" wrapText="1"/>
    </xf>
    <xf numFmtId="165" fontId="7" fillId="0" borderId="1" xfId="1" applyNumberFormat="1" applyFont="1" applyBorder="1" applyAlignment="1">
      <alignment horizontal="center" vertical="center"/>
    </xf>
    <xf numFmtId="0" fontId="31" fillId="0" borderId="0" xfId="1" applyFont="1" applyAlignment="1">
      <alignment horizontal="centerContinuous" vertical="center"/>
    </xf>
    <xf numFmtId="49" fontId="4" fillId="0" borderId="0" xfId="1" applyNumberFormat="1" applyFont="1" applyAlignment="1">
      <alignment horizontal="centerContinuous" vertical="center"/>
    </xf>
    <xf numFmtId="0" fontId="3" fillId="0" borderId="0" xfId="1" applyFont="1" applyAlignment="1">
      <alignment horizontal="center" vertical="center"/>
    </xf>
    <xf numFmtId="0" fontId="2" fillId="0" borderId="0" xfId="1"/>
    <xf numFmtId="168" fontId="4" fillId="0" borderId="0" xfId="1" applyNumberFormat="1" applyFont="1" applyAlignment="1">
      <alignment horizontal="centerContinuous" vertical="center"/>
    </xf>
    <xf numFmtId="166" fontId="4" fillId="0" borderId="0" xfId="1" applyNumberFormat="1" applyFont="1" applyAlignment="1">
      <alignment horizontal="centerContinuous" vertical="center"/>
    </xf>
    <xf numFmtId="166" fontId="4" fillId="0" borderId="0" xfId="1" applyNumberFormat="1" applyFont="1" applyAlignment="1">
      <alignment vertical="center"/>
    </xf>
    <xf numFmtId="0" fontId="4" fillId="0" borderId="0" xfId="1" applyFont="1" applyAlignment="1">
      <alignment horizontal="left" vertical="center"/>
    </xf>
    <xf numFmtId="0" fontId="2" fillId="0" borderId="0" xfId="1" applyFont="1"/>
    <xf numFmtId="0" fontId="4" fillId="0" borderId="0" xfId="1" applyFont="1" applyAlignment="1">
      <alignment horizontal="centerContinuous" vertical="center" wrapText="1"/>
    </xf>
    <xf numFmtId="0" fontId="32" fillId="0" borderId="0" xfId="1" applyFont="1"/>
    <xf numFmtId="0" fontId="33" fillId="0" borderId="0" xfId="7" applyFont="1" applyFill="1" applyBorder="1" applyAlignment="1">
      <alignment horizontal="left"/>
    </xf>
    <xf numFmtId="0" fontId="7" fillId="0" borderId="0" xfId="1" applyFont="1" applyFill="1" applyAlignment="1">
      <alignment horizontal="centerContinuous" vertical="center" wrapText="1"/>
    </xf>
    <xf numFmtId="0" fontId="7" fillId="0" borderId="0" xfId="1" applyFont="1" applyFill="1" applyAlignment="1">
      <alignment horizontal="center" vertical="center" wrapText="1"/>
    </xf>
    <xf numFmtId="0" fontId="34" fillId="0" borderId="0" xfId="1" applyFont="1" applyFill="1" applyAlignment="1">
      <alignment horizontal="centerContinuous" vertical="center" wrapText="1"/>
    </xf>
    <xf numFmtId="49" fontId="7" fillId="0" borderId="0" xfId="1" applyNumberFormat="1" applyFont="1" applyFill="1" applyAlignment="1">
      <alignment horizontal="centerContinuous" vertical="center" wrapText="1"/>
    </xf>
    <xf numFmtId="166" fontId="7" fillId="0" borderId="0" xfId="1" applyNumberFormat="1" applyFont="1" applyFill="1" applyAlignment="1">
      <alignment horizontal="centerContinuous" vertical="center" wrapText="1"/>
    </xf>
    <xf numFmtId="0" fontId="35" fillId="0" borderId="0" xfId="1" applyFont="1" applyFill="1" applyAlignment="1">
      <alignment horizontal="centerContinuous" vertical="center" wrapText="1"/>
    </xf>
    <xf numFmtId="166" fontId="7" fillId="0" borderId="0" xfId="1" applyNumberFormat="1" applyFont="1" applyAlignment="1">
      <alignment vertical="center" wrapText="1"/>
    </xf>
    <xf numFmtId="0" fontId="15" fillId="0" borderId="0" xfId="1" applyFont="1" applyAlignment="1">
      <alignment horizontal="left" vertical="center" wrapText="1"/>
    </xf>
    <xf numFmtId="0" fontId="15" fillId="0" borderId="0" xfId="1" applyFont="1" applyAlignment="1">
      <alignment horizontal="left" vertical="center"/>
    </xf>
    <xf numFmtId="49" fontId="7" fillId="0" borderId="2" xfId="1" applyNumberFormat="1" applyFont="1" applyBorder="1" applyAlignment="1">
      <alignment horizontal="centerContinuous" vertical="center" wrapText="1"/>
    </xf>
    <xf numFmtId="0" fontId="36" fillId="0" borderId="2" xfId="1" applyFont="1" applyBorder="1" applyAlignment="1">
      <alignment horizontal="centerContinuous" vertical="center" wrapText="1"/>
    </xf>
    <xf numFmtId="49" fontId="16" fillId="0" borderId="1" xfId="1" applyNumberFormat="1" applyFont="1" applyBorder="1" applyAlignment="1">
      <alignment horizontal="center" vertical="center" wrapText="1" shrinkToFit="1"/>
    </xf>
    <xf numFmtId="0" fontId="16" fillId="0" borderId="3" xfId="1" applyFont="1" applyBorder="1" applyAlignment="1">
      <alignment horizontal="centerContinuous" vertical="center" wrapText="1"/>
    </xf>
    <xf numFmtId="0" fontId="36" fillId="0" borderId="4" xfId="1" applyFont="1" applyBorder="1" applyAlignment="1">
      <alignment horizontal="centerContinuous" vertical="center" wrapText="1"/>
    </xf>
    <xf numFmtId="49" fontId="16" fillId="0" borderId="1" xfId="1" applyNumberFormat="1" applyFont="1" applyBorder="1" applyAlignment="1">
      <alignment horizontal="centerContinuous" vertical="center" wrapText="1" shrinkToFit="1"/>
    </xf>
    <xf numFmtId="0" fontId="16" fillId="0" borderId="2" xfId="1" applyFont="1" applyBorder="1" applyAlignment="1">
      <alignment horizontal="centerContinuous" vertical="center" wrapText="1"/>
    </xf>
    <xf numFmtId="49" fontId="16" fillId="0" borderId="4" xfId="1" applyNumberFormat="1" applyFont="1" applyBorder="1" applyAlignment="1">
      <alignment horizontal="centerContinuous" vertical="center" wrapText="1" shrinkToFit="1"/>
    </xf>
    <xf numFmtId="49" fontId="16" fillId="0" borderId="1" xfId="1" applyNumberFormat="1" applyFont="1" applyBorder="1" applyAlignment="1">
      <alignment horizontal="centerContinuous" vertical="center" shrinkToFit="1"/>
    </xf>
    <xf numFmtId="0" fontId="37" fillId="0" borderId="3" xfId="1" applyFont="1" applyBorder="1" applyAlignment="1">
      <alignment horizontal="centerContinuous" vertical="center" wrapText="1"/>
    </xf>
    <xf numFmtId="0" fontId="37" fillId="0" borderId="2" xfId="1" applyFont="1" applyBorder="1" applyAlignment="1">
      <alignment horizontal="centerContinuous" vertical="center" wrapText="1"/>
    </xf>
    <xf numFmtId="0" fontId="11" fillId="0" borderId="0" xfId="1" applyFont="1" applyAlignment="1">
      <alignment horizontal="left" vertical="center"/>
    </xf>
    <xf numFmtId="0" fontId="38" fillId="0" borderId="0" xfId="1" applyFont="1" applyAlignment="1">
      <alignment vertical="center"/>
    </xf>
    <xf numFmtId="0" fontId="39" fillId="0" borderId="0" xfId="1" applyFont="1" applyAlignment="1">
      <alignment horizontal="center" wrapText="1"/>
    </xf>
    <xf numFmtId="49" fontId="16" fillId="2" borderId="4" xfId="1" applyNumberFormat="1" applyFont="1" applyFill="1" applyBorder="1" applyAlignment="1">
      <alignment horizontal="center" vertical="center" wrapText="1"/>
    </xf>
    <xf numFmtId="0" fontId="16" fillId="2" borderId="1" xfId="3" applyFont="1" applyFill="1" applyBorder="1" applyAlignment="1">
      <alignment horizontal="center" vertical="center" wrapText="1"/>
    </xf>
    <xf numFmtId="0" fontId="19" fillId="2" borderId="1" xfId="3" applyFont="1" applyFill="1" applyBorder="1" applyAlignment="1">
      <alignment horizontal="center" vertical="center" wrapText="1"/>
    </xf>
    <xf numFmtId="49" fontId="19" fillId="2" borderId="1" xfId="1" applyNumberFormat="1" applyFont="1" applyFill="1" applyBorder="1" applyAlignment="1">
      <alignment horizontal="center" vertical="center" wrapText="1"/>
    </xf>
    <xf numFmtId="0" fontId="16" fillId="2" borderId="1" xfId="8" applyFont="1" applyFill="1" applyBorder="1" applyAlignment="1">
      <alignment horizontal="center" vertical="center" wrapText="1"/>
    </xf>
    <xf numFmtId="0" fontId="42" fillId="0" borderId="0" xfId="1" applyFont="1" applyAlignment="1">
      <alignment vertical="center" wrapText="1"/>
    </xf>
    <xf numFmtId="49" fontId="19" fillId="2" borderId="1" xfId="1" applyNumberFormat="1" applyFont="1" applyFill="1" applyBorder="1" applyAlignment="1">
      <alignment horizontal="center" vertical="center"/>
    </xf>
    <xf numFmtId="49" fontId="16" fillId="2" borderId="1" xfId="1" applyNumberFormat="1" applyFont="1" applyFill="1" applyBorder="1" applyAlignment="1">
      <alignment horizontal="center" vertical="center"/>
    </xf>
    <xf numFmtId="0" fontId="7" fillId="2" borderId="1" xfId="3" applyFont="1" applyFill="1" applyBorder="1" applyAlignment="1">
      <alignment horizontal="center" vertical="center" wrapText="1"/>
    </xf>
    <xf numFmtId="0" fontId="10" fillId="2" borderId="1" xfId="1" applyFont="1" applyFill="1" applyBorder="1" applyAlignment="1">
      <alignment horizontal="center" vertical="center"/>
    </xf>
    <xf numFmtId="49" fontId="10" fillId="2" borderId="1" xfId="1" applyNumberFormat="1" applyFont="1" applyFill="1" applyBorder="1" applyAlignment="1">
      <alignment horizontal="center" vertical="center" wrapText="1"/>
    </xf>
    <xf numFmtId="0" fontId="10" fillId="2" borderId="1" xfId="1" applyFont="1" applyFill="1" applyBorder="1" applyAlignment="1">
      <alignment horizontal="center" vertical="center" wrapText="1"/>
    </xf>
    <xf numFmtId="49" fontId="11" fillId="2" borderId="1" xfId="1" applyNumberFormat="1" applyFont="1" applyFill="1" applyBorder="1" applyAlignment="1">
      <alignment horizontal="center" vertical="center"/>
    </xf>
    <xf numFmtId="0" fontId="16" fillId="2" borderId="1" xfId="3" applyFont="1" applyFill="1" applyBorder="1" applyAlignment="1">
      <alignment horizontal="center" vertical="center"/>
    </xf>
    <xf numFmtId="49" fontId="7" fillId="0" borderId="5" xfId="9" applyNumberFormat="1" applyFont="1" applyBorder="1" applyAlignment="1">
      <alignment horizontal="center" vertical="center"/>
    </xf>
    <xf numFmtId="0" fontId="7" fillId="0" borderId="4" xfId="10" applyFont="1" applyFill="1" applyBorder="1" applyAlignment="1">
      <alignment horizontal="center" vertical="center"/>
    </xf>
    <xf numFmtId="3" fontId="7" fillId="0" borderId="1" xfId="11" applyNumberFormat="1" applyFont="1" applyFill="1" applyBorder="1" applyAlignment="1">
      <alignment horizontal="center" vertical="center" wrapText="1"/>
    </xf>
    <xf numFmtId="3" fontId="7" fillId="0" borderId="1" xfId="1" applyNumberFormat="1" applyFont="1" applyFill="1" applyBorder="1" applyAlignment="1">
      <alignment horizontal="center" vertical="center"/>
    </xf>
    <xf numFmtId="0" fontId="7" fillId="0" borderId="1" xfId="9" applyNumberFormat="1" applyFont="1" applyFill="1" applyBorder="1" applyAlignment="1">
      <alignment horizontal="center" vertical="center"/>
    </xf>
    <xf numFmtId="0" fontId="7" fillId="0" borderId="1" xfId="1" applyFont="1" applyFill="1" applyBorder="1" applyAlignment="1">
      <alignment horizontal="center" vertical="center" wrapText="1"/>
    </xf>
    <xf numFmtId="4" fontId="10" fillId="0" borderId="1" xfId="1" applyNumberFormat="1" applyFont="1" applyFill="1" applyBorder="1" applyAlignment="1">
      <alignment horizontal="center" vertical="center"/>
    </xf>
    <xf numFmtId="166" fontId="7" fillId="0" borderId="1" xfId="11" applyNumberFormat="1" applyFont="1" applyFill="1" applyBorder="1" applyAlignment="1">
      <alignment horizontal="center" vertical="center"/>
    </xf>
    <xf numFmtId="2" fontId="7" fillId="0" borderId="1" xfId="11" applyNumberFormat="1" applyFont="1" applyFill="1" applyBorder="1" applyAlignment="1">
      <alignment horizontal="center" vertical="center"/>
    </xf>
    <xf numFmtId="2" fontId="10" fillId="0" borderId="1" xfId="11" applyNumberFormat="1" applyFont="1" applyFill="1" applyBorder="1" applyAlignment="1">
      <alignment horizontal="center" vertical="center"/>
    </xf>
    <xf numFmtId="3" fontId="7" fillId="0" borderId="1" xfId="11" applyNumberFormat="1" applyFont="1" applyFill="1" applyBorder="1" applyAlignment="1">
      <alignment horizontal="center" vertical="center"/>
    </xf>
    <xf numFmtId="0" fontId="7" fillId="0" borderId="1" xfId="1" applyFont="1" applyFill="1" applyBorder="1" applyAlignment="1">
      <alignment horizontal="left" vertical="center"/>
    </xf>
    <xf numFmtId="0" fontId="7" fillId="0" borderId="0" xfId="1" applyFont="1" applyFill="1" applyAlignment="1">
      <alignment vertical="center"/>
    </xf>
    <xf numFmtId="0" fontId="2" fillId="0" borderId="0" xfId="1" applyFont="1" applyAlignment="1">
      <alignment horizontal="left" vertical="center"/>
    </xf>
    <xf numFmtId="2" fontId="10" fillId="0" borderId="1" xfId="1" applyNumberFormat="1" applyFont="1" applyFill="1" applyBorder="1" applyAlignment="1">
      <alignment horizontal="center"/>
    </xf>
    <xf numFmtId="0" fontId="7" fillId="0" borderId="1" xfId="1" applyFont="1" applyFill="1" applyBorder="1" applyAlignment="1">
      <alignment horizontal="center"/>
    </xf>
    <xf numFmtId="0" fontId="2" fillId="0" borderId="0" xfId="1" applyFont="1" applyAlignment="1">
      <alignment vertical="center"/>
    </xf>
    <xf numFmtId="0" fontId="39" fillId="0" borderId="0" xfId="1" applyFont="1" applyAlignment="1">
      <alignment vertical="center"/>
    </xf>
    <xf numFmtId="0" fontId="35" fillId="0" borderId="0" xfId="1" applyFont="1" applyAlignment="1">
      <alignment vertical="center" wrapText="1"/>
    </xf>
    <xf numFmtId="0" fontId="35" fillId="0" borderId="0" xfId="1" applyFont="1" applyAlignment="1">
      <alignment vertical="center"/>
    </xf>
    <xf numFmtId="49" fontId="7" fillId="0" borderId="0" xfId="1" applyNumberFormat="1" applyFont="1" applyAlignment="1">
      <alignment vertical="center"/>
    </xf>
    <xf numFmtId="0" fontId="2" fillId="0" borderId="0" xfId="1" applyFont="1" applyAlignment="1">
      <alignment horizontal="center" vertical="center"/>
    </xf>
    <xf numFmtId="49" fontId="2" fillId="0" borderId="0" xfId="1" applyNumberFormat="1" applyFont="1" applyAlignment="1">
      <alignment vertical="center"/>
    </xf>
    <xf numFmtId="49" fontId="2" fillId="0" borderId="0" xfId="1" applyNumberFormat="1" applyFont="1" applyAlignment="1">
      <alignment horizontal="center" vertical="center"/>
    </xf>
    <xf numFmtId="0" fontId="38" fillId="0" borderId="0" xfId="9" applyFont="1" applyAlignment="1">
      <alignment vertical="center"/>
    </xf>
    <xf numFmtId="0" fontId="39" fillId="0" borderId="0" xfId="1" applyFont="1" applyAlignment="1">
      <alignment horizontal="left" vertical="center"/>
    </xf>
    <xf numFmtId="0" fontId="2" fillId="0" borderId="0" xfId="1" applyFont="1" applyAlignment="1">
      <alignment horizontal="right" vertical="center"/>
    </xf>
    <xf numFmtId="0" fontId="21" fillId="0" borderId="0" xfId="1" applyFont="1"/>
    <xf numFmtId="0" fontId="21" fillId="0" borderId="0" xfId="1" applyFont="1" applyAlignment="1">
      <alignment vertical="center"/>
    </xf>
    <xf numFmtId="0" fontId="45" fillId="0" borderId="0" xfId="1" applyFont="1"/>
    <xf numFmtId="0" fontId="39" fillId="0" borderId="0" xfId="1" applyFont="1" applyAlignment="1">
      <alignment horizontal="left" vertical="top" wrapText="1"/>
    </xf>
    <xf numFmtId="2" fontId="35" fillId="0" borderId="0" xfId="1" applyNumberFormat="1" applyFont="1" applyAlignment="1">
      <alignment vertical="center"/>
    </xf>
    <xf numFmtId="1" fontId="7" fillId="0" borderId="0" xfId="1" applyNumberFormat="1" applyFont="1" applyAlignment="1">
      <alignment horizontal="center" vertical="center"/>
    </xf>
    <xf numFmtId="0" fontId="4" fillId="0" borderId="0" xfId="1" applyFont="1" applyFill="1" applyAlignment="1">
      <alignment horizontal="centerContinuous" vertical="center"/>
    </xf>
    <xf numFmtId="49" fontId="31" fillId="0" borderId="0" xfId="1" applyNumberFormat="1" applyFont="1" applyFill="1" applyAlignment="1">
      <alignment horizontal="centerContinuous" vertical="center"/>
    </xf>
    <xf numFmtId="49" fontId="4" fillId="0" borderId="0" xfId="1" applyNumberFormat="1" applyFont="1" applyFill="1" applyAlignment="1">
      <alignment horizontal="centerContinuous" vertical="center"/>
    </xf>
    <xf numFmtId="0" fontId="3" fillId="0" borderId="0" xfId="1" applyNumberFormat="1" applyFont="1" applyAlignment="1">
      <alignment horizontal="centerContinuous" vertical="center"/>
    </xf>
    <xf numFmtId="0" fontId="31" fillId="0" borderId="0" xfId="1" applyFont="1" applyFill="1" applyAlignment="1">
      <alignment horizontal="centerContinuous" vertical="center"/>
    </xf>
    <xf numFmtId="0" fontId="3" fillId="0" borderId="0" xfId="1" applyNumberFormat="1" applyFont="1" applyFill="1" applyAlignment="1">
      <alignment horizontal="centerContinuous" vertical="center"/>
    </xf>
    <xf numFmtId="0" fontId="4" fillId="0" borderId="0" xfId="1" applyFont="1" applyFill="1" applyAlignment="1">
      <alignment vertical="center"/>
    </xf>
    <xf numFmtId="0" fontId="8" fillId="0" borderId="0" xfId="1" applyNumberFormat="1" applyFont="1" applyAlignment="1">
      <alignment horizontal="centerContinuous" vertical="center"/>
    </xf>
    <xf numFmtId="0" fontId="8" fillId="0" borderId="0" xfId="1" applyNumberFormat="1" applyFont="1" applyFill="1" applyAlignment="1">
      <alignment horizontal="centerContinuous" vertical="center"/>
    </xf>
    <xf numFmtId="0" fontId="4" fillId="0" borderId="0" xfId="1" applyFont="1" applyFill="1" applyAlignment="1" applyProtection="1">
      <alignment horizontal="centerContinuous" vertical="center"/>
      <protection locked="0"/>
    </xf>
    <xf numFmtId="0" fontId="25" fillId="0" borderId="0" xfId="1" applyFont="1" applyFill="1" applyAlignment="1">
      <alignment horizontal="centerContinuous" vertical="center"/>
    </xf>
    <xf numFmtId="0" fontId="31" fillId="0" borderId="0" xfId="1" applyFont="1" applyFill="1" applyAlignment="1">
      <alignment horizontal="center" vertical="center"/>
    </xf>
    <xf numFmtId="0" fontId="4" fillId="0" borderId="0" xfId="1" applyFont="1" applyFill="1" applyAlignment="1">
      <alignment horizontal="center" vertical="center"/>
    </xf>
    <xf numFmtId="49" fontId="46" fillId="0" borderId="0" xfId="1" applyNumberFormat="1" applyFont="1" applyFill="1" applyAlignment="1">
      <alignment vertical="center"/>
    </xf>
    <xf numFmtId="0" fontId="39" fillId="0" borderId="0" xfId="9" applyFont="1" applyAlignment="1">
      <alignment vertical="center"/>
    </xf>
    <xf numFmtId="0" fontId="35" fillId="0" borderId="0" xfId="1" applyFont="1" applyFill="1" applyAlignment="1">
      <alignment vertical="center"/>
    </xf>
    <xf numFmtId="0" fontId="35" fillId="0" borderId="0" xfId="1" applyFont="1" applyFill="1" applyAlignment="1">
      <alignment horizontal="center" vertical="center"/>
    </xf>
    <xf numFmtId="0" fontId="7" fillId="0" borderId="0" xfId="1" applyFont="1" applyFill="1" applyAlignment="1">
      <alignment horizontal="center" vertical="center"/>
    </xf>
    <xf numFmtId="0" fontId="7" fillId="0" borderId="0" xfId="1" applyFont="1" applyFill="1" applyAlignment="1">
      <alignment vertical="center" wrapText="1"/>
    </xf>
    <xf numFmtId="0" fontId="7" fillId="0" borderId="0" xfId="1" applyFont="1" applyFill="1" applyBorder="1" applyAlignment="1">
      <alignment horizontal="left" vertical="center" indent="2"/>
    </xf>
    <xf numFmtId="0" fontId="2" fillId="0" borderId="0" xfId="9" applyAlignment="1">
      <alignment horizontal="left" vertical="center" wrapText="1"/>
    </xf>
    <xf numFmtId="49" fontId="7" fillId="0" borderId="0" xfId="1" applyNumberFormat="1" applyFont="1" applyFill="1" applyAlignment="1">
      <alignment vertical="center"/>
    </xf>
    <xf numFmtId="0" fontId="11" fillId="0" borderId="3" xfId="1" applyFont="1" applyBorder="1" applyAlignment="1">
      <alignment horizontal="centerContinuous" vertical="center" wrapText="1"/>
    </xf>
    <xf numFmtId="0" fontId="7" fillId="0" borderId="4" xfId="1" applyFont="1" applyFill="1" applyBorder="1" applyAlignment="1">
      <alignment vertical="center"/>
    </xf>
    <xf numFmtId="0" fontId="16" fillId="0" borderId="1" xfId="1" applyFont="1" applyBorder="1" applyAlignment="1">
      <alignment horizontal="centerContinuous" vertical="center" wrapText="1" shrinkToFit="1"/>
    </xf>
    <xf numFmtId="49" fontId="16" fillId="4" borderId="1" xfId="1" applyNumberFormat="1" applyFont="1" applyFill="1" applyBorder="1" applyAlignment="1">
      <alignment horizontal="center" vertical="center" wrapText="1"/>
    </xf>
    <xf numFmtId="49" fontId="16" fillId="4" borderId="1" xfId="1" applyNumberFormat="1" applyFont="1" applyFill="1" applyBorder="1" applyAlignment="1">
      <alignment horizontal="centerContinuous" vertical="center"/>
    </xf>
    <xf numFmtId="49" fontId="19" fillId="2" borderId="1" xfId="1" applyNumberFormat="1" applyFont="1" applyFill="1" applyBorder="1" applyAlignment="1">
      <alignment horizontal="center" vertical="center" wrapText="1"/>
    </xf>
    <xf numFmtId="49" fontId="19" fillId="4" borderId="1" xfId="1" applyNumberFormat="1" applyFont="1" applyFill="1" applyBorder="1" applyAlignment="1">
      <alignment horizontal="centerContinuous" vertical="center"/>
    </xf>
    <xf numFmtId="49" fontId="16" fillId="4" borderId="1" xfId="1" applyNumberFormat="1" applyFont="1" applyFill="1" applyBorder="1" applyAlignment="1">
      <alignment horizontal="centerContinuous" vertical="center" wrapText="1"/>
    </xf>
    <xf numFmtId="49" fontId="47" fillId="2" borderId="1" xfId="1" applyNumberFormat="1" applyFont="1" applyFill="1" applyBorder="1" applyAlignment="1">
      <alignment horizontal="center" vertical="center" textRotation="90" wrapText="1"/>
    </xf>
    <xf numFmtId="49" fontId="47" fillId="4" borderId="1" xfId="1" applyNumberFormat="1" applyFont="1" applyFill="1" applyBorder="1" applyAlignment="1">
      <alignment horizontal="center" vertical="center" textRotation="90" wrapText="1"/>
    </xf>
    <xf numFmtId="49" fontId="7" fillId="0" borderId="1" xfId="1" applyNumberFormat="1" applyFont="1" applyBorder="1" applyAlignment="1">
      <alignment horizontal="center" vertical="center"/>
    </xf>
    <xf numFmtId="37" fontId="15" fillId="0" borderId="1" xfId="1" applyNumberFormat="1" applyFont="1" applyFill="1" applyBorder="1" applyAlignment="1" applyProtection="1">
      <alignment horizontal="center" vertical="center"/>
    </xf>
    <xf numFmtId="0" fontId="10" fillId="0" borderId="1" xfId="1" applyFont="1" applyFill="1" applyBorder="1" applyAlignment="1">
      <alignment horizontal="center" vertical="center"/>
    </xf>
    <xf numFmtId="37" fontId="10" fillId="0" borderId="1" xfId="1" applyNumberFormat="1" applyFont="1" applyFill="1" applyBorder="1" applyAlignment="1" applyProtection="1">
      <alignment horizontal="center" vertical="center"/>
    </xf>
    <xf numFmtId="37" fontId="7" fillId="0" borderId="1" xfId="1" applyNumberFormat="1" applyFont="1" applyFill="1" applyBorder="1" applyAlignment="1" applyProtection="1">
      <alignment horizontal="center" vertical="center"/>
    </xf>
    <xf numFmtId="0" fontId="49" fillId="0" borderId="0" xfId="1" applyFont="1" applyFill="1" applyAlignment="1">
      <alignment vertical="center"/>
    </xf>
    <xf numFmtId="0" fontId="25" fillId="0" borderId="0" xfId="1" applyNumberFormat="1" applyFont="1" applyFill="1" applyAlignment="1">
      <alignment horizontal="centerContinuous" vertical="center"/>
    </xf>
    <xf numFmtId="49" fontId="25" fillId="0" borderId="0" xfId="1" applyNumberFormat="1" applyFont="1" applyFill="1" applyAlignment="1">
      <alignment horizontal="centerContinuous" vertical="center"/>
    </xf>
    <xf numFmtId="49" fontId="50" fillId="0" borderId="0" xfId="1" applyNumberFormat="1" applyFont="1" applyFill="1" applyAlignment="1">
      <alignment horizontal="centerContinuous" vertical="center"/>
    </xf>
    <xf numFmtId="0" fontId="50" fillId="0" borderId="0" xfId="1" applyFont="1" applyFill="1" applyAlignment="1">
      <alignment horizontal="centerContinuous" vertical="center"/>
    </xf>
    <xf numFmtId="0" fontId="31" fillId="0" borderId="0" xfId="1" applyFont="1" applyFill="1" applyAlignment="1">
      <alignment vertical="center"/>
    </xf>
    <xf numFmtId="0" fontId="16" fillId="0" borderId="0" xfId="1" applyFont="1" applyAlignment="1">
      <alignment horizontal="centerContinuous" vertical="center"/>
    </xf>
    <xf numFmtId="0" fontId="35" fillId="0" borderId="0" xfId="1" applyFont="1" applyFill="1" applyAlignment="1">
      <alignment horizontal="centerContinuous" vertical="center"/>
    </xf>
    <xf numFmtId="0" fontId="7" fillId="0" borderId="0" xfId="1" applyFont="1" applyFill="1" applyAlignment="1">
      <alignment horizontal="centerContinuous" vertical="center"/>
    </xf>
    <xf numFmtId="0" fontId="10" fillId="0" borderId="0" xfId="1" applyFont="1" applyFill="1" applyAlignment="1">
      <alignment horizontal="centerContinuous" vertical="center"/>
    </xf>
    <xf numFmtId="0" fontId="19" fillId="0" borderId="0" xfId="1" applyFont="1" applyAlignment="1">
      <alignment horizontal="centerContinuous" vertical="center"/>
    </xf>
    <xf numFmtId="0" fontId="10" fillId="0" borderId="0" xfId="1" applyFont="1" applyFill="1" applyAlignment="1"/>
    <xf numFmtId="0" fontId="19" fillId="0" borderId="0" xfId="1" applyFont="1" applyAlignment="1"/>
    <xf numFmtId="0" fontId="16" fillId="0" borderId="0" xfId="4" quotePrefix="1" applyFont="1" applyFill="1" applyAlignment="1">
      <alignment horizontal="left" vertical="center"/>
    </xf>
    <xf numFmtId="0" fontId="7" fillId="0" borderId="0" xfId="4" applyFont="1" applyFill="1" applyAlignment="1">
      <alignment vertical="center"/>
    </xf>
    <xf numFmtId="0" fontId="7" fillId="0" borderId="0" xfId="4" applyFont="1" applyFill="1" applyAlignment="1">
      <alignment horizontal="left" vertical="center"/>
    </xf>
    <xf numFmtId="0" fontId="36" fillId="0" borderId="1" xfId="1" applyFont="1" applyBorder="1" applyAlignment="1">
      <alignment horizontal="centerContinuous" vertical="center"/>
    </xf>
    <xf numFmtId="0" fontId="7" fillId="0" borderId="1" xfId="1" applyFont="1" applyFill="1" applyBorder="1" applyAlignment="1">
      <alignment horizontal="centerContinuous" vertical="center"/>
    </xf>
    <xf numFmtId="0" fontId="16" fillId="0" borderId="1" xfId="1" applyFont="1" applyBorder="1" applyAlignment="1">
      <alignment horizontal="centerContinuous" vertical="center"/>
    </xf>
    <xf numFmtId="49" fontId="16" fillId="0" borderId="1" xfId="1" applyNumberFormat="1" applyFont="1" applyBorder="1" applyAlignment="1">
      <alignment horizontal="centerContinuous" vertical="center"/>
    </xf>
    <xf numFmtId="0" fontId="37" fillId="0" borderId="1" xfId="1" applyFont="1" applyBorder="1" applyAlignment="1">
      <alignment horizontal="centerContinuous" vertical="center"/>
    </xf>
    <xf numFmtId="0" fontId="7" fillId="0" borderId="3" xfId="1" applyFont="1" applyFill="1" applyBorder="1" applyAlignment="1">
      <alignment horizontal="centerContinuous" vertical="center"/>
    </xf>
    <xf numFmtId="0" fontId="7" fillId="0" borderId="2" xfId="1" applyFont="1" applyFill="1" applyBorder="1" applyAlignment="1">
      <alignment horizontal="centerContinuous" vertical="center"/>
    </xf>
    <xf numFmtId="49" fontId="51" fillId="0" borderId="4" xfId="1" applyNumberFormat="1" applyFont="1" applyFill="1" applyBorder="1" applyAlignment="1">
      <alignment horizontal="center" vertical="center" textRotation="90" wrapText="1"/>
    </xf>
    <xf numFmtId="0" fontId="10" fillId="0" borderId="11" xfId="1" applyFont="1" applyFill="1" applyBorder="1" applyAlignment="1">
      <alignment horizontal="centerContinuous" vertical="center"/>
    </xf>
    <xf numFmtId="49" fontId="52" fillId="4" borderId="1" xfId="1" applyNumberFormat="1" applyFont="1" applyFill="1" applyBorder="1" applyAlignment="1">
      <alignment horizontal="center" vertical="center" wrapText="1"/>
    </xf>
    <xf numFmtId="49" fontId="52" fillId="4" borderId="1" xfId="1" applyNumberFormat="1" applyFont="1" applyFill="1" applyBorder="1" applyAlignment="1">
      <alignment horizontal="centerContinuous" vertical="center"/>
    </xf>
    <xf numFmtId="0" fontId="30" fillId="4" borderId="1" xfId="1" applyFont="1" applyFill="1" applyBorder="1" applyAlignment="1">
      <alignment horizontal="center" vertical="center" wrapText="1"/>
    </xf>
    <xf numFmtId="49" fontId="30" fillId="4" borderId="1" xfId="1" applyNumberFormat="1" applyFont="1" applyFill="1" applyBorder="1" applyAlignment="1">
      <alignment horizontal="centerContinuous" vertical="center"/>
    </xf>
    <xf numFmtId="49" fontId="53" fillId="4" borderId="1" xfId="1" applyNumberFormat="1" applyFont="1" applyFill="1" applyBorder="1" applyAlignment="1">
      <alignment horizontal="centerContinuous" vertical="center"/>
    </xf>
    <xf numFmtId="49" fontId="30" fillId="4" borderId="1" xfId="1" applyNumberFormat="1" applyFont="1" applyFill="1" applyBorder="1" applyAlignment="1">
      <alignment horizontal="center" vertical="center" wrapText="1"/>
    </xf>
    <xf numFmtId="49" fontId="52" fillId="4" borderId="1" xfId="1" applyNumberFormat="1" applyFont="1" applyFill="1" applyBorder="1" applyAlignment="1">
      <alignment horizontal="centerContinuous" vertical="center" wrapText="1"/>
    </xf>
    <xf numFmtId="49" fontId="51" fillId="4" borderId="1" xfId="1" applyNumberFormat="1" applyFont="1" applyFill="1" applyBorder="1" applyAlignment="1">
      <alignment horizontal="center" vertical="center" textRotation="90" wrapText="1"/>
    </xf>
    <xf numFmtId="49" fontId="52" fillId="4" borderId="1" xfId="1" applyNumberFormat="1" applyFont="1" applyFill="1" applyBorder="1" applyAlignment="1">
      <alignment horizontal="center" vertical="center" wrapText="1"/>
    </xf>
    <xf numFmtId="0" fontId="54" fillId="0" borderId="1" xfId="1" applyNumberFormat="1" applyFont="1" applyBorder="1" applyAlignment="1">
      <alignment vertical="center"/>
    </xf>
    <xf numFmtId="0" fontId="37" fillId="0" borderId="1" xfId="1" applyFont="1" applyBorder="1" applyAlignment="1">
      <alignment horizontal="center" vertical="center"/>
    </xf>
    <xf numFmtId="37" fontId="54" fillId="0" borderId="1" xfId="1" applyNumberFormat="1" applyFont="1" applyFill="1" applyBorder="1" applyAlignment="1" applyProtection="1">
      <alignment horizontal="center" vertical="center"/>
    </xf>
    <xf numFmtId="166" fontId="37" fillId="0" borderId="1" xfId="1" applyNumberFormat="1" applyFont="1" applyFill="1" applyBorder="1" applyAlignment="1">
      <alignment horizontal="center" vertical="center"/>
    </xf>
    <xf numFmtId="0" fontId="37" fillId="0" borderId="1" xfId="1" applyFont="1" applyFill="1" applyBorder="1" applyAlignment="1">
      <alignment horizontal="center" vertical="center"/>
    </xf>
    <xf numFmtId="39" fontId="37" fillId="0" borderId="1" xfId="1" applyNumberFormat="1" applyFont="1" applyFill="1" applyBorder="1" applyAlignment="1">
      <alignment horizontal="center" vertical="center"/>
    </xf>
    <xf numFmtId="0" fontId="35" fillId="0" borderId="0" xfId="1" applyFont="1" applyFill="1" applyAlignment="1"/>
    <xf numFmtId="0" fontId="7" fillId="0" borderId="0" xfId="1" applyFont="1" applyFill="1" applyAlignment="1"/>
    <xf numFmtId="0" fontId="4" fillId="0" borderId="0" xfId="9" applyFont="1" applyAlignment="1">
      <alignment horizontal="centerContinuous"/>
    </xf>
    <xf numFmtId="0" fontId="4" fillId="0" borderId="0" xfId="9" applyFont="1" applyAlignment="1">
      <alignment horizontal="left"/>
    </xf>
    <xf numFmtId="0" fontId="7" fillId="0" borderId="0" xfId="9" applyFont="1" applyAlignment="1">
      <alignment horizontal="centerContinuous"/>
    </xf>
    <xf numFmtId="0" fontId="4" fillId="0" borderId="0" xfId="9" applyFont="1"/>
    <xf numFmtId="0" fontId="7" fillId="0" borderId="0" xfId="9" applyFont="1"/>
    <xf numFmtId="0" fontId="7" fillId="0" borderId="0" xfId="9" applyFont="1" applyAlignment="1">
      <alignment horizontal="left"/>
    </xf>
    <xf numFmtId="49" fontId="16" fillId="0" borderId="0" xfId="1" applyNumberFormat="1" applyFont="1" applyAlignment="1">
      <alignment horizontal="centerContinuous" vertical="center"/>
    </xf>
    <xf numFmtId="2" fontId="7" fillId="0" borderId="1" xfId="1" applyNumberFormat="1" applyFont="1" applyBorder="1" applyAlignment="1">
      <alignment horizontal="center" vertical="center"/>
    </xf>
    <xf numFmtId="0" fontId="15" fillId="0" borderId="0" xfId="9" applyFont="1" applyFill="1"/>
    <xf numFmtId="2" fontId="16" fillId="2" borderId="1" xfId="1" applyNumberFormat="1" applyFont="1" applyFill="1" applyBorder="1" applyAlignment="1">
      <alignment horizontal="center" vertical="center" wrapText="1"/>
    </xf>
    <xf numFmtId="0" fontId="15" fillId="0" borderId="0" xfId="9" applyFont="1"/>
    <xf numFmtId="49" fontId="7" fillId="0" borderId="1" xfId="1" applyNumberFormat="1" applyFont="1" applyFill="1" applyBorder="1" applyAlignment="1">
      <alignment horizontal="center" vertical="center" wrapText="1"/>
    </xf>
    <xf numFmtId="166" fontId="7" fillId="0" borderId="1" xfId="1" applyNumberFormat="1" applyFont="1" applyFill="1" applyBorder="1" applyAlignment="1">
      <alignment horizontal="center" vertical="center" wrapText="1"/>
    </xf>
    <xf numFmtId="1" fontId="7" fillId="0" borderId="1" xfId="1" applyNumberFormat="1" applyFont="1" applyFill="1" applyBorder="1" applyAlignment="1">
      <alignment horizontal="center" vertical="center" wrapText="1"/>
    </xf>
    <xf numFmtId="2" fontId="7" fillId="0" borderId="1" xfId="1" applyNumberFormat="1" applyFont="1" applyFill="1" applyBorder="1" applyAlignment="1">
      <alignment horizontal="center" vertical="center" wrapText="1"/>
    </xf>
    <xf numFmtId="0" fontId="7" fillId="0" borderId="0" xfId="9" applyFont="1" applyFill="1"/>
    <xf numFmtId="166" fontId="10" fillId="0" borderId="1" xfId="1" applyNumberFormat="1" applyFont="1" applyFill="1" applyBorder="1" applyAlignment="1">
      <alignment horizontal="center" vertical="center" wrapText="1"/>
    </xf>
    <xf numFmtId="1" fontId="10" fillId="0" borderId="1" xfId="1" applyNumberFormat="1" applyFont="1" applyFill="1" applyBorder="1" applyAlignment="1">
      <alignment horizontal="center" vertical="center" wrapText="1"/>
    </xf>
    <xf numFmtId="2" fontId="10" fillId="0" borderId="1" xfId="1" applyNumberFormat="1" applyFont="1" applyFill="1" applyBorder="1" applyAlignment="1">
      <alignment horizontal="center" vertical="center" wrapText="1"/>
    </xf>
    <xf numFmtId="0" fontId="2" fillId="0" borderId="0" xfId="9"/>
    <xf numFmtId="0" fontId="7" fillId="0" borderId="1" xfId="9" applyFont="1" applyBorder="1" applyAlignment="1">
      <alignment horizontal="center"/>
    </xf>
    <xf numFmtId="166" fontId="7" fillId="0" borderId="1" xfId="9" applyNumberFormat="1" applyFont="1" applyBorder="1" applyAlignment="1">
      <alignment horizontal="center"/>
    </xf>
    <xf numFmtId="1" fontId="7" fillId="0" borderId="1" xfId="9" applyNumberFormat="1" applyFont="1" applyBorder="1" applyAlignment="1">
      <alignment horizontal="center"/>
    </xf>
    <xf numFmtId="2" fontId="7" fillId="0" borderId="1" xfId="9" applyNumberFormat="1" applyFont="1" applyBorder="1" applyAlignment="1">
      <alignment horizontal="center"/>
    </xf>
    <xf numFmtId="166" fontId="10" fillId="0" borderId="1" xfId="9" applyNumberFormat="1" applyFont="1" applyFill="1" applyBorder="1" applyAlignment="1">
      <alignment horizontal="center"/>
    </xf>
    <xf numFmtId="1" fontId="10" fillId="0" borderId="1" xfId="9" applyNumberFormat="1" applyFont="1" applyFill="1" applyBorder="1" applyAlignment="1">
      <alignment horizontal="center"/>
    </xf>
    <xf numFmtId="166" fontId="10" fillId="0" borderId="1" xfId="9" applyNumberFormat="1" applyFont="1" applyBorder="1" applyAlignment="1">
      <alignment horizontal="center"/>
    </xf>
    <xf numFmtId="1" fontId="10" fillId="0" borderId="1" xfId="9" applyNumberFormat="1" applyFont="1" applyBorder="1" applyAlignment="1">
      <alignment horizontal="center"/>
    </xf>
    <xf numFmtId="49" fontId="7" fillId="0" borderId="1" xfId="1" applyNumberFormat="1" applyFont="1" applyFill="1" applyBorder="1" applyAlignment="1">
      <alignment horizontal="center" vertical="center"/>
    </xf>
    <xf numFmtId="166" fontId="7" fillId="0" borderId="1" xfId="1" applyNumberFormat="1" applyFont="1" applyBorder="1" applyAlignment="1">
      <alignment horizontal="center" vertical="center"/>
    </xf>
    <xf numFmtId="1" fontId="7" fillId="0" borderId="1" xfId="1" applyNumberFormat="1" applyFont="1" applyBorder="1" applyAlignment="1">
      <alignment horizontal="center" vertical="center"/>
    </xf>
    <xf numFmtId="1" fontId="10" fillId="0" borderId="1" xfId="1" applyNumberFormat="1" applyFont="1" applyBorder="1" applyAlignment="1">
      <alignment horizontal="center" vertical="center"/>
    </xf>
    <xf numFmtId="1" fontId="10" fillId="0" borderId="1" xfId="1" applyNumberFormat="1" applyFont="1" applyFill="1" applyBorder="1" applyAlignment="1">
      <alignment horizontal="center" vertical="center"/>
    </xf>
    <xf numFmtId="0" fontId="7" fillId="0" borderId="0" xfId="9" applyFont="1" applyBorder="1" applyAlignment="1">
      <alignment horizontal="center"/>
    </xf>
    <xf numFmtId="0" fontId="7" fillId="0" borderId="0" xfId="1" applyFont="1" applyBorder="1" applyAlignment="1">
      <alignment horizontal="center" vertical="center"/>
    </xf>
    <xf numFmtId="166" fontId="10" fillId="0" borderId="0" xfId="9" applyNumberFormat="1" applyFont="1" applyBorder="1" applyAlignment="1">
      <alignment horizontal="center"/>
    </xf>
    <xf numFmtId="3" fontId="10" fillId="0" borderId="0" xfId="9" applyNumberFormat="1" applyFont="1" applyBorder="1" applyAlignment="1">
      <alignment horizontal="center"/>
    </xf>
    <xf numFmtId="2" fontId="7" fillId="0" borderId="0" xfId="9" applyNumberFormat="1" applyFont="1" applyBorder="1" applyAlignment="1">
      <alignment horizontal="center"/>
    </xf>
    <xf numFmtId="0" fontId="35" fillId="0" borderId="0" xfId="1" applyFont="1" applyAlignment="1">
      <alignment horizontal="centerContinuous" vertical="center"/>
    </xf>
    <xf numFmtId="0" fontId="16" fillId="5" borderId="1" xfId="1" applyFont="1" applyFill="1" applyBorder="1" applyAlignment="1">
      <alignment horizontal="center" vertical="center" wrapText="1"/>
    </xf>
    <xf numFmtId="0" fontId="39" fillId="0" borderId="0" xfId="9" applyFont="1" applyAlignment="1"/>
    <xf numFmtId="0" fontId="39" fillId="0" borderId="0" xfId="9" applyFont="1"/>
    <xf numFmtId="168" fontId="7" fillId="0" borderId="1" xfId="1" applyNumberFormat="1" applyFont="1" applyBorder="1" applyAlignment="1">
      <alignment horizontal="center" vertical="center"/>
    </xf>
    <xf numFmtId="164" fontId="7" fillId="0" borderId="1" xfId="1" applyNumberFormat="1" applyFont="1" applyBorder="1" applyAlignment="1">
      <alignment horizontal="center" vertical="center"/>
    </xf>
    <xf numFmtId="49" fontId="7" fillId="0" borderId="0" xfId="1" applyNumberFormat="1" applyFont="1" applyBorder="1" applyAlignment="1">
      <alignment horizontal="center" vertical="center"/>
    </xf>
    <xf numFmtId="2" fontId="15" fillId="0" borderId="0" xfId="1" applyNumberFormat="1" applyFont="1" applyBorder="1" applyAlignment="1">
      <alignment horizontal="center" vertical="center"/>
    </xf>
    <xf numFmtId="2" fontId="7" fillId="0" borderId="0" xfId="1" applyNumberFormat="1" applyFont="1" applyBorder="1" applyAlignment="1">
      <alignment horizontal="center" vertical="center"/>
    </xf>
    <xf numFmtId="0" fontId="16" fillId="0" borderId="0" xfId="1" applyNumberFormat="1" applyFont="1" applyBorder="1" applyAlignment="1">
      <alignment horizontal="left" vertical="center"/>
    </xf>
    <xf numFmtId="2" fontId="16" fillId="0" borderId="0" xfId="1" applyNumberFormat="1" applyFont="1" applyBorder="1" applyAlignment="1">
      <alignment horizontal="centerContinuous" vertical="center"/>
    </xf>
    <xf numFmtId="0" fontId="56" fillId="2" borderId="1" xfId="9" applyFont="1" applyFill="1" applyBorder="1" applyAlignment="1">
      <alignment horizontal="centerContinuous" vertical="center"/>
    </xf>
    <xf numFmtId="0" fontId="32" fillId="2" borderId="1" xfId="9" applyFont="1" applyFill="1" applyBorder="1" applyAlignment="1">
      <alignment horizontal="centerContinuous" vertical="center"/>
    </xf>
    <xf numFmtId="0" fontId="16" fillId="2" borderId="1" xfId="9" applyFont="1" applyFill="1" applyBorder="1" applyAlignment="1">
      <alignment horizontal="center" vertical="center" wrapText="1"/>
    </xf>
    <xf numFmtId="0" fontId="32" fillId="2" borderId="1" xfId="9" applyFont="1" applyFill="1" applyBorder="1" applyAlignment="1">
      <alignment horizontal="center"/>
    </xf>
    <xf numFmtId="1" fontId="2" fillId="0" borderId="1" xfId="9" applyNumberFormat="1" applyFont="1" applyBorder="1" applyAlignment="1">
      <alignment horizontal="center"/>
    </xf>
    <xf numFmtId="0" fontId="2" fillId="0" borderId="1" xfId="9" applyFont="1" applyBorder="1" applyAlignment="1">
      <alignment horizontal="center"/>
    </xf>
    <xf numFmtId="169" fontId="42" fillId="6" borderId="1" xfId="9" applyNumberFormat="1" applyFont="1" applyFill="1" applyBorder="1" applyAlignment="1">
      <alignment horizontal="center" vertical="top"/>
    </xf>
    <xf numFmtId="1" fontId="2" fillId="0" borderId="0" xfId="9" applyNumberFormat="1" applyFont="1" applyBorder="1" applyAlignment="1">
      <alignment horizontal="center"/>
    </xf>
    <xf numFmtId="0" fontId="2" fillId="0" borderId="0" xfId="9" applyFont="1" applyBorder="1" applyAlignment="1">
      <alignment horizontal="center"/>
    </xf>
    <xf numFmtId="49" fontId="7" fillId="0" borderId="1" xfId="1" applyNumberFormat="1" applyFont="1" applyBorder="1" applyAlignment="1">
      <alignment horizontal="left" vertical="center" wrapText="1"/>
    </xf>
    <xf numFmtId="0" fontId="7" fillId="0" borderId="1" xfId="1" applyNumberFormat="1" applyFont="1" applyBorder="1" applyAlignment="1">
      <alignment horizontal="center" vertical="center"/>
    </xf>
    <xf numFmtId="0" fontId="7" fillId="0" borderId="1" xfId="9" applyFont="1" applyBorder="1" applyAlignment="1">
      <alignment horizontal="center" vertical="center"/>
    </xf>
    <xf numFmtId="0" fontId="7" fillId="0" borderId="1" xfId="9" applyFont="1" applyFill="1" applyBorder="1" applyAlignment="1">
      <alignment vertical="center" wrapText="1"/>
    </xf>
    <xf numFmtId="0" fontId="15" fillId="2" borderId="1" xfId="1" applyNumberFormat="1" applyFont="1" applyFill="1" applyBorder="1" applyAlignment="1">
      <alignment horizontal="center" vertical="center"/>
    </xf>
    <xf numFmtId="0" fontId="7" fillId="0" borderId="1" xfId="9" applyFont="1" applyBorder="1" applyAlignment="1">
      <alignment vertical="center" wrapText="1"/>
    </xf>
    <xf numFmtId="0" fontId="7" fillId="2" borderId="1" xfId="9" applyFont="1" applyFill="1" applyBorder="1" applyAlignment="1">
      <alignment horizontal="center" vertical="center"/>
    </xf>
    <xf numFmtId="0" fontId="7" fillId="0" borderId="1" xfId="1" applyFont="1" applyFill="1" applyBorder="1" applyAlignment="1">
      <alignment vertical="center" wrapText="1"/>
    </xf>
    <xf numFmtId="49" fontId="7" fillId="0" borderId="6" xfId="1" applyNumberFormat="1" applyFont="1" applyBorder="1" applyAlignment="1">
      <alignment horizontal="left" vertical="center" wrapText="1"/>
    </xf>
    <xf numFmtId="49" fontId="7" fillId="0" borderId="1" xfId="1" applyNumberFormat="1" applyFont="1" applyFill="1" applyBorder="1" applyAlignment="1">
      <alignment vertical="center" wrapText="1"/>
    </xf>
    <xf numFmtId="0" fontId="7" fillId="2" borderId="1" xfId="1" applyNumberFormat="1" applyFont="1" applyFill="1" applyBorder="1" applyAlignment="1">
      <alignment horizontal="center" vertical="center"/>
    </xf>
    <xf numFmtId="0" fontId="7" fillId="0" borderId="1" xfId="9" applyFont="1" applyBorder="1" applyAlignment="1">
      <alignment horizontal="center" vertical="center" wrapText="1"/>
    </xf>
    <xf numFmtId="0" fontId="7" fillId="0" borderId="1" xfId="9" applyFont="1" applyFill="1" applyBorder="1" applyAlignment="1">
      <alignment horizontal="center" vertical="center"/>
    </xf>
    <xf numFmtId="49" fontId="7" fillId="0" borderId="0" xfId="1" applyNumberFormat="1" applyFont="1" applyFill="1" applyBorder="1" applyAlignment="1">
      <alignment vertical="center" wrapText="1"/>
    </xf>
    <xf numFmtId="0" fontId="7" fillId="0" borderId="0" xfId="1" applyFont="1" applyFill="1" applyBorder="1" applyAlignment="1">
      <alignment vertical="center" wrapText="1"/>
    </xf>
    <xf numFmtId="0" fontId="7" fillId="0" borderId="0" xfId="1" applyNumberFormat="1" applyFont="1" applyFill="1" applyBorder="1" applyAlignment="1">
      <alignment horizontal="center" vertical="center"/>
    </xf>
    <xf numFmtId="0" fontId="11" fillId="0" borderId="0" xfId="1" applyFont="1" applyFill="1" applyBorder="1" applyAlignment="1">
      <alignment horizontal="center" vertical="center" wrapText="1"/>
    </xf>
    <xf numFmtId="0" fontId="16" fillId="0" borderId="0" xfId="9" applyFont="1" applyAlignment="1">
      <alignment horizontal="left"/>
    </xf>
    <xf numFmtId="0" fontId="16" fillId="2" borderId="1" xfId="9" applyFont="1" applyFill="1" applyBorder="1" applyAlignment="1">
      <alignment horizontal="centerContinuous" vertical="center"/>
    </xf>
    <xf numFmtId="0" fontId="16" fillId="2" borderId="1" xfId="9" applyFont="1" applyFill="1" applyBorder="1" applyAlignment="1">
      <alignment horizontal="center" vertical="center"/>
    </xf>
    <xf numFmtId="0" fontId="16" fillId="0" borderId="0" xfId="9" applyFont="1" applyAlignment="1">
      <alignment horizontal="centerContinuous"/>
    </xf>
    <xf numFmtId="0" fontId="15" fillId="0" borderId="0" xfId="9" applyFont="1" applyAlignment="1">
      <alignment horizontal="centerContinuous"/>
    </xf>
    <xf numFmtId="0" fontId="16" fillId="2" borderId="1" xfId="9" applyFont="1" applyFill="1" applyBorder="1" applyAlignment="1">
      <alignment horizontal="center"/>
    </xf>
    <xf numFmtId="0" fontId="7" fillId="0" borderId="1" xfId="9" applyFont="1" applyFill="1" applyBorder="1" applyAlignment="1">
      <alignment horizontal="center"/>
    </xf>
    <xf numFmtId="0" fontId="11" fillId="0" borderId="0" xfId="9" applyFont="1" applyFill="1" applyBorder="1" applyAlignment="1">
      <alignment horizontal="center" vertical="center"/>
    </xf>
    <xf numFmtId="0" fontId="11" fillId="0" borderId="0" xfId="9" applyFont="1" applyFill="1" applyBorder="1" applyAlignment="1">
      <alignment horizontal="center"/>
    </xf>
    <xf numFmtId="0" fontId="16" fillId="2" borderId="1" xfId="9" applyFont="1" applyFill="1" applyBorder="1" applyAlignment="1">
      <alignment horizontal="center" wrapText="1"/>
    </xf>
    <xf numFmtId="2" fontId="7" fillId="0" borderId="1" xfId="9" applyNumberFormat="1" applyFont="1" applyFill="1" applyBorder="1" applyAlignment="1">
      <alignment horizontal="center"/>
    </xf>
    <xf numFmtId="0" fontId="16" fillId="0" borderId="0" xfId="1" applyNumberFormat="1" applyFont="1" applyFill="1" applyBorder="1" applyAlignment="1">
      <alignment horizontal="centerContinuous" vertical="center"/>
    </xf>
    <xf numFmtId="2" fontId="16" fillId="0" borderId="0" xfId="1" applyNumberFormat="1" applyFont="1" applyFill="1" applyBorder="1" applyAlignment="1">
      <alignment horizontal="centerContinuous" vertical="center"/>
    </xf>
    <xf numFmtId="0" fontId="7" fillId="0" borderId="1" xfId="9" quotePrefix="1" applyFont="1" applyBorder="1" applyAlignment="1">
      <alignment horizontal="center"/>
    </xf>
    <xf numFmtId="12" fontId="7" fillId="0" borderId="1" xfId="9" applyNumberFormat="1" applyFont="1" applyBorder="1" applyAlignment="1">
      <alignment horizontal="center"/>
    </xf>
    <xf numFmtId="170" fontId="7" fillId="0" borderId="1" xfId="9" applyNumberFormat="1" applyFont="1" applyBorder="1" applyAlignment="1">
      <alignment horizontal="center"/>
    </xf>
    <xf numFmtId="0" fontId="7" fillId="0" borderId="0" xfId="12" applyFont="1" applyAlignment="1">
      <alignment vertical="center"/>
    </xf>
    <xf numFmtId="0" fontId="7" fillId="0" borderId="1" xfId="9" quotePrefix="1" applyFont="1" applyBorder="1" applyAlignment="1">
      <alignment horizontal="left"/>
    </xf>
    <xf numFmtId="0" fontId="32" fillId="2" borderId="1" xfId="9" applyFont="1" applyFill="1" applyBorder="1" applyAlignment="1">
      <alignment horizontal="center" vertical="center" wrapText="1"/>
    </xf>
    <xf numFmtId="0" fontId="61" fillId="2" borderId="1" xfId="9" applyFont="1" applyFill="1" applyBorder="1" applyAlignment="1">
      <alignment horizontal="center" vertical="center" wrapText="1"/>
    </xf>
    <xf numFmtId="0" fontId="61" fillId="2" borderId="1" xfId="9" applyFont="1" applyFill="1" applyBorder="1" applyAlignment="1">
      <alignment vertical="center" wrapText="1"/>
    </xf>
    <xf numFmtId="0" fontId="62" fillId="2" borderId="1" xfId="9" applyFont="1" applyFill="1" applyBorder="1" applyAlignment="1">
      <alignment horizontal="center" vertical="center"/>
    </xf>
    <xf numFmtId="0" fontId="34" fillId="0" borderId="1" xfId="9" applyFont="1" applyBorder="1" applyAlignment="1">
      <alignment vertical="center" wrapText="1"/>
    </xf>
    <xf numFmtId="0" fontId="7" fillId="0" borderId="1" xfId="9" applyFont="1" applyBorder="1" applyAlignment="1">
      <alignment vertical="center"/>
    </xf>
    <xf numFmtId="0" fontId="7" fillId="0" borderId="1" xfId="9" applyFont="1" applyFill="1" applyBorder="1" applyAlignment="1">
      <alignment vertical="center"/>
    </xf>
    <xf numFmtId="168" fontId="7" fillId="0" borderId="1" xfId="9" applyNumberFormat="1" applyFont="1" applyBorder="1" applyAlignment="1">
      <alignment horizontal="center" vertical="center" wrapText="1"/>
    </xf>
    <xf numFmtId="9" fontId="2" fillId="0" borderId="1" xfId="9" applyNumberFormat="1" applyFont="1" applyBorder="1" applyAlignment="1">
      <alignment horizontal="center" vertical="center" wrapText="1"/>
    </xf>
    <xf numFmtId="0" fontId="11" fillId="2" borderId="1" xfId="9" applyFont="1" applyFill="1" applyBorder="1" applyAlignment="1">
      <alignment horizontal="center" vertical="center"/>
    </xf>
    <xf numFmtId="0" fontId="63" fillId="2" borderId="1" xfId="9" applyFont="1" applyFill="1" applyBorder="1" applyAlignment="1">
      <alignment horizontal="center" vertical="center"/>
    </xf>
    <xf numFmtId="0" fontId="2" fillId="2" borderId="1" xfId="9" applyFont="1" applyFill="1" applyBorder="1" applyAlignment="1">
      <alignment horizontal="center" vertical="center" wrapText="1"/>
    </xf>
    <xf numFmtId="9" fontId="16" fillId="2" borderId="1" xfId="9" applyNumberFormat="1" applyFont="1" applyFill="1" applyBorder="1" applyAlignment="1">
      <alignment horizontal="center" vertical="center" wrapText="1"/>
    </xf>
    <xf numFmtId="0" fontId="34" fillId="0" borderId="1" xfId="9" applyFont="1" applyFill="1" applyBorder="1" applyAlignment="1">
      <alignment horizontal="center" vertical="center" wrapText="1"/>
    </xf>
    <xf numFmtId="0" fontId="64" fillId="2" borderId="1" xfId="9" applyFont="1" applyFill="1" applyBorder="1" applyAlignment="1">
      <alignment horizontal="center" vertical="center"/>
    </xf>
    <xf numFmtId="0" fontId="64" fillId="0" borderId="0" xfId="9" applyFont="1"/>
    <xf numFmtId="0" fontId="32" fillId="0" borderId="0" xfId="9" applyFont="1" applyAlignment="1">
      <alignment vertical="center"/>
    </xf>
    <xf numFmtId="0" fontId="65" fillId="0" borderId="0" xfId="9" applyFont="1" applyAlignment="1">
      <alignment vertical="center"/>
    </xf>
    <xf numFmtId="0" fontId="32" fillId="0" borderId="0" xfId="9" applyFont="1" applyAlignment="1">
      <alignment horizontal="left" vertical="center" indent="2"/>
    </xf>
    <xf numFmtId="0" fontId="65" fillId="0" borderId="0" xfId="9" applyFont="1" applyAlignment="1">
      <alignment horizontal="left" vertical="center" indent="2"/>
    </xf>
  </cellXfs>
  <cellStyles count="13">
    <cellStyle name="Normal" xfId="0" builtinId="0"/>
    <cellStyle name="Normal 10 6" xfId="6" xr:uid="{EFADEB43-5E91-41F6-B928-6508CEE0F80C}"/>
    <cellStyle name="Normal 12 2" xfId="9" xr:uid="{EB92E891-FB0A-4A8E-9B8E-1C783943D519}"/>
    <cellStyle name="Normal 16 2" xfId="7" xr:uid="{599BD4C9-329B-4A03-965E-6C0A29BBE7FD}"/>
    <cellStyle name="Normal 2 2" xfId="1" xr:uid="{0137DD6A-0E0A-4252-B87D-801A3EEACFD5}"/>
    <cellStyle name="Normal 2 2 2" xfId="5" xr:uid="{D50BC634-F92E-4DF6-A6A8-C451B2679C68}"/>
    <cellStyle name="Normal_Formulas" xfId="4" xr:uid="{4AC0D7E7-C2DB-46A9-97B5-5C857747C536}"/>
    <cellStyle name="Normal_results 2" xfId="10" xr:uid="{C42CACA1-F342-4EDB-A1E0-1EF00E61EC7B}"/>
    <cellStyle name="Normal_Sheet1 2" xfId="11" xr:uid="{B796FB10-6CAD-4052-91A6-C13932130D20}"/>
    <cellStyle name="Normal_tank refinishing calcs 09-19-04" xfId="12" xr:uid="{BF420B35-9687-4943-9B18-153887B29C3C}"/>
    <cellStyle name="Normal_Tank Report" xfId="8" xr:uid="{63B4C8C9-D408-4BDC-A016-C0E4BC6D3F4C}"/>
    <cellStyle name="Normal_TANKSPROD700" xfId="3" xr:uid="{1B15EC8F-978B-4342-A72F-1CDC7FF532C5}"/>
    <cellStyle name="Normal_TankTXC 2" xfId="2" xr:uid="{DA531025-8A77-4A98-94ED-8E1248D3E4CF}"/>
  </cellStyles>
  <dxfs count="350">
    <dxf>
      <font>
        <color theme="0" tint="-0.24994659260841701"/>
      </font>
      <fill>
        <patternFill>
          <bgColor theme="0" tint="-0.24994659260841701"/>
        </patternFill>
      </fill>
    </dxf>
    <dxf>
      <font>
        <color auto="1"/>
      </font>
      <fill>
        <patternFill>
          <bgColor theme="0" tint="-0.24994659260841701"/>
        </patternFill>
      </fill>
    </dxf>
    <dxf>
      <font>
        <color theme="0" tint="-0.24994659260841701"/>
      </font>
      <fill>
        <patternFill>
          <bgColor theme="0" tint="-0.24994659260841701"/>
        </patternFill>
      </fill>
    </dxf>
    <dxf>
      <font>
        <color auto="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theme="0" tint="-0.24994659260841701"/>
      </font>
      <fill>
        <patternFill>
          <bgColor theme="0" tint="-0.24994659260841701"/>
        </patternFill>
      </fill>
    </dxf>
    <dxf>
      <font>
        <color theme="0"/>
      </font>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ill>
        <patternFill>
          <bgColor rgb="FFFFFF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FF00"/>
        </patternFill>
      </fill>
    </dxf>
    <dxf>
      <fill>
        <patternFill>
          <bgColor rgb="FFFFFF0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FF00"/>
        </patternFill>
      </fill>
    </dxf>
    <dxf>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
      <font>
        <color theme="0" tint="-0.24994659260841701"/>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438150</xdr:colOff>
      <xdr:row>1019</xdr:row>
      <xdr:rowOff>133350</xdr:rowOff>
    </xdr:from>
    <xdr:to>
      <xdr:col>8</xdr:col>
      <xdr:colOff>447675</xdr:colOff>
      <xdr:row>1019</xdr:row>
      <xdr:rowOff>180975</xdr:rowOff>
    </xdr:to>
    <xdr:grpSp>
      <xdr:nvGrpSpPr>
        <xdr:cNvPr id="2" name="Group 5">
          <a:extLst>
            <a:ext uri="{FF2B5EF4-FFF2-40B4-BE49-F238E27FC236}">
              <a16:creationId xmlns:a16="http://schemas.microsoft.com/office/drawing/2014/main" id="{8B80E225-F265-442D-9A89-73AC05F01366}"/>
            </a:ext>
          </a:extLst>
        </xdr:cNvPr>
        <xdr:cNvGrpSpPr>
          <a:grpSpLocks/>
        </xdr:cNvGrpSpPr>
      </xdr:nvGrpSpPr>
      <xdr:grpSpPr bwMode="auto">
        <a:xfrm>
          <a:off x="12376150" y="207632300"/>
          <a:ext cx="9525" cy="47625"/>
          <a:chOff x="11585" y="1885"/>
          <a:chExt cx="15" cy="72"/>
        </a:xfrm>
      </xdr:grpSpPr>
      <xdr:sp macro="" textlink="">
        <xdr:nvSpPr>
          <xdr:cNvPr id="3" name="Freeform 6">
            <a:extLst>
              <a:ext uri="{FF2B5EF4-FFF2-40B4-BE49-F238E27FC236}">
                <a16:creationId xmlns:a16="http://schemas.microsoft.com/office/drawing/2014/main" id="{47CA3485-677F-43D5-8366-3A0254E89566}"/>
              </a:ext>
            </a:extLst>
          </xdr:cNvPr>
          <xdr:cNvSpPr>
            <a:spLocks/>
          </xdr:cNvSpPr>
        </xdr:nvSpPr>
        <xdr:spPr bwMode="auto">
          <a:xfrm>
            <a:off x="11585" y="1885"/>
            <a:ext cx="15" cy="72"/>
          </a:xfrm>
          <a:custGeom>
            <a:avLst/>
            <a:gdLst>
              <a:gd name="T0" fmla="+- 0 11585 11585"/>
              <a:gd name="T1" fmla="*/ T0 w 15"/>
              <a:gd name="T2" fmla="+- 0 1921 1885"/>
              <a:gd name="T3" fmla="*/ 1921 h 72"/>
              <a:gd name="T4" fmla="+- 0 11599 11585"/>
              <a:gd name="T5" fmla="*/ T4 w 15"/>
              <a:gd name="T6" fmla="+- 0 1921 1885"/>
              <a:gd name="T7" fmla="*/ 1921 h 72"/>
            </a:gdLst>
            <a:ahLst/>
            <a:cxnLst>
              <a:cxn ang="0">
                <a:pos x="T1" y="T3"/>
              </a:cxn>
              <a:cxn ang="0">
                <a:pos x="T5" y="T7"/>
              </a:cxn>
            </a:cxnLst>
            <a:rect l="0" t="0" r="r" b="b"/>
            <a:pathLst>
              <a:path w="15" h="72">
                <a:moveTo>
                  <a:pt x="0" y="36"/>
                </a:moveTo>
                <a:lnTo>
                  <a:pt x="14" y="36"/>
                </a:lnTo>
              </a:path>
            </a:pathLst>
          </a:custGeom>
          <a:noFill/>
          <a:ln w="46990">
            <a:solidFill>
              <a:srgbClr val="000000"/>
            </a:solidFill>
            <a:round/>
            <a:headEnd/>
            <a:tailEnd/>
          </a:ln>
          <a:extLst>
            <a:ext uri="{909E8E84-426E-40DD-AFC4-6F175D3DCCD1}">
              <a14:hiddenFill xmlns:a14="http://schemas.microsoft.com/office/drawing/2010/main">
                <a:solidFill>
                  <a:srgbClr val="FFFFFF"/>
                </a:solidFill>
              </a14:hiddenFill>
            </a:ext>
          </a:extLst>
        </xdr:spPr>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cross/Downloads/Skeleton%20Tank%20Emissions%20Calculation%20To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Truck Loading and VCU-VRU"/>
      <sheetName val="Piping Fugitives"/>
      <sheetName val="Fixed Roof - Landscape"/>
      <sheetName val="Fixed Roof - Portrait"/>
      <sheetName val="Fixed Roof Heated - Landscape"/>
      <sheetName val="Fixed Roof Heated - Portrait"/>
      <sheetName val="Fixed Roof Undrgrnd - Landscape"/>
      <sheetName val="Fixed Roof Undrgrnd - Portrait"/>
      <sheetName val="Floating Roof - Landscape"/>
      <sheetName val="Floating Roof - Portrait"/>
      <sheetName val="Floating Roof Heatd - Landscape"/>
      <sheetName val="Floating Roof Heatd - Portrait"/>
      <sheetName val="Floating Roof Landing"/>
      <sheetName val="Vapor Space Purging"/>
      <sheetName val="Sludge Removal Method 1"/>
      <sheetName val="Sludge Removal Method 2"/>
      <sheetName val="Floating Roof Refilling"/>
      <sheetName val="Product Data"/>
      <sheetName val="Mixture Data"/>
      <sheetName val="Met Data"/>
      <sheetName val="Tank Data"/>
      <sheetName val="Fitting Data"/>
      <sheetName val="Fitting Loss Factors"/>
      <sheetName val="Reference Tables"/>
      <sheetName val="Table 7s"/>
      <sheetName val="Landing Form"/>
      <sheetName val="Notes"/>
      <sheetName val="Project Notes"/>
      <sheetName val="Version Notes"/>
    </sheetNames>
    <sheetDataSet>
      <sheetData sheetId="0">
        <row r="2">
          <cell r="A2" t="str">
            <v>Client Name</v>
          </cell>
        </row>
        <row r="3">
          <cell r="A3" t="str">
            <v>Client Facility</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law.cornell.edu/cfr/text/40/51.100"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AF3A7-2A0C-480F-9D3B-335234CA5CFA}">
  <sheetPr codeName="Sheet19">
    <pageSetUpPr fitToPage="1"/>
  </sheetPr>
  <dimension ref="A1:BQ397"/>
  <sheetViews>
    <sheetView tabSelected="1" workbookViewId="0">
      <selection sqref="A1:XFD1048576"/>
    </sheetView>
  </sheetViews>
  <sheetFormatPr defaultColWidth="7.90625" defaultRowHeight="14"/>
  <cols>
    <col min="1" max="1" width="29" style="5" customWidth="1"/>
    <col min="2" max="2" width="11" style="5" bestFit="1" customWidth="1"/>
    <col min="3" max="3" width="17.90625" style="5" customWidth="1"/>
    <col min="4" max="4" width="12.36328125" style="5" customWidth="1"/>
    <col min="5" max="5" width="8.453125" style="6" customWidth="1"/>
    <col min="6" max="6" width="12.453125" style="6" customWidth="1"/>
    <col min="7" max="7" width="6.90625" style="6" customWidth="1"/>
    <col min="8" max="8" width="10.08984375" style="6" customWidth="1"/>
    <col min="9" max="11" width="12.08984375" style="6" customWidth="1"/>
    <col min="12" max="12" width="14.08984375" style="6" customWidth="1"/>
    <col min="13" max="13" width="14.08984375" style="5" customWidth="1"/>
    <col min="14" max="14" width="37.6328125" style="6" customWidth="1"/>
    <col min="15" max="17" width="11.453125" style="5" customWidth="1"/>
    <col min="18" max="18" width="11" style="5" customWidth="1"/>
    <col min="19" max="19" width="16.90625" style="5" customWidth="1"/>
    <col min="20" max="20" width="9.54296875" style="5" customWidth="1"/>
    <col min="21" max="21" width="37.453125" style="5" customWidth="1"/>
    <col min="22" max="22" width="40.08984375" style="5" customWidth="1"/>
    <col min="23" max="28" width="7.90625" style="5" customWidth="1"/>
    <col min="29" max="29" width="9.54296875" style="5" bestFit="1" customWidth="1"/>
    <col min="30" max="16384" width="7.90625" style="5"/>
  </cols>
  <sheetData>
    <row r="1" spans="1:69" s="8" customFormat="1" ht="18">
      <c r="A1" s="1" t="s">
        <v>0</v>
      </c>
      <c r="B1" s="2"/>
      <c r="C1" s="3"/>
      <c r="D1" s="2"/>
      <c r="E1" s="3"/>
      <c r="F1" s="3"/>
      <c r="G1" s="3"/>
      <c r="H1" s="3"/>
      <c r="I1" s="3"/>
      <c r="J1" s="3"/>
      <c r="K1" s="3"/>
      <c r="L1" s="3"/>
      <c r="M1" s="3"/>
      <c r="N1" s="3"/>
      <c r="O1" s="3"/>
      <c r="P1" s="3"/>
      <c r="Q1" s="3"/>
      <c r="R1" s="3"/>
      <c r="S1" s="3"/>
      <c r="T1" s="3" t="s">
        <v>1</v>
      </c>
      <c r="U1" s="4" t="s">
        <v>2</v>
      </c>
      <c r="V1" s="5"/>
      <c r="W1" s="5"/>
      <c r="X1" s="5"/>
      <c r="Y1" s="5"/>
      <c r="Z1" s="5"/>
      <c r="AA1" s="6"/>
      <c r="AB1" s="7"/>
      <c r="AC1" s="5"/>
      <c r="AD1" s="5"/>
      <c r="AE1" s="5"/>
      <c r="AF1" s="5"/>
      <c r="AG1" s="5"/>
      <c r="AH1" s="5"/>
      <c r="AI1" s="5"/>
      <c r="AJ1" s="5"/>
      <c r="AK1" s="5"/>
      <c r="AL1" s="5"/>
      <c r="AM1" s="5"/>
      <c r="AN1" s="5"/>
      <c r="AO1" s="5"/>
      <c r="AP1" s="5"/>
      <c r="AQ1" s="5"/>
      <c r="AR1" s="5"/>
      <c r="AS1" s="5"/>
    </row>
    <row r="2" spans="1:69" s="8" customFormat="1" ht="18">
      <c r="A2" s="9" t="str">
        <f>[1]Summary!A2</f>
        <v>Client Name</v>
      </c>
      <c r="B2" s="2"/>
      <c r="C2" s="3"/>
      <c r="D2" s="10"/>
      <c r="E2" s="3"/>
      <c r="F2" s="3"/>
      <c r="G2" s="3"/>
      <c r="H2" s="3"/>
      <c r="I2" s="3"/>
      <c r="J2" s="3"/>
      <c r="K2" s="3"/>
      <c r="L2" s="3"/>
      <c r="M2" s="3"/>
      <c r="N2" s="3"/>
      <c r="O2" s="3"/>
      <c r="P2" s="3"/>
      <c r="Q2" s="3"/>
      <c r="R2" s="3"/>
      <c r="S2" s="3"/>
      <c r="T2" s="3" t="s">
        <v>1</v>
      </c>
      <c r="U2" s="11" t="s">
        <v>3</v>
      </c>
      <c r="V2" s="5"/>
      <c r="W2" s="5"/>
      <c r="X2" s="5"/>
      <c r="Y2" s="5"/>
      <c r="Z2" s="5"/>
      <c r="AA2" s="6"/>
      <c r="AB2" s="7"/>
      <c r="AC2" s="5"/>
      <c r="AD2" s="5"/>
      <c r="AE2" s="5"/>
      <c r="AF2" s="5"/>
      <c r="AG2" s="5"/>
      <c r="AH2" s="5"/>
      <c r="AI2" s="5"/>
      <c r="AJ2" s="5"/>
      <c r="AK2" s="5"/>
      <c r="AL2" s="5"/>
      <c r="AS2" s="5"/>
      <c r="AT2" s="5"/>
      <c r="AU2" s="5"/>
      <c r="AV2" s="5"/>
      <c r="AW2" s="5"/>
      <c r="AX2" s="5"/>
      <c r="AY2" s="5"/>
      <c r="AZ2" s="5"/>
      <c r="BA2" s="5"/>
      <c r="BB2" s="5"/>
      <c r="BC2" s="5"/>
      <c r="BD2" s="5"/>
      <c r="BE2" s="5"/>
      <c r="BF2" s="5"/>
      <c r="BG2" s="5"/>
      <c r="BH2" s="5"/>
      <c r="BI2" s="5"/>
    </row>
    <row r="3" spans="1:69" s="8" customFormat="1" ht="18">
      <c r="A3" s="9" t="str">
        <f>[1]Summary!A3</f>
        <v>Client Facility</v>
      </c>
      <c r="B3" s="2"/>
      <c r="C3" s="3"/>
      <c r="D3" s="2"/>
      <c r="E3" s="3"/>
      <c r="F3" s="3"/>
      <c r="G3" s="3"/>
      <c r="H3" s="3"/>
      <c r="I3" s="3"/>
      <c r="J3" s="3"/>
      <c r="K3" s="3"/>
      <c r="L3" s="3"/>
      <c r="M3" s="3"/>
      <c r="N3" s="3"/>
      <c r="O3" s="3"/>
      <c r="P3" s="3"/>
      <c r="Q3" s="3"/>
      <c r="R3" s="3"/>
      <c r="S3" s="3"/>
      <c r="T3" s="3" t="s">
        <v>1</v>
      </c>
      <c r="U3" s="12" t="s">
        <v>4</v>
      </c>
      <c r="V3" s="5"/>
      <c r="W3" s="5"/>
      <c r="X3" s="5"/>
      <c r="Y3" s="5"/>
      <c r="Z3" s="5"/>
      <c r="AA3" s="5"/>
      <c r="AB3" s="5"/>
      <c r="AC3" s="5"/>
      <c r="AD3" s="5"/>
      <c r="AE3" s="5"/>
      <c r="AF3" s="5"/>
      <c r="AG3" s="5"/>
      <c r="AH3" s="5"/>
      <c r="AI3" s="5"/>
      <c r="AJ3" s="5"/>
      <c r="AK3" s="5"/>
      <c r="AL3" s="5"/>
      <c r="AS3" s="5"/>
      <c r="AT3" s="5"/>
      <c r="AU3" s="5"/>
      <c r="AV3" s="5"/>
      <c r="AW3" s="5"/>
      <c r="AX3" s="5"/>
      <c r="AY3" s="5"/>
      <c r="AZ3" s="5"/>
      <c r="BA3" s="5"/>
      <c r="BB3" s="5"/>
      <c r="BC3" s="5"/>
      <c r="BD3" s="5"/>
      <c r="BE3" s="5"/>
      <c r="BF3" s="5"/>
      <c r="BG3" s="5"/>
      <c r="BH3" s="5"/>
      <c r="BI3" s="5"/>
    </row>
    <row r="4" spans="1:69" s="8" customFormat="1" ht="18">
      <c r="A4" s="1" t="s">
        <v>5</v>
      </c>
      <c r="B4" s="2"/>
      <c r="C4" s="3"/>
      <c r="D4" s="2"/>
      <c r="E4" s="3"/>
      <c r="F4" s="3"/>
      <c r="G4" s="3"/>
      <c r="H4" s="3"/>
      <c r="I4" s="3"/>
      <c r="J4" s="3"/>
      <c r="K4" s="3"/>
      <c r="L4" s="3"/>
      <c r="M4" s="3"/>
      <c r="N4" s="3"/>
      <c r="O4" s="3"/>
      <c r="P4" s="3"/>
      <c r="Q4" s="3"/>
      <c r="R4" s="3"/>
      <c r="S4" s="3"/>
      <c r="T4" s="3" t="s">
        <v>1</v>
      </c>
      <c r="U4" s="13" t="s">
        <v>6</v>
      </c>
      <c r="V4" s="13" t="s">
        <v>7</v>
      </c>
      <c r="W4" s="5"/>
      <c r="X4" s="5"/>
      <c r="Y4" s="5"/>
      <c r="Z4" s="5"/>
      <c r="AA4" s="5"/>
      <c r="AB4" s="5"/>
      <c r="AC4" s="5"/>
      <c r="AD4" s="5"/>
      <c r="AE4" s="5"/>
      <c r="AF4" s="5"/>
      <c r="AG4" s="5"/>
      <c r="AH4" s="5"/>
      <c r="AI4" s="5"/>
      <c r="AJ4" s="5"/>
      <c r="AK4" s="5"/>
      <c r="AL4" s="5"/>
      <c r="AS4" s="5"/>
      <c r="AT4" s="5"/>
      <c r="AU4" s="5"/>
      <c r="AV4" s="5"/>
      <c r="AW4" s="5"/>
      <c r="AX4" s="5"/>
      <c r="AY4" s="5"/>
      <c r="AZ4" s="5"/>
      <c r="BA4" s="5"/>
      <c r="BB4" s="5"/>
      <c r="BC4" s="5"/>
      <c r="BD4" s="5"/>
      <c r="BE4" s="5"/>
      <c r="BF4" s="5"/>
      <c r="BG4" s="5"/>
      <c r="BH4" s="5"/>
      <c r="BI4" s="5"/>
    </row>
    <row r="5" spans="1:69" ht="18" customHeight="1">
      <c r="A5" s="1"/>
      <c r="B5" s="2"/>
      <c r="C5" s="3"/>
      <c r="D5" s="2"/>
      <c r="E5" s="3"/>
      <c r="F5" s="3"/>
      <c r="G5" s="3"/>
      <c r="H5" s="3"/>
      <c r="I5" s="3"/>
      <c r="J5" s="3"/>
      <c r="K5" s="3"/>
      <c r="L5" s="3"/>
      <c r="M5" s="3"/>
      <c r="N5" s="3"/>
      <c r="O5" s="3"/>
      <c r="P5" s="3"/>
      <c r="Q5" s="3"/>
      <c r="R5" s="3"/>
      <c r="S5" s="3"/>
      <c r="U5" s="13" t="s">
        <v>8</v>
      </c>
      <c r="V5" s="13" t="s">
        <v>9</v>
      </c>
    </row>
    <row r="6" spans="1:69" ht="18" customHeight="1">
      <c r="A6" s="1"/>
      <c r="B6" s="14" t="s">
        <v>10</v>
      </c>
      <c r="C6" s="3"/>
      <c r="D6" s="2"/>
      <c r="E6" s="3"/>
      <c r="F6" s="3"/>
      <c r="G6" s="3"/>
      <c r="H6" s="3"/>
      <c r="I6" s="3"/>
      <c r="J6" s="3"/>
      <c r="K6" s="3"/>
      <c r="L6" s="3"/>
      <c r="M6" s="3"/>
      <c r="N6" s="15"/>
      <c r="O6" s="3"/>
      <c r="P6" s="3"/>
      <c r="Q6" s="3"/>
      <c r="R6" s="3"/>
      <c r="S6" s="3"/>
      <c r="T6" s="16" t="s">
        <v>1</v>
      </c>
      <c r="U6" s="13" t="s">
        <v>11</v>
      </c>
      <c r="V6" s="13" t="s">
        <v>12</v>
      </c>
    </row>
    <row r="7" spans="1:69" ht="18" customHeight="1">
      <c r="A7" s="1"/>
      <c r="B7" s="14" t="s">
        <v>13</v>
      </c>
      <c r="C7" s="3"/>
      <c r="D7" s="2"/>
      <c r="E7" s="3"/>
      <c r="F7" s="3"/>
      <c r="G7" s="3"/>
      <c r="H7" s="3"/>
      <c r="I7" s="3"/>
      <c r="J7" s="3"/>
      <c r="K7" s="3"/>
      <c r="L7" s="3"/>
      <c r="M7" s="3"/>
      <c r="N7" s="15"/>
      <c r="O7" s="3"/>
      <c r="P7" s="3"/>
      <c r="Q7" s="3"/>
      <c r="R7" s="3"/>
      <c r="S7" s="3"/>
      <c r="T7" s="16" t="s">
        <v>1</v>
      </c>
      <c r="U7" s="13"/>
      <c r="V7" s="17" t="s">
        <v>14</v>
      </c>
      <c r="W7" s="5" t="s">
        <v>15</v>
      </c>
      <c r="X7" s="18"/>
    </row>
    <row r="8" spans="1:69" ht="18" customHeight="1">
      <c r="A8" s="1"/>
      <c r="B8" s="19"/>
      <c r="C8" s="3"/>
      <c r="D8" s="2"/>
      <c r="E8" s="3"/>
      <c r="F8" s="3"/>
      <c r="G8" s="3"/>
      <c r="H8" s="3"/>
      <c r="I8" s="3"/>
      <c r="J8" s="3"/>
      <c r="K8" s="3"/>
      <c r="L8" s="3"/>
      <c r="M8" s="3"/>
      <c r="N8" s="15"/>
      <c r="O8" s="3"/>
      <c r="P8" s="3"/>
      <c r="Q8" s="3"/>
      <c r="R8" s="3"/>
      <c r="S8" s="3"/>
      <c r="T8" s="20"/>
      <c r="U8" s="13"/>
      <c r="V8" s="17" t="s">
        <v>16</v>
      </c>
      <c r="W8" s="5" t="s">
        <v>17</v>
      </c>
      <c r="X8" s="18"/>
    </row>
    <row r="9" spans="1:69" ht="18" customHeight="1">
      <c r="A9" s="1"/>
      <c r="B9" s="21" t="s">
        <v>18</v>
      </c>
      <c r="C9" s="21"/>
      <c r="D9" s="22"/>
      <c r="E9" s="3"/>
      <c r="F9" s="3"/>
      <c r="G9" s="3"/>
      <c r="H9" s="3"/>
      <c r="I9" s="3"/>
      <c r="J9" s="3"/>
      <c r="N9" s="23" t="s">
        <v>19</v>
      </c>
      <c r="O9" s="3"/>
      <c r="P9" s="3"/>
      <c r="Q9" s="3"/>
      <c r="R9" s="3"/>
      <c r="S9" s="3"/>
      <c r="T9" s="20"/>
      <c r="U9" s="13"/>
      <c r="V9" s="17" t="s">
        <v>20</v>
      </c>
      <c r="W9" s="5" t="s">
        <v>21</v>
      </c>
      <c r="X9" s="18"/>
      <c r="AT9" s="24"/>
      <c r="AU9" s="24"/>
      <c r="AV9" s="24"/>
      <c r="AW9" s="24"/>
      <c r="AX9" s="24"/>
      <c r="AY9" s="24"/>
      <c r="AZ9" s="24"/>
      <c r="BA9" s="24"/>
      <c r="BB9" s="24"/>
      <c r="BC9" s="24"/>
      <c r="BD9" s="24"/>
      <c r="BE9" s="24"/>
      <c r="BF9" s="24"/>
      <c r="BG9" s="24"/>
      <c r="BH9" s="24"/>
      <c r="BI9" s="24"/>
      <c r="BJ9" s="24"/>
      <c r="BK9" s="24"/>
      <c r="BL9" s="24"/>
      <c r="BM9" s="24"/>
      <c r="BN9" s="24"/>
      <c r="BO9" s="24"/>
      <c r="BP9" s="24"/>
      <c r="BQ9" s="24"/>
    </row>
    <row r="10" spans="1:69" ht="18" customHeight="1">
      <c r="A10" s="1"/>
      <c r="B10" s="25"/>
      <c r="C10" s="18" t="s">
        <v>22</v>
      </c>
      <c r="D10" s="22"/>
      <c r="E10" s="3"/>
      <c r="F10" s="3"/>
      <c r="G10" s="3"/>
      <c r="H10" s="3"/>
      <c r="I10" s="3"/>
      <c r="J10" s="3"/>
      <c r="O10" s="18" t="s">
        <v>23</v>
      </c>
      <c r="P10" s="3"/>
      <c r="Q10" s="3"/>
      <c r="R10" s="3"/>
      <c r="S10" s="3"/>
      <c r="T10" s="20"/>
      <c r="U10" s="13"/>
      <c r="V10" s="17" t="s">
        <v>24</v>
      </c>
      <c r="W10" s="5" t="s">
        <v>25</v>
      </c>
      <c r="X10" s="18"/>
      <c r="AT10" s="7"/>
      <c r="AU10" s="7"/>
      <c r="AV10" s="24"/>
      <c r="AW10" s="24"/>
      <c r="AX10" s="24"/>
      <c r="AY10" s="24"/>
      <c r="AZ10" s="24"/>
      <c r="BA10" s="24"/>
      <c r="BB10" s="24"/>
      <c r="BC10" s="24"/>
      <c r="BD10" s="24"/>
      <c r="BE10" s="24"/>
      <c r="BF10" s="24"/>
      <c r="BG10" s="24"/>
      <c r="BH10" s="24"/>
      <c r="BI10" s="24"/>
      <c r="BJ10" s="24"/>
      <c r="BK10" s="24"/>
      <c r="BL10" s="24"/>
      <c r="BM10" s="24"/>
      <c r="BN10" s="24"/>
      <c r="BO10" s="24"/>
      <c r="BP10" s="24"/>
      <c r="BQ10" s="24"/>
    </row>
    <row r="11" spans="1:69" ht="18" customHeight="1">
      <c r="A11" s="1"/>
      <c r="B11" s="26"/>
      <c r="C11" s="18" t="s">
        <v>26</v>
      </c>
      <c r="E11" s="3"/>
      <c r="F11" s="3"/>
      <c r="G11" s="3"/>
      <c r="H11" s="3"/>
      <c r="I11" s="3"/>
      <c r="J11" s="3"/>
      <c r="O11" s="18" t="s">
        <v>27</v>
      </c>
      <c r="P11" s="3"/>
      <c r="Q11" s="3"/>
      <c r="R11" s="3"/>
      <c r="S11" s="3"/>
      <c r="T11" s="20"/>
      <c r="U11" s="13"/>
      <c r="V11" s="17" t="s">
        <v>28</v>
      </c>
      <c r="W11" s="5" t="s">
        <v>29</v>
      </c>
      <c r="AT11" s="22"/>
      <c r="AU11" s="22"/>
      <c r="AV11" s="24"/>
      <c r="AW11" s="24"/>
      <c r="AX11" s="24"/>
      <c r="AY11" s="24"/>
      <c r="AZ11" s="24"/>
      <c r="BA11" s="24"/>
      <c r="BB11" s="24"/>
      <c r="BC11" s="24"/>
      <c r="BD11" s="24"/>
      <c r="BE11" s="24"/>
      <c r="BF11" s="24"/>
      <c r="BG11" s="24"/>
      <c r="BH11" s="24"/>
      <c r="BI11" s="24"/>
      <c r="BJ11" s="24"/>
      <c r="BK11" s="24"/>
      <c r="BL11" s="24"/>
      <c r="BM11" s="24"/>
      <c r="BN11" s="24"/>
      <c r="BO11" s="24"/>
      <c r="BP11" s="24"/>
      <c r="BQ11" s="24"/>
    </row>
    <row r="12" spans="1:69" ht="18" customHeight="1">
      <c r="A12" s="1"/>
      <c r="B12" s="26"/>
      <c r="C12" s="27" t="s">
        <v>30</v>
      </c>
      <c r="D12" s="28" t="s">
        <v>31</v>
      </c>
      <c r="E12" s="3"/>
      <c r="F12" s="3"/>
      <c r="G12" s="3"/>
      <c r="H12" s="3"/>
      <c r="I12" s="29"/>
      <c r="J12" s="3"/>
      <c r="P12" s="30" t="s">
        <v>32</v>
      </c>
      <c r="Q12" s="3"/>
      <c r="R12" s="3"/>
      <c r="S12" s="3"/>
      <c r="T12" s="20"/>
      <c r="U12" s="13"/>
      <c r="V12" s="17" t="s">
        <v>33</v>
      </c>
      <c r="W12" s="5" t="s">
        <v>34</v>
      </c>
      <c r="AK12" s="8"/>
      <c r="AL12" s="8"/>
      <c r="AT12" s="22"/>
      <c r="AU12" s="22"/>
      <c r="AV12" s="24"/>
      <c r="AW12" s="24"/>
      <c r="AX12" s="24"/>
      <c r="AY12" s="24"/>
      <c r="AZ12" s="24"/>
      <c r="BA12" s="24"/>
      <c r="BB12" s="24"/>
      <c r="BC12" s="24"/>
      <c r="BD12" s="24"/>
      <c r="BE12" s="24"/>
      <c r="BF12" s="24"/>
      <c r="BG12" s="24"/>
      <c r="BH12" s="24"/>
      <c r="BI12" s="24"/>
      <c r="BJ12" s="24"/>
      <c r="BK12" s="24"/>
      <c r="BL12" s="24"/>
      <c r="BM12" s="24"/>
      <c r="BN12" s="24"/>
      <c r="BO12" s="24"/>
      <c r="BP12" s="24"/>
      <c r="BQ12" s="24"/>
    </row>
    <row r="13" spans="1:69" ht="18" customHeight="1">
      <c r="A13" s="1"/>
      <c r="B13" s="26"/>
      <c r="D13" s="28" t="s">
        <v>35</v>
      </c>
      <c r="E13" s="3"/>
      <c r="F13" s="3"/>
      <c r="G13" s="3"/>
      <c r="H13" s="3"/>
      <c r="I13" s="3"/>
      <c r="J13" s="3"/>
      <c r="O13" s="3"/>
      <c r="P13" s="3"/>
      <c r="Q13" s="3"/>
      <c r="R13" s="3"/>
      <c r="S13" s="3"/>
      <c r="T13" s="20"/>
      <c r="V13" s="17" t="s">
        <v>36</v>
      </c>
      <c r="W13" s="5" t="s">
        <v>37</v>
      </c>
      <c r="AL13" s="8"/>
      <c r="AM13" s="8"/>
      <c r="AT13" s="22"/>
      <c r="AU13" s="22"/>
      <c r="AV13" s="24"/>
      <c r="AW13" s="24"/>
      <c r="AX13" s="24"/>
      <c r="AY13" s="24"/>
      <c r="AZ13" s="24"/>
      <c r="BA13" s="24"/>
      <c r="BB13" s="24"/>
      <c r="BC13" s="24"/>
      <c r="BD13" s="24"/>
      <c r="BE13" s="24"/>
      <c r="BF13" s="24"/>
      <c r="BG13" s="24"/>
      <c r="BH13" s="24"/>
      <c r="BI13" s="24"/>
      <c r="BJ13" s="24"/>
      <c r="BK13" s="24"/>
      <c r="BL13" s="24"/>
      <c r="BM13" s="24"/>
      <c r="BN13" s="24"/>
      <c r="BO13" s="24"/>
      <c r="BP13" s="24"/>
      <c r="BQ13" s="24"/>
    </row>
    <row r="14" spans="1:69" ht="18" customHeight="1">
      <c r="A14" s="1"/>
      <c r="B14" s="31"/>
      <c r="C14" s="3"/>
      <c r="D14" s="2"/>
      <c r="E14" s="3"/>
      <c r="F14" s="3"/>
      <c r="G14" s="3"/>
      <c r="H14" s="3"/>
      <c r="I14" s="3"/>
      <c r="J14" s="3"/>
      <c r="P14" s="3"/>
      <c r="Q14" s="3"/>
      <c r="R14" s="3"/>
      <c r="S14" s="3"/>
      <c r="T14" s="20"/>
      <c r="U14" s="32"/>
      <c r="W14" s="5" t="s">
        <v>38</v>
      </c>
      <c r="AM14" s="8"/>
      <c r="AT14" s="22"/>
      <c r="AU14" s="22"/>
      <c r="AV14" s="24"/>
      <c r="AW14" s="24"/>
      <c r="AX14" s="24"/>
      <c r="AY14" s="24"/>
      <c r="AZ14" s="24"/>
      <c r="BA14" s="24"/>
      <c r="BB14" s="24"/>
      <c r="BC14" s="24"/>
      <c r="BD14" s="24"/>
      <c r="BE14" s="24"/>
      <c r="BF14" s="24"/>
      <c r="BG14" s="24"/>
      <c r="BH14" s="24"/>
      <c r="BI14" s="24"/>
      <c r="BJ14" s="24"/>
      <c r="BK14" s="24"/>
      <c r="BL14" s="24"/>
      <c r="BM14" s="24"/>
      <c r="BN14" s="24"/>
      <c r="BO14" s="24"/>
      <c r="BP14" s="24"/>
      <c r="BQ14" s="24"/>
    </row>
    <row r="15" spans="1:69" ht="18" customHeight="1">
      <c r="A15" s="1"/>
      <c r="B15" s="21" t="s">
        <v>39</v>
      </c>
      <c r="C15" s="3"/>
      <c r="D15" s="2"/>
      <c r="E15" s="3"/>
      <c r="F15" s="3"/>
      <c r="G15" s="3"/>
      <c r="H15" s="3"/>
      <c r="I15" s="3"/>
      <c r="J15" s="3"/>
      <c r="N15" s="23" t="s">
        <v>40</v>
      </c>
      <c r="O15" s="18"/>
      <c r="P15" s="3"/>
      <c r="Q15" s="3"/>
      <c r="R15" s="3"/>
      <c r="S15" s="3"/>
      <c r="T15" s="20"/>
      <c r="U15" s="20"/>
      <c r="X15" s="33" t="s">
        <v>41</v>
      </c>
      <c r="AL15" s="8"/>
      <c r="AM15" s="8"/>
      <c r="AT15" s="22"/>
      <c r="AU15" s="22"/>
      <c r="AV15" s="24"/>
      <c r="AW15" s="24"/>
      <c r="AX15" s="24"/>
      <c r="AY15" s="24"/>
      <c r="AZ15" s="24"/>
      <c r="BA15" s="24"/>
      <c r="BB15" s="24"/>
      <c r="BC15" s="24"/>
      <c r="BD15" s="24"/>
      <c r="BE15" s="24"/>
      <c r="BF15" s="24"/>
      <c r="BG15" s="24"/>
      <c r="BH15" s="24"/>
      <c r="BI15" s="24"/>
      <c r="BJ15" s="24"/>
    </row>
    <row r="16" spans="1:69" ht="18" customHeight="1">
      <c r="A16" s="1"/>
      <c r="B16" s="30"/>
      <c r="C16" s="18" t="s">
        <v>42</v>
      </c>
      <c r="D16" s="2"/>
      <c r="E16" s="3"/>
      <c r="F16" s="3"/>
      <c r="G16" s="3"/>
      <c r="H16" s="3"/>
      <c r="I16" s="3"/>
      <c r="J16" s="3"/>
      <c r="O16" s="18" t="s">
        <v>43</v>
      </c>
      <c r="P16" s="3"/>
      <c r="Q16" s="3"/>
      <c r="R16" s="3"/>
      <c r="S16" s="3"/>
      <c r="T16" s="20"/>
      <c r="U16" s="20"/>
      <c r="X16" s="33" t="s">
        <v>44</v>
      </c>
      <c r="AT16" s="22"/>
      <c r="AU16" s="22"/>
      <c r="AV16" s="24"/>
      <c r="AW16" s="24"/>
      <c r="AX16" s="24"/>
      <c r="AY16" s="24"/>
      <c r="AZ16" s="24"/>
      <c r="BA16" s="24"/>
      <c r="BB16" s="24"/>
      <c r="BC16" s="24"/>
      <c r="BD16" s="24"/>
      <c r="BE16" s="24"/>
      <c r="BF16" s="24"/>
      <c r="BG16" s="24"/>
      <c r="BH16" s="24"/>
      <c r="BI16" s="24"/>
    </row>
    <row r="17" spans="1:61" ht="18" customHeight="1">
      <c r="A17" s="1"/>
      <c r="B17" s="18"/>
      <c r="C17" s="18" t="s">
        <v>45</v>
      </c>
      <c r="D17" s="2"/>
      <c r="E17" s="3"/>
      <c r="F17" s="3"/>
      <c r="G17" s="3"/>
      <c r="H17" s="3"/>
      <c r="I17" s="3"/>
      <c r="J17" s="3"/>
      <c r="O17" s="18" t="s">
        <v>46</v>
      </c>
      <c r="P17" s="3"/>
      <c r="Q17" s="3"/>
      <c r="R17" s="3"/>
      <c r="S17" s="3"/>
      <c r="T17" s="20"/>
      <c r="U17" s="20"/>
      <c r="X17" s="33" t="s">
        <v>47</v>
      </c>
      <c r="AS17" s="22"/>
      <c r="AT17" s="22"/>
      <c r="AU17" s="24"/>
      <c r="AV17" s="24"/>
      <c r="AW17" s="24"/>
      <c r="AX17" s="24"/>
      <c r="AY17" s="24"/>
      <c r="AZ17" s="24"/>
      <c r="BA17" s="24"/>
      <c r="BB17" s="24"/>
      <c r="BC17" s="24"/>
      <c r="BD17" s="24"/>
      <c r="BE17" s="24"/>
      <c r="BF17" s="24"/>
      <c r="BG17" s="24"/>
      <c r="BH17" s="24"/>
      <c r="BI17" s="24"/>
    </row>
    <row r="18" spans="1:61" ht="18" customHeight="1">
      <c r="A18" s="1"/>
      <c r="C18" s="27" t="s">
        <v>30</v>
      </c>
      <c r="D18" s="28" t="s">
        <v>48</v>
      </c>
      <c r="E18" s="3"/>
      <c r="F18" s="3"/>
      <c r="G18" s="3"/>
      <c r="H18" s="3"/>
      <c r="I18" s="3"/>
      <c r="J18" s="3"/>
      <c r="M18" s="34"/>
      <c r="P18" s="30" t="s">
        <v>49</v>
      </c>
      <c r="Q18" s="3"/>
      <c r="R18" s="3"/>
      <c r="S18" s="3"/>
      <c r="T18" s="20"/>
      <c r="U18" s="20"/>
      <c r="X18" s="33" t="s">
        <v>50</v>
      </c>
      <c r="AS18" s="22"/>
      <c r="AT18" s="22"/>
      <c r="AU18" s="24"/>
      <c r="AV18" s="24"/>
      <c r="AW18" s="24"/>
      <c r="AX18" s="24"/>
      <c r="AY18" s="24"/>
      <c r="AZ18" s="24"/>
      <c r="BA18" s="24"/>
      <c r="BB18" s="24"/>
      <c r="BC18" s="24"/>
      <c r="BD18" s="24"/>
      <c r="BE18" s="24"/>
      <c r="BF18" s="24"/>
      <c r="BG18" s="24"/>
      <c r="BH18" s="24"/>
      <c r="BI18" s="24"/>
    </row>
    <row r="19" spans="1:61" ht="18" customHeight="1">
      <c r="A19" s="1"/>
      <c r="C19" s="3"/>
      <c r="D19" s="28" t="s">
        <v>35</v>
      </c>
      <c r="E19" s="3"/>
      <c r="F19" s="3"/>
      <c r="G19" s="3"/>
      <c r="H19" s="3"/>
      <c r="I19" s="3"/>
      <c r="J19" s="3"/>
      <c r="M19" s="34"/>
      <c r="O19" s="18"/>
      <c r="P19" s="3"/>
      <c r="Q19" s="3"/>
      <c r="R19" s="3"/>
      <c r="S19" s="3"/>
      <c r="T19" s="20"/>
      <c r="U19" s="20"/>
      <c r="X19" s="35" t="s">
        <v>51</v>
      </c>
      <c r="AS19" s="22"/>
      <c r="AT19" s="22"/>
      <c r="AU19" s="24"/>
      <c r="AV19" s="24"/>
      <c r="AW19" s="24"/>
      <c r="AX19" s="24"/>
      <c r="AY19" s="24"/>
      <c r="AZ19" s="24"/>
      <c r="BA19" s="24"/>
      <c r="BB19" s="24"/>
      <c r="BC19" s="24"/>
      <c r="BD19" s="24"/>
      <c r="BE19" s="24"/>
      <c r="BF19" s="24"/>
      <c r="BG19" s="24"/>
      <c r="BH19" s="24"/>
      <c r="BI19" s="24"/>
    </row>
    <row r="20" spans="1:61" ht="18" customHeight="1">
      <c r="A20" s="1"/>
      <c r="B20" s="36"/>
      <c r="C20" s="3"/>
      <c r="D20" s="28" t="s">
        <v>52</v>
      </c>
      <c r="E20" s="3"/>
      <c r="F20" s="3"/>
      <c r="G20" s="3"/>
      <c r="H20" s="3"/>
      <c r="I20" s="3"/>
      <c r="J20" s="3"/>
      <c r="K20" s="3"/>
      <c r="L20" s="3"/>
      <c r="M20" s="3"/>
      <c r="N20" s="15"/>
      <c r="P20" s="3"/>
      <c r="Q20" s="3"/>
      <c r="R20" s="3"/>
      <c r="S20" s="3"/>
      <c r="T20" s="20"/>
      <c r="U20" s="20"/>
      <c r="X20" s="35" t="s">
        <v>53</v>
      </c>
      <c r="AS20" s="22"/>
      <c r="AT20" s="22"/>
      <c r="AU20" s="24"/>
      <c r="AV20" s="24"/>
      <c r="AW20" s="24"/>
      <c r="AX20" s="24"/>
      <c r="AY20" s="24"/>
      <c r="AZ20" s="24"/>
      <c r="BA20" s="24"/>
      <c r="BB20" s="24"/>
      <c r="BC20" s="24"/>
      <c r="BD20" s="24"/>
      <c r="BE20" s="24"/>
      <c r="BF20" s="24"/>
      <c r="BG20" s="24"/>
      <c r="BH20" s="24"/>
      <c r="BI20" s="24"/>
    </row>
    <row r="21" spans="1:61" ht="14.25" customHeight="1">
      <c r="A21" s="1"/>
      <c r="J21" s="3"/>
      <c r="K21" s="3"/>
      <c r="L21" s="3"/>
      <c r="M21" s="3"/>
      <c r="N21" s="15"/>
      <c r="O21" s="37"/>
      <c r="P21" s="3"/>
      <c r="Q21" s="3"/>
      <c r="R21" s="3"/>
      <c r="S21" s="3"/>
      <c r="T21" s="20"/>
      <c r="U21" s="20"/>
      <c r="X21" s="5" t="s">
        <v>54</v>
      </c>
      <c r="AS21" s="22"/>
      <c r="AT21" s="22"/>
      <c r="AU21" s="24"/>
      <c r="AV21" s="24"/>
      <c r="AW21" s="24"/>
      <c r="AX21" s="24"/>
      <c r="AY21" s="24"/>
      <c r="AZ21" s="24"/>
      <c r="BA21" s="24"/>
      <c r="BB21" s="24"/>
      <c r="BC21" s="24"/>
      <c r="BD21" s="24"/>
      <c r="BE21" s="24"/>
      <c r="BF21" s="24"/>
      <c r="BG21" s="24"/>
      <c r="BH21" s="24"/>
      <c r="BI21" s="24"/>
    </row>
    <row r="22" spans="1:61">
      <c r="A22" s="38" t="s">
        <v>55</v>
      </c>
      <c r="B22" s="39"/>
      <c r="C22" s="40"/>
      <c r="D22" s="39"/>
      <c r="E22" s="40"/>
      <c r="F22" s="40"/>
      <c r="G22" s="41"/>
      <c r="H22" s="41"/>
      <c r="I22" s="41"/>
      <c r="J22" s="41"/>
      <c r="K22" s="41"/>
      <c r="L22" s="41"/>
      <c r="M22" s="41"/>
      <c r="N22" s="42"/>
      <c r="O22" s="43" t="s">
        <v>56</v>
      </c>
      <c r="P22" s="44"/>
      <c r="Q22" s="44"/>
      <c r="R22" s="44"/>
      <c r="S22" s="45"/>
      <c r="T22" s="20"/>
      <c r="U22" s="20"/>
      <c r="V22" s="17" t="s">
        <v>57</v>
      </c>
      <c r="W22" s="5" t="s">
        <v>58</v>
      </c>
      <c r="AS22" s="22"/>
      <c r="AT22" s="22"/>
      <c r="AU22" s="24"/>
      <c r="AV22" s="24"/>
      <c r="AW22" s="24"/>
      <c r="AX22" s="24"/>
      <c r="AY22" s="24"/>
      <c r="AZ22" s="24"/>
      <c r="BA22" s="24"/>
      <c r="BB22" s="24"/>
      <c r="BC22" s="24"/>
      <c r="BD22" s="24"/>
      <c r="BE22" s="24"/>
      <c r="BF22" s="24"/>
      <c r="BG22" s="24"/>
      <c r="BH22" s="24"/>
    </row>
    <row r="23" spans="1:61" ht="90.75" customHeight="1">
      <c r="A23" s="46" t="s">
        <v>59</v>
      </c>
      <c r="B23" s="47" t="s">
        <v>60</v>
      </c>
      <c r="C23" s="48" t="s">
        <v>61</v>
      </c>
      <c r="D23" s="46" t="s">
        <v>62</v>
      </c>
      <c r="E23" s="49" t="s">
        <v>63</v>
      </c>
      <c r="F23" s="46" t="s">
        <v>64</v>
      </c>
      <c r="G23" s="46" t="s">
        <v>65</v>
      </c>
      <c r="H23" s="50" t="s">
        <v>66</v>
      </c>
      <c r="I23" s="51" t="s">
        <v>67</v>
      </c>
      <c r="J23" s="51" t="s">
        <v>68</v>
      </c>
      <c r="K23" s="51" t="s">
        <v>69</v>
      </c>
      <c r="L23" s="46" t="s">
        <v>70</v>
      </c>
      <c r="M23" s="46" t="s">
        <v>71</v>
      </c>
      <c r="N23" s="46" t="s">
        <v>72</v>
      </c>
      <c r="O23" s="52" t="s">
        <v>73</v>
      </c>
      <c r="P23" s="52" t="s">
        <v>74</v>
      </c>
      <c r="Q23" s="52" t="s">
        <v>75</v>
      </c>
      <c r="R23" s="53" t="s">
        <v>76</v>
      </c>
      <c r="S23" s="53" t="s">
        <v>77</v>
      </c>
      <c r="T23" s="20"/>
      <c r="U23" s="20"/>
      <c r="V23" s="17" t="s">
        <v>78</v>
      </c>
      <c r="W23" s="5" t="s">
        <v>79</v>
      </c>
      <c r="AK23" s="6"/>
      <c r="AR23" s="22"/>
      <c r="AS23" s="22"/>
      <c r="AT23" s="24"/>
      <c r="AU23" s="24"/>
      <c r="AV23" s="24"/>
      <c r="AW23" s="24"/>
      <c r="AX23" s="24"/>
      <c r="AY23" s="24"/>
      <c r="AZ23" s="24"/>
      <c r="BA23" s="24"/>
      <c r="BB23" s="24"/>
      <c r="BC23" s="24"/>
      <c r="BD23" s="24"/>
      <c r="BE23" s="24"/>
      <c r="BF23" s="24"/>
      <c r="BG23" s="24"/>
      <c r="BH23" s="24"/>
    </row>
    <row r="24" spans="1:61" ht="14.25" customHeight="1">
      <c r="A24" s="46"/>
      <c r="B24" s="47"/>
      <c r="C24" s="48"/>
      <c r="D24" s="46"/>
      <c r="E24" s="49"/>
      <c r="F24" s="46"/>
      <c r="G24" s="46"/>
      <c r="H24" s="50"/>
      <c r="I24" s="51"/>
      <c r="J24" s="51"/>
      <c r="K24" s="51"/>
      <c r="L24" s="46"/>
      <c r="M24" s="46"/>
      <c r="N24" s="54"/>
      <c r="O24" s="55" t="s">
        <v>80</v>
      </c>
      <c r="P24" s="56"/>
      <c r="Q24" s="56"/>
      <c r="R24" s="57" t="s">
        <v>81</v>
      </c>
      <c r="S24" s="57" t="s">
        <v>82</v>
      </c>
      <c r="T24" s="20"/>
      <c r="U24" s="58" t="s">
        <v>83</v>
      </c>
      <c r="V24" s="13" t="s">
        <v>84</v>
      </c>
      <c r="AJ24" s="6"/>
      <c r="AR24" s="22"/>
      <c r="AS24" s="22"/>
      <c r="AT24" s="24"/>
      <c r="AU24" s="24"/>
      <c r="AV24" s="24"/>
      <c r="AW24" s="24"/>
      <c r="AX24" s="24"/>
      <c r="AY24" s="24"/>
      <c r="AZ24" s="24"/>
      <c r="BA24" s="24"/>
      <c r="BB24" s="24"/>
      <c r="BC24" s="24"/>
      <c r="BD24" s="24"/>
      <c r="BE24" s="24"/>
      <c r="BF24" s="24"/>
      <c r="BG24" s="24"/>
      <c r="BH24" s="24"/>
    </row>
    <row r="25" spans="1:61" ht="14.25" customHeight="1">
      <c r="A25" s="59" t="s">
        <v>85</v>
      </c>
      <c r="B25" s="59" t="s">
        <v>86</v>
      </c>
      <c r="C25" s="60" t="s">
        <v>57</v>
      </c>
      <c r="D25" s="61">
        <v>0</v>
      </c>
      <c r="E25" s="61">
        <v>0</v>
      </c>
      <c r="F25" s="59" t="s">
        <v>85</v>
      </c>
      <c r="G25" s="61">
        <v>0</v>
      </c>
      <c r="H25" s="62">
        <v>0</v>
      </c>
      <c r="I25" s="62"/>
      <c r="J25" s="62"/>
      <c r="K25" s="62"/>
      <c r="L25" s="62"/>
      <c r="M25" s="62"/>
      <c r="N25" s="62" t="s">
        <v>87</v>
      </c>
      <c r="O25" s="63">
        <f t="shared" ref="O25:O88" si="0">IF($F25="RVP", (12.82-0.9672*LN($G25)), IF($F25 = "RVP+S", 15.64-(1.854*($H25^0.5))-(0.8742-(0.328*($H25^0.5)))*LN($G25), I25))</f>
        <v>0</v>
      </c>
      <c r="P25" s="63">
        <f t="shared" ref="P25:P88" si="1">IF($F25="RVP", (7261-1216*LN($G25)), IF($F25 = "RVP+S", 8742-(1042*($H25^0.5))-(1049-(179.4*($H25^0.5)))*LN($G25), J25))</f>
        <v>0</v>
      </c>
      <c r="Q25" s="63">
        <f t="shared" ref="Q25:Q88" si="2">IF($F25="RVP", 0, IF($F25 = "RVP+S", 0, K25))</f>
        <v>0</v>
      </c>
      <c r="R25" s="64">
        <f t="shared" ref="R25:R88" si="3">IF($F25="RVP",0.4,1)</f>
        <v>1</v>
      </c>
      <c r="S25" s="64">
        <f t="shared" ref="S25:S88" si="4">IF($F25="RVP",0.75,1)</f>
        <v>1</v>
      </c>
      <c r="T25" s="20"/>
      <c r="U25" s="58" t="s">
        <v>88</v>
      </c>
      <c r="V25" s="13" t="s">
        <v>89</v>
      </c>
      <c r="AJ25" s="6"/>
      <c r="AR25" s="22"/>
      <c r="AS25" s="22"/>
      <c r="AT25" s="24"/>
      <c r="AU25" s="24"/>
      <c r="AV25" s="24"/>
      <c r="AW25" s="24"/>
      <c r="AX25" s="24"/>
      <c r="AY25" s="24"/>
      <c r="AZ25" s="24"/>
      <c r="BA25" s="24"/>
      <c r="BB25" s="24"/>
      <c r="BC25" s="24"/>
      <c r="BD25" s="24"/>
      <c r="BE25" s="24"/>
      <c r="BF25" s="24"/>
      <c r="BG25" s="24"/>
      <c r="BH25" s="24"/>
      <c r="BI25" s="24"/>
    </row>
    <row r="26" spans="1:61" ht="14.25" customHeight="1">
      <c r="A26" s="59" t="s">
        <v>90</v>
      </c>
      <c r="B26" s="59" t="s">
        <v>91</v>
      </c>
      <c r="C26" s="60" t="s">
        <v>36</v>
      </c>
      <c r="D26" s="61">
        <v>133.41999999999999</v>
      </c>
      <c r="E26" s="61">
        <v>11.215999999999999</v>
      </c>
      <c r="F26" s="59" t="s">
        <v>92</v>
      </c>
      <c r="G26" s="61"/>
      <c r="H26" s="62"/>
      <c r="I26" s="62">
        <v>8.6430000000000007</v>
      </c>
      <c r="J26" s="62">
        <v>2136.6</v>
      </c>
      <c r="K26" s="62">
        <v>302.8</v>
      </c>
      <c r="L26" s="62">
        <v>481.67</v>
      </c>
      <c r="M26" s="62">
        <v>521.67000000000007</v>
      </c>
      <c r="N26" s="62" t="s">
        <v>93</v>
      </c>
      <c r="O26" s="63">
        <f t="shared" si="0"/>
        <v>8.6430000000000007</v>
      </c>
      <c r="P26" s="63">
        <f t="shared" si="1"/>
        <v>2136.6</v>
      </c>
      <c r="Q26" s="63">
        <f t="shared" si="2"/>
        <v>302.8</v>
      </c>
      <c r="R26" s="64">
        <f t="shared" si="3"/>
        <v>1</v>
      </c>
      <c r="S26" s="64">
        <f t="shared" si="4"/>
        <v>1</v>
      </c>
      <c r="T26" s="20"/>
      <c r="U26" s="58" t="s">
        <v>94</v>
      </c>
      <c r="V26" s="5" t="s">
        <v>95</v>
      </c>
      <c r="AJ26" s="6"/>
      <c r="AS26" s="22"/>
      <c r="AT26" s="22"/>
      <c r="AU26" s="24"/>
      <c r="AV26" s="24"/>
      <c r="AW26" s="24"/>
      <c r="AX26" s="24"/>
      <c r="AY26" s="24"/>
      <c r="AZ26" s="24"/>
      <c r="BA26" s="24"/>
      <c r="BB26" s="24"/>
      <c r="BC26" s="24"/>
      <c r="BD26" s="24"/>
      <c r="BE26" s="24"/>
      <c r="BF26" s="24"/>
      <c r="BG26" s="24"/>
      <c r="BH26" s="24"/>
      <c r="BI26" s="24"/>
    </row>
    <row r="27" spans="1:61">
      <c r="A27" s="65" t="s">
        <v>96</v>
      </c>
      <c r="B27" s="59" t="s">
        <v>97</v>
      </c>
      <c r="C27" s="60" t="s">
        <v>28</v>
      </c>
      <c r="D27" s="61">
        <v>181.45</v>
      </c>
      <c r="E27" s="61">
        <f>1.454*8.3454</f>
        <v>12.134211599999999</v>
      </c>
      <c r="F27" s="61" t="s">
        <v>92</v>
      </c>
      <c r="G27" s="61"/>
      <c r="H27" s="62"/>
      <c r="I27" s="62">
        <v>7.3724999999999996</v>
      </c>
      <c r="J27" s="62">
        <v>2021.9164000000001</v>
      </c>
      <c r="K27" s="62">
        <v>236.596</v>
      </c>
      <c r="L27" s="62">
        <v>636.91200000000003</v>
      </c>
      <c r="M27" s="62">
        <v>934.27199999999993</v>
      </c>
      <c r="N27" s="62" t="s">
        <v>98</v>
      </c>
      <c r="O27" s="63">
        <f t="shared" si="0"/>
        <v>7.3724999999999996</v>
      </c>
      <c r="P27" s="63">
        <f t="shared" si="1"/>
        <v>2021.9164000000001</v>
      </c>
      <c r="Q27" s="63">
        <f t="shared" si="2"/>
        <v>236.596</v>
      </c>
      <c r="R27" s="64">
        <f t="shared" si="3"/>
        <v>1</v>
      </c>
      <c r="S27" s="64">
        <f t="shared" si="4"/>
        <v>1</v>
      </c>
      <c r="T27" s="20"/>
      <c r="U27" s="66"/>
      <c r="V27" s="58" t="s">
        <v>99</v>
      </c>
      <c r="W27" s="5" t="s">
        <v>100</v>
      </c>
      <c r="X27" s="66"/>
      <c r="AJ27" s="6"/>
      <c r="AS27" s="22"/>
      <c r="AT27" s="22"/>
      <c r="AU27" s="24"/>
      <c r="AV27" s="24"/>
      <c r="AW27" s="24"/>
      <c r="AX27" s="24"/>
      <c r="AY27" s="24"/>
      <c r="AZ27" s="24"/>
      <c r="BA27" s="24"/>
      <c r="BB27" s="24"/>
      <c r="BC27" s="24"/>
      <c r="BD27" s="24"/>
      <c r="BE27" s="24"/>
      <c r="BF27" s="24"/>
      <c r="BG27" s="24"/>
      <c r="BH27" s="24"/>
      <c r="BI27" s="24"/>
    </row>
    <row r="28" spans="1:61" ht="14.25" customHeight="1">
      <c r="A28" s="59" t="s">
        <v>101</v>
      </c>
      <c r="B28" s="59" t="s">
        <v>102</v>
      </c>
      <c r="C28" s="60" t="s">
        <v>28</v>
      </c>
      <c r="D28" s="61">
        <v>236.33</v>
      </c>
      <c r="E28" s="61">
        <f>2.05*8.3454</f>
        <v>17.108069999999998</v>
      </c>
      <c r="F28" s="61" t="s">
        <v>103</v>
      </c>
      <c r="G28" s="61"/>
      <c r="H28" s="62"/>
      <c r="I28" s="67"/>
      <c r="J28" s="67"/>
      <c r="K28" s="67"/>
      <c r="L28" s="67"/>
      <c r="M28" s="67"/>
      <c r="N28" s="62" t="s">
        <v>104</v>
      </c>
      <c r="O28" s="63">
        <f t="shared" si="0"/>
        <v>0</v>
      </c>
      <c r="P28" s="63">
        <f t="shared" si="1"/>
        <v>0</v>
      </c>
      <c r="Q28" s="63">
        <f t="shared" si="2"/>
        <v>0</v>
      </c>
      <c r="R28" s="64">
        <f t="shared" si="3"/>
        <v>1</v>
      </c>
      <c r="S28" s="64">
        <f t="shared" si="4"/>
        <v>1</v>
      </c>
      <c r="T28" s="20"/>
      <c r="U28" s="66"/>
      <c r="V28" s="58" t="s">
        <v>105</v>
      </c>
      <c r="W28" s="5" t="s">
        <v>106</v>
      </c>
      <c r="X28" s="66"/>
      <c r="AJ28" s="6"/>
      <c r="AS28" s="7"/>
      <c r="AT28" s="7"/>
      <c r="AU28" s="24"/>
      <c r="AV28" s="24"/>
      <c r="AW28" s="24"/>
      <c r="AX28" s="24"/>
    </row>
    <row r="29" spans="1:61" ht="14.25" customHeight="1">
      <c r="A29" s="59" t="s">
        <v>107</v>
      </c>
      <c r="B29" s="59" t="s">
        <v>108</v>
      </c>
      <c r="C29" s="60" t="s">
        <v>28</v>
      </c>
      <c r="D29" s="61">
        <v>184.24</v>
      </c>
      <c r="E29" s="61">
        <f>1.158*8.3454</f>
        <v>9.6639731999999992</v>
      </c>
      <c r="F29" s="61" t="s">
        <v>103</v>
      </c>
      <c r="G29" s="61"/>
      <c r="H29" s="62"/>
      <c r="I29" s="62"/>
      <c r="J29" s="62"/>
      <c r="K29" s="62"/>
      <c r="L29" s="62"/>
      <c r="M29" s="62"/>
      <c r="N29" s="62" t="s">
        <v>109</v>
      </c>
      <c r="O29" s="63">
        <f t="shared" si="0"/>
        <v>0</v>
      </c>
      <c r="P29" s="63">
        <f t="shared" si="1"/>
        <v>0</v>
      </c>
      <c r="Q29" s="63">
        <f t="shared" si="2"/>
        <v>0</v>
      </c>
      <c r="R29" s="64">
        <f t="shared" si="3"/>
        <v>1</v>
      </c>
      <c r="S29" s="64">
        <f t="shared" si="4"/>
        <v>1</v>
      </c>
      <c r="T29" s="20"/>
      <c r="U29" s="66"/>
      <c r="V29" s="58" t="s">
        <v>110</v>
      </c>
      <c r="W29" s="5" t="s">
        <v>111</v>
      </c>
      <c r="X29" s="66"/>
      <c r="AJ29" s="6"/>
      <c r="AO29" s="24"/>
      <c r="AP29" s="24"/>
      <c r="AQ29" s="24"/>
      <c r="AR29" s="24"/>
      <c r="AS29" s="24"/>
      <c r="AT29" s="24"/>
      <c r="AU29" s="24"/>
      <c r="AV29" s="24"/>
      <c r="AW29" s="24"/>
      <c r="AX29" s="24"/>
    </row>
    <row r="30" spans="1:61" ht="14.25" customHeight="1">
      <c r="A30" s="59" t="s">
        <v>112</v>
      </c>
      <c r="B30" s="59" t="s">
        <v>113</v>
      </c>
      <c r="C30" s="60" t="s">
        <v>28</v>
      </c>
      <c r="D30" s="61">
        <v>72.105720000000005</v>
      </c>
      <c r="E30" s="61">
        <f>0.829*8.3454</f>
        <v>6.9183365999999991</v>
      </c>
      <c r="F30" s="61" t="s">
        <v>92</v>
      </c>
      <c r="G30" s="61"/>
      <c r="H30" s="62"/>
      <c r="I30" s="62">
        <v>7.9807199999999998</v>
      </c>
      <c r="J30" s="62">
        <v>2041.8562999999999</v>
      </c>
      <c r="K30" s="62">
        <v>337.02100000000002</v>
      </c>
      <c r="L30" s="62">
        <v>411.53399999999999</v>
      </c>
      <c r="M30" s="62">
        <v>650.89800000000002</v>
      </c>
      <c r="N30" s="62" t="s">
        <v>98</v>
      </c>
      <c r="O30" s="63">
        <f t="shared" si="0"/>
        <v>7.9807199999999998</v>
      </c>
      <c r="P30" s="63">
        <f t="shared" si="1"/>
        <v>2041.8562999999999</v>
      </c>
      <c r="Q30" s="63">
        <f t="shared" si="2"/>
        <v>337.02100000000002</v>
      </c>
      <c r="R30" s="64">
        <f t="shared" si="3"/>
        <v>1</v>
      </c>
      <c r="S30" s="64">
        <f t="shared" si="4"/>
        <v>1</v>
      </c>
      <c r="T30" s="20"/>
      <c r="U30" s="66"/>
      <c r="V30" s="58" t="s">
        <v>114</v>
      </c>
      <c r="W30" s="5" t="s">
        <v>115</v>
      </c>
      <c r="X30" s="66"/>
      <c r="AA30" s="68"/>
      <c r="AB30" s="24"/>
      <c r="AC30" s="24"/>
      <c r="AI30" s="6"/>
      <c r="AO30" s="24"/>
      <c r="AP30" s="24"/>
      <c r="AQ30" s="24"/>
      <c r="AR30" s="24"/>
      <c r="AS30" s="24"/>
      <c r="AT30" s="24"/>
      <c r="AU30" s="24"/>
      <c r="AV30" s="24"/>
      <c r="AW30" s="24"/>
      <c r="AX30" s="24"/>
    </row>
    <row r="31" spans="1:61" ht="14.25" customHeight="1">
      <c r="A31" s="59" t="s">
        <v>116</v>
      </c>
      <c r="B31" s="59" t="s">
        <v>117</v>
      </c>
      <c r="C31" s="60" t="s">
        <v>28</v>
      </c>
      <c r="D31" s="61">
        <v>57.09</v>
      </c>
      <c r="E31" s="61">
        <f>1.4125*8.3454</f>
        <v>11.7878775</v>
      </c>
      <c r="F31" s="61" t="s">
        <v>103</v>
      </c>
      <c r="G31" s="61"/>
      <c r="H31" s="62"/>
      <c r="I31" s="67"/>
      <c r="J31" s="67"/>
      <c r="K31" s="67"/>
      <c r="L31" s="67"/>
      <c r="M31" s="67"/>
      <c r="N31" s="62" t="s">
        <v>104</v>
      </c>
      <c r="O31" s="63">
        <f t="shared" si="0"/>
        <v>0</v>
      </c>
      <c r="P31" s="63">
        <f t="shared" si="1"/>
        <v>0</v>
      </c>
      <c r="Q31" s="63">
        <f t="shared" si="2"/>
        <v>0</v>
      </c>
      <c r="R31" s="64">
        <f t="shared" si="3"/>
        <v>1</v>
      </c>
      <c r="S31" s="64">
        <f t="shared" si="4"/>
        <v>1</v>
      </c>
      <c r="T31" s="20"/>
      <c r="U31" s="66"/>
      <c r="V31" s="58" t="s">
        <v>118</v>
      </c>
      <c r="W31" s="5" t="s">
        <v>119</v>
      </c>
      <c r="X31" s="37"/>
      <c r="Y31" s="69"/>
      <c r="Z31" s="18"/>
      <c r="AA31" s="68"/>
      <c r="AB31" s="24"/>
      <c r="AC31" s="24"/>
      <c r="AI31" s="6"/>
      <c r="AO31" s="24"/>
      <c r="AP31" s="24"/>
      <c r="AQ31" s="24"/>
      <c r="AR31" s="24"/>
      <c r="AS31" s="24"/>
      <c r="AT31" s="24"/>
      <c r="AU31" s="24"/>
      <c r="AV31" s="24"/>
      <c r="AW31" s="24"/>
      <c r="AX31" s="24"/>
    </row>
    <row r="32" spans="1:61" ht="14.25" customHeight="1">
      <c r="A32" s="59" t="s">
        <v>120</v>
      </c>
      <c r="B32" s="59" t="s">
        <v>121</v>
      </c>
      <c r="C32" s="60" t="s">
        <v>28</v>
      </c>
      <c r="D32" s="61">
        <v>110.97</v>
      </c>
      <c r="E32" s="61">
        <f>1.2*8.3454</f>
        <v>10.014479999999999</v>
      </c>
      <c r="F32" s="61" t="s">
        <v>92</v>
      </c>
      <c r="G32" s="61"/>
      <c r="H32" s="62"/>
      <c r="I32" s="62">
        <v>7.5261199999999997</v>
      </c>
      <c r="J32" s="62">
        <v>1550.2762</v>
      </c>
      <c r="K32" s="62">
        <v>226.179</v>
      </c>
      <c r="L32" s="62">
        <v>512.13599999999997</v>
      </c>
      <c r="M32" s="62">
        <v>726.89400000000001</v>
      </c>
      <c r="N32" s="62" t="s">
        <v>98</v>
      </c>
      <c r="O32" s="63">
        <f t="shared" si="0"/>
        <v>7.5261199999999997</v>
      </c>
      <c r="P32" s="63">
        <f t="shared" si="1"/>
        <v>1550.2762</v>
      </c>
      <c r="Q32" s="63">
        <f t="shared" si="2"/>
        <v>226.179</v>
      </c>
      <c r="R32" s="64">
        <f t="shared" si="3"/>
        <v>1</v>
      </c>
      <c r="S32" s="64">
        <f t="shared" si="4"/>
        <v>1</v>
      </c>
      <c r="T32" s="20"/>
      <c r="U32" s="70" t="s">
        <v>122</v>
      </c>
      <c r="V32" s="5" t="s">
        <v>123</v>
      </c>
      <c r="X32" s="69"/>
      <c r="Y32" s="18"/>
      <c r="Z32" s="68"/>
      <c r="AA32" s="24"/>
      <c r="AB32" s="24"/>
      <c r="AI32" s="6"/>
      <c r="AO32" s="24"/>
      <c r="AP32" s="24"/>
      <c r="AQ32" s="24"/>
      <c r="AR32" s="24"/>
      <c r="AS32" s="24"/>
      <c r="AT32" s="24"/>
      <c r="AU32" s="24"/>
      <c r="AV32" s="24"/>
      <c r="AW32" s="24"/>
      <c r="AX32" s="24"/>
    </row>
    <row r="33" spans="1:50" ht="14.25" customHeight="1">
      <c r="A33" s="59" t="s">
        <v>124</v>
      </c>
      <c r="B33" s="59" t="s">
        <v>125</v>
      </c>
      <c r="C33" s="60" t="s">
        <v>28</v>
      </c>
      <c r="D33" s="61">
        <v>122.14</v>
      </c>
      <c r="E33" s="61">
        <f>1.392*8.3454</f>
        <v>11.616796799999999</v>
      </c>
      <c r="F33" s="61" t="s">
        <v>103</v>
      </c>
      <c r="G33" s="61"/>
      <c r="H33" s="62"/>
      <c r="I33" s="67"/>
      <c r="J33" s="67"/>
      <c r="K33" s="67"/>
      <c r="L33" s="67"/>
      <c r="M33" s="67"/>
      <c r="N33" s="62" t="s">
        <v>126</v>
      </c>
      <c r="O33" s="63">
        <f t="shared" si="0"/>
        <v>0</v>
      </c>
      <c r="P33" s="63">
        <f t="shared" si="1"/>
        <v>0</v>
      </c>
      <c r="Q33" s="63">
        <f t="shared" si="2"/>
        <v>0</v>
      </c>
      <c r="R33" s="64">
        <f t="shared" si="3"/>
        <v>1</v>
      </c>
      <c r="S33" s="64">
        <f t="shared" si="4"/>
        <v>1</v>
      </c>
      <c r="T33" s="20"/>
      <c r="U33" s="70" t="s">
        <v>127</v>
      </c>
      <c r="V33" s="5" t="s">
        <v>123</v>
      </c>
      <c r="W33" s="66"/>
      <c r="X33" s="69"/>
      <c r="Y33" s="18"/>
      <c r="Z33" s="68"/>
      <c r="AA33" s="24"/>
      <c r="AB33" s="24"/>
      <c r="AJ33" s="6"/>
      <c r="AO33" s="24"/>
      <c r="AP33" s="24"/>
      <c r="AQ33" s="24"/>
      <c r="AR33" s="24"/>
      <c r="AS33" s="24"/>
      <c r="AT33" s="24"/>
      <c r="AU33" s="24"/>
      <c r="AV33" s="24"/>
      <c r="AW33" s="24"/>
      <c r="AX33" s="24"/>
    </row>
    <row r="34" spans="1:50" ht="14.25" customHeight="1">
      <c r="A34" s="59" t="s">
        <v>128</v>
      </c>
      <c r="B34" s="59" t="s">
        <v>129</v>
      </c>
      <c r="C34" s="60" t="s">
        <v>28</v>
      </c>
      <c r="D34" s="61">
        <v>147.00200000000001</v>
      </c>
      <c r="E34" s="61">
        <f>1.25*8.34</f>
        <v>10.425000000000001</v>
      </c>
      <c r="F34" s="59" t="s">
        <v>92</v>
      </c>
      <c r="G34" s="61"/>
      <c r="H34" s="62"/>
      <c r="I34" s="62">
        <f>4.123 -LOG10(1.01325/760)</f>
        <v>6.9980969798670607</v>
      </c>
      <c r="J34" s="62">
        <v>1575.11</v>
      </c>
      <c r="K34" s="62">
        <f>-64.637+273.15</f>
        <v>208.51299999999998</v>
      </c>
      <c r="L34" s="62">
        <v>614.01599999999996</v>
      </c>
      <c r="M34" s="62">
        <v>804.97799999999995</v>
      </c>
      <c r="N34" s="62" t="s">
        <v>130</v>
      </c>
      <c r="O34" s="63">
        <f t="shared" si="0"/>
        <v>6.9980969798670607</v>
      </c>
      <c r="P34" s="63">
        <f t="shared" si="1"/>
        <v>1575.11</v>
      </c>
      <c r="Q34" s="63">
        <f t="shared" si="2"/>
        <v>208.51299999999998</v>
      </c>
      <c r="R34" s="64">
        <f t="shared" si="3"/>
        <v>1</v>
      </c>
      <c r="S34" s="64">
        <f t="shared" si="4"/>
        <v>1</v>
      </c>
      <c r="T34" s="20"/>
      <c r="U34" s="70"/>
      <c r="V34" s="17" t="s">
        <v>131</v>
      </c>
      <c r="W34" s="66"/>
      <c r="X34" s="69"/>
      <c r="Y34" s="18"/>
      <c r="Z34" s="68"/>
      <c r="AA34" s="24"/>
      <c r="AB34" s="24"/>
      <c r="AJ34" s="6"/>
      <c r="AO34" s="24"/>
      <c r="AP34" s="24"/>
      <c r="AQ34" s="24"/>
      <c r="AR34" s="24"/>
      <c r="AS34" s="24"/>
      <c r="AT34" s="24"/>
      <c r="AU34" s="24"/>
      <c r="AV34" s="24"/>
      <c r="AW34" s="24"/>
      <c r="AX34" s="24"/>
    </row>
    <row r="35" spans="1:50" ht="14.25" customHeight="1">
      <c r="A35" s="59" t="s">
        <v>132</v>
      </c>
      <c r="B35" s="59" t="s">
        <v>133</v>
      </c>
      <c r="C35" s="60" t="s">
        <v>28</v>
      </c>
      <c r="D35" s="61">
        <v>114.23</v>
      </c>
      <c r="E35" s="61">
        <f>0.692*8.3454</f>
        <v>5.7750167999999995</v>
      </c>
      <c r="F35" s="61" t="s">
        <v>92</v>
      </c>
      <c r="G35" s="61"/>
      <c r="H35" s="62"/>
      <c r="I35" s="62">
        <v>6.9902100000000003</v>
      </c>
      <c r="J35" s="62">
        <v>1358.7529</v>
      </c>
      <c r="K35" s="62">
        <v>231.405</v>
      </c>
      <c r="L35" s="62">
        <v>483.42600000000004</v>
      </c>
      <c r="M35" s="62">
        <v>717.35400000000004</v>
      </c>
      <c r="N35" s="62" t="s">
        <v>98</v>
      </c>
      <c r="O35" s="63">
        <f t="shared" si="0"/>
        <v>6.9902100000000003</v>
      </c>
      <c r="P35" s="63">
        <f t="shared" si="1"/>
        <v>1358.7529</v>
      </c>
      <c r="Q35" s="63">
        <f t="shared" si="2"/>
        <v>231.405</v>
      </c>
      <c r="R35" s="64">
        <f t="shared" si="3"/>
        <v>1</v>
      </c>
      <c r="S35" s="64">
        <f t="shared" si="4"/>
        <v>1</v>
      </c>
      <c r="T35" s="20"/>
      <c r="W35" s="66"/>
      <c r="X35" s="66"/>
      <c r="Y35" s="69"/>
      <c r="Z35" s="18"/>
      <c r="AA35" s="68"/>
      <c r="AB35" s="24"/>
      <c r="AC35" s="24"/>
      <c r="AJ35" s="6"/>
      <c r="AO35" s="24"/>
      <c r="AP35" s="24"/>
      <c r="AQ35" s="24"/>
      <c r="AR35" s="24"/>
      <c r="AS35" s="24"/>
      <c r="AT35" s="24"/>
      <c r="AU35" s="24"/>
      <c r="AV35" s="24"/>
      <c r="AW35" s="24"/>
      <c r="AX35" s="24"/>
    </row>
    <row r="36" spans="1:50" ht="14.25" customHeight="1">
      <c r="A36" s="59" t="s">
        <v>134</v>
      </c>
      <c r="B36" s="59" t="s">
        <v>135</v>
      </c>
      <c r="C36" s="60" t="s">
        <v>28</v>
      </c>
      <c r="D36" s="61">
        <v>321.97000000000003</v>
      </c>
      <c r="E36" s="61">
        <f>1.643*8.3454</f>
        <v>13.7114922</v>
      </c>
      <c r="F36" s="61" t="s">
        <v>103</v>
      </c>
      <c r="G36" s="61"/>
      <c r="H36" s="62"/>
      <c r="I36" s="62"/>
      <c r="J36" s="62"/>
      <c r="K36" s="62"/>
      <c r="L36" s="62"/>
      <c r="M36" s="62"/>
      <c r="N36" s="62" t="s">
        <v>109</v>
      </c>
      <c r="O36" s="63">
        <f t="shared" si="0"/>
        <v>0</v>
      </c>
      <c r="P36" s="63">
        <f t="shared" si="1"/>
        <v>0</v>
      </c>
      <c r="Q36" s="63">
        <f t="shared" si="2"/>
        <v>0</v>
      </c>
      <c r="R36" s="64">
        <f t="shared" si="3"/>
        <v>1</v>
      </c>
      <c r="S36" s="64">
        <f t="shared" si="4"/>
        <v>1</v>
      </c>
      <c r="T36" s="20"/>
      <c r="U36" s="66"/>
      <c r="V36" s="71" t="s">
        <v>136</v>
      </c>
      <c r="W36" s="66"/>
      <c r="X36" s="66"/>
      <c r="Y36" s="69"/>
      <c r="Z36" s="18"/>
      <c r="AA36" s="68"/>
      <c r="AB36" s="24"/>
      <c r="AC36" s="24"/>
      <c r="AJ36" s="6"/>
      <c r="AM36" s="24"/>
      <c r="AN36" s="24"/>
      <c r="AO36" s="24"/>
      <c r="AP36" s="24"/>
      <c r="AQ36" s="24"/>
      <c r="AR36" s="24"/>
      <c r="AS36" s="24"/>
      <c r="AT36" s="24"/>
      <c r="AU36" s="24"/>
      <c r="AV36" s="24"/>
      <c r="AW36" s="24"/>
      <c r="AX36" s="24"/>
    </row>
    <row r="37" spans="1:50" ht="14.25" customHeight="1">
      <c r="A37" s="59" t="s">
        <v>137</v>
      </c>
      <c r="B37" s="59" t="s">
        <v>138</v>
      </c>
      <c r="C37" s="60" t="s">
        <v>28</v>
      </c>
      <c r="D37" s="61">
        <v>197.45</v>
      </c>
      <c r="E37" s="61">
        <f>1.678*8.3454</f>
        <v>14.003581199999999</v>
      </c>
      <c r="F37" s="61" t="s">
        <v>92</v>
      </c>
      <c r="G37" s="61"/>
      <c r="H37" s="62"/>
      <c r="I37" s="62">
        <v>6.80185</v>
      </c>
      <c r="J37" s="62">
        <v>2042.1112000000001</v>
      </c>
      <c r="K37" s="62">
        <v>237.476</v>
      </c>
      <c r="L37" s="62">
        <v>621</v>
      </c>
      <c r="M37" s="62">
        <v>1079.6220000000001</v>
      </c>
      <c r="N37" s="62" t="s">
        <v>98</v>
      </c>
      <c r="O37" s="63">
        <f t="shared" si="0"/>
        <v>6.80185</v>
      </c>
      <c r="P37" s="63">
        <f t="shared" si="1"/>
        <v>2042.1112000000001</v>
      </c>
      <c r="Q37" s="63">
        <f t="shared" si="2"/>
        <v>237.476</v>
      </c>
      <c r="R37" s="64">
        <f t="shared" si="3"/>
        <v>1</v>
      </c>
      <c r="S37" s="64">
        <f t="shared" si="4"/>
        <v>1</v>
      </c>
      <c r="T37" s="20"/>
      <c r="U37" s="66"/>
      <c r="V37" s="13" t="s">
        <v>139</v>
      </c>
      <c r="W37" s="66"/>
      <c r="X37" s="37"/>
      <c r="Y37" s="69"/>
      <c r="Z37" s="18"/>
      <c r="AA37" s="68"/>
      <c r="AB37" s="24"/>
      <c r="AC37" s="72"/>
      <c r="AJ37" s="6"/>
      <c r="AM37" s="24"/>
      <c r="AN37" s="24"/>
      <c r="AO37" s="24"/>
      <c r="AP37" s="24"/>
      <c r="AQ37" s="24"/>
      <c r="AR37" s="24"/>
      <c r="AS37" s="24"/>
      <c r="AT37" s="24"/>
      <c r="AU37" s="24"/>
      <c r="AV37" s="24"/>
      <c r="AW37" s="24"/>
      <c r="AX37" s="24"/>
    </row>
    <row r="38" spans="1:50" ht="14.25" customHeight="1">
      <c r="A38" s="59" t="s">
        <v>140</v>
      </c>
      <c r="B38" s="59" t="s">
        <v>141</v>
      </c>
      <c r="C38" s="60" t="s">
        <v>28</v>
      </c>
      <c r="D38" s="61">
        <v>197.45</v>
      </c>
      <c r="E38" s="61">
        <f>1.49*8.3454</f>
        <v>12.434645999999999</v>
      </c>
      <c r="F38" s="61" t="s">
        <v>92</v>
      </c>
      <c r="G38" s="61"/>
      <c r="H38" s="62"/>
      <c r="I38" s="62">
        <v>7.0119199999999999</v>
      </c>
      <c r="J38" s="62">
        <v>2157.0077999999999</v>
      </c>
      <c r="K38" s="62">
        <v>238.804</v>
      </c>
      <c r="L38" s="62">
        <v>620.91</v>
      </c>
      <c r="M38" s="62">
        <v>1075.5360000000001</v>
      </c>
      <c r="N38" s="62" t="s">
        <v>98</v>
      </c>
      <c r="O38" s="63">
        <f t="shared" si="0"/>
        <v>7.0119199999999999</v>
      </c>
      <c r="P38" s="63">
        <f t="shared" si="1"/>
        <v>2157.0077999999999</v>
      </c>
      <c r="Q38" s="63">
        <f t="shared" si="2"/>
        <v>238.804</v>
      </c>
      <c r="R38" s="64">
        <f t="shared" si="3"/>
        <v>1</v>
      </c>
      <c r="S38" s="64">
        <f t="shared" si="4"/>
        <v>1</v>
      </c>
      <c r="T38" s="20"/>
      <c r="U38" s="66"/>
      <c r="V38" s="73" t="s">
        <v>142</v>
      </c>
      <c r="W38" s="66"/>
      <c r="X38" s="37"/>
      <c r="Y38" s="69"/>
      <c r="Z38" s="18"/>
      <c r="AA38" s="68"/>
      <c r="AB38" s="24"/>
      <c r="AC38" s="72"/>
      <c r="AJ38" s="6"/>
      <c r="AM38" s="24"/>
      <c r="AN38" s="24"/>
      <c r="AO38" s="24"/>
      <c r="AP38" s="24"/>
      <c r="AQ38" s="24"/>
      <c r="AR38" s="24"/>
      <c r="AS38" s="24"/>
      <c r="AT38" s="24"/>
      <c r="AU38" s="24"/>
      <c r="AV38" s="24"/>
      <c r="AW38" s="24"/>
      <c r="AX38" s="24"/>
    </row>
    <row r="39" spans="1:50" ht="14.25" customHeight="1">
      <c r="A39" s="59" t="s">
        <v>143</v>
      </c>
      <c r="B39" s="59" t="s">
        <v>144</v>
      </c>
      <c r="C39" s="60" t="s">
        <v>28</v>
      </c>
      <c r="D39" s="61">
        <v>221.04</v>
      </c>
      <c r="E39" s="61">
        <f>1.563*8.3454</f>
        <v>13.043860199999999</v>
      </c>
      <c r="F39" s="61" t="s">
        <v>103</v>
      </c>
      <c r="G39" s="61"/>
      <c r="H39" s="62"/>
      <c r="I39" s="62"/>
      <c r="J39" s="62"/>
      <c r="K39" s="62"/>
      <c r="L39" s="62"/>
      <c r="M39" s="62"/>
      <c r="N39" s="62" t="s">
        <v>145</v>
      </c>
      <c r="O39" s="63">
        <f t="shared" si="0"/>
        <v>0</v>
      </c>
      <c r="P39" s="63">
        <f t="shared" si="1"/>
        <v>0</v>
      </c>
      <c r="Q39" s="63">
        <f t="shared" si="2"/>
        <v>0</v>
      </c>
      <c r="R39" s="64">
        <f t="shared" si="3"/>
        <v>1</v>
      </c>
      <c r="S39" s="64">
        <f t="shared" si="4"/>
        <v>1</v>
      </c>
      <c r="T39" s="20"/>
      <c r="V39" s="35" t="s">
        <v>146</v>
      </c>
      <c r="X39" s="18"/>
      <c r="Y39" s="69"/>
      <c r="Z39" s="18"/>
      <c r="AA39" s="68"/>
      <c r="AB39" s="24"/>
      <c r="AC39" s="72"/>
      <c r="AJ39" s="6"/>
      <c r="AM39" s="24"/>
      <c r="AN39" s="24"/>
      <c r="AO39" s="24"/>
      <c r="AP39" s="24"/>
      <c r="AQ39" s="24"/>
      <c r="AR39" s="24"/>
      <c r="AS39" s="24"/>
      <c r="AT39" s="24"/>
      <c r="AU39" s="24"/>
      <c r="AV39" s="24"/>
      <c r="AW39" s="24"/>
      <c r="AX39" s="24"/>
    </row>
    <row r="40" spans="1:50" ht="14.25" customHeight="1">
      <c r="A40" s="59" t="s">
        <v>147</v>
      </c>
      <c r="B40" s="59" t="s">
        <v>148</v>
      </c>
      <c r="C40" s="60" t="s">
        <v>28</v>
      </c>
      <c r="D40" s="61">
        <v>184.11</v>
      </c>
      <c r="E40" s="61">
        <f>1.683*8.3454</f>
        <v>14.045308199999999</v>
      </c>
      <c r="F40" s="61" t="s">
        <v>103</v>
      </c>
      <c r="G40" s="61"/>
      <c r="H40" s="62"/>
      <c r="I40" s="67"/>
      <c r="J40" s="67"/>
      <c r="K40" s="67"/>
      <c r="L40" s="67"/>
      <c r="M40" s="67"/>
      <c r="N40" s="62" t="s">
        <v>109</v>
      </c>
      <c r="O40" s="63">
        <f t="shared" si="0"/>
        <v>0</v>
      </c>
      <c r="P40" s="63">
        <f t="shared" si="1"/>
        <v>0</v>
      </c>
      <c r="Q40" s="63">
        <f t="shared" si="2"/>
        <v>0</v>
      </c>
      <c r="R40" s="64">
        <f t="shared" si="3"/>
        <v>1</v>
      </c>
      <c r="S40" s="64">
        <f t="shared" si="4"/>
        <v>1</v>
      </c>
      <c r="T40" s="20"/>
      <c r="V40" s="74" t="s">
        <v>149</v>
      </c>
      <c r="X40" s="18"/>
      <c r="Y40" s="69"/>
      <c r="Z40" s="18"/>
      <c r="AA40" s="68"/>
      <c r="AB40" s="24"/>
      <c r="AC40" s="24"/>
      <c r="AJ40" s="6"/>
      <c r="AM40" s="24"/>
      <c r="AN40" s="24"/>
      <c r="AO40" s="24"/>
      <c r="AP40" s="24"/>
      <c r="AQ40" s="24"/>
      <c r="AR40" s="24"/>
      <c r="AS40" s="24"/>
      <c r="AT40" s="24"/>
      <c r="AU40" s="24"/>
      <c r="AV40" s="24"/>
      <c r="AW40" s="24"/>
      <c r="AX40" s="24"/>
    </row>
    <row r="41" spans="1:50" ht="14.25" customHeight="1">
      <c r="A41" s="59" t="s">
        <v>150</v>
      </c>
      <c r="B41" s="59" t="s">
        <v>151</v>
      </c>
      <c r="C41" s="60" t="s">
        <v>28</v>
      </c>
      <c r="D41" s="61">
        <v>182.13</v>
      </c>
      <c r="E41" s="61">
        <f>1.521*8.3454</f>
        <v>12.693353399999999</v>
      </c>
      <c r="F41" s="61" t="s">
        <v>92</v>
      </c>
      <c r="G41" s="61"/>
      <c r="H41" s="62"/>
      <c r="I41" s="62">
        <v>8.6192200000000003</v>
      </c>
      <c r="J41" s="62">
        <v>3718.3472000000002</v>
      </c>
      <c r="K41" s="62">
        <v>326.53100000000001</v>
      </c>
      <c r="L41" s="62">
        <v>782.35200000000009</v>
      </c>
      <c r="M41" s="62">
        <v>1134.846</v>
      </c>
      <c r="N41" s="62" t="s">
        <v>98</v>
      </c>
      <c r="O41" s="63">
        <f t="shared" si="0"/>
        <v>8.6192200000000003</v>
      </c>
      <c r="P41" s="63">
        <f t="shared" si="1"/>
        <v>3718.3472000000002</v>
      </c>
      <c r="Q41" s="63">
        <f t="shared" si="2"/>
        <v>326.53100000000001</v>
      </c>
      <c r="R41" s="64">
        <f t="shared" si="3"/>
        <v>1</v>
      </c>
      <c r="S41" s="64">
        <f t="shared" si="4"/>
        <v>1</v>
      </c>
      <c r="T41" s="20"/>
      <c r="U41" s="75"/>
      <c r="V41" s="74" t="s">
        <v>152</v>
      </c>
      <c r="X41" s="18"/>
      <c r="Y41" s="69"/>
      <c r="Z41" s="18"/>
      <c r="AA41" s="68"/>
      <c r="AB41" s="24"/>
      <c r="AC41" s="24"/>
      <c r="AJ41" s="6"/>
      <c r="AM41" s="24"/>
      <c r="AN41" s="24"/>
      <c r="AO41" s="24"/>
      <c r="AP41" s="24"/>
      <c r="AQ41" s="24"/>
      <c r="AR41" s="24"/>
      <c r="AS41" s="24"/>
      <c r="AT41" s="24"/>
      <c r="AU41" s="24"/>
      <c r="AV41" s="24"/>
      <c r="AW41" s="24"/>
      <c r="AX41" s="24"/>
    </row>
    <row r="42" spans="1:50" ht="14.25" customHeight="1">
      <c r="A42" s="59" t="s">
        <v>153</v>
      </c>
      <c r="B42" s="59" t="s">
        <v>154</v>
      </c>
      <c r="C42" s="60" t="s">
        <v>28</v>
      </c>
      <c r="D42" s="61">
        <v>122.17</v>
      </c>
      <c r="E42" s="61">
        <f>1.26*8.3454</f>
        <v>10.515203999999999</v>
      </c>
      <c r="F42" s="61" t="s">
        <v>92</v>
      </c>
      <c r="G42" s="61"/>
      <c r="H42" s="62"/>
      <c r="I42" s="62">
        <f>5.79003 -LOG10(1.01325/760)</f>
        <v>8.6651269798670612</v>
      </c>
      <c r="J42" s="62">
        <v>3021.79</v>
      </c>
      <c r="K42" s="62">
        <f>-30.879+273.15</f>
        <v>242.27099999999999</v>
      </c>
      <c r="L42" s="62">
        <v>683.46</v>
      </c>
      <c r="M42" s="62">
        <v>995.4</v>
      </c>
      <c r="N42" s="62" t="s">
        <v>130</v>
      </c>
      <c r="O42" s="63">
        <f t="shared" si="0"/>
        <v>8.6651269798670612</v>
      </c>
      <c r="P42" s="63">
        <f t="shared" si="1"/>
        <v>3021.79</v>
      </c>
      <c r="Q42" s="63">
        <f t="shared" si="2"/>
        <v>242.27099999999999</v>
      </c>
      <c r="R42" s="64">
        <f t="shared" si="3"/>
        <v>1</v>
      </c>
      <c r="S42" s="64">
        <f t="shared" si="4"/>
        <v>1</v>
      </c>
      <c r="T42" s="20"/>
      <c r="V42" s="74" t="s">
        <v>155</v>
      </c>
      <c r="W42" s="66"/>
      <c r="X42" s="37"/>
      <c r="Y42" s="76"/>
      <c r="Z42" s="18"/>
      <c r="AJ42" s="24"/>
      <c r="AK42" s="24"/>
      <c r="AL42" s="24"/>
      <c r="AM42" s="24"/>
      <c r="AN42" s="24"/>
      <c r="AO42" s="24"/>
      <c r="AP42" s="24"/>
      <c r="AQ42" s="24"/>
      <c r="AR42" s="24"/>
      <c r="AS42" s="24"/>
      <c r="AT42" s="24"/>
      <c r="AU42" s="24"/>
      <c r="AV42" s="24"/>
      <c r="AW42" s="24"/>
      <c r="AX42" s="24"/>
    </row>
    <row r="43" spans="1:50" ht="14.25" customHeight="1">
      <c r="A43" s="59" t="s">
        <v>156</v>
      </c>
      <c r="B43" s="59" t="s">
        <v>157</v>
      </c>
      <c r="C43" s="60" t="s">
        <v>28</v>
      </c>
      <c r="D43" s="61">
        <v>174.16</v>
      </c>
      <c r="E43" s="61">
        <f>1.225*8.3454</f>
        <v>10.223115</v>
      </c>
      <c r="F43" s="61" t="s">
        <v>103</v>
      </c>
      <c r="G43" s="61"/>
      <c r="H43" s="62"/>
      <c r="I43" s="62"/>
      <c r="J43" s="62"/>
      <c r="K43" s="62"/>
      <c r="L43" s="62"/>
      <c r="M43" s="62"/>
      <c r="N43" s="62" t="s">
        <v>158</v>
      </c>
      <c r="O43" s="63">
        <f t="shared" si="0"/>
        <v>0</v>
      </c>
      <c r="P43" s="63">
        <f t="shared" si="1"/>
        <v>0</v>
      </c>
      <c r="Q43" s="63">
        <f t="shared" si="2"/>
        <v>0</v>
      </c>
      <c r="R43" s="64">
        <f t="shared" si="3"/>
        <v>1</v>
      </c>
      <c r="S43" s="64">
        <f t="shared" si="4"/>
        <v>1</v>
      </c>
      <c r="T43" s="20"/>
      <c r="V43" s="35"/>
      <c r="W43" s="66"/>
      <c r="X43" s="66"/>
      <c r="Y43" s="66"/>
      <c r="AI43" s="7"/>
      <c r="AJ43" s="24"/>
      <c r="AK43" s="24"/>
      <c r="AL43" s="24"/>
      <c r="AM43" s="24"/>
      <c r="AN43" s="24"/>
      <c r="AO43" s="24"/>
      <c r="AP43" s="24"/>
      <c r="AQ43" s="24"/>
      <c r="AR43" s="24"/>
      <c r="AS43" s="24"/>
      <c r="AT43" s="24"/>
      <c r="AU43" s="24"/>
      <c r="AV43" s="24"/>
      <c r="AW43" s="24"/>
      <c r="AX43" s="24"/>
    </row>
    <row r="44" spans="1:50" ht="14.25" customHeight="1">
      <c r="A44" s="59" t="s">
        <v>159</v>
      </c>
      <c r="B44" s="59" t="s">
        <v>160</v>
      </c>
      <c r="C44" s="60" t="s">
        <v>28</v>
      </c>
      <c r="D44" s="61">
        <v>223.27</v>
      </c>
      <c r="E44" s="61">
        <f>1.0707*8.3454</f>
        <v>8.9354197800000001</v>
      </c>
      <c r="F44" s="61" t="s">
        <v>103</v>
      </c>
      <c r="G44" s="61"/>
      <c r="H44" s="62"/>
      <c r="I44" s="62"/>
      <c r="J44" s="62"/>
      <c r="K44" s="62"/>
      <c r="L44" s="62"/>
      <c r="M44" s="62"/>
      <c r="N44" s="62" t="s">
        <v>109</v>
      </c>
      <c r="O44" s="63">
        <f t="shared" si="0"/>
        <v>0</v>
      </c>
      <c r="P44" s="63">
        <f t="shared" si="1"/>
        <v>0</v>
      </c>
      <c r="Q44" s="63">
        <f t="shared" si="2"/>
        <v>0</v>
      </c>
      <c r="R44" s="64">
        <f t="shared" si="3"/>
        <v>1</v>
      </c>
      <c r="S44" s="64">
        <f t="shared" si="4"/>
        <v>1</v>
      </c>
      <c r="T44" s="20"/>
      <c r="V44" s="73" t="s">
        <v>161</v>
      </c>
      <c r="W44" s="66"/>
      <c r="X44" s="66"/>
      <c r="Y44" s="66"/>
      <c r="AI44" s="7"/>
      <c r="AJ44" s="24"/>
      <c r="AK44" s="24"/>
      <c r="AL44" s="24"/>
      <c r="AM44" s="24"/>
      <c r="AN44" s="24"/>
      <c r="AO44" s="24"/>
      <c r="AP44" s="24"/>
      <c r="AQ44" s="24"/>
      <c r="AR44" s="24"/>
      <c r="AS44" s="24"/>
      <c r="AT44" s="24"/>
      <c r="AU44" s="24"/>
      <c r="AV44" s="24"/>
      <c r="AW44" s="24"/>
      <c r="AX44" s="24"/>
    </row>
    <row r="45" spans="1:50" ht="14.25" customHeight="1">
      <c r="A45" s="59" t="s">
        <v>162</v>
      </c>
      <c r="B45" s="77" t="s">
        <v>163</v>
      </c>
      <c r="C45" s="60" t="s">
        <v>33</v>
      </c>
      <c r="D45" s="61">
        <v>347.22</v>
      </c>
      <c r="E45" s="61">
        <v>7.7895600000000007</v>
      </c>
      <c r="F45" s="59" t="s">
        <v>103</v>
      </c>
      <c r="G45" s="61"/>
      <c r="H45" s="62"/>
      <c r="I45" s="62"/>
      <c r="J45" s="78"/>
      <c r="K45" s="78"/>
      <c r="L45" s="62"/>
      <c r="M45" s="62"/>
      <c r="N45" s="79" t="s">
        <v>164</v>
      </c>
      <c r="O45" s="63">
        <f t="shared" si="0"/>
        <v>0</v>
      </c>
      <c r="P45" s="63">
        <f t="shared" si="1"/>
        <v>0</v>
      </c>
      <c r="Q45" s="63">
        <f t="shared" si="2"/>
        <v>0</v>
      </c>
      <c r="R45" s="64">
        <f t="shared" si="3"/>
        <v>1</v>
      </c>
      <c r="S45" s="64">
        <f t="shared" si="4"/>
        <v>1</v>
      </c>
      <c r="T45" s="20"/>
      <c r="V45" s="35" t="s">
        <v>165</v>
      </c>
      <c r="W45" s="66"/>
      <c r="X45" s="66"/>
      <c r="Y45" s="66"/>
      <c r="AI45" s="7"/>
      <c r="AJ45" s="24"/>
      <c r="AK45" s="24"/>
      <c r="AL45" s="24"/>
      <c r="AM45" s="24"/>
      <c r="AN45" s="24"/>
      <c r="AO45" s="24"/>
      <c r="AP45" s="24"/>
      <c r="AQ45" s="24"/>
      <c r="AR45" s="24"/>
      <c r="AS45" s="24"/>
      <c r="AT45" s="24"/>
      <c r="AU45" s="24"/>
      <c r="AV45" s="24"/>
      <c r="AW45" s="24"/>
      <c r="AX45" s="24"/>
    </row>
    <row r="46" spans="1:50" ht="14.25" customHeight="1">
      <c r="A46" s="59" t="s">
        <v>166</v>
      </c>
      <c r="B46" s="59" t="s">
        <v>167</v>
      </c>
      <c r="C46" s="60" t="s">
        <v>28</v>
      </c>
      <c r="D46" s="61">
        <v>154.59</v>
      </c>
      <c r="E46" s="61">
        <f>1.324*8.3454</f>
        <v>11.049309600000001</v>
      </c>
      <c r="F46" s="61" t="s">
        <v>103</v>
      </c>
      <c r="G46" s="61"/>
      <c r="H46" s="62"/>
      <c r="I46" s="67"/>
      <c r="J46" s="67"/>
      <c r="K46" s="67"/>
      <c r="L46" s="67"/>
      <c r="M46" s="67"/>
      <c r="N46" s="62" t="s">
        <v>168</v>
      </c>
      <c r="O46" s="63">
        <f t="shared" si="0"/>
        <v>0</v>
      </c>
      <c r="P46" s="63">
        <f t="shared" si="1"/>
        <v>0</v>
      </c>
      <c r="Q46" s="63">
        <f t="shared" si="2"/>
        <v>0</v>
      </c>
      <c r="R46" s="64">
        <f t="shared" si="3"/>
        <v>1</v>
      </c>
      <c r="S46" s="64">
        <f t="shared" si="4"/>
        <v>1</v>
      </c>
      <c r="T46" s="20"/>
      <c r="V46" s="35"/>
      <c r="W46" s="66"/>
      <c r="X46" s="66"/>
      <c r="Y46" s="66"/>
      <c r="AI46" s="7"/>
      <c r="AJ46" s="24"/>
      <c r="AK46" s="24"/>
      <c r="AL46" s="24"/>
      <c r="AM46" s="24"/>
      <c r="AN46" s="24"/>
      <c r="AO46" s="24"/>
      <c r="AP46" s="24"/>
      <c r="AQ46" s="24"/>
      <c r="AR46" s="24"/>
      <c r="AS46" s="24"/>
      <c r="AT46" s="24"/>
      <c r="AU46" s="24"/>
      <c r="AV46" s="24"/>
      <c r="AW46" s="24"/>
      <c r="AX46" s="24"/>
    </row>
    <row r="47" spans="1:50" ht="14.25" customHeight="1">
      <c r="A47" s="65" t="s">
        <v>169</v>
      </c>
      <c r="B47" s="59" t="s">
        <v>170</v>
      </c>
      <c r="C47" s="60" t="s">
        <v>28</v>
      </c>
      <c r="D47" s="61">
        <v>89.09</v>
      </c>
      <c r="E47" s="61">
        <f>0.992*8.3454</f>
        <v>8.2786367999999992</v>
      </c>
      <c r="F47" s="61" t="s">
        <v>92</v>
      </c>
      <c r="G47" s="61"/>
      <c r="H47" s="62"/>
      <c r="I47" s="62">
        <v>7.4872100000000001</v>
      </c>
      <c r="J47" s="62">
        <v>1670.1398999999999</v>
      </c>
      <c r="K47" s="62">
        <v>242.22</v>
      </c>
      <c r="L47" s="62">
        <v>519.08400000000006</v>
      </c>
      <c r="M47" s="62">
        <v>753.93000000000006</v>
      </c>
      <c r="N47" s="62" t="s">
        <v>98</v>
      </c>
      <c r="O47" s="63">
        <f t="shared" si="0"/>
        <v>7.4872100000000001</v>
      </c>
      <c r="P47" s="63">
        <f t="shared" si="1"/>
        <v>1670.1398999999999</v>
      </c>
      <c r="Q47" s="63">
        <f t="shared" si="2"/>
        <v>242.22</v>
      </c>
      <c r="R47" s="64">
        <f t="shared" si="3"/>
        <v>1</v>
      </c>
      <c r="S47" s="64">
        <f t="shared" si="4"/>
        <v>1</v>
      </c>
      <c r="T47" s="20"/>
      <c r="V47" s="73" t="s">
        <v>171</v>
      </c>
      <c r="W47" s="66"/>
      <c r="X47" s="66"/>
      <c r="Y47" s="66"/>
      <c r="AC47" s="72"/>
      <c r="AI47" s="7"/>
      <c r="AJ47" s="24"/>
      <c r="AK47" s="24"/>
      <c r="AL47" s="24"/>
      <c r="AM47" s="24"/>
      <c r="AN47" s="24"/>
      <c r="AO47" s="24"/>
      <c r="AP47" s="24"/>
      <c r="AQ47" s="24"/>
      <c r="AR47" s="24"/>
      <c r="AS47" s="24"/>
      <c r="AT47" s="24"/>
      <c r="AU47" s="24"/>
      <c r="AV47" s="24"/>
      <c r="AW47" s="24"/>
      <c r="AX47" s="24"/>
    </row>
    <row r="48" spans="1:50" ht="14.25" customHeight="1">
      <c r="A48" s="59" t="s">
        <v>172</v>
      </c>
      <c r="B48" s="59" t="s">
        <v>173</v>
      </c>
      <c r="C48" s="60" t="s">
        <v>28</v>
      </c>
      <c r="D48" s="61">
        <v>253.13</v>
      </c>
      <c r="E48" s="61">
        <f>1.3171*8.3454</f>
        <v>10.99172634</v>
      </c>
      <c r="F48" s="61" t="s">
        <v>103</v>
      </c>
      <c r="G48" s="61"/>
      <c r="H48" s="62"/>
      <c r="I48" s="62"/>
      <c r="J48" s="62"/>
      <c r="K48" s="62"/>
      <c r="L48" s="62"/>
      <c r="M48" s="62"/>
      <c r="N48" s="62" t="s">
        <v>158</v>
      </c>
      <c r="O48" s="63">
        <f t="shared" si="0"/>
        <v>0</v>
      </c>
      <c r="P48" s="63">
        <f t="shared" si="1"/>
        <v>0</v>
      </c>
      <c r="Q48" s="63">
        <f t="shared" si="2"/>
        <v>0</v>
      </c>
      <c r="R48" s="64">
        <f t="shared" si="3"/>
        <v>1</v>
      </c>
      <c r="S48" s="64">
        <f t="shared" si="4"/>
        <v>1</v>
      </c>
      <c r="T48" s="20"/>
      <c r="V48" s="74" t="s">
        <v>174</v>
      </c>
      <c r="W48" s="66"/>
      <c r="X48" s="66"/>
      <c r="Y48" s="66"/>
      <c r="AC48" s="72"/>
      <c r="AH48" s="7"/>
      <c r="AI48" s="7"/>
      <c r="AJ48" s="24"/>
      <c r="AK48" s="24"/>
      <c r="AL48" s="24"/>
      <c r="AM48" s="24"/>
      <c r="AN48" s="24"/>
      <c r="AO48" s="24"/>
      <c r="AP48" s="24"/>
      <c r="AQ48" s="24"/>
      <c r="AR48" s="24"/>
      <c r="AS48" s="24"/>
      <c r="AT48" s="24"/>
      <c r="AU48" s="24"/>
      <c r="AV48" s="24"/>
      <c r="AW48" s="24"/>
      <c r="AX48" s="24"/>
    </row>
    <row r="49" spans="1:50" ht="14.25" customHeight="1">
      <c r="A49" s="59" t="s">
        <v>175</v>
      </c>
      <c r="B49" s="59" t="s">
        <v>176</v>
      </c>
      <c r="C49" s="60" t="s">
        <v>28</v>
      </c>
      <c r="D49" s="61">
        <v>244.29</v>
      </c>
      <c r="E49" s="61">
        <f>1.1079*8.3454</f>
        <v>9.2458686600000011</v>
      </c>
      <c r="F49" s="61" t="s">
        <v>103</v>
      </c>
      <c r="G49" s="61"/>
      <c r="H49" s="62"/>
      <c r="I49" s="62"/>
      <c r="J49" s="62"/>
      <c r="K49" s="62"/>
      <c r="L49" s="62"/>
      <c r="M49" s="62"/>
      <c r="N49" s="62" t="s">
        <v>158</v>
      </c>
      <c r="O49" s="63">
        <f t="shared" si="0"/>
        <v>0</v>
      </c>
      <c r="P49" s="63">
        <f t="shared" si="1"/>
        <v>0</v>
      </c>
      <c r="Q49" s="63">
        <f t="shared" si="2"/>
        <v>0</v>
      </c>
      <c r="R49" s="64">
        <f t="shared" si="3"/>
        <v>1</v>
      </c>
      <c r="S49" s="64">
        <f t="shared" si="4"/>
        <v>1</v>
      </c>
      <c r="T49" s="20"/>
      <c r="V49" s="74"/>
      <c r="W49" s="66"/>
      <c r="X49" s="66"/>
      <c r="Y49" s="66"/>
      <c r="AC49" s="72"/>
      <c r="AH49" s="7"/>
      <c r="AI49" s="7"/>
      <c r="AJ49" s="24"/>
      <c r="AK49" s="24"/>
      <c r="AL49" s="24"/>
      <c r="AM49" s="24"/>
      <c r="AN49" s="24"/>
      <c r="AO49" s="24"/>
      <c r="AP49" s="24"/>
      <c r="AQ49" s="24"/>
      <c r="AR49" s="24"/>
      <c r="AS49" s="24"/>
      <c r="AT49" s="24"/>
      <c r="AU49" s="24"/>
      <c r="AV49" s="24"/>
      <c r="AW49" s="24"/>
      <c r="AX49" s="24"/>
    </row>
    <row r="50" spans="1:50" ht="14.25" customHeight="1">
      <c r="A50" s="59" t="s">
        <v>177</v>
      </c>
      <c r="B50" s="59" t="s">
        <v>178</v>
      </c>
      <c r="C50" s="60" t="s">
        <v>28</v>
      </c>
      <c r="D50" s="61">
        <v>212.29</v>
      </c>
      <c r="E50" s="61">
        <f>0.9678*8.3454</f>
        <v>8.0766781200000004</v>
      </c>
      <c r="F50" s="61" t="s">
        <v>103</v>
      </c>
      <c r="G50" s="61"/>
      <c r="H50" s="62"/>
      <c r="I50" s="62"/>
      <c r="J50" s="62"/>
      <c r="K50" s="62"/>
      <c r="L50" s="62"/>
      <c r="M50" s="62"/>
      <c r="N50" s="62" t="s">
        <v>158</v>
      </c>
      <c r="O50" s="63">
        <f t="shared" si="0"/>
        <v>0</v>
      </c>
      <c r="P50" s="63">
        <f t="shared" si="1"/>
        <v>0</v>
      </c>
      <c r="Q50" s="63">
        <f t="shared" si="2"/>
        <v>0</v>
      </c>
      <c r="R50" s="64">
        <f t="shared" si="3"/>
        <v>1</v>
      </c>
      <c r="S50" s="64">
        <f t="shared" si="4"/>
        <v>1</v>
      </c>
      <c r="T50" s="20"/>
      <c r="V50" s="74" t="s">
        <v>179</v>
      </c>
      <c r="W50" s="66"/>
      <c r="X50" s="66"/>
      <c r="Y50" s="66"/>
      <c r="AC50" s="72"/>
      <c r="AH50" s="7"/>
      <c r="AI50" s="7"/>
      <c r="AJ50" s="24"/>
      <c r="AK50" s="24"/>
      <c r="AL50" s="24"/>
      <c r="AM50" s="24"/>
      <c r="AN50" s="24"/>
      <c r="AO50" s="24"/>
      <c r="AP50" s="24"/>
      <c r="AQ50" s="24"/>
      <c r="AR50" s="24"/>
      <c r="AS50" s="24"/>
      <c r="AT50" s="24"/>
      <c r="AU50" s="24"/>
      <c r="AV50" s="24"/>
      <c r="AW50" s="24"/>
      <c r="AX50" s="24"/>
    </row>
    <row r="51" spans="1:50" ht="14.25" customHeight="1">
      <c r="A51" s="59" t="s">
        <v>180</v>
      </c>
      <c r="B51" s="59" t="s">
        <v>181</v>
      </c>
      <c r="C51" s="60" t="s">
        <v>28</v>
      </c>
      <c r="D51" s="61">
        <v>267.14999999999998</v>
      </c>
      <c r="E51" s="61">
        <f>1.44*8.3454</f>
        <v>12.017375999999999</v>
      </c>
      <c r="F51" s="61" t="s">
        <v>103</v>
      </c>
      <c r="G51" s="61"/>
      <c r="H51" s="62"/>
      <c r="I51" s="62"/>
      <c r="J51" s="62"/>
      <c r="K51" s="62"/>
      <c r="L51" s="62"/>
      <c r="M51" s="62"/>
      <c r="N51" s="62" t="s">
        <v>168</v>
      </c>
      <c r="O51" s="63">
        <f t="shared" si="0"/>
        <v>0</v>
      </c>
      <c r="P51" s="63">
        <f t="shared" si="1"/>
        <v>0</v>
      </c>
      <c r="Q51" s="63">
        <f t="shared" si="2"/>
        <v>0</v>
      </c>
      <c r="R51" s="64">
        <f t="shared" si="3"/>
        <v>1</v>
      </c>
      <c r="S51" s="64">
        <f t="shared" si="4"/>
        <v>1</v>
      </c>
      <c r="T51" s="20"/>
      <c r="V51" s="66"/>
      <c r="W51" s="66"/>
      <c r="X51" s="66"/>
      <c r="Y51" s="66"/>
      <c r="AC51" s="72"/>
      <c r="AH51" s="7"/>
      <c r="AI51" s="24"/>
      <c r="AJ51" s="24"/>
      <c r="AK51" s="24"/>
      <c r="AL51" s="24"/>
      <c r="AM51" s="24"/>
      <c r="AN51" s="24"/>
      <c r="AO51" s="24"/>
      <c r="AP51" s="24"/>
      <c r="AQ51" s="24"/>
      <c r="AR51" s="24"/>
      <c r="AS51" s="24"/>
      <c r="AT51" s="24"/>
      <c r="AU51" s="24"/>
      <c r="AV51" s="24"/>
      <c r="AW51" s="24"/>
      <c r="AX51" s="24"/>
    </row>
    <row r="52" spans="1:50" ht="14.25" customHeight="1">
      <c r="A52" s="59" t="s">
        <v>182</v>
      </c>
      <c r="B52" s="59" t="s">
        <v>183</v>
      </c>
      <c r="C52" s="60" t="s">
        <v>28</v>
      </c>
      <c r="D52" s="61">
        <v>198.26</v>
      </c>
      <c r="E52" s="61">
        <f>1.15*8.3454</f>
        <v>9.5972099999999987</v>
      </c>
      <c r="F52" s="61" t="s">
        <v>103</v>
      </c>
      <c r="G52" s="61"/>
      <c r="H52" s="62"/>
      <c r="I52" s="62"/>
      <c r="J52" s="62"/>
      <c r="K52" s="62"/>
      <c r="L52" s="62"/>
      <c r="M52" s="62"/>
      <c r="N52" s="62" t="s">
        <v>168</v>
      </c>
      <c r="O52" s="63">
        <f t="shared" si="0"/>
        <v>0</v>
      </c>
      <c r="P52" s="63">
        <f t="shared" si="1"/>
        <v>0</v>
      </c>
      <c r="Q52" s="63">
        <f t="shared" si="2"/>
        <v>0</v>
      </c>
      <c r="R52" s="64">
        <f t="shared" si="3"/>
        <v>1</v>
      </c>
      <c r="S52" s="64">
        <f t="shared" si="4"/>
        <v>1</v>
      </c>
      <c r="T52" s="20"/>
      <c r="U52" s="58" t="s">
        <v>184</v>
      </c>
      <c r="V52" s="35" t="s">
        <v>185</v>
      </c>
      <c r="X52" s="18"/>
      <c r="Y52" s="69"/>
      <c r="Z52" s="18"/>
      <c r="AA52" s="68"/>
      <c r="AB52" s="24"/>
      <c r="AC52" s="72"/>
      <c r="AH52" s="7"/>
      <c r="AI52" s="24"/>
      <c r="AJ52" s="24"/>
      <c r="AK52" s="24"/>
      <c r="AL52" s="24"/>
      <c r="AM52" s="24"/>
      <c r="AN52" s="24"/>
      <c r="AO52" s="24"/>
      <c r="AP52" s="24"/>
      <c r="AQ52" s="24"/>
      <c r="AR52" s="24"/>
      <c r="AS52" s="24"/>
      <c r="AT52" s="24"/>
      <c r="AU52" s="24"/>
      <c r="AV52" s="24"/>
      <c r="AW52" s="24"/>
      <c r="AX52" s="24"/>
    </row>
    <row r="53" spans="1:50" ht="14.25" customHeight="1">
      <c r="A53" s="59" t="s">
        <v>186</v>
      </c>
      <c r="B53" s="59" t="s">
        <v>187</v>
      </c>
      <c r="C53" s="60" t="s">
        <v>28</v>
      </c>
      <c r="D53" s="61">
        <v>198.13</v>
      </c>
      <c r="E53" s="61">
        <f>1.5928*8.3454</f>
        <v>13.292553119999999</v>
      </c>
      <c r="F53" s="61" t="s">
        <v>103</v>
      </c>
      <c r="G53" s="61"/>
      <c r="H53" s="62"/>
      <c r="I53" s="62"/>
      <c r="J53" s="62"/>
      <c r="K53" s="62"/>
      <c r="L53" s="62"/>
      <c r="M53" s="62"/>
      <c r="N53" s="62" t="s">
        <v>168</v>
      </c>
      <c r="O53" s="63">
        <f t="shared" si="0"/>
        <v>0</v>
      </c>
      <c r="P53" s="63">
        <f t="shared" si="1"/>
        <v>0</v>
      </c>
      <c r="Q53" s="63">
        <f t="shared" si="2"/>
        <v>0</v>
      </c>
      <c r="R53" s="64">
        <f t="shared" si="3"/>
        <v>1</v>
      </c>
      <c r="S53" s="64">
        <f t="shared" si="4"/>
        <v>1</v>
      </c>
      <c r="T53" s="20"/>
      <c r="V53" s="17"/>
      <c r="X53" s="18"/>
      <c r="Y53" s="69"/>
      <c r="Z53" s="18"/>
      <c r="AA53" s="68"/>
      <c r="AB53" s="24"/>
      <c r="AC53" s="72"/>
      <c r="AH53" s="7"/>
      <c r="AI53" s="24"/>
      <c r="AJ53" s="24"/>
      <c r="AK53" s="24"/>
      <c r="AL53" s="24"/>
      <c r="AM53" s="24"/>
      <c r="AN53" s="24"/>
      <c r="AO53" s="24"/>
      <c r="AP53" s="24"/>
      <c r="AQ53" s="24"/>
      <c r="AR53" s="24"/>
      <c r="AS53" s="24"/>
      <c r="AT53" s="24"/>
      <c r="AU53" s="24"/>
      <c r="AV53" s="24"/>
      <c r="AW53" s="24"/>
      <c r="AX53" s="24"/>
    </row>
    <row r="54" spans="1:50" ht="14.25" customHeight="1">
      <c r="A54" s="59" t="s">
        <v>188</v>
      </c>
      <c r="B54" s="59" t="s">
        <v>189</v>
      </c>
      <c r="C54" s="60" t="s">
        <v>28</v>
      </c>
      <c r="D54" s="61">
        <v>169.22</v>
      </c>
      <c r="E54" s="61">
        <f>1.16*8.3454</f>
        <v>9.6806639999999984</v>
      </c>
      <c r="F54" s="61" t="s">
        <v>103</v>
      </c>
      <c r="G54" s="61"/>
      <c r="H54" s="62"/>
      <c r="I54" s="67"/>
      <c r="J54" s="67"/>
      <c r="K54" s="67"/>
      <c r="L54" s="67"/>
      <c r="M54" s="67"/>
      <c r="N54" s="62" t="s">
        <v>109</v>
      </c>
      <c r="O54" s="63">
        <f t="shared" si="0"/>
        <v>0</v>
      </c>
      <c r="P54" s="63">
        <f t="shared" si="1"/>
        <v>0</v>
      </c>
      <c r="Q54" s="63">
        <f t="shared" si="2"/>
        <v>0</v>
      </c>
      <c r="R54" s="64">
        <f t="shared" si="3"/>
        <v>1</v>
      </c>
      <c r="S54" s="64">
        <f t="shared" si="4"/>
        <v>1</v>
      </c>
      <c r="T54" s="20"/>
      <c r="V54" s="17"/>
      <c r="X54" s="18"/>
      <c r="Y54" s="69"/>
      <c r="Z54" s="18"/>
      <c r="AA54" s="68"/>
      <c r="AB54" s="24"/>
      <c r="AC54" s="72"/>
      <c r="AH54" s="7"/>
      <c r="AI54" s="24"/>
      <c r="AJ54" s="24"/>
      <c r="AK54" s="24"/>
      <c r="AL54" s="24"/>
      <c r="AM54" s="24"/>
      <c r="AN54" s="24"/>
      <c r="AO54" s="24"/>
      <c r="AP54" s="24"/>
      <c r="AQ54" s="24"/>
      <c r="AR54" s="24"/>
      <c r="AS54" s="24"/>
      <c r="AT54" s="24"/>
      <c r="AU54" s="24"/>
      <c r="AV54" s="24"/>
      <c r="AW54" s="24"/>
      <c r="AX54" s="24"/>
    </row>
    <row r="55" spans="1:50" ht="14.25" customHeight="1">
      <c r="A55" s="59" t="s">
        <v>190</v>
      </c>
      <c r="B55" s="59" t="s">
        <v>191</v>
      </c>
      <c r="C55" s="60" t="s">
        <v>28</v>
      </c>
      <c r="D55" s="61">
        <v>199.21</v>
      </c>
      <c r="E55" s="61">
        <f>1.1919*8.3454</f>
        <v>9.9468822599999989</v>
      </c>
      <c r="F55" s="61" t="s">
        <v>103</v>
      </c>
      <c r="G55" s="61"/>
      <c r="H55" s="62"/>
      <c r="I55" s="67"/>
      <c r="J55" s="67"/>
      <c r="K55" s="67"/>
      <c r="L55" s="67"/>
      <c r="M55" s="67"/>
      <c r="N55" s="62" t="s">
        <v>126</v>
      </c>
      <c r="O55" s="63">
        <f t="shared" si="0"/>
        <v>0</v>
      </c>
      <c r="P55" s="63">
        <f t="shared" si="1"/>
        <v>0</v>
      </c>
      <c r="Q55" s="63">
        <f t="shared" si="2"/>
        <v>0</v>
      </c>
      <c r="R55" s="64">
        <f t="shared" si="3"/>
        <v>1</v>
      </c>
      <c r="S55" s="64">
        <f t="shared" si="4"/>
        <v>1</v>
      </c>
      <c r="T55" s="20"/>
      <c r="V55" s="17"/>
      <c r="X55" s="18"/>
      <c r="Y55" s="69"/>
      <c r="Z55" s="18"/>
      <c r="AA55" s="68"/>
      <c r="AB55" s="24"/>
      <c r="AC55" s="72"/>
      <c r="AH55" s="7"/>
      <c r="AI55" s="24"/>
      <c r="AJ55" s="24"/>
      <c r="AK55" s="24"/>
      <c r="AL55" s="24"/>
      <c r="AM55" s="24"/>
      <c r="AN55" s="24"/>
      <c r="AO55" s="24"/>
      <c r="AP55" s="24"/>
      <c r="AQ55" s="24"/>
      <c r="AR55" s="24"/>
      <c r="AS55" s="24"/>
      <c r="AT55" s="24"/>
      <c r="AU55" s="24"/>
      <c r="AV55" s="24"/>
      <c r="AW55" s="24"/>
      <c r="AX55" s="24"/>
    </row>
    <row r="56" spans="1:50" ht="14.25" customHeight="1">
      <c r="A56" s="59" t="s">
        <v>192</v>
      </c>
      <c r="B56" s="59" t="s">
        <v>193</v>
      </c>
      <c r="C56" s="60" t="s">
        <v>28</v>
      </c>
      <c r="D56" s="61">
        <v>139.11000000000001</v>
      </c>
      <c r="E56" s="61">
        <f>1.27*8.3454</f>
        <v>10.598658</v>
      </c>
      <c r="F56" s="61" t="s">
        <v>103</v>
      </c>
      <c r="G56" s="61"/>
      <c r="H56" s="62"/>
      <c r="I56" s="62"/>
      <c r="J56" s="62"/>
      <c r="K56" s="62"/>
      <c r="L56" s="62"/>
      <c r="M56" s="62"/>
      <c r="N56" s="62" t="s">
        <v>168</v>
      </c>
      <c r="O56" s="63">
        <f t="shared" si="0"/>
        <v>0</v>
      </c>
      <c r="P56" s="63">
        <f t="shared" si="1"/>
        <v>0</v>
      </c>
      <c r="Q56" s="63">
        <f t="shared" si="2"/>
        <v>0</v>
      </c>
      <c r="R56" s="64">
        <f t="shared" si="3"/>
        <v>1</v>
      </c>
      <c r="S56" s="64">
        <f t="shared" si="4"/>
        <v>1</v>
      </c>
      <c r="T56" s="20"/>
      <c r="V56" s="17"/>
      <c r="X56" s="18"/>
      <c r="Y56" s="69"/>
      <c r="Z56" s="18"/>
      <c r="AA56" s="68"/>
      <c r="AB56" s="24"/>
      <c r="AC56" s="72"/>
      <c r="AH56" s="7"/>
      <c r="AI56" s="24"/>
      <c r="AJ56" s="24"/>
      <c r="AK56" s="24"/>
      <c r="AL56" s="24"/>
      <c r="AM56" s="24"/>
      <c r="AN56" s="24"/>
      <c r="AO56" s="24"/>
      <c r="AP56" s="24"/>
      <c r="AQ56" s="24"/>
      <c r="AR56" s="24"/>
      <c r="AS56" s="24"/>
      <c r="AT56" s="24"/>
      <c r="AU56" s="24"/>
      <c r="AV56" s="24"/>
      <c r="AW56" s="24"/>
      <c r="AX56" s="24"/>
    </row>
    <row r="57" spans="1:50" ht="14.25" customHeight="1">
      <c r="A57" s="59" t="s">
        <v>194</v>
      </c>
      <c r="B57" s="59" t="s">
        <v>195</v>
      </c>
      <c r="C57" s="60" t="s">
        <v>28</v>
      </c>
      <c r="D57" s="61">
        <v>44.05256</v>
      </c>
      <c r="E57" s="61">
        <v>6.5427970000000002</v>
      </c>
      <c r="F57" s="59" t="s">
        <v>92</v>
      </c>
      <c r="G57" s="61"/>
      <c r="H57" s="62"/>
      <c r="I57" s="62">
        <v>8.0050000000000008</v>
      </c>
      <c r="J57" s="62">
        <v>1600.0170000000001</v>
      </c>
      <c r="K57" s="62">
        <v>291.80900000000003</v>
      </c>
      <c r="L57" s="62">
        <v>491.67</v>
      </c>
      <c r="M57" s="62">
        <v>553.67000000000007</v>
      </c>
      <c r="N57" s="62" t="s">
        <v>93</v>
      </c>
      <c r="O57" s="63">
        <f t="shared" si="0"/>
        <v>8.0050000000000008</v>
      </c>
      <c r="P57" s="63">
        <f t="shared" si="1"/>
        <v>1600.0170000000001</v>
      </c>
      <c r="Q57" s="63">
        <f t="shared" si="2"/>
        <v>291.80900000000003</v>
      </c>
      <c r="R57" s="64">
        <f t="shared" si="3"/>
        <v>1</v>
      </c>
      <c r="S57" s="64">
        <f t="shared" si="4"/>
        <v>1</v>
      </c>
      <c r="T57" s="20"/>
      <c r="V57" s="17"/>
      <c r="Y57" s="6"/>
      <c r="AA57" s="80"/>
      <c r="AB57" s="24"/>
      <c r="AC57" s="72"/>
      <c r="AH57" s="7"/>
      <c r="AI57" s="24"/>
      <c r="AJ57" s="24"/>
      <c r="AK57" s="24"/>
      <c r="AL57" s="24"/>
      <c r="AM57" s="24"/>
      <c r="AN57" s="24"/>
      <c r="AO57" s="24"/>
      <c r="AP57" s="24"/>
      <c r="AQ57" s="24"/>
      <c r="AR57" s="24"/>
      <c r="AS57" s="24"/>
      <c r="AT57" s="24"/>
      <c r="AU57" s="24"/>
      <c r="AV57" s="24"/>
      <c r="AW57" s="24"/>
      <c r="AX57" s="24"/>
    </row>
    <row r="58" spans="1:50" ht="14.25" customHeight="1">
      <c r="A58" s="59" t="s">
        <v>196</v>
      </c>
      <c r="B58" s="59" t="s">
        <v>197</v>
      </c>
      <c r="C58" s="60" t="s">
        <v>28</v>
      </c>
      <c r="D58" s="61">
        <v>59.07</v>
      </c>
      <c r="E58" s="61">
        <f>1.159*8.3454</f>
        <v>9.6723186000000005</v>
      </c>
      <c r="F58" s="61" t="s">
        <v>92</v>
      </c>
      <c r="G58" s="61"/>
      <c r="H58" s="62"/>
      <c r="I58" s="62">
        <v>7.4060600000000001</v>
      </c>
      <c r="J58" s="62">
        <v>1807.15</v>
      </c>
      <c r="K58" s="62">
        <v>178.09800000000001</v>
      </c>
      <c r="L58" s="62">
        <v>637.47</v>
      </c>
      <c r="M58" s="62">
        <v>941.14799999999991</v>
      </c>
      <c r="N58" s="62" t="s">
        <v>98</v>
      </c>
      <c r="O58" s="63">
        <f t="shared" si="0"/>
        <v>7.4060600000000001</v>
      </c>
      <c r="P58" s="63">
        <f t="shared" si="1"/>
        <v>1807.15</v>
      </c>
      <c r="Q58" s="63">
        <f t="shared" si="2"/>
        <v>178.09800000000001</v>
      </c>
      <c r="R58" s="64">
        <f t="shared" si="3"/>
        <v>1</v>
      </c>
      <c r="S58" s="64">
        <f t="shared" si="4"/>
        <v>1</v>
      </c>
      <c r="T58" s="20"/>
      <c r="U58" s="12" t="s">
        <v>198</v>
      </c>
      <c r="Y58" s="6"/>
      <c r="AA58" s="80"/>
      <c r="AB58" s="24"/>
      <c r="AC58" s="72"/>
      <c r="AH58" s="7"/>
      <c r="AI58" s="24"/>
      <c r="AJ58" s="24"/>
      <c r="AK58" s="24"/>
      <c r="AL58" s="24"/>
      <c r="AM58" s="24"/>
      <c r="AN58" s="24"/>
      <c r="AO58" s="24"/>
      <c r="AP58" s="24"/>
      <c r="AQ58" s="24"/>
      <c r="AR58" s="24"/>
      <c r="AS58" s="24"/>
      <c r="AT58" s="24"/>
      <c r="AU58" s="24"/>
      <c r="AV58" s="24"/>
      <c r="AW58" s="24"/>
      <c r="AX58" s="24"/>
    </row>
    <row r="59" spans="1:50" ht="14.25" customHeight="1">
      <c r="A59" s="59" t="s">
        <v>199</v>
      </c>
      <c r="B59" s="59" t="s">
        <v>200</v>
      </c>
      <c r="C59" s="60" t="s">
        <v>24</v>
      </c>
      <c r="D59" s="61">
        <v>60.051960000000001</v>
      </c>
      <c r="E59" s="61">
        <v>8.7543290000000002</v>
      </c>
      <c r="F59" s="59" t="s">
        <v>92</v>
      </c>
      <c r="G59" s="61"/>
      <c r="H59" s="62"/>
      <c r="I59" s="62">
        <v>7.3869999999999996</v>
      </c>
      <c r="J59" s="62">
        <v>1533.3130000000001</v>
      </c>
      <c r="K59" s="62">
        <v>222.309</v>
      </c>
      <c r="L59" s="62">
        <v>522.67000000000007</v>
      </c>
      <c r="M59" s="62">
        <v>703.67000000000007</v>
      </c>
      <c r="N59" s="62" t="s">
        <v>93</v>
      </c>
      <c r="O59" s="63">
        <f t="shared" si="0"/>
        <v>7.3869999999999996</v>
      </c>
      <c r="P59" s="63">
        <f t="shared" si="1"/>
        <v>1533.3130000000001</v>
      </c>
      <c r="Q59" s="63">
        <f t="shared" si="2"/>
        <v>222.309</v>
      </c>
      <c r="R59" s="64">
        <f t="shared" si="3"/>
        <v>1</v>
      </c>
      <c r="S59" s="64">
        <f t="shared" si="4"/>
        <v>1</v>
      </c>
      <c r="T59" s="20"/>
      <c r="U59" s="13" t="s">
        <v>201</v>
      </c>
      <c r="V59" s="13" t="s">
        <v>202</v>
      </c>
      <c r="Y59" s="6"/>
      <c r="AA59" s="80"/>
      <c r="AB59" s="24"/>
      <c r="AC59" s="72"/>
      <c r="AH59" s="24"/>
      <c r="AI59" s="24"/>
      <c r="AJ59" s="24"/>
      <c r="AK59" s="24"/>
      <c r="AL59" s="24"/>
      <c r="AM59" s="24"/>
      <c r="AN59" s="24"/>
      <c r="AO59" s="24"/>
      <c r="AP59" s="24"/>
      <c r="AQ59" s="24"/>
      <c r="AR59" s="24"/>
      <c r="AS59" s="24"/>
      <c r="AT59" s="24"/>
      <c r="AU59" s="24"/>
      <c r="AV59" s="24"/>
      <c r="AW59" s="24"/>
      <c r="AX59" s="24"/>
    </row>
    <row r="60" spans="1:50" ht="14.25" customHeight="1">
      <c r="A60" s="59" t="s">
        <v>203</v>
      </c>
      <c r="B60" s="59" t="s">
        <v>204</v>
      </c>
      <c r="C60" s="60" t="s">
        <v>24</v>
      </c>
      <c r="D60" s="61">
        <v>102.09</v>
      </c>
      <c r="E60" s="61">
        <v>9.0130370000000006</v>
      </c>
      <c r="F60" s="59" t="s">
        <v>92</v>
      </c>
      <c r="G60" s="61"/>
      <c r="H60" s="62"/>
      <c r="I60" s="62">
        <v>7.149</v>
      </c>
      <c r="J60" s="62">
        <v>1444.7180000000001</v>
      </c>
      <c r="K60" s="62">
        <v>199.81700000000001</v>
      </c>
      <c r="L60" s="62">
        <v>604.67000000000007</v>
      </c>
      <c r="M60" s="62">
        <v>742.67000000000007</v>
      </c>
      <c r="N60" s="62" t="s">
        <v>93</v>
      </c>
      <c r="O60" s="63">
        <f t="shared" si="0"/>
        <v>7.149</v>
      </c>
      <c r="P60" s="63">
        <f t="shared" si="1"/>
        <v>1444.7180000000001</v>
      </c>
      <c r="Q60" s="63">
        <f t="shared" si="2"/>
        <v>199.81700000000001</v>
      </c>
      <c r="R60" s="64">
        <f t="shared" si="3"/>
        <v>1</v>
      </c>
      <c r="S60" s="64">
        <f t="shared" si="4"/>
        <v>1</v>
      </c>
      <c r="T60" s="20"/>
      <c r="U60" s="13"/>
      <c r="V60" s="13"/>
      <c r="Y60" s="6"/>
      <c r="AA60" s="80"/>
      <c r="AB60" s="24"/>
      <c r="AC60" s="72"/>
      <c r="AH60" s="24"/>
      <c r="AI60" s="24"/>
      <c r="AJ60" s="24"/>
      <c r="AK60" s="24"/>
      <c r="AL60" s="24"/>
      <c r="AM60" s="24"/>
      <c r="AN60" s="24"/>
      <c r="AO60" s="24"/>
      <c r="AP60" s="24"/>
      <c r="AQ60" s="24"/>
      <c r="AR60" s="24"/>
      <c r="AS60" s="24"/>
      <c r="AT60" s="24"/>
      <c r="AU60" s="24"/>
      <c r="AV60" s="24"/>
      <c r="AW60" s="24"/>
      <c r="AX60" s="24"/>
    </row>
    <row r="61" spans="1:50" ht="14.25" customHeight="1">
      <c r="A61" s="59" t="s">
        <v>205</v>
      </c>
      <c r="B61" s="59" t="s">
        <v>206</v>
      </c>
      <c r="C61" s="60" t="s">
        <v>33</v>
      </c>
      <c r="D61" s="61">
        <v>58.08</v>
      </c>
      <c r="E61" s="61">
        <v>6.6280000000000001</v>
      </c>
      <c r="F61" s="59" t="s">
        <v>92</v>
      </c>
      <c r="G61" s="61"/>
      <c r="H61" s="62"/>
      <c r="I61" s="62">
        <v>7.117</v>
      </c>
      <c r="J61" s="62">
        <v>1210.595</v>
      </c>
      <c r="K61" s="62">
        <v>229.66399999999999</v>
      </c>
      <c r="L61" s="62">
        <v>466.67</v>
      </c>
      <c r="M61" s="62">
        <v>913.67000000000007</v>
      </c>
      <c r="N61" s="62" t="s">
        <v>93</v>
      </c>
      <c r="O61" s="63">
        <f t="shared" si="0"/>
        <v>7.117</v>
      </c>
      <c r="P61" s="63">
        <f t="shared" si="1"/>
        <v>1210.595</v>
      </c>
      <c r="Q61" s="63">
        <f t="shared" si="2"/>
        <v>229.66399999999999</v>
      </c>
      <c r="R61" s="64">
        <f t="shared" si="3"/>
        <v>1</v>
      </c>
      <c r="S61" s="64">
        <f t="shared" si="4"/>
        <v>1</v>
      </c>
      <c r="T61" s="20"/>
      <c r="U61" s="13"/>
      <c r="V61" s="13"/>
      <c r="Y61" s="6"/>
      <c r="AA61" s="80"/>
      <c r="AB61" s="24"/>
      <c r="AC61" s="72"/>
      <c r="AH61" s="24"/>
      <c r="AI61" s="24"/>
      <c r="AJ61" s="24"/>
      <c r="AK61" s="24"/>
      <c r="AL61" s="24"/>
      <c r="AM61" s="24"/>
      <c r="AN61" s="24"/>
      <c r="AO61" s="24"/>
      <c r="AP61" s="24"/>
      <c r="AQ61" s="24"/>
      <c r="AR61" s="24"/>
      <c r="AS61" s="24"/>
      <c r="AT61" s="24"/>
      <c r="AU61" s="24"/>
      <c r="AV61" s="24"/>
      <c r="AW61" s="24"/>
      <c r="AX61" s="24"/>
    </row>
    <row r="62" spans="1:50" ht="14.25" customHeight="1">
      <c r="A62" s="59" t="s">
        <v>207</v>
      </c>
      <c r="B62" s="59" t="s">
        <v>208</v>
      </c>
      <c r="C62" s="60" t="s">
        <v>28</v>
      </c>
      <c r="D62" s="61">
        <v>41.05</v>
      </c>
      <c r="E62" s="61">
        <v>6.5579999999999998</v>
      </c>
      <c r="F62" s="59" t="s">
        <v>92</v>
      </c>
      <c r="G62" s="61"/>
      <c r="H62" s="62"/>
      <c r="I62" s="62">
        <v>7.1189999999999998</v>
      </c>
      <c r="J62" s="62">
        <v>1314.4</v>
      </c>
      <c r="K62" s="62">
        <v>230</v>
      </c>
      <c r="L62" s="62">
        <v>518.67000000000007</v>
      </c>
      <c r="M62" s="62">
        <v>651.67000000000007</v>
      </c>
      <c r="N62" s="62" t="s">
        <v>93</v>
      </c>
      <c r="O62" s="63">
        <f t="shared" si="0"/>
        <v>7.1189999999999998</v>
      </c>
      <c r="P62" s="63">
        <f t="shared" si="1"/>
        <v>1314.4</v>
      </c>
      <c r="Q62" s="63">
        <f t="shared" si="2"/>
        <v>230</v>
      </c>
      <c r="R62" s="64">
        <f t="shared" si="3"/>
        <v>1</v>
      </c>
      <c r="S62" s="64">
        <f t="shared" si="4"/>
        <v>1</v>
      </c>
      <c r="T62" s="20"/>
      <c r="U62" s="13" t="s">
        <v>8</v>
      </c>
      <c r="V62" s="13" t="s">
        <v>209</v>
      </c>
      <c r="Y62" s="6"/>
      <c r="AA62" s="80"/>
      <c r="AB62" s="24"/>
      <c r="AC62" s="72"/>
      <c r="AH62" s="24"/>
      <c r="AI62" s="24"/>
      <c r="AJ62" s="24"/>
      <c r="AK62" s="24"/>
      <c r="AL62" s="24"/>
      <c r="AM62" s="24"/>
      <c r="AN62" s="24"/>
      <c r="AO62" s="24"/>
      <c r="AP62" s="24"/>
      <c r="AQ62" s="24"/>
      <c r="AR62" s="24"/>
      <c r="AS62" s="24"/>
      <c r="AT62" s="24"/>
      <c r="AU62" s="24"/>
      <c r="AV62" s="24"/>
      <c r="AW62" s="24"/>
      <c r="AX62" s="24"/>
    </row>
    <row r="63" spans="1:50" ht="14.25" customHeight="1">
      <c r="A63" s="59" t="s">
        <v>210</v>
      </c>
      <c r="B63" s="59" t="s">
        <v>211</v>
      </c>
      <c r="C63" s="60" t="s">
        <v>28</v>
      </c>
      <c r="D63" s="61">
        <v>120.148</v>
      </c>
      <c r="E63" s="61">
        <v>9.0305520000000001</v>
      </c>
      <c r="F63" s="61" t="s">
        <v>92</v>
      </c>
      <c r="G63" s="61"/>
      <c r="H63" s="62"/>
      <c r="I63" s="62">
        <v>7.3987800000000004</v>
      </c>
      <c r="J63" s="62">
        <v>1901.1925000000001</v>
      </c>
      <c r="K63" s="62">
        <v>218.697</v>
      </c>
      <c r="L63" s="62">
        <v>632.82600000000002</v>
      </c>
      <c r="M63" s="62">
        <v>909.54</v>
      </c>
      <c r="N63" s="62" t="s">
        <v>98</v>
      </c>
      <c r="O63" s="63">
        <f t="shared" si="0"/>
        <v>7.3987800000000004</v>
      </c>
      <c r="P63" s="63">
        <f t="shared" si="1"/>
        <v>1901.1925000000001</v>
      </c>
      <c r="Q63" s="63">
        <f t="shared" si="2"/>
        <v>218.697</v>
      </c>
      <c r="R63" s="64">
        <f t="shared" si="3"/>
        <v>1</v>
      </c>
      <c r="S63" s="64">
        <f t="shared" si="4"/>
        <v>1</v>
      </c>
      <c r="T63" s="20"/>
      <c r="U63" s="13"/>
      <c r="V63" s="13"/>
      <c r="Y63" s="6"/>
      <c r="AA63" s="80"/>
      <c r="AB63" s="24"/>
      <c r="AC63" s="72"/>
      <c r="AH63" s="24"/>
      <c r="AI63" s="24"/>
      <c r="AJ63" s="24"/>
      <c r="AK63" s="24"/>
      <c r="AL63" s="24"/>
      <c r="AM63" s="24"/>
      <c r="AN63" s="24"/>
      <c r="AO63" s="24"/>
      <c r="AP63" s="24"/>
      <c r="AQ63" s="24"/>
      <c r="AR63" s="24"/>
      <c r="AS63" s="24"/>
      <c r="AT63" s="24"/>
      <c r="AU63" s="24"/>
      <c r="AV63" s="24"/>
      <c r="AW63" s="24"/>
      <c r="AX63" s="24"/>
    </row>
    <row r="64" spans="1:50" ht="14.25" customHeight="1">
      <c r="A64" s="59" t="s">
        <v>212</v>
      </c>
      <c r="B64" s="59" t="s">
        <v>213</v>
      </c>
      <c r="C64" s="60" t="s">
        <v>28</v>
      </c>
      <c r="D64" s="61">
        <v>56.06</v>
      </c>
      <c r="E64" s="61">
        <f>0.839*8.3454</f>
        <v>7.0017905999999996</v>
      </c>
      <c r="F64" s="61" t="s">
        <v>92</v>
      </c>
      <c r="G64" s="61"/>
      <c r="H64" s="62"/>
      <c r="I64" s="62">
        <v>7.1773499999999997</v>
      </c>
      <c r="J64" s="62">
        <v>1300.7837</v>
      </c>
      <c r="K64" s="62">
        <v>245.90199999999999</v>
      </c>
      <c r="L64" s="62">
        <v>428.07600000000002</v>
      </c>
      <c r="M64" s="62">
        <v>635.05799999999999</v>
      </c>
      <c r="N64" s="62" t="s">
        <v>98</v>
      </c>
      <c r="O64" s="63">
        <f t="shared" si="0"/>
        <v>7.1773499999999997</v>
      </c>
      <c r="P64" s="63">
        <f t="shared" si="1"/>
        <v>1300.7837</v>
      </c>
      <c r="Q64" s="63">
        <f t="shared" si="2"/>
        <v>245.90199999999999</v>
      </c>
      <c r="R64" s="64">
        <f t="shared" si="3"/>
        <v>1</v>
      </c>
      <c r="S64" s="64">
        <f t="shared" si="4"/>
        <v>1</v>
      </c>
      <c r="T64" s="20"/>
      <c r="U64" s="13"/>
      <c r="V64" s="13"/>
      <c r="Y64" s="6"/>
      <c r="AA64" s="80"/>
      <c r="AB64" s="24"/>
      <c r="AC64" s="72"/>
      <c r="AH64" s="24"/>
      <c r="AI64" s="24"/>
      <c r="AJ64" s="24"/>
      <c r="AK64" s="24"/>
      <c r="AL64" s="24"/>
      <c r="AM64" s="24"/>
      <c r="AN64" s="24"/>
      <c r="AO64" s="24"/>
      <c r="AP64" s="24"/>
      <c r="AQ64" s="24"/>
      <c r="AR64" s="24"/>
      <c r="AS64" s="24"/>
      <c r="AT64" s="24"/>
      <c r="AU64" s="24"/>
      <c r="AV64" s="24"/>
      <c r="AW64" s="24"/>
      <c r="AX64" s="24"/>
    </row>
    <row r="65" spans="1:50" ht="14.25" customHeight="1">
      <c r="A65" s="59" t="s">
        <v>214</v>
      </c>
      <c r="B65" s="59" t="s">
        <v>215</v>
      </c>
      <c r="C65" s="60" t="s">
        <v>28</v>
      </c>
      <c r="D65" s="61">
        <v>71.08</v>
      </c>
      <c r="E65" s="61">
        <v>9.4303070000000009</v>
      </c>
      <c r="F65" s="59" t="s">
        <v>92</v>
      </c>
      <c r="G65" s="61"/>
      <c r="H65" s="62"/>
      <c r="I65" s="62">
        <v>11.293200000000001</v>
      </c>
      <c r="J65" s="62">
        <v>3939.877</v>
      </c>
      <c r="K65" s="62">
        <v>273.16000000000003</v>
      </c>
      <c r="L65" s="62"/>
      <c r="M65" s="62"/>
      <c r="N65" s="62" t="s">
        <v>216</v>
      </c>
      <c r="O65" s="63">
        <f t="shared" si="0"/>
        <v>11.293200000000001</v>
      </c>
      <c r="P65" s="63">
        <f t="shared" si="1"/>
        <v>3939.877</v>
      </c>
      <c r="Q65" s="63">
        <f t="shared" si="2"/>
        <v>273.16000000000003</v>
      </c>
      <c r="R65" s="64">
        <f t="shared" si="3"/>
        <v>1</v>
      </c>
      <c r="S65" s="64">
        <f t="shared" si="4"/>
        <v>1</v>
      </c>
      <c r="T65" s="20"/>
      <c r="U65" s="13" t="s">
        <v>11</v>
      </c>
      <c r="V65" s="13" t="s">
        <v>209</v>
      </c>
      <c r="Y65" s="6"/>
      <c r="AA65" s="80"/>
      <c r="AB65" s="24"/>
      <c r="AC65" s="72"/>
      <c r="AH65" s="24"/>
      <c r="AI65" s="24"/>
      <c r="AJ65" s="24"/>
      <c r="AK65" s="24"/>
      <c r="AL65" s="24"/>
      <c r="AM65" s="24"/>
      <c r="AN65" s="24"/>
      <c r="AO65" s="24"/>
      <c r="AP65" s="24"/>
      <c r="AQ65" s="24"/>
      <c r="AR65" s="24"/>
      <c r="AS65" s="24"/>
      <c r="AT65" s="24"/>
      <c r="AU65" s="24"/>
      <c r="AV65" s="24"/>
      <c r="AW65" s="24"/>
      <c r="AX65" s="24"/>
    </row>
    <row r="66" spans="1:50" ht="14.25" customHeight="1">
      <c r="A66" s="59" t="s">
        <v>217</v>
      </c>
      <c r="B66" s="59" t="s">
        <v>218</v>
      </c>
      <c r="C66" s="60" t="s">
        <v>28</v>
      </c>
      <c r="D66" s="61">
        <v>72.06</v>
      </c>
      <c r="E66" s="61">
        <v>8.77102</v>
      </c>
      <c r="F66" s="59" t="s">
        <v>92</v>
      </c>
      <c r="G66" s="61"/>
      <c r="H66" s="62"/>
      <c r="I66" s="62">
        <v>5.6520000000000001</v>
      </c>
      <c r="J66" s="62">
        <v>648.62900000000002</v>
      </c>
      <c r="K66" s="62">
        <v>154.68299999999999</v>
      </c>
      <c r="L66" s="62">
        <v>527.67000000000007</v>
      </c>
      <c r="M66" s="62">
        <v>617.67000000000007</v>
      </c>
      <c r="N66" s="62" t="s">
        <v>93</v>
      </c>
      <c r="O66" s="63">
        <f t="shared" si="0"/>
        <v>5.6520000000000001</v>
      </c>
      <c r="P66" s="63">
        <f t="shared" si="1"/>
        <v>648.62900000000002</v>
      </c>
      <c r="Q66" s="63">
        <f t="shared" si="2"/>
        <v>154.68299999999999</v>
      </c>
      <c r="R66" s="64">
        <f t="shared" si="3"/>
        <v>1</v>
      </c>
      <c r="S66" s="64">
        <f t="shared" si="4"/>
        <v>1</v>
      </c>
      <c r="T66" s="20"/>
      <c r="U66" s="13"/>
      <c r="V66" s="13"/>
      <c r="Y66" s="6"/>
      <c r="AA66" s="80"/>
      <c r="AB66" s="24"/>
      <c r="AC66" s="72"/>
      <c r="AH66" s="24"/>
      <c r="AI66" s="24"/>
      <c r="AJ66" s="24"/>
      <c r="AK66" s="24"/>
      <c r="AL66" s="24"/>
      <c r="AM66" s="24"/>
      <c r="AN66" s="24"/>
      <c r="AO66" s="24"/>
      <c r="AP66" s="24"/>
      <c r="AQ66" s="24"/>
      <c r="AR66" s="24"/>
      <c r="AS66" s="24"/>
      <c r="AT66" s="24"/>
      <c r="AU66" s="24"/>
      <c r="AV66" s="24"/>
      <c r="AW66" s="24"/>
      <c r="AX66" s="24"/>
    </row>
    <row r="67" spans="1:50" ht="14.25" customHeight="1">
      <c r="A67" s="59" t="s">
        <v>219</v>
      </c>
      <c r="B67" s="59" t="s">
        <v>220</v>
      </c>
      <c r="C67" s="60" t="s">
        <v>28</v>
      </c>
      <c r="D67" s="61">
        <v>53.06</v>
      </c>
      <c r="E67" s="61">
        <v>6.758</v>
      </c>
      <c r="F67" s="59" t="s">
        <v>92</v>
      </c>
      <c r="G67" s="61"/>
      <c r="H67" s="62"/>
      <c r="I67" s="62">
        <v>7.0380000000000003</v>
      </c>
      <c r="J67" s="62">
        <v>1232.53</v>
      </c>
      <c r="K67" s="62">
        <v>222.47</v>
      </c>
      <c r="L67" s="62">
        <v>399.67</v>
      </c>
      <c r="M67" s="62">
        <v>631.67000000000007</v>
      </c>
      <c r="N67" s="62" t="s">
        <v>93</v>
      </c>
      <c r="O67" s="63">
        <f t="shared" si="0"/>
        <v>7.0380000000000003</v>
      </c>
      <c r="P67" s="63">
        <f t="shared" si="1"/>
        <v>1232.53</v>
      </c>
      <c r="Q67" s="63">
        <f t="shared" si="2"/>
        <v>222.47</v>
      </c>
      <c r="R67" s="64">
        <f t="shared" si="3"/>
        <v>1</v>
      </c>
      <c r="S67" s="64">
        <f t="shared" si="4"/>
        <v>1</v>
      </c>
      <c r="T67" s="20"/>
      <c r="U67" s="13"/>
      <c r="V67" s="13"/>
      <c r="Y67" s="6"/>
      <c r="AA67" s="80"/>
      <c r="AB67" s="24"/>
      <c r="AC67" s="72"/>
      <c r="AH67" s="24"/>
      <c r="AI67" s="24"/>
      <c r="AJ67" s="24"/>
      <c r="AK67" s="24"/>
      <c r="AL67" s="24"/>
      <c r="AM67" s="24"/>
      <c r="AN67" s="24"/>
      <c r="AO67" s="24"/>
      <c r="AP67" s="24"/>
      <c r="AQ67" s="24"/>
      <c r="AR67" s="24"/>
      <c r="AS67" s="24"/>
      <c r="AT67" s="24"/>
      <c r="AU67" s="24"/>
      <c r="AV67" s="24"/>
      <c r="AW67" s="24"/>
      <c r="AX67" s="24"/>
    </row>
    <row r="68" spans="1:50" ht="14.25" customHeight="1">
      <c r="A68" s="59" t="s">
        <v>221</v>
      </c>
      <c r="B68" s="59" t="s">
        <v>222</v>
      </c>
      <c r="C68" s="60" t="s">
        <v>28</v>
      </c>
      <c r="D68" s="61">
        <v>76.52</v>
      </c>
      <c r="E68" s="61">
        <f>0.939*8.3454</f>
        <v>7.8363305999999993</v>
      </c>
      <c r="F68" s="61" t="s">
        <v>92</v>
      </c>
      <c r="G68" s="61"/>
      <c r="H68" s="62"/>
      <c r="I68" s="62">
        <f>2.24083 -LOG10(1.01325/760)</f>
        <v>5.1159269798670604</v>
      </c>
      <c r="J68" s="62">
        <v>365.12099999999998</v>
      </c>
      <c r="K68" s="62">
        <f>-154.919+273.15</f>
        <v>118.23099999999997</v>
      </c>
      <c r="L68" s="62">
        <v>515.52</v>
      </c>
      <c r="M68" s="62">
        <v>667.98</v>
      </c>
      <c r="N68" s="62" t="s">
        <v>130</v>
      </c>
      <c r="O68" s="63">
        <f t="shared" si="0"/>
        <v>5.1159269798670604</v>
      </c>
      <c r="P68" s="63">
        <f t="shared" si="1"/>
        <v>365.12099999999998</v>
      </c>
      <c r="Q68" s="63">
        <f t="shared" si="2"/>
        <v>118.23099999999997</v>
      </c>
      <c r="R68" s="64">
        <f t="shared" si="3"/>
        <v>1</v>
      </c>
      <c r="S68" s="64">
        <f t="shared" si="4"/>
        <v>1</v>
      </c>
      <c r="T68" s="20"/>
      <c r="U68" s="13"/>
      <c r="V68" s="13"/>
      <c r="Y68" s="6"/>
      <c r="AA68" s="80"/>
      <c r="AB68" s="24"/>
      <c r="AC68" s="72"/>
      <c r="AH68" s="24"/>
      <c r="AI68" s="24"/>
      <c r="AJ68" s="24"/>
      <c r="AK68" s="24"/>
      <c r="AL68" s="24"/>
      <c r="AM68" s="24"/>
      <c r="AN68" s="24"/>
      <c r="AO68" s="24"/>
      <c r="AP68" s="24"/>
      <c r="AQ68" s="24"/>
      <c r="AR68" s="24"/>
      <c r="AS68" s="24"/>
      <c r="AT68" s="24"/>
      <c r="AU68" s="24"/>
      <c r="AV68" s="24"/>
      <c r="AW68" s="24"/>
      <c r="AX68" s="24"/>
    </row>
    <row r="69" spans="1:50" ht="14.25" customHeight="1">
      <c r="A69" s="59" t="s">
        <v>223</v>
      </c>
      <c r="B69" s="59" t="s">
        <v>224</v>
      </c>
      <c r="C69" s="60" t="s">
        <v>14</v>
      </c>
      <c r="D69" s="61">
        <v>35.04</v>
      </c>
      <c r="E69" s="81">
        <f t="shared" ref="E69:E87" si="5">0.8974*8.34</f>
        <v>7.4843159999999997</v>
      </c>
      <c r="F69" s="59" t="s">
        <v>92</v>
      </c>
      <c r="G69" s="61"/>
      <c r="H69" s="62"/>
      <c r="I69" s="62">
        <v>6.4952288014876878</v>
      </c>
      <c r="J69" s="62">
        <v>927.20444359168846</v>
      </c>
      <c r="K69" s="62">
        <v>191.1816034194899</v>
      </c>
      <c r="L69" s="62">
        <v>491.67</v>
      </c>
      <c r="M69" s="62">
        <v>709.67000000000007</v>
      </c>
      <c r="N69" s="62" t="s">
        <v>225</v>
      </c>
      <c r="O69" s="63">
        <f t="shared" si="0"/>
        <v>6.4952288014876878</v>
      </c>
      <c r="P69" s="63">
        <f t="shared" si="1"/>
        <v>927.20444359168846</v>
      </c>
      <c r="Q69" s="63">
        <f t="shared" si="2"/>
        <v>191.1816034194899</v>
      </c>
      <c r="R69" s="64">
        <f t="shared" si="3"/>
        <v>1</v>
      </c>
      <c r="S69" s="64">
        <f t="shared" si="4"/>
        <v>1</v>
      </c>
      <c r="T69" s="20"/>
      <c r="U69" s="13"/>
      <c r="V69" s="13"/>
      <c r="Y69" s="6"/>
      <c r="AA69" s="80"/>
      <c r="AB69" s="24"/>
      <c r="AH69" s="24"/>
      <c r="AI69" s="24"/>
      <c r="AJ69" s="24"/>
      <c r="AK69" s="24"/>
      <c r="AL69" s="24"/>
      <c r="AM69" s="24"/>
      <c r="AN69" s="24"/>
      <c r="AO69" s="24"/>
      <c r="AP69" s="24"/>
      <c r="AQ69" s="24"/>
      <c r="AR69" s="24"/>
      <c r="AS69" s="24"/>
      <c r="AT69" s="24"/>
      <c r="AU69" s="24"/>
      <c r="AV69" s="24"/>
      <c r="AW69" s="24"/>
      <c r="AX69" s="24"/>
    </row>
    <row r="70" spans="1:50" ht="14.25" customHeight="1">
      <c r="A70" s="59" t="s">
        <v>226</v>
      </c>
      <c r="B70" s="59" t="s">
        <v>224</v>
      </c>
      <c r="C70" s="60" t="s">
        <v>14</v>
      </c>
      <c r="D70" s="61">
        <v>35.04</v>
      </c>
      <c r="E70" s="81">
        <f t="shared" si="5"/>
        <v>7.4843159999999997</v>
      </c>
      <c r="F70" s="59" t="s">
        <v>92</v>
      </c>
      <c r="G70" s="61"/>
      <c r="H70" s="62"/>
      <c r="I70" s="62">
        <v>6.248460356442834</v>
      </c>
      <c r="J70" s="62">
        <v>754.26751723079883</v>
      </c>
      <c r="K70" s="62">
        <v>172.65607018561451</v>
      </c>
      <c r="L70" s="62">
        <v>491.67</v>
      </c>
      <c r="M70" s="62">
        <v>709.67000000000007</v>
      </c>
      <c r="N70" s="62" t="s">
        <v>225</v>
      </c>
      <c r="O70" s="63">
        <f t="shared" si="0"/>
        <v>6.248460356442834</v>
      </c>
      <c r="P70" s="63">
        <f t="shared" si="1"/>
        <v>754.26751723079883</v>
      </c>
      <c r="Q70" s="63">
        <f t="shared" si="2"/>
        <v>172.65607018561451</v>
      </c>
      <c r="R70" s="64">
        <f t="shared" si="3"/>
        <v>1</v>
      </c>
      <c r="S70" s="64">
        <f t="shared" si="4"/>
        <v>1</v>
      </c>
      <c r="T70" s="20"/>
      <c r="U70" s="13"/>
      <c r="V70" s="13"/>
      <c r="Y70" s="6"/>
      <c r="AA70" s="80"/>
      <c r="AB70" s="24"/>
      <c r="AH70" s="24"/>
      <c r="AI70" s="24"/>
      <c r="AJ70" s="24"/>
      <c r="AK70" s="24"/>
      <c r="AL70" s="24"/>
      <c r="AM70" s="24"/>
      <c r="AN70" s="24"/>
      <c r="AO70" s="24"/>
      <c r="AP70" s="24"/>
      <c r="AQ70" s="24"/>
      <c r="AR70" s="24"/>
      <c r="AS70" s="24"/>
      <c r="AT70" s="24"/>
      <c r="AU70" s="24"/>
      <c r="AV70" s="24"/>
      <c r="AW70" s="24"/>
      <c r="AX70" s="24"/>
    </row>
    <row r="71" spans="1:50" ht="14.25" customHeight="1">
      <c r="A71" s="59" t="s">
        <v>227</v>
      </c>
      <c r="B71" s="59" t="s">
        <v>224</v>
      </c>
      <c r="C71" s="60" t="s">
        <v>14</v>
      </c>
      <c r="D71" s="61">
        <v>35.04</v>
      </c>
      <c r="E71" s="81">
        <f t="shared" si="5"/>
        <v>7.4843159999999997</v>
      </c>
      <c r="F71" s="59" t="s">
        <v>92</v>
      </c>
      <c r="G71" s="61"/>
      <c r="H71" s="62"/>
      <c r="I71" s="62">
        <v>7.190040707219282</v>
      </c>
      <c r="J71" s="62">
        <v>1149.3833620436722</v>
      </c>
      <c r="K71" s="62">
        <v>226.76066274442448</v>
      </c>
      <c r="L71" s="62">
        <v>491.67</v>
      </c>
      <c r="M71" s="62">
        <v>709.67000000000007</v>
      </c>
      <c r="N71" s="62" t="s">
        <v>225</v>
      </c>
      <c r="O71" s="63">
        <f t="shared" si="0"/>
        <v>7.190040707219282</v>
      </c>
      <c r="P71" s="63">
        <f t="shared" si="1"/>
        <v>1149.3833620436722</v>
      </c>
      <c r="Q71" s="63">
        <f t="shared" si="2"/>
        <v>226.76066274442448</v>
      </c>
      <c r="R71" s="64">
        <f t="shared" si="3"/>
        <v>1</v>
      </c>
      <c r="S71" s="64">
        <f t="shared" si="4"/>
        <v>1</v>
      </c>
      <c r="T71" s="20"/>
      <c r="U71" s="13"/>
      <c r="V71" s="13"/>
      <c r="Y71" s="6"/>
      <c r="AA71" s="80"/>
      <c r="AB71" s="24"/>
      <c r="AH71" s="24"/>
      <c r="AI71" s="24"/>
      <c r="AJ71" s="24"/>
      <c r="AK71" s="24"/>
      <c r="AL71" s="24"/>
      <c r="AM71" s="24"/>
      <c r="AN71" s="24"/>
      <c r="AO71" s="24"/>
      <c r="AP71" s="24"/>
      <c r="AQ71" s="24"/>
      <c r="AR71" s="24"/>
      <c r="AS71" s="24"/>
      <c r="AT71" s="24"/>
      <c r="AU71" s="24"/>
      <c r="AV71" s="24"/>
      <c r="AW71" s="24"/>
      <c r="AX71" s="24"/>
    </row>
    <row r="72" spans="1:50" ht="14.25" customHeight="1">
      <c r="A72" s="59" t="s">
        <v>228</v>
      </c>
      <c r="B72" s="59" t="s">
        <v>224</v>
      </c>
      <c r="C72" s="60" t="s">
        <v>14</v>
      </c>
      <c r="D72" s="61">
        <v>35.04</v>
      </c>
      <c r="E72" s="81">
        <f t="shared" si="5"/>
        <v>7.4843159999999997</v>
      </c>
      <c r="F72" s="59" t="s">
        <v>92</v>
      </c>
      <c r="G72" s="61"/>
      <c r="H72" s="62"/>
      <c r="I72" s="62">
        <v>7.0725632007030459</v>
      </c>
      <c r="J72" s="62">
        <v>1022.2316867594707</v>
      </c>
      <c r="K72" s="62">
        <v>215.28681983860355</v>
      </c>
      <c r="L72" s="62">
        <v>491.67</v>
      </c>
      <c r="M72" s="62">
        <v>709.67000000000007</v>
      </c>
      <c r="N72" s="62" t="s">
        <v>225</v>
      </c>
      <c r="O72" s="63">
        <f t="shared" si="0"/>
        <v>7.0725632007030459</v>
      </c>
      <c r="P72" s="63">
        <f t="shared" si="1"/>
        <v>1022.2316867594707</v>
      </c>
      <c r="Q72" s="63">
        <f t="shared" si="2"/>
        <v>215.28681983860355</v>
      </c>
      <c r="R72" s="64">
        <f t="shared" si="3"/>
        <v>1</v>
      </c>
      <c r="S72" s="64">
        <f t="shared" si="4"/>
        <v>1</v>
      </c>
      <c r="T72" s="20"/>
      <c r="U72" s="13"/>
      <c r="V72" s="13"/>
      <c r="Y72" s="6"/>
      <c r="AA72" s="80"/>
      <c r="AB72" s="24"/>
      <c r="AH72" s="24"/>
      <c r="AI72" s="24"/>
      <c r="AJ72" s="24"/>
      <c r="AK72" s="24"/>
      <c r="AL72" s="24"/>
      <c r="AM72" s="24"/>
      <c r="AN72" s="24"/>
      <c r="AO72" s="24"/>
      <c r="AP72" s="24"/>
      <c r="AQ72" s="24"/>
      <c r="AR72" s="24"/>
      <c r="AS72" s="24"/>
      <c r="AT72" s="24"/>
      <c r="AU72" s="24"/>
      <c r="AV72" s="24"/>
      <c r="AW72" s="24"/>
      <c r="AX72" s="24"/>
    </row>
    <row r="73" spans="1:50" ht="14.25" customHeight="1">
      <c r="A73" s="59" t="s">
        <v>229</v>
      </c>
      <c r="B73" s="59" t="s">
        <v>224</v>
      </c>
      <c r="C73" s="60" t="s">
        <v>14</v>
      </c>
      <c r="D73" s="61">
        <v>35.04</v>
      </c>
      <c r="E73" s="81">
        <f t="shared" si="5"/>
        <v>7.4843159999999997</v>
      </c>
      <c r="F73" s="59" t="s">
        <v>92</v>
      </c>
      <c r="G73" s="61"/>
      <c r="H73" s="62"/>
      <c r="I73" s="62">
        <v>7.3066347381236465</v>
      </c>
      <c r="J73" s="62">
        <v>1103.1417193157652</v>
      </c>
      <c r="K73" s="62">
        <v>230.7505880148274</v>
      </c>
      <c r="L73" s="62">
        <v>491.67</v>
      </c>
      <c r="M73" s="62">
        <v>709.67000000000007</v>
      </c>
      <c r="N73" s="62" t="s">
        <v>225</v>
      </c>
      <c r="O73" s="63">
        <f t="shared" si="0"/>
        <v>7.3066347381236465</v>
      </c>
      <c r="P73" s="63">
        <f t="shared" si="1"/>
        <v>1103.1417193157652</v>
      </c>
      <c r="Q73" s="63">
        <f t="shared" si="2"/>
        <v>230.7505880148274</v>
      </c>
      <c r="R73" s="64">
        <f t="shared" si="3"/>
        <v>1</v>
      </c>
      <c r="S73" s="64">
        <f t="shared" si="4"/>
        <v>1</v>
      </c>
      <c r="T73" s="20"/>
      <c r="U73" s="58" t="s">
        <v>230</v>
      </c>
      <c r="V73" s="13" t="s">
        <v>231</v>
      </c>
      <c r="Y73" s="6"/>
      <c r="AA73" s="80"/>
      <c r="AB73" s="24"/>
      <c r="AD73" s="24"/>
      <c r="AE73" s="24"/>
      <c r="AH73" s="24"/>
      <c r="AI73" s="24"/>
      <c r="AJ73" s="24"/>
      <c r="AK73" s="24"/>
      <c r="AL73" s="24"/>
      <c r="AM73" s="24"/>
      <c r="AN73" s="24"/>
      <c r="AO73" s="24"/>
      <c r="AP73" s="24"/>
      <c r="AQ73" s="24"/>
      <c r="AR73" s="24"/>
      <c r="AS73" s="24"/>
      <c r="AT73" s="24"/>
      <c r="AU73" s="24"/>
      <c r="AV73" s="24"/>
      <c r="AW73" s="24"/>
      <c r="AX73" s="24"/>
    </row>
    <row r="74" spans="1:50" ht="14.25" customHeight="1">
      <c r="A74" s="59" t="s">
        <v>232</v>
      </c>
      <c r="B74" s="59" t="s">
        <v>224</v>
      </c>
      <c r="C74" s="60" t="s">
        <v>14</v>
      </c>
      <c r="D74" s="61">
        <v>35.04</v>
      </c>
      <c r="E74" s="81">
        <f t="shared" si="5"/>
        <v>7.4843159999999997</v>
      </c>
      <c r="F74" s="59" t="s">
        <v>92</v>
      </c>
      <c r="G74" s="61"/>
      <c r="H74" s="62"/>
      <c r="I74" s="62">
        <v>7.3789088391118796</v>
      </c>
      <c r="J74" s="62">
        <v>1099.5655204357154</v>
      </c>
      <c r="K74" s="62">
        <v>235.30243372235745</v>
      </c>
      <c r="L74" s="62">
        <v>491.67</v>
      </c>
      <c r="M74" s="62">
        <v>709.67000000000007</v>
      </c>
      <c r="N74" s="62" t="s">
        <v>225</v>
      </c>
      <c r="O74" s="63">
        <f t="shared" si="0"/>
        <v>7.3789088391118796</v>
      </c>
      <c r="P74" s="63">
        <f t="shared" si="1"/>
        <v>1099.5655204357154</v>
      </c>
      <c r="Q74" s="63">
        <f t="shared" si="2"/>
        <v>235.30243372235745</v>
      </c>
      <c r="R74" s="64">
        <f t="shared" si="3"/>
        <v>1</v>
      </c>
      <c r="S74" s="64">
        <f t="shared" si="4"/>
        <v>1</v>
      </c>
      <c r="T74" s="20"/>
      <c r="U74" s="58" t="s">
        <v>233</v>
      </c>
      <c r="V74" s="13" t="s">
        <v>231</v>
      </c>
      <c r="Y74" s="6"/>
      <c r="AA74" s="80"/>
      <c r="AB74" s="24"/>
      <c r="AD74" s="24"/>
      <c r="AE74" s="24"/>
      <c r="AH74" s="24"/>
      <c r="AI74" s="24"/>
      <c r="AJ74" s="24"/>
      <c r="AK74" s="24"/>
      <c r="AL74" s="24"/>
      <c r="AM74" s="24"/>
      <c r="AN74" s="24"/>
      <c r="AO74" s="24"/>
      <c r="AP74" s="24"/>
      <c r="AQ74" s="24"/>
      <c r="AR74" s="24"/>
      <c r="AS74" s="24"/>
      <c r="AT74" s="24"/>
      <c r="AU74" s="24"/>
      <c r="AV74" s="24"/>
      <c r="AW74" s="24"/>
      <c r="AX74" s="24"/>
    </row>
    <row r="75" spans="1:50" ht="14.25" customHeight="1">
      <c r="A75" s="59" t="s">
        <v>234</v>
      </c>
      <c r="B75" s="59" t="s">
        <v>224</v>
      </c>
      <c r="C75" s="60" t="s">
        <v>14</v>
      </c>
      <c r="D75" s="61">
        <v>35.04</v>
      </c>
      <c r="E75" s="81">
        <f t="shared" si="5"/>
        <v>7.4843159999999997</v>
      </c>
      <c r="F75" s="59" t="s">
        <v>92</v>
      </c>
      <c r="G75" s="61"/>
      <c r="H75" s="62"/>
      <c r="I75" s="62">
        <v>4.4679001932545903</v>
      </c>
      <c r="J75" s="62">
        <v>339.55368549723141</v>
      </c>
      <c r="K75" s="62">
        <v>99.283364711313737</v>
      </c>
      <c r="L75" s="62">
        <v>491.67</v>
      </c>
      <c r="M75" s="62">
        <v>709.67000000000007</v>
      </c>
      <c r="N75" s="62" t="s">
        <v>225</v>
      </c>
      <c r="O75" s="63">
        <f t="shared" si="0"/>
        <v>4.4679001932545903</v>
      </c>
      <c r="P75" s="63">
        <f t="shared" si="1"/>
        <v>339.55368549723141</v>
      </c>
      <c r="Q75" s="63">
        <f t="shared" si="2"/>
        <v>99.283364711313737</v>
      </c>
      <c r="R75" s="64">
        <f t="shared" si="3"/>
        <v>1</v>
      </c>
      <c r="S75" s="64">
        <f t="shared" si="4"/>
        <v>1</v>
      </c>
      <c r="T75" s="20"/>
      <c r="U75" s="58"/>
      <c r="V75" s="13"/>
      <c r="Y75" s="6"/>
      <c r="AA75" s="80"/>
      <c r="AB75" s="24"/>
      <c r="AD75" s="24"/>
      <c r="AE75" s="24"/>
      <c r="AH75" s="24"/>
      <c r="AI75" s="24"/>
      <c r="AJ75" s="24"/>
      <c r="AK75" s="24"/>
      <c r="AL75" s="24"/>
      <c r="AM75" s="24"/>
      <c r="AN75" s="24"/>
      <c r="AO75" s="24"/>
      <c r="AP75" s="24"/>
      <c r="AQ75" s="24"/>
      <c r="AR75" s="24"/>
      <c r="AS75" s="24"/>
      <c r="AT75" s="24"/>
      <c r="AU75" s="24"/>
      <c r="AV75" s="24"/>
      <c r="AW75" s="24"/>
      <c r="AX75" s="24"/>
    </row>
    <row r="76" spans="1:50" ht="14.25" customHeight="1">
      <c r="A76" s="59" t="s">
        <v>235</v>
      </c>
      <c r="B76" s="59" t="s">
        <v>224</v>
      </c>
      <c r="C76" s="60" t="s">
        <v>14</v>
      </c>
      <c r="D76" s="61">
        <v>35.04</v>
      </c>
      <c r="E76" s="81">
        <f t="shared" si="5"/>
        <v>7.4843159999999997</v>
      </c>
      <c r="F76" s="59" t="s">
        <v>92</v>
      </c>
      <c r="G76" s="61"/>
      <c r="H76" s="62"/>
      <c r="I76" s="62">
        <v>7.3758927903111484</v>
      </c>
      <c r="J76" s="62">
        <v>1059.3825001715695</v>
      </c>
      <c r="K76" s="62">
        <v>234.73271287655021</v>
      </c>
      <c r="L76" s="62">
        <v>491.67</v>
      </c>
      <c r="M76" s="62">
        <v>709.67000000000007</v>
      </c>
      <c r="N76" s="62" t="s">
        <v>225</v>
      </c>
      <c r="O76" s="63">
        <f t="shared" si="0"/>
        <v>7.3758927903111484</v>
      </c>
      <c r="P76" s="63">
        <f t="shared" si="1"/>
        <v>1059.3825001715695</v>
      </c>
      <c r="Q76" s="63">
        <f t="shared" si="2"/>
        <v>234.73271287655021</v>
      </c>
      <c r="R76" s="64">
        <f t="shared" si="3"/>
        <v>1</v>
      </c>
      <c r="S76" s="64">
        <f t="shared" si="4"/>
        <v>1</v>
      </c>
      <c r="T76" s="20"/>
      <c r="U76" s="58"/>
      <c r="V76" s="13"/>
      <c r="Y76" s="6"/>
      <c r="AA76" s="80"/>
      <c r="AB76" s="24"/>
      <c r="AD76" s="24"/>
      <c r="AE76" s="24"/>
      <c r="AH76" s="24"/>
      <c r="AI76" s="24"/>
      <c r="AJ76" s="24"/>
      <c r="AK76" s="24"/>
      <c r="AL76" s="24"/>
      <c r="AM76" s="24"/>
      <c r="AN76" s="24"/>
      <c r="AO76" s="24"/>
      <c r="AP76" s="24"/>
      <c r="AQ76" s="24"/>
      <c r="AR76" s="24"/>
      <c r="AS76" s="24"/>
      <c r="AT76" s="24"/>
      <c r="AU76" s="24"/>
      <c r="AV76" s="24"/>
      <c r="AW76" s="24"/>
      <c r="AX76" s="24"/>
    </row>
    <row r="77" spans="1:50" ht="14.25" customHeight="1">
      <c r="A77" s="59" t="s">
        <v>236</v>
      </c>
      <c r="B77" s="59" t="s">
        <v>224</v>
      </c>
      <c r="C77" s="60" t="s">
        <v>14</v>
      </c>
      <c r="D77" s="61">
        <v>35.04</v>
      </c>
      <c r="E77" s="81">
        <f t="shared" si="5"/>
        <v>7.4843159999999997</v>
      </c>
      <c r="F77" s="59" t="s">
        <v>92</v>
      </c>
      <c r="G77" s="61"/>
      <c r="H77" s="62"/>
      <c r="I77" s="62">
        <v>7.4278195547441683</v>
      </c>
      <c r="J77" s="62">
        <v>1056.8149611578428</v>
      </c>
      <c r="K77" s="62">
        <v>238.67799540325763</v>
      </c>
      <c r="L77" s="62">
        <v>491.67</v>
      </c>
      <c r="M77" s="62">
        <v>699.67000000000007</v>
      </c>
      <c r="N77" s="62" t="s">
        <v>225</v>
      </c>
      <c r="O77" s="63">
        <f t="shared" si="0"/>
        <v>7.4278195547441683</v>
      </c>
      <c r="P77" s="63">
        <f t="shared" si="1"/>
        <v>1056.8149611578428</v>
      </c>
      <c r="Q77" s="63">
        <f t="shared" si="2"/>
        <v>238.67799540325763</v>
      </c>
      <c r="R77" s="64">
        <f t="shared" si="3"/>
        <v>1</v>
      </c>
      <c r="S77" s="64">
        <f t="shared" si="4"/>
        <v>1</v>
      </c>
      <c r="T77" s="20"/>
      <c r="U77" s="58"/>
      <c r="V77" s="13"/>
      <c r="Y77" s="6"/>
      <c r="AA77" s="80"/>
      <c r="AB77" s="24"/>
      <c r="AD77" s="24"/>
      <c r="AE77" s="24"/>
      <c r="AH77" s="24"/>
      <c r="AI77" s="24"/>
      <c r="AJ77" s="24"/>
      <c r="AK77" s="24"/>
      <c r="AL77" s="24"/>
      <c r="AM77" s="24"/>
      <c r="AN77" s="24"/>
      <c r="AO77" s="24"/>
      <c r="AP77" s="24"/>
      <c r="AQ77" s="24"/>
      <c r="AR77" s="24"/>
      <c r="AS77" s="24"/>
      <c r="AT77" s="24"/>
      <c r="AU77" s="24"/>
      <c r="AV77" s="24"/>
      <c r="AW77" s="24"/>
      <c r="AX77" s="24"/>
    </row>
    <row r="78" spans="1:50" ht="14.25" customHeight="1">
      <c r="A78" s="59" t="s">
        <v>237</v>
      </c>
      <c r="B78" s="59" t="s">
        <v>224</v>
      </c>
      <c r="C78" s="60" t="s">
        <v>14</v>
      </c>
      <c r="D78" s="61">
        <v>35.04</v>
      </c>
      <c r="E78" s="81">
        <f t="shared" si="5"/>
        <v>7.4843159999999997</v>
      </c>
      <c r="F78" s="59" t="s">
        <v>92</v>
      </c>
      <c r="G78" s="61"/>
      <c r="H78" s="62"/>
      <c r="I78" s="62">
        <v>7.4673901941717027</v>
      </c>
      <c r="J78" s="62">
        <v>1053.8824387992743</v>
      </c>
      <c r="K78" s="62">
        <v>242.14552396566779</v>
      </c>
      <c r="L78" s="62">
        <v>491.67</v>
      </c>
      <c r="M78" s="62">
        <v>679.67000000000007</v>
      </c>
      <c r="N78" s="62" t="s">
        <v>225</v>
      </c>
      <c r="O78" s="63">
        <f t="shared" si="0"/>
        <v>7.4673901941717027</v>
      </c>
      <c r="P78" s="63">
        <f t="shared" si="1"/>
        <v>1053.8824387992743</v>
      </c>
      <c r="Q78" s="63">
        <f t="shared" si="2"/>
        <v>242.14552396566779</v>
      </c>
      <c r="R78" s="64">
        <f t="shared" si="3"/>
        <v>1</v>
      </c>
      <c r="S78" s="64">
        <f t="shared" si="4"/>
        <v>1</v>
      </c>
      <c r="T78" s="20"/>
      <c r="U78" s="58"/>
      <c r="V78" s="13"/>
      <c r="Y78" s="6"/>
      <c r="AA78" s="80"/>
      <c r="AB78" s="24"/>
      <c r="AD78" s="24"/>
      <c r="AE78" s="24"/>
      <c r="AH78" s="24"/>
      <c r="AI78" s="24"/>
      <c r="AJ78" s="24"/>
      <c r="AK78" s="24"/>
      <c r="AL78" s="24"/>
      <c r="AM78" s="24"/>
      <c r="AN78" s="24"/>
      <c r="AO78" s="24"/>
      <c r="AP78" s="24"/>
      <c r="AQ78" s="24"/>
      <c r="AR78" s="24"/>
      <c r="AS78" s="24"/>
      <c r="AT78" s="24"/>
      <c r="AU78" s="24"/>
      <c r="AV78" s="24"/>
      <c r="AW78" s="24"/>
      <c r="AX78" s="24"/>
    </row>
    <row r="79" spans="1:50" ht="14.25" customHeight="1">
      <c r="A79" s="59" t="s">
        <v>238</v>
      </c>
      <c r="B79" s="59" t="s">
        <v>224</v>
      </c>
      <c r="C79" s="60" t="s">
        <v>14</v>
      </c>
      <c r="D79" s="61">
        <v>35.04</v>
      </c>
      <c r="E79" s="81">
        <f t="shared" si="5"/>
        <v>7.4843159999999997</v>
      </c>
      <c r="F79" s="59" t="s">
        <v>92</v>
      </c>
      <c r="G79" s="61"/>
      <c r="H79" s="62"/>
      <c r="I79" s="62">
        <v>6.3473294435242984</v>
      </c>
      <c r="J79" s="62">
        <v>514.13393530957831</v>
      </c>
      <c r="K79" s="62">
        <v>163.14894426578513</v>
      </c>
      <c r="L79" s="62">
        <v>491.67</v>
      </c>
      <c r="M79" s="62">
        <v>669.67000000000007</v>
      </c>
      <c r="N79" s="62" t="s">
        <v>225</v>
      </c>
      <c r="O79" s="63">
        <f t="shared" si="0"/>
        <v>6.3473294435242984</v>
      </c>
      <c r="P79" s="63">
        <f t="shared" si="1"/>
        <v>514.13393530957831</v>
      </c>
      <c r="Q79" s="63">
        <f t="shared" si="2"/>
        <v>163.14894426578513</v>
      </c>
      <c r="R79" s="64">
        <f t="shared" si="3"/>
        <v>1</v>
      </c>
      <c r="S79" s="64">
        <f t="shared" si="4"/>
        <v>1</v>
      </c>
      <c r="T79" s="20"/>
      <c r="U79" s="58" t="s">
        <v>94</v>
      </c>
      <c r="V79" s="13" t="s">
        <v>239</v>
      </c>
      <c r="Y79" s="6"/>
      <c r="AA79" s="80"/>
      <c r="AB79" s="24"/>
      <c r="AD79" s="24"/>
      <c r="AE79" s="24"/>
      <c r="AG79" s="24"/>
      <c r="AH79" s="24"/>
      <c r="AI79" s="24"/>
      <c r="AJ79" s="24"/>
      <c r="AK79" s="24"/>
      <c r="AL79" s="24"/>
      <c r="AM79" s="24"/>
      <c r="AN79" s="24"/>
      <c r="AO79" s="24"/>
      <c r="AP79" s="24"/>
      <c r="AQ79" s="24"/>
      <c r="AR79" s="24"/>
      <c r="AS79" s="24"/>
      <c r="AT79" s="24"/>
      <c r="AU79" s="24"/>
      <c r="AV79" s="24"/>
      <c r="AW79" s="24"/>
      <c r="AX79" s="24"/>
    </row>
    <row r="80" spans="1:50" ht="14.25" customHeight="1">
      <c r="A80" s="59" t="s">
        <v>240</v>
      </c>
      <c r="B80" s="59" t="s">
        <v>224</v>
      </c>
      <c r="C80" s="60" t="s">
        <v>14</v>
      </c>
      <c r="D80" s="61">
        <v>35.04</v>
      </c>
      <c r="E80" s="81">
        <f t="shared" si="5"/>
        <v>7.4843159999999997</v>
      </c>
      <c r="F80" s="59" t="s">
        <v>92</v>
      </c>
      <c r="G80" s="61"/>
      <c r="H80" s="62"/>
      <c r="I80" s="62">
        <v>7.5149954879456722</v>
      </c>
      <c r="J80" s="62">
        <v>1041.4744895199076</v>
      </c>
      <c r="K80" s="62">
        <v>245.85024263516181</v>
      </c>
      <c r="L80" s="62">
        <v>491.67</v>
      </c>
      <c r="M80" s="62">
        <v>659.67000000000007</v>
      </c>
      <c r="N80" s="62" t="s">
        <v>225</v>
      </c>
      <c r="O80" s="63">
        <f t="shared" si="0"/>
        <v>7.5149954879456722</v>
      </c>
      <c r="P80" s="63">
        <f t="shared" si="1"/>
        <v>1041.4744895199076</v>
      </c>
      <c r="Q80" s="63">
        <f t="shared" si="2"/>
        <v>245.85024263516181</v>
      </c>
      <c r="R80" s="64">
        <f t="shared" si="3"/>
        <v>1</v>
      </c>
      <c r="S80" s="64">
        <f t="shared" si="4"/>
        <v>1</v>
      </c>
      <c r="T80" s="20"/>
      <c r="U80" s="70" t="s">
        <v>122</v>
      </c>
      <c r="V80" s="5" t="s">
        <v>123</v>
      </c>
      <c r="AB80" s="24"/>
      <c r="AD80" s="24"/>
      <c r="AE80" s="24"/>
      <c r="AF80" s="24"/>
      <c r="AG80" s="24"/>
      <c r="AH80" s="24"/>
      <c r="AI80" s="24"/>
      <c r="AJ80" s="24"/>
      <c r="AK80" s="24"/>
      <c r="AL80" s="24"/>
      <c r="AM80" s="24"/>
      <c r="AN80" s="24"/>
      <c r="AO80" s="24"/>
      <c r="AP80" s="24"/>
      <c r="AQ80" s="24"/>
      <c r="AR80" s="24"/>
      <c r="AS80" s="24"/>
      <c r="AT80" s="24"/>
      <c r="AU80" s="24"/>
      <c r="AV80" s="24"/>
      <c r="AW80" s="24"/>
      <c r="AX80" s="24"/>
    </row>
    <row r="81" spans="1:50" ht="14.25" customHeight="1">
      <c r="A81" s="59" t="s">
        <v>241</v>
      </c>
      <c r="B81" s="59" t="s">
        <v>224</v>
      </c>
      <c r="C81" s="60" t="s">
        <v>14</v>
      </c>
      <c r="D81" s="61">
        <v>35.04</v>
      </c>
      <c r="E81" s="81">
        <f t="shared" si="5"/>
        <v>7.4843159999999997</v>
      </c>
      <c r="F81" s="59" t="s">
        <v>92</v>
      </c>
      <c r="G81" s="61"/>
      <c r="H81" s="62"/>
      <c r="I81" s="62">
        <v>7.573705240498807</v>
      </c>
      <c r="J81" s="62">
        <v>1062.4837365134797</v>
      </c>
      <c r="K81" s="62">
        <v>250.66778529171248</v>
      </c>
      <c r="L81" s="62">
        <v>491.67</v>
      </c>
      <c r="M81" s="62">
        <v>649.67000000000007</v>
      </c>
      <c r="N81" s="62" t="s">
        <v>225</v>
      </c>
      <c r="O81" s="63">
        <f t="shared" si="0"/>
        <v>7.573705240498807</v>
      </c>
      <c r="P81" s="63">
        <f t="shared" si="1"/>
        <v>1062.4837365134797</v>
      </c>
      <c r="Q81" s="63">
        <f t="shared" si="2"/>
        <v>250.66778529171248</v>
      </c>
      <c r="R81" s="64">
        <f t="shared" si="3"/>
        <v>1</v>
      </c>
      <c r="S81" s="64">
        <f t="shared" si="4"/>
        <v>1</v>
      </c>
      <c r="T81" s="20"/>
      <c r="U81" s="70"/>
      <c r="AB81" s="24"/>
      <c r="AD81" s="24"/>
      <c r="AE81" s="24"/>
      <c r="AF81" s="24"/>
      <c r="AG81" s="24"/>
      <c r="AH81" s="24"/>
      <c r="AI81" s="24"/>
      <c r="AJ81" s="24"/>
      <c r="AK81" s="24"/>
      <c r="AL81" s="24"/>
      <c r="AM81" s="24"/>
      <c r="AN81" s="24"/>
      <c r="AO81" s="24"/>
      <c r="AP81" s="24"/>
      <c r="AQ81" s="24"/>
      <c r="AR81" s="24"/>
      <c r="AS81" s="24"/>
      <c r="AT81" s="24"/>
      <c r="AU81" s="24"/>
      <c r="AV81" s="24"/>
      <c r="AW81" s="24"/>
      <c r="AX81" s="24"/>
    </row>
    <row r="82" spans="1:50" ht="14.25" customHeight="1">
      <c r="A82" s="59" t="s">
        <v>242</v>
      </c>
      <c r="B82" s="59" t="s">
        <v>224</v>
      </c>
      <c r="C82" s="60" t="s">
        <v>14</v>
      </c>
      <c r="D82" s="61">
        <v>35.04</v>
      </c>
      <c r="E82" s="81">
        <f t="shared" si="5"/>
        <v>7.4843159999999997</v>
      </c>
      <c r="F82" s="59" t="s">
        <v>92</v>
      </c>
      <c r="G82" s="61"/>
      <c r="H82" s="62"/>
      <c r="I82" s="62">
        <v>7.5730338310205596</v>
      </c>
      <c r="J82" s="62">
        <v>1052.1569087452451</v>
      </c>
      <c r="K82" s="62">
        <v>250.6901330030675</v>
      </c>
      <c r="L82" s="62">
        <v>491.67</v>
      </c>
      <c r="M82" s="62">
        <v>639.67000000000007</v>
      </c>
      <c r="N82" s="62" t="s">
        <v>225</v>
      </c>
      <c r="O82" s="63">
        <f t="shared" si="0"/>
        <v>7.5730338310205596</v>
      </c>
      <c r="P82" s="63">
        <f t="shared" si="1"/>
        <v>1052.1569087452451</v>
      </c>
      <c r="Q82" s="63">
        <f t="shared" si="2"/>
        <v>250.6901330030675</v>
      </c>
      <c r="R82" s="64">
        <f t="shared" si="3"/>
        <v>1</v>
      </c>
      <c r="S82" s="64">
        <f t="shared" si="4"/>
        <v>1</v>
      </c>
      <c r="T82" s="20"/>
      <c r="U82" s="70"/>
      <c r="AB82" s="24"/>
      <c r="AD82" s="24"/>
      <c r="AE82" s="24"/>
      <c r="AF82" s="24"/>
      <c r="AG82" s="24"/>
      <c r="AH82" s="24"/>
      <c r="AI82" s="24"/>
      <c r="AJ82" s="24"/>
      <c r="AK82" s="24"/>
      <c r="AL82" s="24"/>
      <c r="AM82" s="24"/>
      <c r="AN82" s="24"/>
      <c r="AO82" s="24"/>
      <c r="AP82" s="24"/>
      <c r="AQ82" s="24"/>
      <c r="AR82" s="24"/>
      <c r="AS82" s="24"/>
      <c r="AT82" s="24"/>
      <c r="AU82" s="24"/>
      <c r="AV82" s="24"/>
      <c r="AW82" s="24"/>
      <c r="AX82" s="24"/>
    </row>
    <row r="83" spans="1:50" ht="14.25" customHeight="1">
      <c r="A83" s="59" t="s">
        <v>243</v>
      </c>
      <c r="B83" s="59" t="s">
        <v>224</v>
      </c>
      <c r="C83" s="60" t="s">
        <v>14</v>
      </c>
      <c r="D83" s="61">
        <v>35.04</v>
      </c>
      <c r="E83" s="81">
        <f t="shared" si="5"/>
        <v>7.4843159999999997</v>
      </c>
      <c r="F83" s="59" t="s">
        <v>92</v>
      </c>
      <c r="G83" s="61"/>
      <c r="H83" s="62"/>
      <c r="I83" s="62">
        <v>7.5654306031770417</v>
      </c>
      <c r="J83" s="62">
        <v>1039.9041818591561</v>
      </c>
      <c r="K83" s="62">
        <v>250.04415509911843</v>
      </c>
      <c r="L83" s="62">
        <v>491.67</v>
      </c>
      <c r="M83" s="62">
        <v>639.67000000000007</v>
      </c>
      <c r="N83" s="62" t="s">
        <v>225</v>
      </c>
      <c r="O83" s="63">
        <f t="shared" si="0"/>
        <v>7.5654306031770417</v>
      </c>
      <c r="P83" s="63">
        <f t="shared" si="1"/>
        <v>1039.9041818591561</v>
      </c>
      <c r="Q83" s="63">
        <f t="shared" si="2"/>
        <v>250.04415509911843</v>
      </c>
      <c r="R83" s="64">
        <f t="shared" si="3"/>
        <v>1</v>
      </c>
      <c r="S83" s="64">
        <f t="shared" si="4"/>
        <v>1</v>
      </c>
      <c r="T83" s="20"/>
      <c r="U83" s="70"/>
      <c r="AB83" s="24"/>
      <c r="AD83" s="24"/>
      <c r="AE83" s="24"/>
      <c r="AF83" s="24"/>
      <c r="AG83" s="24"/>
      <c r="AH83" s="24"/>
      <c r="AI83" s="24"/>
      <c r="AJ83" s="24"/>
      <c r="AK83" s="24"/>
      <c r="AL83" s="24"/>
      <c r="AM83" s="24"/>
      <c r="AN83" s="24"/>
      <c r="AO83" s="24"/>
      <c r="AP83" s="24"/>
      <c r="AQ83" s="24"/>
      <c r="AR83" s="24"/>
      <c r="AS83" s="24"/>
      <c r="AT83" s="24"/>
      <c r="AU83" s="24"/>
      <c r="AV83" s="24"/>
      <c r="AW83" s="24"/>
      <c r="AX83" s="24"/>
    </row>
    <row r="84" spans="1:50" ht="14.25" customHeight="1">
      <c r="A84" s="59" t="s">
        <v>244</v>
      </c>
      <c r="B84" s="59" t="s">
        <v>224</v>
      </c>
      <c r="C84" s="60" t="s">
        <v>14</v>
      </c>
      <c r="D84" s="61">
        <v>35.04</v>
      </c>
      <c r="E84" s="81">
        <f t="shared" si="5"/>
        <v>7.4843159999999997</v>
      </c>
      <c r="F84" s="59" t="s">
        <v>92</v>
      </c>
      <c r="G84" s="61"/>
      <c r="H84" s="62"/>
      <c r="I84" s="62">
        <v>7.5847353896831535</v>
      </c>
      <c r="J84" s="62">
        <v>1044.6976600580747</v>
      </c>
      <c r="K84" s="62">
        <v>251.50415210868925</v>
      </c>
      <c r="L84" s="62">
        <v>491.67</v>
      </c>
      <c r="M84" s="62">
        <v>639.67000000000007</v>
      </c>
      <c r="N84" s="62" t="s">
        <v>225</v>
      </c>
      <c r="O84" s="63">
        <f t="shared" si="0"/>
        <v>7.5847353896831535</v>
      </c>
      <c r="P84" s="63">
        <f t="shared" si="1"/>
        <v>1044.6976600580747</v>
      </c>
      <c r="Q84" s="63">
        <f t="shared" si="2"/>
        <v>251.50415210868925</v>
      </c>
      <c r="R84" s="64">
        <f t="shared" si="3"/>
        <v>1</v>
      </c>
      <c r="S84" s="64">
        <f t="shared" si="4"/>
        <v>1</v>
      </c>
      <c r="T84" s="20"/>
      <c r="U84" s="70"/>
      <c r="AB84" s="24"/>
      <c r="AD84" s="24"/>
      <c r="AE84" s="24"/>
      <c r="AF84" s="24"/>
      <c r="AG84" s="24"/>
      <c r="AH84" s="24"/>
      <c r="AI84" s="24"/>
      <c r="AJ84" s="24"/>
      <c r="AK84" s="24"/>
      <c r="AL84" s="24"/>
      <c r="AM84" s="24"/>
      <c r="AN84" s="24"/>
      <c r="AO84" s="24"/>
      <c r="AP84" s="24"/>
      <c r="AQ84" s="24"/>
      <c r="AR84" s="24"/>
      <c r="AS84" s="24"/>
      <c r="AT84" s="24"/>
      <c r="AU84" s="24"/>
      <c r="AV84" s="24"/>
      <c r="AW84" s="24"/>
      <c r="AX84" s="24"/>
    </row>
    <row r="85" spans="1:50" ht="14.25" customHeight="1">
      <c r="A85" s="59" t="s">
        <v>245</v>
      </c>
      <c r="B85" s="59" t="s">
        <v>224</v>
      </c>
      <c r="C85" s="60" t="s">
        <v>14</v>
      </c>
      <c r="D85" s="61">
        <v>35.04</v>
      </c>
      <c r="E85" s="81">
        <f t="shared" si="5"/>
        <v>7.4843159999999997</v>
      </c>
      <c r="F85" s="59" t="s">
        <v>92</v>
      </c>
      <c r="G85" s="61"/>
      <c r="H85" s="62"/>
      <c r="I85" s="62">
        <v>7.5756936512271977</v>
      </c>
      <c r="J85" s="62">
        <v>1034.3659240199765</v>
      </c>
      <c r="K85" s="62">
        <v>250.91891877824747</v>
      </c>
      <c r="L85" s="62">
        <v>491.67</v>
      </c>
      <c r="M85" s="62">
        <v>629.67000000000007</v>
      </c>
      <c r="N85" s="62" t="s">
        <v>225</v>
      </c>
      <c r="O85" s="63">
        <f t="shared" si="0"/>
        <v>7.5756936512271977</v>
      </c>
      <c r="P85" s="63">
        <f t="shared" si="1"/>
        <v>1034.3659240199765</v>
      </c>
      <c r="Q85" s="63">
        <f t="shared" si="2"/>
        <v>250.91891877824747</v>
      </c>
      <c r="R85" s="64">
        <f t="shared" si="3"/>
        <v>1</v>
      </c>
      <c r="S85" s="64">
        <f t="shared" si="4"/>
        <v>1</v>
      </c>
      <c r="T85" s="20"/>
      <c r="U85" s="70"/>
      <c r="AB85" s="24"/>
      <c r="AD85" s="24"/>
      <c r="AE85" s="24"/>
      <c r="AF85" s="24"/>
      <c r="AG85" s="24"/>
      <c r="AH85" s="24"/>
      <c r="AI85" s="24"/>
      <c r="AJ85" s="24"/>
      <c r="AK85" s="24"/>
      <c r="AL85" s="24"/>
      <c r="AM85" s="24"/>
      <c r="AN85" s="24"/>
      <c r="AO85" s="24"/>
      <c r="AP85" s="24"/>
      <c r="AQ85" s="24"/>
      <c r="AR85" s="24"/>
      <c r="AS85" s="24"/>
      <c r="AT85" s="24"/>
      <c r="AU85" s="24"/>
      <c r="AV85" s="24"/>
      <c r="AW85" s="24"/>
      <c r="AX85" s="24"/>
    </row>
    <row r="86" spans="1:50" ht="14.25" customHeight="1">
      <c r="A86" s="59" t="s">
        <v>246</v>
      </c>
      <c r="B86" s="59" t="s">
        <v>224</v>
      </c>
      <c r="C86" s="60" t="s">
        <v>14</v>
      </c>
      <c r="D86" s="61">
        <v>35.04</v>
      </c>
      <c r="E86" s="81">
        <f t="shared" si="5"/>
        <v>7.4843159999999997</v>
      </c>
      <c r="F86" s="59" t="s">
        <v>92</v>
      </c>
      <c r="G86" s="61"/>
      <c r="H86" s="62"/>
      <c r="I86" s="62">
        <v>7.1649654677520562</v>
      </c>
      <c r="J86" s="62">
        <v>1409.4600724632171</v>
      </c>
      <c r="K86" s="62">
        <v>246.85814496622589</v>
      </c>
      <c r="L86" s="62">
        <v>491.67</v>
      </c>
      <c r="M86" s="62">
        <v>709.67000000000007</v>
      </c>
      <c r="N86" s="62" t="s">
        <v>225</v>
      </c>
      <c r="O86" s="63">
        <f t="shared" si="0"/>
        <v>7.1649654677520562</v>
      </c>
      <c r="P86" s="63">
        <f t="shared" si="1"/>
        <v>1409.4600724632171</v>
      </c>
      <c r="Q86" s="63">
        <f t="shared" si="2"/>
        <v>246.85814496622589</v>
      </c>
      <c r="R86" s="64">
        <f t="shared" si="3"/>
        <v>1</v>
      </c>
      <c r="S86" s="64">
        <f t="shared" si="4"/>
        <v>1</v>
      </c>
      <c r="T86" s="20"/>
      <c r="U86" s="70"/>
      <c r="AB86" s="24"/>
      <c r="AD86" s="24"/>
      <c r="AE86" s="24"/>
      <c r="AF86" s="24"/>
      <c r="AG86" s="24"/>
      <c r="AH86" s="24"/>
      <c r="AI86" s="24"/>
      <c r="AJ86" s="24"/>
      <c r="AK86" s="24"/>
      <c r="AL86" s="24"/>
      <c r="AM86" s="24"/>
      <c r="AN86" s="24"/>
      <c r="AO86" s="24"/>
      <c r="AP86" s="24"/>
      <c r="AQ86" s="24"/>
      <c r="AR86" s="24"/>
      <c r="AS86" s="24"/>
      <c r="AT86" s="24"/>
      <c r="AU86" s="24"/>
      <c r="AV86" s="24"/>
      <c r="AW86" s="24"/>
      <c r="AX86" s="24"/>
    </row>
    <row r="87" spans="1:50" ht="14.25" customHeight="1">
      <c r="A87" s="59" t="s">
        <v>247</v>
      </c>
      <c r="B87" s="59" t="s">
        <v>224</v>
      </c>
      <c r="C87" s="60" t="s">
        <v>14</v>
      </c>
      <c r="D87" s="61">
        <v>35.04</v>
      </c>
      <c r="E87" s="81">
        <f t="shared" si="5"/>
        <v>7.4843159999999997</v>
      </c>
      <c r="F87" s="59" t="s">
        <v>92</v>
      </c>
      <c r="G87" s="61"/>
      <c r="H87" s="62"/>
      <c r="I87" s="62">
        <v>7.5174188635616872</v>
      </c>
      <c r="J87" s="62">
        <v>995.73426006400894</v>
      </c>
      <c r="K87" s="62">
        <v>246.40769634727752</v>
      </c>
      <c r="L87" s="62">
        <v>491.67</v>
      </c>
      <c r="M87" s="62">
        <v>629.67000000000007</v>
      </c>
      <c r="N87" s="62" t="s">
        <v>225</v>
      </c>
      <c r="O87" s="63">
        <f t="shared" si="0"/>
        <v>7.5174188635616872</v>
      </c>
      <c r="P87" s="63">
        <f t="shared" si="1"/>
        <v>995.73426006400894</v>
      </c>
      <c r="Q87" s="63">
        <f t="shared" si="2"/>
        <v>246.40769634727752</v>
      </c>
      <c r="R87" s="64">
        <f t="shared" si="3"/>
        <v>1</v>
      </c>
      <c r="S87" s="64">
        <f t="shared" si="4"/>
        <v>1</v>
      </c>
      <c r="T87" s="20"/>
      <c r="U87" s="70"/>
      <c r="AB87" s="24"/>
      <c r="AD87" s="24"/>
      <c r="AE87" s="24"/>
      <c r="AF87" s="24"/>
      <c r="AG87" s="24"/>
      <c r="AH87" s="24"/>
      <c r="AI87" s="24"/>
      <c r="AJ87" s="24"/>
      <c r="AK87" s="24"/>
      <c r="AL87" s="24"/>
      <c r="AM87" s="24"/>
      <c r="AN87" s="24"/>
      <c r="AO87" s="24"/>
      <c r="AP87" s="24"/>
      <c r="AQ87" s="24"/>
      <c r="AR87" s="24"/>
      <c r="AS87" s="24"/>
      <c r="AT87" s="24"/>
      <c r="AU87" s="24"/>
      <c r="AV87" s="24"/>
      <c r="AW87" s="24"/>
      <c r="AX87" s="24"/>
    </row>
    <row r="88" spans="1:50" ht="14.25" customHeight="1">
      <c r="A88" s="59" t="s">
        <v>248</v>
      </c>
      <c r="B88" s="59" t="s">
        <v>249</v>
      </c>
      <c r="C88" s="60" t="s">
        <v>33</v>
      </c>
      <c r="D88" s="61">
        <v>96.09</v>
      </c>
      <c r="E88" s="61">
        <f>1.5*8.34</f>
        <v>12.51</v>
      </c>
      <c r="F88" s="61" t="s">
        <v>103</v>
      </c>
      <c r="G88" s="61"/>
      <c r="H88" s="62"/>
      <c r="I88" s="67"/>
      <c r="J88" s="67"/>
      <c r="K88" s="67"/>
      <c r="L88" s="67"/>
      <c r="M88" s="67"/>
      <c r="N88" s="62" t="s">
        <v>250</v>
      </c>
      <c r="O88" s="63">
        <f t="shared" si="0"/>
        <v>0</v>
      </c>
      <c r="P88" s="63">
        <f t="shared" si="1"/>
        <v>0</v>
      </c>
      <c r="Q88" s="63">
        <f t="shared" si="2"/>
        <v>0</v>
      </c>
      <c r="R88" s="64">
        <f t="shared" si="3"/>
        <v>1</v>
      </c>
      <c r="S88" s="64">
        <f t="shared" si="4"/>
        <v>1</v>
      </c>
      <c r="T88" s="20"/>
      <c r="U88" s="70" t="s">
        <v>127</v>
      </c>
      <c r="V88" s="5" t="s">
        <v>123</v>
      </c>
      <c r="AB88" s="24"/>
      <c r="AD88" s="24"/>
      <c r="AE88" s="24"/>
      <c r="AF88" s="24"/>
      <c r="AG88" s="24"/>
      <c r="AH88" s="24"/>
      <c r="AI88" s="24"/>
      <c r="AJ88" s="24"/>
      <c r="AK88" s="24"/>
      <c r="AL88" s="24"/>
      <c r="AM88" s="24"/>
      <c r="AN88" s="24"/>
      <c r="AO88" s="24"/>
      <c r="AP88" s="24"/>
      <c r="AQ88" s="24"/>
      <c r="AR88" s="24"/>
      <c r="AS88" s="24"/>
      <c r="AT88" s="24"/>
      <c r="AU88" s="24"/>
      <c r="AV88" s="24"/>
      <c r="AW88" s="24"/>
      <c r="AX88" s="24"/>
    </row>
    <row r="89" spans="1:50" ht="14.25" customHeight="1">
      <c r="A89" s="59" t="s">
        <v>251</v>
      </c>
      <c r="B89" s="59" t="s">
        <v>252</v>
      </c>
      <c r="C89" s="60" t="s">
        <v>28</v>
      </c>
      <c r="D89" s="61">
        <v>93.13</v>
      </c>
      <c r="E89" s="61">
        <v>8.5123130000000007</v>
      </c>
      <c r="F89" s="59" t="s">
        <v>92</v>
      </c>
      <c r="G89" s="61"/>
      <c r="H89" s="62"/>
      <c r="I89" s="62">
        <v>7.32</v>
      </c>
      <c r="J89" s="62">
        <v>1731.5150000000001</v>
      </c>
      <c r="K89" s="62">
        <v>206.04900000000001</v>
      </c>
      <c r="L89" s="62">
        <v>547.67000000000007</v>
      </c>
      <c r="M89" s="62">
        <v>822.67000000000007</v>
      </c>
      <c r="N89" s="62" t="s">
        <v>93</v>
      </c>
      <c r="O89" s="63">
        <f t="shared" ref="O89:O152" si="6">IF($F89="RVP", (12.82-0.9672*LN($G89)), IF($F89 = "RVP+S", 15.64-(1.854*($H89^0.5))-(0.8742-(0.328*($H89^0.5)))*LN($G89), I89))</f>
        <v>7.32</v>
      </c>
      <c r="P89" s="63">
        <f t="shared" ref="P89:P152" si="7">IF($F89="RVP", (7261-1216*LN($G89)), IF($F89 = "RVP+S", 8742-(1042*($H89^0.5))-(1049-(179.4*($H89^0.5)))*LN($G89), J89))</f>
        <v>1731.5150000000001</v>
      </c>
      <c r="Q89" s="63">
        <f t="shared" ref="Q89:Q152" si="8">IF($F89="RVP", 0, IF($F89 = "RVP+S", 0, K89))</f>
        <v>206.04900000000001</v>
      </c>
      <c r="R89" s="64">
        <f t="shared" ref="R89:R152" si="9">IF($F89="RVP",0.4,1)</f>
        <v>1</v>
      </c>
      <c r="S89" s="64">
        <f t="shared" ref="S89:S152" si="10">IF($F89="RVP",0.75,1)</f>
        <v>1</v>
      </c>
      <c r="T89" s="20"/>
      <c r="U89" s="70"/>
      <c r="AB89" s="24"/>
      <c r="AC89" s="72"/>
      <c r="AD89" s="24"/>
      <c r="AE89" s="24"/>
      <c r="AF89" s="24"/>
      <c r="AG89" s="24"/>
      <c r="AH89" s="24"/>
      <c r="AI89" s="24"/>
      <c r="AJ89" s="24"/>
      <c r="AK89" s="24"/>
      <c r="AL89" s="24"/>
      <c r="AM89" s="24"/>
      <c r="AN89" s="24"/>
      <c r="AO89" s="24"/>
      <c r="AP89" s="24"/>
      <c r="AQ89" s="24"/>
      <c r="AR89" s="24"/>
      <c r="AS89" s="24"/>
      <c r="AT89" s="24"/>
      <c r="AU89" s="24"/>
      <c r="AV89" s="24"/>
      <c r="AW89" s="24"/>
      <c r="AX89" s="24"/>
    </row>
    <row r="90" spans="1:50" ht="14.25" customHeight="1">
      <c r="A90" s="59" t="s">
        <v>253</v>
      </c>
      <c r="B90" s="59" t="s">
        <v>254</v>
      </c>
      <c r="C90" s="60" t="s">
        <v>20</v>
      </c>
      <c r="D90" s="61">
        <v>277.11236000000002</v>
      </c>
      <c r="E90" s="61">
        <f>2.6*8.3454</f>
        <v>21.698039999999999</v>
      </c>
      <c r="F90" s="61" t="s">
        <v>103</v>
      </c>
      <c r="G90" s="61"/>
      <c r="H90" s="62"/>
      <c r="I90" s="62"/>
      <c r="J90" s="62"/>
      <c r="K90" s="62"/>
      <c r="L90" s="62"/>
      <c r="M90" s="62"/>
      <c r="N90" s="62" t="s">
        <v>168</v>
      </c>
      <c r="O90" s="63">
        <f t="shared" si="6"/>
        <v>0</v>
      </c>
      <c r="P90" s="63">
        <f t="shared" si="7"/>
        <v>0</v>
      </c>
      <c r="Q90" s="63">
        <f t="shared" si="8"/>
        <v>0</v>
      </c>
      <c r="R90" s="64">
        <f t="shared" si="9"/>
        <v>1</v>
      </c>
      <c r="S90" s="64">
        <f t="shared" si="10"/>
        <v>1</v>
      </c>
      <c r="T90" s="20"/>
      <c r="U90" s="58" t="s">
        <v>184</v>
      </c>
      <c r="V90" s="35" t="s">
        <v>255</v>
      </c>
      <c r="AB90" s="24"/>
      <c r="AC90" s="72"/>
      <c r="AD90" s="24"/>
      <c r="AE90" s="24"/>
      <c r="AF90" s="24"/>
      <c r="AG90" s="24"/>
      <c r="AH90" s="24"/>
      <c r="AI90" s="24"/>
      <c r="AJ90" s="24"/>
      <c r="AK90" s="24"/>
      <c r="AL90" s="24"/>
      <c r="AM90" s="24"/>
      <c r="AN90" s="24"/>
      <c r="AO90" s="24"/>
      <c r="AP90" s="24"/>
      <c r="AQ90" s="24"/>
      <c r="AR90" s="24"/>
      <c r="AS90" s="24"/>
      <c r="AT90" s="24"/>
      <c r="AU90" s="24"/>
      <c r="AV90" s="24"/>
      <c r="AW90" s="24"/>
      <c r="AX90" s="24"/>
    </row>
    <row r="91" spans="1:50" ht="14.25" customHeight="1">
      <c r="A91" s="59" t="s">
        <v>256</v>
      </c>
      <c r="B91" s="59" t="s">
        <v>257</v>
      </c>
      <c r="C91" s="60" t="s">
        <v>28</v>
      </c>
      <c r="D91" s="61">
        <v>78.11</v>
      </c>
      <c r="E91" s="61">
        <v>7.3650000000000002</v>
      </c>
      <c r="F91" s="59" t="s">
        <v>92</v>
      </c>
      <c r="G91" s="61"/>
      <c r="H91" s="62"/>
      <c r="I91" s="62">
        <v>6.9050000000000002</v>
      </c>
      <c r="J91" s="62">
        <v>1211.0329999999999</v>
      </c>
      <c r="K91" s="62">
        <v>220.79</v>
      </c>
      <c r="L91" s="62">
        <v>505.67</v>
      </c>
      <c r="M91" s="62">
        <v>676.67000000000007</v>
      </c>
      <c r="N91" s="62" t="s">
        <v>93</v>
      </c>
      <c r="O91" s="63">
        <f t="shared" si="6"/>
        <v>6.9050000000000002</v>
      </c>
      <c r="P91" s="63">
        <f t="shared" si="7"/>
        <v>1211.0329999999999</v>
      </c>
      <c r="Q91" s="63">
        <f t="shared" si="8"/>
        <v>220.79</v>
      </c>
      <c r="R91" s="64">
        <f t="shared" si="9"/>
        <v>1</v>
      </c>
      <c r="S91" s="64">
        <f t="shared" si="10"/>
        <v>1</v>
      </c>
      <c r="T91" s="20"/>
      <c r="U91" s="58"/>
      <c r="V91" s="35"/>
      <c r="AB91" s="24"/>
      <c r="AC91" s="72"/>
      <c r="AD91" s="24"/>
      <c r="AE91" s="24"/>
      <c r="AF91" s="24"/>
      <c r="AG91" s="24"/>
      <c r="AH91" s="24"/>
      <c r="AI91" s="24"/>
      <c r="AJ91" s="24"/>
      <c r="AK91" s="24"/>
      <c r="AL91" s="24"/>
      <c r="AM91" s="24"/>
      <c r="AN91" s="24"/>
      <c r="AO91" s="24"/>
      <c r="AP91" s="24"/>
      <c r="AQ91" s="24"/>
      <c r="AR91" s="24"/>
      <c r="AS91" s="24"/>
      <c r="AT91" s="24"/>
      <c r="AU91" s="24"/>
      <c r="AV91" s="24"/>
      <c r="AW91" s="24"/>
      <c r="AX91" s="24"/>
    </row>
    <row r="92" spans="1:50" ht="14.25" customHeight="1">
      <c r="A92" s="59" t="s">
        <v>258</v>
      </c>
      <c r="B92" s="59" t="s">
        <v>259</v>
      </c>
      <c r="C92" s="60" t="s">
        <v>28</v>
      </c>
      <c r="D92" s="61">
        <v>184.24</v>
      </c>
      <c r="E92" s="61">
        <f>1.25*8.3454</f>
        <v>10.431749999999999</v>
      </c>
      <c r="F92" s="61" t="s">
        <v>103</v>
      </c>
      <c r="G92" s="61"/>
      <c r="H92" s="62"/>
      <c r="I92" s="62"/>
      <c r="J92" s="62"/>
      <c r="K92" s="62"/>
      <c r="L92" s="62"/>
      <c r="M92" s="62"/>
      <c r="N92" s="62" t="s">
        <v>158</v>
      </c>
      <c r="O92" s="63">
        <f t="shared" si="6"/>
        <v>0</v>
      </c>
      <c r="P92" s="63">
        <f t="shared" si="7"/>
        <v>0</v>
      </c>
      <c r="Q92" s="63">
        <f t="shared" si="8"/>
        <v>0</v>
      </c>
      <c r="R92" s="64">
        <f t="shared" si="9"/>
        <v>1</v>
      </c>
      <c r="S92" s="64">
        <f t="shared" si="10"/>
        <v>1</v>
      </c>
      <c r="T92" s="20"/>
      <c r="AC92" s="72"/>
      <c r="AD92" s="24"/>
      <c r="AE92" s="24"/>
      <c r="AF92" s="24"/>
      <c r="AG92" s="24"/>
      <c r="AH92" s="24"/>
      <c r="AI92" s="24"/>
      <c r="AJ92" s="24"/>
      <c r="AK92" s="24"/>
      <c r="AL92" s="24"/>
      <c r="AM92" s="24"/>
      <c r="AN92" s="24"/>
      <c r="AO92" s="24"/>
      <c r="AP92" s="24"/>
      <c r="AQ92" s="24"/>
      <c r="AR92" s="24"/>
      <c r="AS92" s="24"/>
      <c r="AT92" s="24"/>
      <c r="AU92" s="24"/>
      <c r="AV92" s="24"/>
      <c r="AW92" s="24"/>
      <c r="AX92" s="24"/>
    </row>
    <row r="93" spans="1:50" ht="14.25" customHeight="1">
      <c r="A93" s="59" t="s">
        <v>260</v>
      </c>
      <c r="B93" s="59" t="s">
        <v>261</v>
      </c>
      <c r="C93" s="60" t="s">
        <v>28</v>
      </c>
      <c r="D93" s="61">
        <v>195.47</v>
      </c>
      <c r="E93" s="61">
        <f>1.38*8.3454</f>
        <v>11.516651999999999</v>
      </c>
      <c r="F93" s="61" t="s">
        <v>92</v>
      </c>
      <c r="G93" s="61"/>
      <c r="H93" s="62"/>
      <c r="I93" s="62">
        <v>6.3831499999999997</v>
      </c>
      <c r="J93" s="62">
        <v>1495.8777</v>
      </c>
      <c r="K93" s="62">
        <v>196.71100000000001</v>
      </c>
      <c r="L93" s="62">
        <v>637.77600000000007</v>
      </c>
      <c r="M93" s="62">
        <v>978.67800000000011</v>
      </c>
      <c r="N93" s="62" t="s">
        <v>98</v>
      </c>
      <c r="O93" s="63">
        <f t="shared" si="6"/>
        <v>6.3831499999999997</v>
      </c>
      <c r="P93" s="63">
        <f t="shared" si="7"/>
        <v>1495.8777</v>
      </c>
      <c r="Q93" s="63">
        <f t="shared" si="8"/>
        <v>196.71100000000001</v>
      </c>
      <c r="R93" s="64">
        <f t="shared" si="9"/>
        <v>1</v>
      </c>
      <c r="S93" s="64">
        <f t="shared" si="10"/>
        <v>1</v>
      </c>
      <c r="T93" s="20"/>
      <c r="AC93" s="72"/>
      <c r="AD93" s="24"/>
      <c r="AE93" s="24"/>
      <c r="AF93" s="24"/>
      <c r="AG93" s="24"/>
      <c r="AH93" s="24"/>
      <c r="AI93" s="24"/>
      <c r="AJ93" s="24"/>
      <c r="AK93" s="24"/>
      <c r="AL93" s="24"/>
      <c r="AM93" s="24"/>
      <c r="AN93" s="24"/>
      <c r="AO93" s="24"/>
      <c r="AP93" s="24"/>
      <c r="AQ93" s="24"/>
      <c r="AR93" s="24"/>
      <c r="AS93" s="24"/>
      <c r="AT93" s="24"/>
      <c r="AU93" s="24"/>
      <c r="AV93" s="24"/>
      <c r="AW93" s="24"/>
      <c r="AX93" s="24"/>
    </row>
    <row r="94" spans="1:50" ht="14.25" customHeight="1">
      <c r="A94" s="59" t="s">
        <v>262</v>
      </c>
      <c r="B94" s="59" t="s">
        <v>263</v>
      </c>
      <c r="C94" s="60" t="s">
        <v>28</v>
      </c>
      <c r="D94" s="61">
        <v>126.58</v>
      </c>
      <c r="E94" s="61">
        <f>1.1*8.3454</f>
        <v>9.1799400000000002</v>
      </c>
      <c r="F94" s="61" t="s">
        <v>92</v>
      </c>
      <c r="G94" s="61"/>
      <c r="H94" s="62"/>
      <c r="I94" s="62">
        <v>7.0369299999999999</v>
      </c>
      <c r="J94" s="62">
        <v>1600.277</v>
      </c>
      <c r="K94" s="62">
        <v>206.191</v>
      </c>
      <c r="L94" s="62">
        <v>597.67200000000003</v>
      </c>
      <c r="M94" s="62">
        <v>867.726</v>
      </c>
      <c r="N94" s="62" t="s">
        <v>98</v>
      </c>
      <c r="O94" s="63">
        <f t="shared" si="6"/>
        <v>7.0369299999999999</v>
      </c>
      <c r="P94" s="63">
        <f t="shared" si="7"/>
        <v>1600.277</v>
      </c>
      <c r="Q94" s="63">
        <f t="shared" si="8"/>
        <v>206.191</v>
      </c>
      <c r="R94" s="64">
        <f t="shared" si="9"/>
        <v>1</v>
      </c>
      <c r="S94" s="64">
        <f t="shared" si="10"/>
        <v>1</v>
      </c>
      <c r="T94" s="20"/>
      <c r="U94" s="5" t="s">
        <v>264</v>
      </c>
      <c r="V94" s="5" t="s">
        <v>265</v>
      </c>
      <c r="AC94" s="72"/>
      <c r="AD94" s="24"/>
      <c r="AE94" s="24"/>
      <c r="AF94" s="24"/>
      <c r="AG94" s="24"/>
      <c r="AH94" s="24"/>
      <c r="AI94" s="24"/>
      <c r="AJ94" s="24"/>
      <c r="AK94" s="24"/>
      <c r="AL94" s="24"/>
      <c r="AM94" s="24"/>
      <c r="AN94" s="24"/>
      <c r="AO94" s="24"/>
      <c r="AP94" s="24"/>
      <c r="AQ94" s="24"/>
      <c r="AR94" s="24"/>
      <c r="AS94" s="24"/>
      <c r="AT94" s="24"/>
      <c r="AU94" s="24"/>
      <c r="AV94" s="24"/>
      <c r="AW94" s="24"/>
      <c r="AX94" s="24"/>
    </row>
    <row r="95" spans="1:50" ht="14.25" customHeight="1">
      <c r="A95" s="65" t="s">
        <v>266</v>
      </c>
      <c r="B95" s="59" t="s">
        <v>267</v>
      </c>
      <c r="C95" s="60" t="s">
        <v>28</v>
      </c>
      <c r="D95" s="61">
        <v>72.06</v>
      </c>
      <c r="E95" s="61">
        <f>1.146*8.3454</f>
        <v>9.5638283999999985</v>
      </c>
      <c r="F95" s="61" t="s">
        <v>92</v>
      </c>
      <c r="G95" s="61"/>
      <c r="H95" s="62"/>
      <c r="I95" s="62">
        <v>6.8451899999999997</v>
      </c>
      <c r="J95" s="62">
        <v>1579.3476000000001</v>
      </c>
      <c r="K95" s="62">
        <v>218.33500000000001</v>
      </c>
      <c r="L95" s="62">
        <v>585.01800000000003</v>
      </c>
      <c r="M95" s="62">
        <v>874.69200000000001</v>
      </c>
      <c r="N95" s="62" t="s">
        <v>98</v>
      </c>
      <c r="O95" s="63">
        <f t="shared" si="6"/>
        <v>6.8451899999999997</v>
      </c>
      <c r="P95" s="63">
        <f t="shared" si="7"/>
        <v>1579.3476000000001</v>
      </c>
      <c r="Q95" s="63">
        <f t="shared" si="8"/>
        <v>218.33500000000001</v>
      </c>
      <c r="R95" s="64">
        <f t="shared" si="9"/>
        <v>1</v>
      </c>
      <c r="S95" s="64">
        <f t="shared" si="10"/>
        <v>1</v>
      </c>
      <c r="T95" s="20"/>
      <c r="AC95" s="72"/>
      <c r="AD95" s="24"/>
      <c r="AE95" s="24"/>
      <c r="AF95" s="24"/>
      <c r="AG95" s="24"/>
      <c r="AH95" s="24"/>
      <c r="AI95" s="24"/>
      <c r="AJ95" s="24"/>
      <c r="AK95" s="24"/>
      <c r="AL95" s="24"/>
      <c r="AM95" s="24"/>
      <c r="AN95" s="24"/>
      <c r="AO95" s="24"/>
      <c r="AP95" s="24"/>
      <c r="AQ95" s="24"/>
      <c r="AR95" s="24"/>
      <c r="AS95" s="24"/>
      <c r="AT95" s="24"/>
      <c r="AU95" s="24"/>
      <c r="AV95" s="24"/>
      <c r="AW95" s="24"/>
      <c r="AX95" s="24"/>
    </row>
    <row r="96" spans="1:50" ht="14.25" customHeight="1">
      <c r="A96" s="59" t="s">
        <v>268</v>
      </c>
      <c r="B96" s="59" t="s">
        <v>269</v>
      </c>
      <c r="C96" s="60" t="s">
        <v>28</v>
      </c>
      <c r="D96" s="61">
        <v>154.21</v>
      </c>
      <c r="E96" s="61">
        <f>0.992*8.3454</f>
        <v>8.2786367999999992</v>
      </c>
      <c r="F96" s="61" t="s">
        <v>92</v>
      </c>
      <c r="G96" s="61"/>
      <c r="H96" s="62"/>
      <c r="I96" s="62">
        <f>4.35685 -LOG10(1.01325/760)</f>
        <v>7.231946979867061</v>
      </c>
      <c r="J96" s="62">
        <v>1987.623</v>
      </c>
      <c r="K96" s="62">
        <f>-71.556+273.15</f>
        <v>201.59399999999999</v>
      </c>
      <c r="L96" s="62">
        <v>616.14</v>
      </c>
      <c r="M96" s="62">
        <v>979.74</v>
      </c>
      <c r="N96" s="62" t="s">
        <v>130</v>
      </c>
      <c r="O96" s="63">
        <f t="shared" si="6"/>
        <v>7.231946979867061</v>
      </c>
      <c r="P96" s="63">
        <f t="shared" si="7"/>
        <v>1987.623</v>
      </c>
      <c r="Q96" s="63">
        <f t="shared" si="8"/>
        <v>201.59399999999999</v>
      </c>
      <c r="R96" s="64">
        <f t="shared" si="9"/>
        <v>1</v>
      </c>
      <c r="S96" s="64">
        <f t="shared" si="10"/>
        <v>1</v>
      </c>
      <c r="T96" s="20"/>
      <c r="AC96" s="72"/>
      <c r="AD96" s="24"/>
      <c r="AE96" s="24"/>
      <c r="AF96" s="24"/>
      <c r="AG96" s="24"/>
      <c r="AH96" s="24"/>
      <c r="AI96" s="24"/>
      <c r="AJ96" s="24"/>
      <c r="AK96" s="24"/>
      <c r="AL96" s="24"/>
      <c r="AM96" s="24"/>
      <c r="AN96" s="24"/>
      <c r="AO96" s="24"/>
      <c r="AP96" s="24"/>
      <c r="AQ96" s="24"/>
      <c r="AR96" s="24"/>
      <c r="AS96" s="24"/>
      <c r="AT96" s="24"/>
      <c r="AU96" s="24"/>
      <c r="AV96" s="24"/>
      <c r="AW96" s="24"/>
      <c r="AX96" s="24"/>
    </row>
    <row r="97" spans="1:50" ht="14.25" customHeight="1">
      <c r="A97" s="59" t="s">
        <v>270</v>
      </c>
      <c r="B97" s="59" t="s">
        <v>271</v>
      </c>
      <c r="C97" s="60" t="s">
        <v>28</v>
      </c>
      <c r="D97" s="61">
        <v>390.56</v>
      </c>
      <c r="E97" s="61">
        <f>0.985*8.3454</f>
        <v>8.2202190000000002</v>
      </c>
      <c r="F97" s="61" t="s">
        <v>103</v>
      </c>
      <c r="G97" s="61"/>
      <c r="H97" s="62"/>
      <c r="I97" s="62"/>
      <c r="J97" s="62"/>
      <c r="K97" s="62"/>
      <c r="L97" s="62"/>
      <c r="M97" s="62"/>
      <c r="N97" s="62" t="s">
        <v>168</v>
      </c>
      <c r="O97" s="63">
        <f t="shared" si="6"/>
        <v>0</v>
      </c>
      <c r="P97" s="63">
        <f t="shared" si="7"/>
        <v>0</v>
      </c>
      <c r="Q97" s="63">
        <f t="shared" si="8"/>
        <v>0</v>
      </c>
      <c r="R97" s="64">
        <f t="shared" si="9"/>
        <v>1</v>
      </c>
      <c r="S97" s="64">
        <f t="shared" si="10"/>
        <v>1</v>
      </c>
      <c r="T97" s="20"/>
      <c r="AC97" s="72"/>
      <c r="AD97" s="24"/>
      <c r="AE97" s="24"/>
      <c r="AF97" s="24"/>
      <c r="AG97" s="24"/>
      <c r="AH97" s="24"/>
      <c r="AI97" s="24"/>
      <c r="AJ97" s="24"/>
      <c r="AK97" s="24"/>
      <c r="AL97" s="24"/>
      <c r="AM97" s="24"/>
      <c r="AN97" s="24"/>
      <c r="AO97" s="24"/>
      <c r="AP97" s="24"/>
      <c r="AQ97" s="24"/>
      <c r="AR97" s="24"/>
      <c r="AS97" s="24"/>
      <c r="AT97" s="24"/>
      <c r="AU97" s="24"/>
      <c r="AV97" s="24"/>
      <c r="AW97" s="24"/>
      <c r="AX97" s="24"/>
    </row>
    <row r="98" spans="1:50" ht="14.25" customHeight="1">
      <c r="A98" s="59" t="s">
        <v>272</v>
      </c>
      <c r="B98" s="59" t="s">
        <v>273</v>
      </c>
      <c r="C98" s="60" t="s">
        <v>28</v>
      </c>
      <c r="D98" s="61">
        <v>114.95856000000001</v>
      </c>
      <c r="E98" s="61">
        <f>1.267*8.3454</f>
        <v>10.573621799999998</v>
      </c>
      <c r="F98" s="61" t="s">
        <v>92</v>
      </c>
      <c r="G98" s="61"/>
      <c r="H98" s="62"/>
      <c r="I98" s="62">
        <v>7.2872500000000002</v>
      </c>
      <c r="J98" s="62">
        <v>1499.7134000000001</v>
      </c>
      <c r="K98" s="62">
        <v>224.94489999999999</v>
      </c>
      <c r="L98" s="62">
        <v>501.80399999999997</v>
      </c>
      <c r="M98" s="62">
        <v>724.30200000000002</v>
      </c>
      <c r="N98" s="62" t="s">
        <v>98</v>
      </c>
      <c r="O98" s="63">
        <f t="shared" si="6"/>
        <v>7.2872500000000002</v>
      </c>
      <c r="P98" s="63">
        <f t="shared" si="7"/>
        <v>1499.7134000000001</v>
      </c>
      <c r="Q98" s="63">
        <f t="shared" si="8"/>
        <v>224.94489999999999</v>
      </c>
      <c r="R98" s="64">
        <f t="shared" si="9"/>
        <v>1</v>
      </c>
      <c r="S98" s="64">
        <f t="shared" si="10"/>
        <v>1</v>
      </c>
      <c r="T98" s="20"/>
      <c r="AC98" s="72"/>
      <c r="AD98" s="24"/>
      <c r="AE98" s="24"/>
      <c r="AF98" s="24"/>
      <c r="AG98" s="24"/>
      <c r="AH98" s="24"/>
      <c r="AI98" s="24"/>
      <c r="AJ98" s="24"/>
      <c r="AK98" s="24"/>
      <c r="AL98" s="24"/>
      <c r="AM98" s="24"/>
      <c r="AN98" s="24"/>
      <c r="AO98" s="24"/>
      <c r="AP98" s="24"/>
      <c r="AQ98" s="24"/>
      <c r="AR98" s="24"/>
      <c r="AS98" s="24"/>
      <c r="AT98" s="24"/>
      <c r="AU98" s="24"/>
      <c r="AV98" s="24"/>
      <c r="AW98" s="24"/>
      <c r="AX98" s="24"/>
    </row>
    <row r="99" spans="1:50" ht="14.25" customHeight="1">
      <c r="A99" s="59" t="s">
        <v>274</v>
      </c>
      <c r="B99" s="59" t="s">
        <v>275</v>
      </c>
      <c r="C99" s="60" t="s">
        <v>28</v>
      </c>
      <c r="D99" s="61">
        <v>252.73</v>
      </c>
      <c r="E99" s="61">
        <f>2.89*8.3454</f>
        <v>24.118206000000001</v>
      </c>
      <c r="F99" s="61" t="s">
        <v>92</v>
      </c>
      <c r="G99" s="61"/>
      <c r="H99" s="62"/>
      <c r="I99" s="62">
        <v>7.03871</v>
      </c>
      <c r="J99" s="62">
        <v>1512.0402999999999</v>
      </c>
      <c r="K99" s="62">
        <v>214.80500000000001</v>
      </c>
      <c r="L99" s="62">
        <v>506.16</v>
      </c>
      <c r="M99" s="62">
        <v>811.548</v>
      </c>
      <c r="N99" s="62" t="s">
        <v>98</v>
      </c>
      <c r="O99" s="63">
        <f t="shared" si="6"/>
        <v>7.03871</v>
      </c>
      <c r="P99" s="63">
        <f t="shared" si="7"/>
        <v>1512.0402999999999</v>
      </c>
      <c r="Q99" s="63">
        <f t="shared" si="8"/>
        <v>214.80500000000001</v>
      </c>
      <c r="R99" s="64">
        <f t="shared" si="9"/>
        <v>1</v>
      </c>
      <c r="S99" s="64">
        <f t="shared" si="10"/>
        <v>1</v>
      </c>
      <c r="T99" s="20"/>
      <c r="AC99" s="72"/>
      <c r="AD99" s="24"/>
      <c r="AE99" s="24"/>
      <c r="AF99" s="24"/>
      <c r="AG99" s="24"/>
      <c r="AH99" s="24"/>
      <c r="AI99" s="24"/>
      <c r="AJ99" s="24"/>
      <c r="AK99" s="24"/>
      <c r="AL99" s="24"/>
      <c r="AM99" s="24"/>
      <c r="AN99" s="24"/>
      <c r="AO99" s="24"/>
      <c r="AP99" s="24"/>
      <c r="AQ99" s="24"/>
      <c r="AR99" s="24"/>
      <c r="AS99" s="24"/>
      <c r="AT99" s="24"/>
      <c r="AU99" s="24"/>
      <c r="AV99" s="24"/>
      <c r="AW99" s="24"/>
      <c r="AX99" s="24"/>
    </row>
    <row r="100" spans="1:50" ht="14.25" customHeight="1">
      <c r="A100" s="59" t="s">
        <v>276</v>
      </c>
      <c r="B100" s="59" t="s">
        <v>277</v>
      </c>
      <c r="C100" s="60" t="s">
        <v>24</v>
      </c>
      <c r="D100" s="61">
        <v>74.122</v>
      </c>
      <c r="E100" s="61">
        <v>6.6930139999999998</v>
      </c>
      <c r="F100" s="59" t="s">
        <v>92</v>
      </c>
      <c r="G100" s="61"/>
      <c r="H100" s="62"/>
      <c r="I100" s="62">
        <v>7.4743000000000004</v>
      </c>
      <c r="J100" s="62">
        <v>1314.19</v>
      </c>
      <c r="K100" s="62">
        <v>186.55</v>
      </c>
      <c r="L100" s="62">
        <v>635.67000000000007</v>
      </c>
      <c r="M100" s="62">
        <v>699.67000000000007</v>
      </c>
      <c r="N100" s="62" t="s">
        <v>93</v>
      </c>
      <c r="O100" s="63">
        <f t="shared" si="6"/>
        <v>7.4743000000000004</v>
      </c>
      <c r="P100" s="63">
        <f t="shared" si="7"/>
        <v>1314.19</v>
      </c>
      <c r="Q100" s="63">
        <f t="shared" si="8"/>
        <v>186.55</v>
      </c>
      <c r="R100" s="64">
        <f t="shared" si="9"/>
        <v>1</v>
      </c>
      <c r="S100" s="64">
        <f t="shared" si="10"/>
        <v>1</v>
      </c>
      <c r="T100" s="20"/>
      <c r="AC100" s="72"/>
      <c r="AD100" s="24"/>
      <c r="AE100" s="24"/>
      <c r="AF100" s="24"/>
      <c r="AG100" s="24"/>
      <c r="AH100" s="24"/>
      <c r="AI100" s="24"/>
      <c r="AJ100" s="24"/>
      <c r="AK100" s="24"/>
      <c r="AL100" s="24"/>
      <c r="AM100" s="24"/>
      <c r="AN100" s="24"/>
      <c r="AO100" s="24"/>
      <c r="AP100" s="24"/>
      <c r="AQ100" s="24"/>
      <c r="AR100" s="24"/>
      <c r="AS100" s="24"/>
      <c r="AT100" s="24"/>
      <c r="AU100" s="24"/>
      <c r="AV100" s="24"/>
      <c r="AW100" s="24"/>
      <c r="AX100" s="24"/>
    </row>
    <row r="101" spans="1:50" ht="14.25" customHeight="1">
      <c r="A101" s="59" t="s">
        <v>278</v>
      </c>
      <c r="B101" s="59" t="s">
        <v>279</v>
      </c>
      <c r="C101" s="60" t="s">
        <v>24</v>
      </c>
      <c r="D101" s="61">
        <v>74.12</v>
      </c>
      <c r="E101" s="61">
        <v>6.7597779999999998</v>
      </c>
      <c r="F101" s="59" t="s">
        <v>92</v>
      </c>
      <c r="G101" s="61"/>
      <c r="H101" s="62"/>
      <c r="I101" s="62">
        <v>7.4767999999999999</v>
      </c>
      <c r="J101" s="62">
        <v>1362.39</v>
      </c>
      <c r="K101" s="62">
        <v>178.77</v>
      </c>
      <c r="L101" s="62">
        <v>532.67000000000007</v>
      </c>
      <c r="M101" s="62">
        <v>703.67000000000007</v>
      </c>
      <c r="N101" s="62" t="s">
        <v>93</v>
      </c>
      <c r="O101" s="63">
        <f t="shared" si="6"/>
        <v>7.4767999999999999</v>
      </c>
      <c r="P101" s="63">
        <f t="shared" si="7"/>
        <v>1362.39</v>
      </c>
      <c r="Q101" s="63">
        <f t="shared" si="8"/>
        <v>178.77</v>
      </c>
      <c r="R101" s="64">
        <f t="shared" si="9"/>
        <v>1</v>
      </c>
      <c r="S101" s="64">
        <f t="shared" si="10"/>
        <v>1</v>
      </c>
      <c r="T101" s="20"/>
      <c r="AC101" s="72"/>
      <c r="AD101" s="24"/>
      <c r="AE101" s="24"/>
      <c r="AF101" s="24"/>
      <c r="AG101" s="24"/>
      <c r="AH101" s="24"/>
      <c r="AI101" s="24"/>
      <c r="AJ101" s="24"/>
      <c r="AK101" s="24"/>
      <c r="AL101" s="24"/>
      <c r="AM101" s="24"/>
      <c r="AN101" s="24"/>
      <c r="AO101" s="24"/>
      <c r="AP101" s="24"/>
      <c r="AQ101" s="24"/>
      <c r="AR101" s="24"/>
      <c r="AS101" s="24"/>
      <c r="AT101" s="24"/>
      <c r="AU101" s="24"/>
      <c r="AV101" s="24"/>
      <c r="AW101" s="24"/>
      <c r="AX101" s="24"/>
    </row>
    <row r="102" spans="1:50" ht="14.25" customHeight="1">
      <c r="A102" s="59" t="s">
        <v>280</v>
      </c>
      <c r="B102" s="59" t="s">
        <v>281</v>
      </c>
      <c r="C102" s="60" t="s">
        <v>28</v>
      </c>
      <c r="D102" s="61">
        <v>80.099999999999994</v>
      </c>
      <c r="E102" s="61">
        <f>2.29*8.3454</f>
        <v>19.110966000000001</v>
      </c>
      <c r="F102" s="61" t="s">
        <v>103</v>
      </c>
      <c r="G102" s="61"/>
      <c r="H102" s="62"/>
      <c r="I102" s="67"/>
      <c r="J102" s="67"/>
      <c r="K102" s="67"/>
      <c r="L102" s="67"/>
      <c r="M102" s="67"/>
      <c r="N102" s="62" t="s">
        <v>109</v>
      </c>
      <c r="O102" s="63">
        <f t="shared" si="6"/>
        <v>0</v>
      </c>
      <c r="P102" s="63">
        <f t="shared" si="7"/>
        <v>0</v>
      </c>
      <c r="Q102" s="63">
        <f t="shared" si="8"/>
        <v>0</v>
      </c>
      <c r="R102" s="64">
        <f t="shared" si="9"/>
        <v>1</v>
      </c>
      <c r="S102" s="64">
        <f t="shared" si="10"/>
        <v>1</v>
      </c>
      <c r="T102" s="20"/>
      <c r="AC102" s="72"/>
      <c r="AD102" s="24"/>
      <c r="AE102" s="24"/>
      <c r="AF102" s="24"/>
      <c r="AG102" s="24"/>
      <c r="AH102" s="24"/>
      <c r="AI102" s="24"/>
      <c r="AJ102" s="24"/>
      <c r="AK102" s="24"/>
      <c r="AL102" s="24"/>
      <c r="AM102" s="24"/>
      <c r="AN102" s="24"/>
      <c r="AO102" s="24"/>
      <c r="AP102" s="24"/>
      <c r="AQ102" s="24"/>
      <c r="AR102" s="24"/>
      <c r="AS102" s="24"/>
      <c r="AT102" s="24"/>
      <c r="AU102" s="24"/>
      <c r="AV102" s="24"/>
      <c r="AW102" s="24"/>
      <c r="AX102" s="24"/>
    </row>
    <row r="103" spans="1:50" ht="14.25" customHeight="1">
      <c r="A103" s="59" t="s">
        <v>282</v>
      </c>
      <c r="B103" s="59" t="s">
        <v>283</v>
      </c>
      <c r="C103" s="60" t="s">
        <v>28</v>
      </c>
      <c r="D103" s="61">
        <v>113.16</v>
      </c>
      <c r="E103" s="61">
        <f>1.01*8.34</f>
        <v>8.4233999999999991</v>
      </c>
      <c r="F103" s="61" t="s">
        <v>103</v>
      </c>
      <c r="G103" s="61"/>
      <c r="H103" s="62"/>
      <c r="I103" s="62"/>
      <c r="J103" s="62"/>
      <c r="K103" s="62"/>
      <c r="L103" s="62"/>
      <c r="M103" s="62"/>
      <c r="N103" s="62" t="s">
        <v>168</v>
      </c>
      <c r="O103" s="63">
        <f t="shared" si="6"/>
        <v>0</v>
      </c>
      <c r="P103" s="63">
        <f t="shared" si="7"/>
        <v>0</v>
      </c>
      <c r="Q103" s="63">
        <f t="shared" si="8"/>
        <v>0</v>
      </c>
      <c r="R103" s="64">
        <f t="shared" si="9"/>
        <v>1</v>
      </c>
      <c r="S103" s="64">
        <f t="shared" si="10"/>
        <v>1</v>
      </c>
      <c r="T103" s="20"/>
      <c r="AC103" s="72"/>
      <c r="AD103" s="24"/>
      <c r="AE103" s="24"/>
      <c r="AF103" s="24"/>
      <c r="AG103" s="24"/>
      <c r="AH103" s="24"/>
      <c r="AI103" s="24"/>
      <c r="AJ103" s="24"/>
      <c r="AK103" s="24"/>
      <c r="AL103" s="24"/>
      <c r="AM103" s="24"/>
      <c r="AN103" s="24"/>
      <c r="AO103" s="24"/>
      <c r="AP103" s="24"/>
      <c r="AQ103" s="24"/>
      <c r="AR103" s="24"/>
      <c r="AS103" s="24"/>
      <c r="AT103" s="24"/>
      <c r="AU103" s="24"/>
      <c r="AV103" s="24"/>
      <c r="AW103" s="24"/>
      <c r="AX103" s="24"/>
    </row>
    <row r="104" spans="1:50" ht="14.25" customHeight="1">
      <c r="A104" s="59" t="s">
        <v>284</v>
      </c>
      <c r="B104" s="59" t="s">
        <v>285</v>
      </c>
      <c r="C104" s="60" t="s">
        <v>28</v>
      </c>
      <c r="D104" s="61">
        <v>300.58999999999997</v>
      </c>
      <c r="E104" s="61">
        <f>1.74*8.3454</f>
        <v>14.520996</v>
      </c>
      <c r="F104" s="61" t="s">
        <v>103</v>
      </c>
      <c r="G104" s="61"/>
      <c r="H104" s="62"/>
      <c r="I104" s="62"/>
      <c r="J104" s="62"/>
      <c r="K104" s="62"/>
      <c r="L104" s="62"/>
      <c r="M104" s="62"/>
      <c r="N104" s="62" t="s">
        <v>109</v>
      </c>
      <c r="O104" s="63">
        <f t="shared" si="6"/>
        <v>0</v>
      </c>
      <c r="P104" s="63">
        <f t="shared" si="7"/>
        <v>0</v>
      </c>
      <c r="Q104" s="63">
        <f t="shared" si="8"/>
        <v>0</v>
      </c>
      <c r="R104" s="64">
        <f t="shared" si="9"/>
        <v>1</v>
      </c>
      <c r="S104" s="64">
        <f t="shared" si="10"/>
        <v>1</v>
      </c>
      <c r="T104" s="20"/>
      <c r="AC104" s="72"/>
      <c r="AD104" s="24"/>
      <c r="AE104" s="24"/>
      <c r="AF104" s="24"/>
      <c r="AG104" s="24"/>
      <c r="AH104" s="24"/>
      <c r="AI104" s="24"/>
      <c r="AJ104" s="24"/>
      <c r="AK104" s="24"/>
      <c r="AL104" s="24"/>
      <c r="AM104" s="24"/>
      <c r="AN104" s="24"/>
      <c r="AO104" s="24"/>
      <c r="AP104" s="24"/>
      <c r="AQ104" s="24"/>
      <c r="AR104" s="24"/>
      <c r="AS104" s="24"/>
      <c r="AT104" s="24"/>
      <c r="AU104" s="24"/>
      <c r="AV104" s="24"/>
      <c r="AW104" s="24"/>
      <c r="AX104" s="24"/>
    </row>
    <row r="105" spans="1:50" ht="14.25" customHeight="1">
      <c r="A105" s="59" t="s">
        <v>286</v>
      </c>
      <c r="B105" s="59" t="s">
        <v>287</v>
      </c>
      <c r="C105" s="60" t="s">
        <v>28</v>
      </c>
      <c r="D105" s="61">
        <v>201.22</v>
      </c>
      <c r="E105" s="61">
        <f>1.232*8.3454</f>
        <v>10.281532799999999</v>
      </c>
      <c r="F105" s="61" t="s">
        <v>103</v>
      </c>
      <c r="G105" s="61"/>
      <c r="H105" s="62"/>
      <c r="I105" s="62"/>
      <c r="J105" s="62"/>
      <c r="K105" s="62"/>
      <c r="L105" s="62"/>
      <c r="M105" s="62"/>
      <c r="N105" s="62" t="s">
        <v>109</v>
      </c>
      <c r="O105" s="63">
        <f t="shared" si="6"/>
        <v>0</v>
      </c>
      <c r="P105" s="63">
        <f t="shared" si="7"/>
        <v>0</v>
      </c>
      <c r="Q105" s="63">
        <f t="shared" si="8"/>
        <v>0</v>
      </c>
      <c r="R105" s="64">
        <f t="shared" si="9"/>
        <v>1</v>
      </c>
      <c r="S105" s="64">
        <f t="shared" si="10"/>
        <v>1</v>
      </c>
      <c r="T105" s="20"/>
      <c r="AC105" s="72"/>
      <c r="AD105" s="24"/>
      <c r="AE105" s="24"/>
      <c r="AF105" s="24"/>
      <c r="AG105" s="24"/>
      <c r="AH105" s="24"/>
      <c r="AI105" s="24"/>
      <c r="AJ105" s="24"/>
      <c r="AK105" s="24"/>
      <c r="AL105" s="24"/>
      <c r="AM105" s="24"/>
      <c r="AN105" s="24"/>
      <c r="AO105" s="24"/>
      <c r="AP105" s="24"/>
      <c r="AQ105" s="24"/>
      <c r="AR105" s="24"/>
      <c r="AS105" s="24"/>
      <c r="AT105" s="24"/>
      <c r="AU105" s="24"/>
      <c r="AV105" s="24"/>
      <c r="AW105" s="24"/>
      <c r="AX105" s="24"/>
    </row>
    <row r="106" spans="1:50" ht="14.25" customHeight="1">
      <c r="A106" s="59" t="s">
        <v>288</v>
      </c>
      <c r="B106" s="59" t="s">
        <v>289</v>
      </c>
      <c r="C106" s="60" t="s">
        <v>33</v>
      </c>
      <c r="D106" s="61">
        <v>44.01</v>
      </c>
      <c r="E106" s="61">
        <f>1.26*8.34</f>
        <v>10.5084</v>
      </c>
      <c r="F106" s="61" t="s">
        <v>92</v>
      </c>
      <c r="G106" s="61"/>
      <c r="H106" s="62"/>
      <c r="I106" s="62">
        <f>7.58828-LOG10(1.01325/760)</f>
        <v>10.463376979867061</v>
      </c>
      <c r="J106" s="62">
        <v>861.82</v>
      </c>
      <c r="K106" s="62">
        <f>271.883+273.15</f>
        <v>545.0329999999999</v>
      </c>
      <c r="L106" s="62">
        <v>389.84399999999999</v>
      </c>
      <c r="M106" s="62">
        <v>547.54200000000003</v>
      </c>
      <c r="N106" s="62" t="s">
        <v>290</v>
      </c>
      <c r="O106" s="63">
        <f t="shared" si="6"/>
        <v>10.463376979867061</v>
      </c>
      <c r="P106" s="63">
        <f t="shared" si="7"/>
        <v>861.82</v>
      </c>
      <c r="Q106" s="63">
        <f t="shared" si="8"/>
        <v>545.0329999999999</v>
      </c>
      <c r="R106" s="64">
        <f t="shared" si="9"/>
        <v>1</v>
      </c>
      <c r="S106" s="64">
        <f t="shared" si="10"/>
        <v>1</v>
      </c>
      <c r="T106" s="20"/>
      <c r="AD106" s="24"/>
      <c r="AE106" s="24"/>
      <c r="AF106" s="24"/>
      <c r="AG106" s="24"/>
      <c r="AH106" s="24"/>
      <c r="AI106" s="24"/>
      <c r="AJ106" s="24"/>
      <c r="AK106" s="24"/>
      <c r="AL106" s="24"/>
      <c r="AM106" s="24"/>
      <c r="AN106" s="24"/>
      <c r="AO106" s="24"/>
      <c r="AP106" s="24"/>
      <c r="AQ106" s="24"/>
      <c r="AR106" s="24"/>
      <c r="AS106" s="24"/>
      <c r="AT106" s="24"/>
      <c r="AU106" s="24"/>
      <c r="AV106" s="24"/>
      <c r="AW106" s="24"/>
      <c r="AX106" s="24"/>
    </row>
    <row r="107" spans="1:50" ht="14.25" customHeight="1">
      <c r="A107" s="59" t="s">
        <v>291</v>
      </c>
      <c r="B107" s="59" t="s">
        <v>292</v>
      </c>
      <c r="C107" s="60" t="s">
        <v>28</v>
      </c>
      <c r="D107" s="61">
        <v>76.13</v>
      </c>
      <c r="E107" s="61">
        <v>10.587999999999999</v>
      </c>
      <c r="F107" s="59" t="s">
        <v>92</v>
      </c>
      <c r="G107" s="61"/>
      <c r="H107" s="62"/>
      <c r="I107" s="62">
        <v>6.9420000000000002</v>
      </c>
      <c r="J107" s="62">
        <v>1169.1099999999999</v>
      </c>
      <c r="K107" s="62">
        <v>241.59</v>
      </c>
      <c r="L107" s="62">
        <v>497.67</v>
      </c>
      <c r="M107" s="62">
        <v>635.67000000000007</v>
      </c>
      <c r="N107" s="62" t="s">
        <v>93</v>
      </c>
      <c r="O107" s="63">
        <f t="shared" si="6"/>
        <v>6.9420000000000002</v>
      </c>
      <c r="P107" s="63">
        <f t="shared" si="7"/>
        <v>1169.1099999999999</v>
      </c>
      <c r="Q107" s="63">
        <f t="shared" si="8"/>
        <v>241.59</v>
      </c>
      <c r="R107" s="64">
        <f t="shared" si="9"/>
        <v>1</v>
      </c>
      <c r="S107" s="64">
        <f t="shared" si="10"/>
        <v>1</v>
      </c>
      <c r="T107" s="20"/>
      <c r="AC107" s="72"/>
      <c r="AD107" s="24"/>
      <c r="AE107" s="24"/>
      <c r="AF107" s="24"/>
      <c r="AG107" s="24"/>
      <c r="AH107" s="24"/>
      <c r="AI107" s="24"/>
      <c r="AJ107" s="24"/>
      <c r="AK107" s="24"/>
      <c r="AL107" s="24"/>
      <c r="AM107" s="24"/>
      <c r="AN107" s="24"/>
      <c r="AO107" s="24"/>
      <c r="AP107" s="24"/>
      <c r="AQ107" s="24"/>
      <c r="AR107" s="24"/>
      <c r="AS107" s="24"/>
      <c r="AT107" s="24"/>
      <c r="AU107" s="24"/>
      <c r="AV107" s="24"/>
      <c r="AW107" s="24"/>
      <c r="AX107" s="24"/>
    </row>
    <row r="108" spans="1:50" ht="14.25" customHeight="1">
      <c r="A108" s="59" t="s">
        <v>293</v>
      </c>
      <c r="B108" s="59" t="s">
        <v>294</v>
      </c>
      <c r="C108" s="60" t="s">
        <v>33</v>
      </c>
      <c r="D108" s="61">
        <v>28.01</v>
      </c>
      <c r="E108" s="61">
        <f>0.789*8.34</f>
        <v>6.58026</v>
      </c>
      <c r="F108" s="61" t="s">
        <v>92</v>
      </c>
      <c r="G108" s="61"/>
      <c r="H108" s="62"/>
      <c r="I108" s="62">
        <f>6.72527-LOG10(1.01325/760)</f>
        <v>9.6003669798670614</v>
      </c>
      <c r="J108" s="62">
        <v>295.22800000000001</v>
      </c>
      <c r="K108" s="62">
        <f>268.243+273.15</f>
        <v>541.39300000000003</v>
      </c>
      <c r="L108" s="62">
        <v>122.67</v>
      </c>
      <c r="M108" s="62">
        <v>239.256</v>
      </c>
      <c r="N108" s="62" t="s">
        <v>290</v>
      </c>
      <c r="O108" s="63">
        <f t="shared" si="6"/>
        <v>9.6003669798670614</v>
      </c>
      <c r="P108" s="63">
        <f t="shared" si="7"/>
        <v>295.22800000000001</v>
      </c>
      <c r="Q108" s="63">
        <f t="shared" si="8"/>
        <v>541.39300000000003</v>
      </c>
      <c r="R108" s="64">
        <f t="shared" si="9"/>
        <v>1</v>
      </c>
      <c r="S108" s="64">
        <f t="shared" si="10"/>
        <v>1</v>
      </c>
      <c r="T108" s="20"/>
      <c r="AD108" s="24"/>
      <c r="AE108" s="24"/>
      <c r="AF108" s="24"/>
      <c r="AG108" s="24"/>
      <c r="AH108" s="24"/>
      <c r="AI108" s="24"/>
      <c r="AJ108" s="24"/>
      <c r="AK108" s="24"/>
      <c r="AL108" s="24"/>
      <c r="AM108" s="24"/>
      <c r="AN108" s="24"/>
      <c r="AO108" s="24"/>
      <c r="AP108" s="24"/>
      <c r="AQ108" s="24"/>
      <c r="AR108" s="24"/>
      <c r="AS108" s="24"/>
      <c r="AT108" s="24"/>
      <c r="AU108" s="24"/>
      <c r="AV108" s="24"/>
      <c r="AW108" s="24"/>
      <c r="AX108" s="24"/>
    </row>
    <row r="109" spans="1:50" ht="14.25" customHeight="1">
      <c r="A109" s="59" t="s">
        <v>295</v>
      </c>
      <c r="B109" s="59" t="s">
        <v>296</v>
      </c>
      <c r="C109" s="60" t="s">
        <v>28</v>
      </c>
      <c r="D109" s="61">
        <v>153.84</v>
      </c>
      <c r="E109" s="61">
        <v>13.366</v>
      </c>
      <c r="F109" s="59" t="s">
        <v>92</v>
      </c>
      <c r="G109" s="61"/>
      <c r="H109" s="62"/>
      <c r="I109" s="62">
        <v>6.9340000000000002</v>
      </c>
      <c r="J109" s="62">
        <v>1242.43</v>
      </c>
      <c r="K109" s="62">
        <v>230</v>
      </c>
      <c r="L109" s="62">
        <v>527.67000000000007</v>
      </c>
      <c r="M109" s="62">
        <v>631.67000000000007</v>
      </c>
      <c r="N109" s="62" t="s">
        <v>93</v>
      </c>
      <c r="O109" s="63">
        <f t="shared" si="6"/>
        <v>6.9340000000000002</v>
      </c>
      <c r="P109" s="63">
        <f t="shared" si="7"/>
        <v>1242.43</v>
      </c>
      <c r="Q109" s="63">
        <f t="shared" si="8"/>
        <v>230</v>
      </c>
      <c r="R109" s="64">
        <f t="shared" si="9"/>
        <v>1</v>
      </c>
      <c r="S109" s="64">
        <f t="shared" si="10"/>
        <v>1</v>
      </c>
      <c r="T109" s="20"/>
      <c r="AC109" s="72"/>
      <c r="AD109" s="24"/>
      <c r="AE109" s="24"/>
      <c r="AF109" s="24"/>
      <c r="AG109" s="24"/>
      <c r="AH109" s="24"/>
      <c r="AI109" s="24"/>
      <c r="AJ109" s="24"/>
      <c r="AK109" s="24"/>
      <c r="AL109" s="24"/>
      <c r="AM109" s="24"/>
      <c r="AN109" s="24"/>
      <c r="AO109" s="24"/>
      <c r="AP109" s="24"/>
      <c r="AQ109" s="24"/>
      <c r="AR109" s="24"/>
      <c r="AS109" s="24"/>
      <c r="AT109" s="24"/>
      <c r="AU109" s="24"/>
      <c r="AV109" s="24"/>
      <c r="AW109" s="24"/>
      <c r="AX109" s="24"/>
    </row>
    <row r="110" spans="1:50" ht="14.25" customHeight="1">
      <c r="A110" s="59" t="s">
        <v>297</v>
      </c>
      <c r="B110" s="59" t="s">
        <v>298</v>
      </c>
      <c r="C110" s="60" t="s">
        <v>33</v>
      </c>
      <c r="D110" s="61">
        <v>62.024000000000001</v>
      </c>
      <c r="E110" s="61">
        <f>1.668*8.34</f>
        <v>13.911119999999999</v>
      </c>
      <c r="F110" s="61" t="s">
        <v>103</v>
      </c>
      <c r="G110" s="61"/>
      <c r="H110" s="62"/>
      <c r="I110" s="67"/>
      <c r="J110" s="67"/>
      <c r="K110" s="67"/>
      <c r="L110" s="67"/>
      <c r="M110" s="67"/>
      <c r="N110" s="62" t="s">
        <v>104</v>
      </c>
      <c r="O110" s="63">
        <f t="shared" si="6"/>
        <v>0</v>
      </c>
      <c r="P110" s="63">
        <f t="shared" si="7"/>
        <v>0</v>
      </c>
      <c r="Q110" s="63">
        <f t="shared" si="8"/>
        <v>0</v>
      </c>
      <c r="R110" s="64">
        <f t="shared" si="9"/>
        <v>1</v>
      </c>
      <c r="S110" s="64">
        <f t="shared" si="10"/>
        <v>1</v>
      </c>
      <c r="T110" s="20"/>
      <c r="AD110" s="24"/>
      <c r="AE110" s="24"/>
      <c r="AF110" s="24"/>
      <c r="AG110" s="24"/>
      <c r="AH110" s="24"/>
      <c r="AI110" s="24"/>
      <c r="AJ110" s="24"/>
      <c r="AK110" s="24"/>
      <c r="AL110" s="24"/>
      <c r="AM110" s="24"/>
      <c r="AN110" s="24"/>
      <c r="AO110" s="24"/>
      <c r="AP110" s="24"/>
      <c r="AQ110" s="24"/>
      <c r="AR110" s="24"/>
      <c r="AS110" s="24"/>
      <c r="AT110" s="24"/>
      <c r="AU110" s="24"/>
      <c r="AV110" s="24"/>
      <c r="AW110" s="24"/>
      <c r="AX110" s="24"/>
    </row>
    <row r="111" spans="1:50" ht="14.25" customHeight="1">
      <c r="A111" s="59" t="s">
        <v>299</v>
      </c>
      <c r="B111" s="59" t="s">
        <v>300</v>
      </c>
      <c r="C111" s="60" t="s">
        <v>28</v>
      </c>
      <c r="D111" s="61">
        <v>60.08</v>
      </c>
      <c r="E111" s="61">
        <f>2.51*8.3454</f>
        <v>20.946953999999998</v>
      </c>
      <c r="F111" s="61" t="s">
        <v>92</v>
      </c>
      <c r="G111" s="61"/>
      <c r="H111" s="62"/>
      <c r="I111" s="62">
        <v>7.00732</v>
      </c>
      <c r="J111" s="62">
        <v>833.15779999999995</v>
      </c>
      <c r="K111" s="62">
        <v>252.06399999999999</v>
      </c>
      <c r="L111" s="62">
        <v>287.60400000000004</v>
      </c>
      <c r="M111" s="62">
        <v>681.78600000000006</v>
      </c>
      <c r="N111" s="62" t="s">
        <v>98</v>
      </c>
      <c r="O111" s="63">
        <f t="shared" si="6"/>
        <v>7.00732</v>
      </c>
      <c r="P111" s="63">
        <f t="shared" si="7"/>
        <v>833.15779999999995</v>
      </c>
      <c r="Q111" s="63">
        <f t="shared" si="8"/>
        <v>252.06399999999999</v>
      </c>
      <c r="R111" s="64">
        <f t="shared" si="9"/>
        <v>1</v>
      </c>
      <c r="S111" s="64">
        <f t="shared" si="10"/>
        <v>1</v>
      </c>
      <c r="T111" s="20"/>
      <c r="AC111" s="72"/>
      <c r="AD111" s="24"/>
      <c r="AE111" s="24"/>
      <c r="AF111" s="24"/>
      <c r="AG111" s="24"/>
      <c r="AH111" s="24"/>
      <c r="AI111" s="24"/>
      <c r="AJ111" s="24"/>
      <c r="AK111" s="24"/>
      <c r="AL111" s="24"/>
      <c r="AM111" s="24"/>
      <c r="AN111" s="24"/>
      <c r="AO111" s="24"/>
      <c r="AP111" s="24"/>
      <c r="AQ111" s="24"/>
      <c r="AR111" s="24"/>
      <c r="AS111" s="24"/>
      <c r="AT111" s="24"/>
      <c r="AU111" s="24"/>
      <c r="AV111" s="24"/>
      <c r="AW111" s="24"/>
      <c r="AX111" s="24"/>
    </row>
    <row r="112" spans="1:50" ht="14.25" customHeight="1">
      <c r="A112" s="59" t="s">
        <v>301</v>
      </c>
      <c r="B112" s="59" t="s">
        <v>302</v>
      </c>
      <c r="C112" s="60" t="s">
        <v>28</v>
      </c>
      <c r="D112" s="61">
        <v>110.11</v>
      </c>
      <c r="E112" s="61">
        <f>1.344*8.3454</f>
        <v>11.2162176</v>
      </c>
      <c r="F112" s="61" t="s">
        <v>92</v>
      </c>
      <c r="G112" s="61"/>
      <c r="H112" s="62"/>
      <c r="I112" s="62">
        <f>5.5033 -LOG10(1.01325/760)</f>
        <v>8.3783969798670608</v>
      </c>
      <c r="J112" s="62">
        <v>2713.1529999999998</v>
      </c>
      <c r="K112" s="62">
        <f>-23.96+273.15</f>
        <v>249.18999999999997</v>
      </c>
      <c r="L112" s="62">
        <v>705.06</v>
      </c>
      <c r="M112" s="62">
        <v>933.66</v>
      </c>
      <c r="N112" s="62" t="s">
        <v>130</v>
      </c>
      <c r="O112" s="63">
        <f t="shared" si="6"/>
        <v>8.3783969798670608</v>
      </c>
      <c r="P112" s="63">
        <f t="shared" si="7"/>
        <v>2713.1529999999998</v>
      </c>
      <c r="Q112" s="63">
        <f t="shared" si="8"/>
        <v>249.18999999999997</v>
      </c>
      <c r="R112" s="64">
        <f t="shared" si="9"/>
        <v>1</v>
      </c>
      <c r="S112" s="64">
        <f t="shared" si="10"/>
        <v>1</v>
      </c>
      <c r="T112" s="20"/>
      <c r="AC112" s="72"/>
      <c r="AD112" s="24"/>
      <c r="AE112" s="24"/>
      <c r="AF112" s="24"/>
      <c r="AG112" s="24"/>
      <c r="AH112" s="24"/>
      <c r="AI112" s="24"/>
      <c r="AJ112" s="24"/>
      <c r="AK112" s="24"/>
      <c r="AL112" s="24"/>
      <c r="AM112" s="24"/>
      <c r="AN112" s="24"/>
      <c r="AO112" s="24"/>
      <c r="AP112" s="24"/>
      <c r="AQ112" s="24"/>
      <c r="AR112" s="24"/>
      <c r="AS112" s="24"/>
      <c r="AT112" s="24"/>
      <c r="AU112" s="24"/>
      <c r="AV112" s="24"/>
      <c r="AW112" s="24"/>
      <c r="AX112" s="24"/>
    </row>
    <row r="113" spans="1:50" ht="14.25" customHeight="1">
      <c r="A113" s="59" t="s">
        <v>303</v>
      </c>
      <c r="B113" s="59" t="s">
        <v>304</v>
      </c>
      <c r="C113" s="60" t="s">
        <v>28</v>
      </c>
      <c r="D113" s="61">
        <v>206.03</v>
      </c>
      <c r="E113" s="61">
        <f>1.4062*8.3454</f>
        <v>11.735301479999999</v>
      </c>
      <c r="F113" s="61" t="s">
        <v>103</v>
      </c>
      <c r="G113" s="61"/>
      <c r="H113" s="62"/>
      <c r="I113" s="62"/>
      <c r="J113" s="62"/>
      <c r="K113" s="62"/>
      <c r="L113" s="62"/>
      <c r="M113" s="62"/>
      <c r="N113" s="62" t="s">
        <v>158</v>
      </c>
      <c r="O113" s="63">
        <f t="shared" si="6"/>
        <v>0</v>
      </c>
      <c r="P113" s="63">
        <f t="shared" si="7"/>
        <v>0</v>
      </c>
      <c r="Q113" s="63">
        <f t="shared" si="8"/>
        <v>0</v>
      </c>
      <c r="R113" s="64">
        <f t="shared" si="9"/>
        <v>1</v>
      </c>
      <c r="S113" s="64">
        <f t="shared" si="10"/>
        <v>1</v>
      </c>
      <c r="T113" s="20"/>
      <c r="AC113" s="72"/>
      <c r="AD113" s="24"/>
      <c r="AE113" s="24"/>
      <c r="AF113" s="24"/>
      <c r="AG113" s="24"/>
      <c r="AH113" s="24"/>
      <c r="AI113" s="24"/>
      <c r="AJ113" s="24"/>
      <c r="AK113" s="24"/>
      <c r="AL113" s="24"/>
      <c r="AM113" s="24"/>
      <c r="AN113" s="24"/>
      <c r="AO113" s="24"/>
      <c r="AP113" s="24"/>
      <c r="AQ113" s="24"/>
      <c r="AR113" s="24"/>
      <c r="AS113" s="24"/>
      <c r="AT113" s="24"/>
      <c r="AU113" s="24"/>
      <c r="AV113" s="24"/>
      <c r="AW113" s="24"/>
      <c r="AX113" s="24"/>
    </row>
    <row r="114" spans="1:50" ht="14.25" customHeight="1">
      <c r="A114" s="59" t="s">
        <v>305</v>
      </c>
      <c r="B114" s="59" t="s">
        <v>306</v>
      </c>
      <c r="C114" s="60" t="s">
        <v>28</v>
      </c>
      <c r="D114" s="61">
        <v>409.78</v>
      </c>
      <c r="E114" s="61">
        <f>1.8*8.3454</f>
        <v>15.02172</v>
      </c>
      <c r="F114" s="61" t="s">
        <v>103</v>
      </c>
      <c r="G114" s="61"/>
      <c r="H114" s="62"/>
      <c r="I114" s="62"/>
      <c r="J114" s="62"/>
      <c r="K114" s="62"/>
      <c r="L114" s="62"/>
      <c r="M114" s="62"/>
      <c r="N114" s="62" t="s">
        <v>158</v>
      </c>
      <c r="O114" s="63">
        <f t="shared" si="6"/>
        <v>0</v>
      </c>
      <c r="P114" s="63">
        <f t="shared" si="7"/>
        <v>0</v>
      </c>
      <c r="Q114" s="63">
        <f t="shared" si="8"/>
        <v>0</v>
      </c>
      <c r="R114" s="64">
        <f t="shared" si="9"/>
        <v>1</v>
      </c>
      <c r="S114" s="64">
        <f t="shared" si="10"/>
        <v>1</v>
      </c>
      <c r="T114" s="20"/>
      <c r="AC114" s="72"/>
      <c r="AD114" s="24"/>
      <c r="AE114" s="24"/>
      <c r="AF114" s="24"/>
      <c r="AG114" s="24"/>
      <c r="AH114" s="24"/>
      <c r="AI114" s="24"/>
      <c r="AJ114" s="24"/>
      <c r="AK114" s="24"/>
      <c r="AL114" s="24"/>
      <c r="AM114" s="24"/>
      <c r="AN114" s="24"/>
      <c r="AO114" s="24"/>
      <c r="AP114" s="24"/>
      <c r="AQ114" s="24"/>
      <c r="AR114" s="24"/>
      <c r="AS114" s="24"/>
      <c r="AT114" s="24"/>
      <c r="AU114" s="24"/>
      <c r="AV114" s="24"/>
      <c r="AW114" s="24"/>
      <c r="AX114" s="24"/>
    </row>
    <row r="115" spans="1:50" ht="14.25" customHeight="1">
      <c r="A115" s="59" t="s">
        <v>307</v>
      </c>
      <c r="B115" s="59" t="s">
        <v>308</v>
      </c>
      <c r="C115" s="60" t="s">
        <v>28</v>
      </c>
      <c r="D115" s="61">
        <v>70.91</v>
      </c>
      <c r="E115" s="61">
        <f>1.468*8.3454</f>
        <v>12.251047199999999</v>
      </c>
      <c r="F115" s="61" t="s">
        <v>92</v>
      </c>
      <c r="G115" s="61"/>
      <c r="H115" s="62"/>
      <c r="I115" s="62">
        <v>7.0630600000000001</v>
      </c>
      <c r="J115" s="62">
        <v>906.70309999999995</v>
      </c>
      <c r="K115" s="62">
        <v>250.83</v>
      </c>
      <c r="L115" s="62">
        <v>309.81600000000003</v>
      </c>
      <c r="M115" s="62">
        <v>750.87</v>
      </c>
      <c r="N115" s="62" t="s">
        <v>98</v>
      </c>
      <c r="O115" s="63">
        <f t="shared" si="6"/>
        <v>7.0630600000000001</v>
      </c>
      <c r="P115" s="63">
        <f t="shared" si="7"/>
        <v>906.70309999999995</v>
      </c>
      <c r="Q115" s="63">
        <f t="shared" si="8"/>
        <v>250.83</v>
      </c>
      <c r="R115" s="64">
        <f t="shared" si="9"/>
        <v>1</v>
      </c>
      <c r="S115" s="64">
        <f t="shared" si="10"/>
        <v>1</v>
      </c>
      <c r="T115" s="20"/>
      <c r="AC115" s="72"/>
      <c r="AD115" s="24"/>
      <c r="AE115" s="24"/>
      <c r="AF115" s="24"/>
      <c r="AG115" s="24"/>
      <c r="AH115" s="24"/>
      <c r="AI115" s="24"/>
      <c r="AJ115" s="24"/>
      <c r="AK115" s="24"/>
      <c r="AL115" s="24"/>
      <c r="AM115" s="24"/>
      <c r="AN115" s="24"/>
      <c r="AO115" s="24"/>
      <c r="AP115" s="24"/>
      <c r="AQ115" s="24"/>
      <c r="AR115" s="24"/>
      <c r="AS115" s="24"/>
      <c r="AT115" s="24"/>
      <c r="AU115" s="24"/>
      <c r="AV115" s="24"/>
      <c r="AW115" s="24"/>
      <c r="AX115" s="24"/>
    </row>
    <row r="116" spans="1:50" ht="14.25" customHeight="1">
      <c r="A116" s="59" t="s">
        <v>309</v>
      </c>
      <c r="B116" s="59" t="s">
        <v>310</v>
      </c>
      <c r="C116" s="60" t="s">
        <v>28</v>
      </c>
      <c r="D116" s="61">
        <v>94.5</v>
      </c>
      <c r="E116" s="61">
        <f>1.58*8.3454</f>
        <v>13.185732</v>
      </c>
      <c r="F116" s="61" t="s">
        <v>92</v>
      </c>
      <c r="G116" s="61"/>
      <c r="H116" s="62"/>
      <c r="I116" s="62">
        <v>7.5424199999999999</v>
      </c>
      <c r="J116" s="62">
        <v>1714.4498000000001</v>
      </c>
      <c r="K116" s="62">
        <v>178.73099999999999</v>
      </c>
      <c r="L116" s="62">
        <v>632.79</v>
      </c>
      <c r="M116" s="62">
        <v>878.38200000000006</v>
      </c>
      <c r="N116" s="62" t="s">
        <v>98</v>
      </c>
      <c r="O116" s="63">
        <f t="shared" si="6"/>
        <v>7.5424199999999999</v>
      </c>
      <c r="P116" s="63">
        <f t="shared" si="7"/>
        <v>1714.4498000000001</v>
      </c>
      <c r="Q116" s="63">
        <f t="shared" si="8"/>
        <v>178.73099999999999</v>
      </c>
      <c r="R116" s="64">
        <f t="shared" si="9"/>
        <v>1</v>
      </c>
      <c r="S116" s="64">
        <f t="shared" si="10"/>
        <v>1</v>
      </c>
      <c r="T116" s="20"/>
      <c r="AC116" s="72"/>
      <c r="AD116" s="24"/>
      <c r="AE116" s="24"/>
      <c r="AF116" s="24"/>
      <c r="AG116" s="24"/>
      <c r="AH116" s="24"/>
      <c r="AI116" s="24"/>
      <c r="AJ116" s="24"/>
      <c r="AK116" s="24"/>
      <c r="AL116" s="24"/>
      <c r="AM116" s="24"/>
      <c r="AN116" s="24"/>
      <c r="AO116" s="24"/>
      <c r="AP116" s="24"/>
      <c r="AQ116" s="24"/>
      <c r="AR116" s="24"/>
      <c r="AS116" s="24"/>
      <c r="AT116" s="24"/>
      <c r="AU116" s="24"/>
      <c r="AV116" s="24"/>
      <c r="AW116" s="24"/>
      <c r="AX116" s="24"/>
    </row>
    <row r="117" spans="1:50" ht="14.25" customHeight="1">
      <c r="A117" s="59" t="s">
        <v>311</v>
      </c>
      <c r="B117" s="59" t="s">
        <v>312</v>
      </c>
      <c r="C117" s="60" t="s">
        <v>28</v>
      </c>
      <c r="D117" s="61">
        <v>112.56</v>
      </c>
      <c r="E117" s="61">
        <v>9.2633989999999997</v>
      </c>
      <c r="F117" s="59" t="s">
        <v>92</v>
      </c>
      <c r="G117" s="61"/>
      <c r="H117" s="62"/>
      <c r="I117" s="62">
        <v>6.9779999999999998</v>
      </c>
      <c r="J117" s="62">
        <v>1431.05</v>
      </c>
      <c r="K117" s="62">
        <v>217.55</v>
      </c>
      <c r="L117" s="62">
        <v>603.67000000000007</v>
      </c>
      <c r="M117" s="62">
        <v>728.67000000000007</v>
      </c>
      <c r="N117" s="62" t="s">
        <v>93</v>
      </c>
      <c r="O117" s="63">
        <f t="shared" si="6"/>
        <v>6.9779999999999998</v>
      </c>
      <c r="P117" s="63">
        <f t="shared" si="7"/>
        <v>1431.05</v>
      </c>
      <c r="Q117" s="63">
        <f t="shared" si="8"/>
        <v>217.55</v>
      </c>
      <c r="R117" s="64">
        <f t="shared" si="9"/>
        <v>1</v>
      </c>
      <c r="S117" s="64">
        <f t="shared" si="10"/>
        <v>1</v>
      </c>
      <c r="T117" s="20"/>
      <c r="AC117" s="72"/>
      <c r="AD117" s="24"/>
      <c r="AE117" s="24"/>
      <c r="AF117" s="24"/>
      <c r="AG117" s="24"/>
      <c r="AH117" s="24"/>
      <c r="AI117" s="24"/>
      <c r="AJ117" s="24"/>
      <c r="AK117" s="24"/>
      <c r="AL117" s="24"/>
      <c r="AM117" s="24"/>
      <c r="AN117" s="24"/>
      <c r="AO117" s="24"/>
      <c r="AP117" s="24"/>
      <c r="AQ117" s="24"/>
      <c r="AR117" s="24"/>
      <c r="AS117" s="24"/>
      <c r="AT117" s="24"/>
      <c r="AU117" s="24"/>
      <c r="AV117" s="24"/>
      <c r="AW117" s="24"/>
      <c r="AX117" s="24"/>
    </row>
    <row r="118" spans="1:50" ht="14.25" customHeight="1">
      <c r="A118" s="59" t="s">
        <v>313</v>
      </c>
      <c r="B118" s="59" t="s">
        <v>314</v>
      </c>
      <c r="C118" s="60" t="s">
        <v>28</v>
      </c>
      <c r="D118" s="61">
        <v>325.19</v>
      </c>
      <c r="E118" s="61">
        <f>1.332*8.3454</f>
        <v>11.1160728</v>
      </c>
      <c r="F118" s="61" t="s">
        <v>103</v>
      </c>
      <c r="G118" s="61"/>
      <c r="H118" s="62"/>
      <c r="I118" s="62"/>
      <c r="J118" s="62"/>
      <c r="K118" s="62"/>
      <c r="L118" s="62"/>
      <c r="M118" s="62"/>
      <c r="N118" s="62" t="s">
        <v>158</v>
      </c>
      <c r="O118" s="63">
        <f t="shared" si="6"/>
        <v>0</v>
      </c>
      <c r="P118" s="63">
        <f t="shared" si="7"/>
        <v>0</v>
      </c>
      <c r="Q118" s="63">
        <f t="shared" si="8"/>
        <v>0</v>
      </c>
      <c r="R118" s="64">
        <f t="shared" si="9"/>
        <v>1</v>
      </c>
      <c r="S118" s="64">
        <f t="shared" si="10"/>
        <v>1</v>
      </c>
      <c r="T118" s="20"/>
      <c r="AC118" s="72"/>
      <c r="AD118" s="24"/>
      <c r="AE118" s="24"/>
      <c r="AF118" s="24"/>
      <c r="AG118" s="24"/>
      <c r="AH118" s="24"/>
      <c r="AI118" s="24"/>
      <c r="AJ118" s="24"/>
      <c r="AK118" s="24"/>
      <c r="AL118" s="24"/>
      <c r="AM118" s="24"/>
      <c r="AN118" s="24"/>
      <c r="AO118" s="24"/>
      <c r="AP118" s="24"/>
      <c r="AQ118" s="24"/>
      <c r="AR118" s="24"/>
      <c r="AS118" s="24"/>
      <c r="AT118" s="24"/>
      <c r="AU118" s="24"/>
      <c r="AV118" s="24"/>
      <c r="AW118" s="24"/>
      <c r="AX118" s="24"/>
    </row>
    <row r="119" spans="1:50" ht="14.25" customHeight="1">
      <c r="A119" s="59" t="s">
        <v>315</v>
      </c>
      <c r="B119" s="59" t="s">
        <v>316</v>
      </c>
      <c r="C119" s="60" t="s">
        <v>28</v>
      </c>
      <c r="D119" s="61">
        <v>119.39</v>
      </c>
      <c r="E119" s="61">
        <v>12.488</v>
      </c>
      <c r="F119" s="59" t="s">
        <v>92</v>
      </c>
      <c r="G119" s="61"/>
      <c r="H119" s="62"/>
      <c r="I119" s="62">
        <v>6.4930000000000003</v>
      </c>
      <c r="J119" s="62">
        <v>929.44</v>
      </c>
      <c r="K119" s="62">
        <v>196.03</v>
      </c>
      <c r="L119" s="62">
        <v>386.67</v>
      </c>
      <c r="M119" s="62">
        <v>601.67000000000007</v>
      </c>
      <c r="N119" s="62" t="s">
        <v>93</v>
      </c>
      <c r="O119" s="63">
        <f t="shared" si="6"/>
        <v>6.4930000000000003</v>
      </c>
      <c r="P119" s="63">
        <f t="shared" si="7"/>
        <v>929.44</v>
      </c>
      <c r="Q119" s="63">
        <f t="shared" si="8"/>
        <v>196.03</v>
      </c>
      <c r="R119" s="64">
        <f t="shared" si="9"/>
        <v>1</v>
      </c>
      <c r="S119" s="64">
        <f t="shared" si="10"/>
        <v>1</v>
      </c>
      <c r="T119" s="20"/>
      <c r="AC119" s="72"/>
      <c r="AD119" s="24"/>
      <c r="AE119" s="24"/>
      <c r="AF119" s="24"/>
      <c r="AG119" s="24"/>
      <c r="AH119" s="24"/>
      <c r="AI119" s="24"/>
      <c r="AJ119" s="24"/>
      <c r="AK119" s="24"/>
      <c r="AL119" s="24"/>
      <c r="AM119" s="24"/>
      <c r="AN119" s="24"/>
      <c r="AO119" s="24"/>
      <c r="AP119" s="24"/>
      <c r="AQ119" s="24"/>
      <c r="AR119" s="24"/>
      <c r="AS119" s="24"/>
      <c r="AT119" s="24"/>
      <c r="AU119" s="24"/>
      <c r="AV119" s="24"/>
      <c r="AW119" s="24"/>
      <c r="AX119" s="24"/>
    </row>
    <row r="120" spans="1:50" ht="14.25" customHeight="1">
      <c r="A120" s="59" t="s">
        <v>317</v>
      </c>
      <c r="B120" s="59" t="s">
        <v>318</v>
      </c>
      <c r="C120" s="60" t="s">
        <v>28</v>
      </c>
      <c r="D120" s="61">
        <v>80.513499999999993</v>
      </c>
      <c r="E120" s="61">
        <f>1.0605*8.3454</f>
        <v>8.8502966999999995</v>
      </c>
      <c r="F120" s="61" t="s">
        <v>92</v>
      </c>
      <c r="G120" s="61"/>
      <c r="H120" s="62"/>
      <c r="I120" s="62">
        <v>7.35419</v>
      </c>
      <c r="J120" s="62">
        <v>1277.4295</v>
      </c>
      <c r="K120" s="62">
        <v>229.51300000000001</v>
      </c>
      <c r="L120" s="62">
        <v>440.40600000000001</v>
      </c>
      <c r="M120" s="62">
        <v>637.95600000000002</v>
      </c>
      <c r="N120" s="62" t="s">
        <v>98</v>
      </c>
      <c r="O120" s="63">
        <f t="shared" si="6"/>
        <v>7.35419</v>
      </c>
      <c r="P120" s="63">
        <f t="shared" si="7"/>
        <v>1277.4295</v>
      </c>
      <c r="Q120" s="63">
        <f t="shared" si="8"/>
        <v>229.51300000000001</v>
      </c>
      <c r="R120" s="64">
        <f t="shared" si="9"/>
        <v>1</v>
      </c>
      <c r="S120" s="64">
        <f t="shared" si="10"/>
        <v>1</v>
      </c>
      <c r="T120" s="20"/>
      <c r="AC120" s="72"/>
      <c r="AD120" s="24"/>
      <c r="AE120" s="24"/>
      <c r="AF120" s="24"/>
      <c r="AG120" s="24"/>
      <c r="AH120" s="24"/>
      <c r="AI120" s="24"/>
      <c r="AJ120" s="24"/>
      <c r="AK120" s="24"/>
      <c r="AL120" s="24"/>
      <c r="AM120" s="24"/>
      <c r="AN120" s="24"/>
      <c r="AO120" s="24"/>
      <c r="AP120" s="24"/>
      <c r="AQ120" s="24"/>
      <c r="AR120" s="24"/>
      <c r="AS120" s="24"/>
      <c r="AT120" s="24"/>
      <c r="AU120" s="24"/>
      <c r="AV120" s="24"/>
      <c r="AW120" s="24"/>
      <c r="AX120" s="24"/>
    </row>
    <row r="121" spans="1:50" ht="14.25" customHeight="1">
      <c r="A121" s="59" t="s">
        <v>319</v>
      </c>
      <c r="B121" s="59" t="s">
        <v>320</v>
      </c>
      <c r="C121" s="60" t="s">
        <v>28</v>
      </c>
      <c r="D121" s="61">
        <v>88.54</v>
      </c>
      <c r="E121" s="61">
        <v>8.0459999999999994</v>
      </c>
      <c r="F121" s="59" t="s">
        <v>92</v>
      </c>
      <c r="G121" s="61"/>
      <c r="H121" s="62"/>
      <c r="I121" s="62">
        <v>6.1609999999999996</v>
      </c>
      <c r="J121" s="62">
        <v>783.45</v>
      </c>
      <c r="K121" s="62">
        <v>179.7</v>
      </c>
      <c r="L121" s="62">
        <v>527.67000000000007</v>
      </c>
      <c r="M121" s="62">
        <v>599.67000000000007</v>
      </c>
      <c r="N121" s="62" t="s">
        <v>93</v>
      </c>
      <c r="O121" s="63">
        <f t="shared" si="6"/>
        <v>6.1609999999999996</v>
      </c>
      <c r="P121" s="63">
        <f t="shared" si="7"/>
        <v>783.45</v>
      </c>
      <c r="Q121" s="63">
        <f t="shared" si="8"/>
        <v>179.7</v>
      </c>
      <c r="R121" s="64">
        <f t="shared" si="9"/>
        <v>1</v>
      </c>
      <c r="S121" s="64">
        <f t="shared" si="10"/>
        <v>1</v>
      </c>
      <c r="T121" s="20"/>
      <c r="AC121" s="72"/>
      <c r="AD121" s="24"/>
      <c r="AE121" s="24"/>
      <c r="AF121" s="24"/>
      <c r="AG121" s="24"/>
      <c r="AH121" s="24"/>
      <c r="AI121" s="24"/>
      <c r="AJ121" s="24"/>
      <c r="AK121" s="24"/>
      <c r="AL121" s="24"/>
      <c r="AM121" s="24"/>
      <c r="AN121" s="24"/>
      <c r="AO121" s="24"/>
      <c r="AP121" s="24"/>
      <c r="AQ121" s="24"/>
      <c r="AR121" s="24"/>
      <c r="AS121" s="24"/>
      <c r="AT121" s="24"/>
      <c r="AU121" s="24"/>
      <c r="AV121" s="24"/>
      <c r="AW121" s="24"/>
      <c r="AX121" s="24"/>
    </row>
    <row r="122" spans="1:50" ht="14.25" customHeight="1">
      <c r="A122" s="59" t="s">
        <v>321</v>
      </c>
      <c r="B122" s="59" t="s">
        <v>322</v>
      </c>
      <c r="C122" s="60" t="s">
        <v>28</v>
      </c>
      <c r="D122" s="61">
        <v>108.14</v>
      </c>
      <c r="E122" s="61">
        <v>8.6291480000000007</v>
      </c>
      <c r="F122" s="59" t="s">
        <v>92</v>
      </c>
      <c r="G122" s="61"/>
      <c r="H122" s="62"/>
      <c r="I122" s="62">
        <v>7.508</v>
      </c>
      <c r="J122" s="62">
        <v>1856.36</v>
      </c>
      <c r="K122" s="62">
        <v>199.07</v>
      </c>
      <c r="L122" s="62">
        <v>760.67000000000007</v>
      </c>
      <c r="M122" s="62">
        <v>853.67000000000007</v>
      </c>
      <c r="N122" s="62" t="s">
        <v>93</v>
      </c>
      <c r="O122" s="63">
        <f t="shared" si="6"/>
        <v>7.508</v>
      </c>
      <c r="P122" s="63">
        <f t="shared" si="7"/>
        <v>1856.36</v>
      </c>
      <c r="Q122" s="63">
        <f t="shared" si="8"/>
        <v>199.07</v>
      </c>
      <c r="R122" s="64">
        <f t="shared" si="9"/>
        <v>1</v>
      </c>
      <c r="S122" s="64">
        <f t="shared" si="10"/>
        <v>1</v>
      </c>
      <c r="T122" s="20"/>
      <c r="AC122" s="72"/>
      <c r="AD122" s="24"/>
      <c r="AE122" s="24"/>
      <c r="AF122" s="24"/>
      <c r="AG122" s="24"/>
      <c r="AH122" s="24"/>
      <c r="AI122" s="24"/>
      <c r="AJ122" s="24"/>
      <c r="AK122" s="24"/>
      <c r="AL122" s="24"/>
      <c r="AM122" s="24"/>
      <c r="AN122" s="24"/>
      <c r="AO122" s="24"/>
      <c r="AP122" s="24"/>
      <c r="AQ122" s="24"/>
      <c r="AR122" s="24"/>
      <c r="AS122" s="24"/>
      <c r="AT122" s="24"/>
      <c r="AU122" s="24"/>
      <c r="AV122" s="24"/>
      <c r="AW122" s="24"/>
      <c r="AX122" s="24"/>
    </row>
    <row r="123" spans="1:50" ht="14.25" customHeight="1">
      <c r="A123" s="59" t="s">
        <v>323</v>
      </c>
      <c r="B123" s="59" t="s">
        <v>324</v>
      </c>
      <c r="C123" s="60" t="s">
        <v>28</v>
      </c>
      <c r="D123" s="61">
        <v>108.14</v>
      </c>
      <c r="E123" s="61">
        <v>8.7626749999999998</v>
      </c>
      <c r="F123" s="59" t="s">
        <v>92</v>
      </c>
      <c r="G123" s="61"/>
      <c r="H123" s="62"/>
      <c r="I123" s="62">
        <v>6.9109999999999996</v>
      </c>
      <c r="J123" s="62">
        <v>1435.5</v>
      </c>
      <c r="K123" s="62">
        <v>165.16</v>
      </c>
      <c r="L123" s="62">
        <v>707.67000000000007</v>
      </c>
      <c r="M123" s="62">
        <v>835.67000000000007</v>
      </c>
      <c r="N123" s="62" t="s">
        <v>93</v>
      </c>
      <c r="O123" s="63">
        <f t="shared" si="6"/>
        <v>6.9109999999999996</v>
      </c>
      <c r="P123" s="63">
        <f t="shared" si="7"/>
        <v>1435.5</v>
      </c>
      <c r="Q123" s="63">
        <f t="shared" si="8"/>
        <v>165.16</v>
      </c>
      <c r="R123" s="64">
        <f t="shared" si="9"/>
        <v>1</v>
      </c>
      <c r="S123" s="64">
        <f t="shared" si="10"/>
        <v>1</v>
      </c>
      <c r="T123" s="20"/>
      <c r="AC123" s="72"/>
      <c r="AD123" s="24"/>
      <c r="AE123" s="24"/>
      <c r="AF123" s="24"/>
      <c r="AG123" s="24"/>
      <c r="AH123" s="24"/>
      <c r="AI123" s="24"/>
      <c r="AJ123" s="24"/>
      <c r="AK123" s="24"/>
      <c r="AL123" s="24"/>
      <c r="AM123" s="24"/>
      <c r="AN123" s="24"/>
      <c r="AO123" s="24"/>
      <c r="AP123" s="24"/>
      <c r="AQ123" s="24"/>
      <c r="AR123" s="24"/>
      <c r="AS123" s="24"/>
      <c r="AT123" s="24"/>
      <c r="AU123" s="24"/>
      <c r="AV123" s="24"/>
      <c r="AW123" s="24"/>
      <c r="AX123" s="24"/>
    </row>
    <row r="124" spans="1:50" ht="14.25" customHeight="1">
      <c r="A124" s="59" t="s">
        <v>325</v>
      </c>
      <c r="B124" s="59" t="s">
        <v>326</v>
      </c>
      <c r="C124" s="60" t="s">
        <v>28</v>
      </c>
      <c r="D124" s="61">
        <v>108.14</v>
      </c>
      <c r="E124" s="61">
        <v>8.5957670000000004</v>
      </c>
      <c r="F124" s="59" t="s">
        <v>92</v>
      </c>
      <c r="G124" s="61"/>
      <c r="H124" s="62"/>
      <c r="I124" s="62">
        <v>7.0350000000000001</v>
      </c>
      <c r="J124" s="62">
        <v>1511.08</v>
      </c>
      <c r="K124" s="62">
        <v>161.85</v>
      </c>
      <c r="L124" s="62">
        <v>721.67000000000007</v>
      </c>
      <c r="M124" s="62">
        <v>854.67000000000007</v>
      </c>
      <c r="N124" s="62" t="s">
        <v>93</v>
      </c>
      <c r="O124" s="63">
        <f t="shared" si="6"/>
        <v>7.0350000000000001</v>
      </c>
      <c r="P124" s="63">
        <f t="shared" si="7"/>
        <v>1511.08</v>
      </c>
      <c r="Q124" s="63">
        <f t="shared" si="8"/>
        <v>161.85</v>
      </c>
      <c r="R124" s="64">
        <f t="shared" si="9"/>
        <v>1</v>
      </c>
      <c r="S124" s="64">
        <f t="shared" si="10"/>
        <v>1</v>
      </c>
      <c r="T124" s="20"/>
      <c r="AC124" s="72"/>
      <c r="AD124" s="24"/>
      <c r="AE124" s="24"/>
      <c r="AF124" s="24"/>
      <c r="AG124" s="24"/>
      <c r="AH124" s="24"/>
      <c r="AI124" s="24"/>
      <c r="AJ124" s="24"/>
      <c r="AK124" s="24"/>
      <c r="AL124" s="24"/>
      <c r="AM124" s="24"/>
      <c r="AN124" s="24"/>
      <c r="AO124" s="24"/>
      <c r="AP124" s="24"/>
      <c r="AQ124" s="24"/>
      <c r="AR124" s="24"/>
      <c r="AS124" s="24"/>
      <c r="AT124" s="24"/>
      <c r="AU124" s="24"/>
      <c r="AV124" s="24"/>
      <c r="AW124" s="24"/>
      <c r="AX124" s="24"/>
    </row>
    <row r="125" spans="1:50" ht="14.25" customHeight="1">
      <c r="A125" s="59" t="s">
        <v>327</v>
      </c>
      <c r="B125" s="59" t="s">
        <v>328</v>
      </c>
      <c r="C125" s="60" t="s">
        <v>28</v>
      </c>
      <c r="D125" s="61">
        <v>108.13800000000001</v>
      </c>
      <c r="E125" s="61">
        <v>8.6235599999999994</v>
      </c>
      <c r="F125" s="61" t="s">
        <v>92</v>
      </c>
      <c r="G125" s="61"/>
      <c r="H125" s="62"/>
      <c r="I125" s="62">
        <f>4.14093 -LOG10(1.01325/760)</f>
        <v>7.0160269798670605</v>
      </c>
      <c r="J125" s="62">
        <v>1498.579</v>
      </c>
      <c r="K125" s="62">
        <f>-112.6+273.15</f>
        <v>160.54999999999998</v>
      </c>
      <c r="L125" s="62">
        <v>722.16</v>
      </c>
      <c r="M125" s="62">
        <v>855.05399999999997</v>
      </c>
      <c r="N125" s="62" t="s">
        <v>329</v>
      </c>
      <c r="O125" s="63">
        <f t="shared" si="6"/>
        <v>7.0160269798670605</v>
      </c>
      <c r="P125" s="63">
        <f t="shared" si="7"/>
        <v>1498.579</v>
      </c>
      <c r="Q125" s="63">
        <f t="shared" si="8"/>
        <v>160.54999999999998</v>
      </c>
      <c r="R125" s="64">
        <f t="shared" si="9"/>
        <v>1</v>
      </c>
      <c r="S125" s="64">
        <f t="shared" si="10"/>
        <v>1</v>
      </c>
      <c r="T125" s="20"/>
      <c r="AC125" s="72"/>
      <c r="AD125" s="24"/>
      <c r="AE125" s="24"/>
      <c r="AF125" s="24"/>
      <c r="AG125" s="24"/>
      <c r="AH125" s="24"/>
      <c r="AI125" s="24"/>
      <c r="AJ125" s="24"/>
      <c r="AK125" s="24"/>
      <c r="AL125" s="24"/>
      <c r="AM125" s="24"/>
      <c r="AN125" s="24"/>
      <c r="AO125" s="24"/>
      <c r="AP125" s="24"/>
      <c r="AQ125" s="24"/>
      <c r="AR125" s="24"/>
      <c r="AS125" s="24"/>
      <c r="AT125" s="24"/>
      <c r="AU125" s="24"/>
      <c r="AV125" s="24"/>
      <c r="AW125" s="24"/>
      <c r="AX125" s="24"/>
    </row>
    <row r="126" spans="1:50" ht="14.25" customHeight="1">
      <c r="A126" s="59" t="s">
        <v>330</v>
      </c>
      <c r="B126" s="59" t="s">
        <v>86</v>
      </c>
      <c r="C126" s="60" t="s">
        <v>24</v>
      </c>
      <c r="D126" s="61">
        <v>50</v>
      </c>
      <c r="E126" s="61">
        <v>7.1</v>
      </c>
      <c r="F126" s="59" t="s">
        <v>331</v>
      </c>
      <c r="G126" s="61">
        <v>5</v>
      </c>
      <c r="H126" s="62"/>
      <c r="I126" s="62"/>
      <c r="J126" s="62"/>
      <c r="K126" s="62"/>
      <c r="L126" s="62"/>
      <c r="M126" s="62"/>
      <c r="N126" s="62" t="s">
        <v>332</v>
      </c>
      <c r="O126" s="63">
        <f t="shared" si="6"/>
        <v>11.263351651093739</v>
      </c>
      <c r="P126" s="63">
        <f t="shared" si="7"/>
        <v>5303.9234984801342</v>
      </c>
      <c r="Q126" s="63">
        <f t="shared" si="8"/>
        <v>0</v>
      </c>
      <c r="R126" s="64">
        <f t="shared" si="9"/>
        <v>0.4</v>
      </c>
      <c r="S126" s="64">
        <f t="shared" si="10"/>
        <v>0.75</v>
      </c>
      <c r="T126" s="20"/>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row>
    <row r="127" spans="1:50" ht="14.25" customHeight="1">
      <c r="A127" s="59" t="s">
        <v>333</v>
      </c>
      <c r="B127" s="59" t="s">
        <v>334</v>
      </c>
      <c r="C127" s="60" t="s">
        <v>28</v>
      </c>
      <c r="D127" s="61">
        <v>120.2</v>
      </c>
      <c r="E127" s="61">
        <v>7.1937389999999999</v>
      </c>
      <c r="F127" s="59" t="s">
        <v>92</v>
      </c>
      <c r="G127" s="61"/>
      <c r="H127" s="62"/>
      <c r="I127" s="62">
        <v>6.9366599999999998</v>
      </c>
      <c r="J127" s="62">
        <v>1460.7929999999999</v>
      </c>
      <c r="K127" s="62">
        <v>207.78</v>
      </c>
      <c r="L127" s="62">
        <v>617.67000000000007</v>
      </c>
      <c r="M127" s="62">
        <v>767.67000000000007</v>
      </c>
      <c r="N127" s="62" t="s">
        <v>93</v>
      </c>
      <c r="O127" s="63">
        <f t="shared" si="6"/>
        <v>6.9366599999999998</v>
      </c>
      <c r="P127" s="63">
        <f t="shared" si="7"/>
        <v>1460.7929999999999</v>
      </c>
      <c r="Q127" s="63">
        <f t="shared" si="8"/>
        <v>207.78</v>
      </c>
      <c r="R127" s="64">
        <f t="shared" si="9"/>
        <v>1</v>
      </c>
      <c r="S127" s="64">
        <f t="shared" si="10"/>
        <v>1</v>
      </c>
      <c r="T127" s="20"/>
      <c r="AC127" s="72"/>
      <c r="AD127" s="24"/>
      <c r="AE127" s="24"/>
      <c r="AF127" s="24"/>
      <c r="AG127" s="24"/>
      <c r="AH127" s="24"/>
      <c r="AI127" s="24"/>
      <c r="AJ127" s="24"/>
      <c r="AK127" s="24"/>
      <c r="AL127" s="24"/>
      <c r="AM127" s="24"/>
      <c r="AN127" s="24"/>
      <c r="AO127" s="24"/>
      <c r="AP127" s="24"/>
      <c r="AQ127" s="24"/>
      <c r="AR127" s="24"/>
      <c r="AS127" s="24"/>
      <c r="AT127" s="24"/>
      <c r="AU127" s="24"/>
      <c r="AV127" s="24"/>
      <c r="AW127" s="24"/>
      <c r="AX127" s="24"/>
    </row>
    <row r="128" spans="1:50" ht="14.25" customHeight="1">
      <c r="A128" s="59" t="s">
        <v>335</v>
      </c>
      <c r="B128" s="59" t="s">
        <v>336</v>
      </c>
      <c r="C128" s="60" t="s">
        <v>24</v>
      </c>
      <c r="D128" s="61">
        <v>84.16</v>
      </c>
      <c r="E128" s="61">
        <v>6.5220000000000002</v>
      </c>
      <c r="F128" s="59" t="s">
        <v>92</v>
      </c>
      <c r="G128" s="61"/>
      <c r="H128" s="62"/>
      <c r="I128" s="62">
        <v>6.8410000000000002</v>
      </c>
      <c r="J128" s="62">
        <v>1201.53</v>
      </c>
      <c r="K128" s="62">
        <v>222.65</v>
      </c>
      <c r="L128" s="62">
        <v>527.67000000000007</v>
      </c>
      <c r="M128" s="62">
        <v>638.67000000000007</v>
      </c>
      <c r="N128" s="62" t="s">
        <v>93</v>
      </c>
      <c r="O128" s="63">
        <f t="shared" si="6"/>
        <v>6.8410000000000002</v>
      </c>
      <c r="P128" s="63">
        <f t="shared" si="7"/>
        <v>1201.53</v>
      </c>
      <c r="Q128" s="63">
        <f t="shared" si="8"/>
        <v>222.65</v>
      </c>
      <c r="R128" s="64">
        <f t="shared" si="9"/>
        <v>1</v>
      </c>
      <c r="S128" s="64">
        <f t="shared" si="10"/>
        <v>1</v>
      </c>
      <c r="T128" s="20"/>
      <c r="AC128" s="72"/>
      <c r="AD128" s="24"/>
      <c r="AE128" s="24"/>
      <c r="AF128" s="24"/>
      <c r="AG128" s="24"/>
      <c r="AH128" s="24"/>
      <c r="AI128" s="24"/>
      <c r="AJ128" s="24"/>
      <c r="AK128" s="24"/>
      <c r="AL128" s="24"/>
      <c r="AM128" s="24"/>
      <c r="AN128" s="24"/>
      <c r="AO128" s="24"/>
      <c r="AP128" s="24"/>
      <c r="AQ128" s="24"/>
      <c r="AR128" s="24"/>
      <c r="AS128" s="24"/>
      <c r="AT128" s="24"/>
      <c r="AU128" s="24"/>
      <c r="AV128" s="24"/>
      <c r="AW128" s="24"/>
      <c r="AX128" s="24"/>
    </row>
    <row r="129" spans="1:50" ht="14.25" customHeight="1">
      <c r="A129" s="59" t="s">
        <v>337</v>
      </c>
      <c r="B129" s="59" t="s">
        <v>338</v>
      </c>
      <c r="C129" s="60" t="s">
        <v>24</v>
      </c>
      <c r="D129" s="61">
        <v>100.158</v>
      </c>
      <c r="E129" s="61">
        <v>8.0316170000000007</v>
      </c>
      <c r="F129" s="59" t="s">
        <v>92</v>
      </c>
      <c r="G129" s="61"/>
      <c r="H129" s="62"/>
      <c r="I129" s="62">
        <v>6.2549999999999999</v>
      </c>
      <c r="J129" s="62">
        <v>912.87</v>
      </c>
      <c r="K129" s="62">
        <v>109.13</v>
      </c>
      <c r="L129" s="62">
        <v>660.67000000000007</v>
      </c>
      <c r="M129" s="62">
        <v>780.67000000000007</v>
      </c>
      <c r="N129" s="62" t="s">
        <v>93</v>
      </c>
      <c r="O129" s="63">
        <f t="shared" si="6"/>
        <v>6.2549999999999999</v>
      </c>
      <c r="P129" s="63">
        <f t="shared" si="7"/>
        <v>912.87</v>
      </c>
      <c r="Q129" s="63">
        <f t="shared" si="8"/>
        <v>109.13</v>
      </c>
      <c r="R129" s="64">
        <f t="shared" si="9"/>
        <v>1</v>
      </c>
      <c r="S129" s="64">
        <f t="shared" si="10"/>
        <v>1</v>
      </c>
      <c r="T129" s="20"/>
      <c r="AC129" s="72"/>
      <c r="AD129" s="24"/>
      <c r="AE129" s="24"/>
      <c r="AF129" s="24"/>
      <c r="AG129" s="24"/>
      <c r="AH129" s="24"/>
      <c r="AI129" s="24"/>
      <c r="AJ129" s="24"/>
      <c r="AK129" s="24"/>
      <c r="AL129" s="24"/>
      <c r="AM129" s="24"/>
      <c r="AN129" s="24"/>
      <c r="AO129" s="24"/>
      <c r="AP129" s="24"/>
      <c r="AQ129" s="24"/>
      <c r="AR129" s="24"/>
      <c r="AS129" s="24"/>
      <c r="AT129" s="24"/>
      <c r="AU129" s="24"/>
      <c r="AV129" s="24"/>
      <c r="AW129" s="24"/>
      <c r="AX129" s="24"/>
    </row>
    <row r="130" spans="1:50" ht="14.25" customHeight="1">
      <c r="A130" s="59" t="s">
        <v>339</v>
      </c>
      <c r="B130" s="59" t="s">
        <v>340</v>
      </c>
      <c r="C130" s="60" t="s">
        <v>24</v>
      </c>
      <c r="D130" s="61">
        <v>98.15</v>
      </c>
      <c r="E130" s="61">
        <v>7.9097739999999996</v>
      </c>
      <c r="F130" s="59" t="s">
        <v>92</v>
      </c>
      <c r="G130" s="61"/>
      <c r="H130" s="62"/>
      <c r="I130" s="62">
        <v>7.8491999999999997</v>
      </c>
      <c r="J130" s="62">
        <v>2137.192</v>
      </c>
      <c r="K130" s="62">
        <v>273.16000000000003</v>
      </c>
      <c r="L130" s="62">
        <v>652.67000000000007</v>
      </c>
      <c r="M130" s="62">
        <v>789.67000000000007</v>
      </c>
      <c r="N130" s="62" t="s">
        <v>93</v>
      </c>
      <c r="O130" s="63">
        <f t="shared" si="6"/>
        <v>7.8491999999999997</v>
      </c>
      <c r="P130" s="63">
        <f t="shared" si="7"/>
        <v>2137.192</v>
      </c>
      <c r="Q130" s="63">
        <f t="shared" si="8"/>
        <v>273.16000000000003</v>
      </c>
      <c r="R130" s="64">
        <f t="shared" si="9"/>
        <v>1</v>
      </c>
      <c r="S130" s="64">
        <f t="shared" si="10"/>
        <v>1</v>
      </c>
      <c r="T130" s="20"/>
      <c r="AC130" s="72"/>
      <c r="AD130" s="24"/>
      <c r="AE130" s="24"/>
      <c r="AF130" s="24"/>
      <c r="AG130" s="24"/>
      <c r="AH130" s="24"/>
      <c r="AI130" s="24"/>
      <c r="AJ130" s="24"/>
      <c r="AK130" s="24"/>
      <c r="AL130" s="24"/>
      <c r="AM130" s="24"/>
      <c r="AN130" s="24"/>
      <c r="AO130" s="24"/>
      <c r="AP130" s="24"/>
      <c r="AQ130" s="24"/>
      <c r="AR130" s="24"/>
      <c r="AS130" s="24"/>
      <c r="AT130" s="24"/>
      <c r="AU130" s="24"/>
      <c r="AV130" s="24"/>
      <c r="AW130" s="24"/>
      <c r="AX130" s="24"/>
    </row>
    <row r="131" spans="1:50" ht="14.25" customHeight="1">
      <c r="A131" s="59" t="s">
        <v>341</v>
      </c>
      <c r="B131" s="82" t="s">
        <v>342</v>
      </c>
      <c r="C131" s="60" t="s">
        <v>28</v>
      </c>
      <c r="D131" s="61">
        <v>251.15100000000001</v>
      </c>
      <c r="E131" s="61">
        <f>1.1117*8.3454</f>
        <v>9.2775811799999985</v>
      </c>
      <c r="F131" s="61" t="s">
        <v>103</v>
      </c>
      <c r="G131" s="61"/>
      <c r="H131" s="62"/>
      <c r="I131" s="67"/>
      <c r="J131" s="67"/>
      <c r="K131" s="67"/>
      <c r="L131" s="67"/>
      <c r="M131" s="67"/>
      <c r="N131" s="62" t="s">
        <v>168</v>
      </c>
      <c r="O131" s="63">
        <f t="shared" si="6"/>
        <v>0</v>
      </c>
      <c r="P131" s="63">
        <f t="shared" si="7"/>
        <v>0</v>
      </c>
      <c r="Q131" s="63">
        <f t="shared" si="8"/>
        <v>0</v>
      </c>
      <c r="R131" s="64">
        <f t="shared" si="9"/>
        <v>1</v>
      </c>
      <c r="S131" s="64">
        <f t="shared" si="10"/>
        <v>1</v>
      </c>
      <c r="T131" s="20"/>
      <c r="AC131" s="72"/>
      <c r="AD131" s="24"/>
      <c r="AE131" s="24"/>
      <c r="AF131" s="24"/>
      <c r="AG131" s="24"/>
      <c r="AH131" s="24"/>
      <c r="AI131" s="24"/>
      <c r="AJ131" s="24"/>
      <c r="AK131" s="24"/>
      <c r="AL131" s="24"/>
      <c r="AM131" s="24"/>
      <c r="AN131" s="24"/>
      <c r="AO131" s="24"/>
      <c r="AP131" s="24"/>
      <c r="AQ131" s="24"/>
      <c r="AR131" s="24"/>
      <c r="AS131" s="24"/>
      <c r="AT131" s="24"/>
      <c r="AU131" s="24"/>
      <c r="AV131" s="24"/>
      <c r="AW131" s="24"/>
      <c r="AX131" s="24"/>
    </row>
    <row r="132" spans="1:50" ht="14.25" customHeight="1">
      <c r="A132" s="59" t="s">
        <v>343</v>
      </c>
      <c r="B132" s="59" t="s">
        <v>344</v>
      </c>
      <c r="C132" s="60" t="s">
        <v>28</v>
      </c>
      <c r="D132" s="61">
        <v>42.03998</v>
      </c>
      <c r="E132" s="61">
        <f>1.4*8.3454</f>
        <v>11.683559999999998</v>
      </c>
      <c r="F132" s="61" t="s">
        <v>103</v>
      </c>
      <c r="G132" s="61"/>
      <c r="H132" s="62"/>
      <c r="I132" s="67"/>
      <c r="J132" s="67"/>
      <c r="K132" s="67"/>
      <c r="L132" s="67"/>
      <c r="M132" s="67"/>
      <c r="N132" s="62" t="s">
        <v>250</v>
      </c>
      <c r="O132" s="63">
        <f t="shared" si="6"/>
        <v>0</v>
      </c>
      <c r="P132" s="63">
        <f t="shared" si="7"/>
        <v>0</v>
      </c>
      <c r="Q132" s="63">
        <f t="shared" si="8"/>
        <v>0</v>
      </c>
      <c r="R132" s="64">
        <f t="shared" si="9"/>
        <v>1</v>
      </c>
      <c r="S132" s="64">
        <f t="shared" si="10"/>
        <v>1</v>
      </c>
      <c r="T132" s="20"/>
      <c r="AC132" s="72"/>
      <c r="AD132" s="24"/>
      <c r="AE132" s="24"/>
      <c r="AF132" s="24"/>
      <c r="AG132" s="24"/>
      <c r="AH132" s="24"/>
      <c r="AI132" s="24"/>
      <c r="AJ132" s="24"/>
      <c r="AK132" s="24"/>
      <c r="AL132" s="24"/>
      <c r="AM132" s="24"/>
      <c r="AN132" s="24"/>
      <c r="AO132" s="24"/>
      <c r="AP132" s="24"/>
      <c r="AQ132" s="24"/>
      <c r="AR132" s="24"/>
      <c r="AS132" s="24"/>
      <c r="AT132" s="24"/>
      <c r="AU132" s="24"/>
      <c r="AV132" s="24"/>
      <c r="AW132" s="24"/>
      <c r="AX132" s="24"/>
    </row>
    <row r="133" spans="1:50" ht="14.25" customHeight="1">
      <c r="A133" s="59" t="s">
        <v>345</v>
      </c>
      <c r="B133" s="59" t="s">
        <v>346</v>
      </c>
      <c r="C133" s="60" t="s">
        <v>28</v>
      </c>
      <c r="D133" s="61">
        <v>168.19</v>
      </c>
      <c r="E133" s="61">
        <f>1.3*8.3454</f>
        <v>10.849019999999999</v>
      </c>
      <c r="F133" s="61" t="s">
        <v>103</v>
      </c>
      <c r="G133" s="61"/>
      <c r="H133" s="62"/>
      <c r="I133" s="67"/>
      <c r="J133" s="67"/>
      <c r="K133" s="67"/>
      <c r="L133" s="67"/>
      <c r="M133" s="67"/>
      <c r="N133" s="62" t="s">
        <v>109</v>
      </c>
      <c r="O133" s="63">
        <f t="shared" si="6"/>
        <v>0</v>
      </c>
      <c r="P133" s="63">
        <f t="shared" si="7"/>
        <v>0</v>
      </c>
      <c r="Q133" s="63">
        <f t="shared" si="8"/>
        <v>0</v>
      </c>
      <c r="R133" s="64">
        <f t="shared" si="9"/>
        <v>1</v>
      </c>
      <c r="S133" s="64">
        <f t="shared" si="10"/>
        <v>1</v>
      </c>
      <c r="T133" s="20"/>
      <c r="AC133" s="72"/>
      <c r="AD133" s="24"/>
      <c r="AE133" s="24"/>
      <c r="AF133" s="24"/>
      <c r="AG133" s="24"/>
      <c r="AH133" s="24"/>
      <c r="AI133" s="24"/>
      <c r="AJ133" s="24"/>
      <c r="AK133" s="24"/>
      <c r="AL133" s="24"/>
      <c r="AM133" s="24"/>
      <c r="AN133" s="24"/>
      <c r="AO133" s="24"/>
      <c r="AP133" s="24"/>
      <c r="AQ133" s="24"/>
      <c r="AR133" s="24"/>
      <c r="AS133" s="24"/>
      <c r="AT133" s="24"/>
      <c r="AU133" s="24"/>
      <c r="AV133" s="24"/>
      <c r="AW133" s="24"/>
      <c r="AX133" s="24"/>
    </row>
    <row r="134" spans="1:50" ht="14.25" customHeight="1">
      <c r="A134" s="59" t="s">
        <v>347</v>
      </c>
      <c r="B134" s="59" t="s">
        <v>348</v>
      </c>
      <c r="C134" s="60" t="s">
        <v>28</v>
      </c>
      <c r="D134" s="61">
        <v>278.34399999999999</v>
      </c>
      <c r="E134" s="61">
        <f>1.05*8.34</f>
        <v>8.7569999999999997</v>
      </c>
      <c r="F134" s="61" t="s">
        <v>103</v>
      </c>
      <c r="G134" s="61"/>
      <c r="H134" s="62"/>
      <c r="I134" s="62"/>
      <c r="J134" s="62"/>
      <c r="K134" s="62"/>
      <c r="L134" s="62"/>
      <c r="M134" s="62"/>
      <c r="N134" s="62" t="s">
        <v>158</v>
      </c>
      <c r="O134" s="63">
        <f t="shared" si="6"/>
        <v>0</v>
      </c>
      <c r="P134" s="63">
        <f t="shared" si="7"/>
        <v>0</v>
      </c>
      <c r="Q134" s="63">
        <f t="shared" si="8"/>
        <v>0</v>
      </c>
      <c r="R134" s="64">
        <f t="shared" si="9"/>
        <v>1</v>
      </c>
      <c r="S134" s="64">
        <f t="shared" si="10"/>
        <v>1</v>
      </c>
      <c r="T134" s="20"/>
      <c r="AC134" s="72"/>
      <c r="AD134" s="24"/>
      <c r="AE134" s="24"/>
      <c r="AF134" s="24"/>
      <c r="AG134" s="24"/>
      <c r="AH134" s="24"/>
      <c r="AI134" s="24"/>
      <c r="AJ134" s="24"/>
      <c r="AK134" s="24"/>
      <c r="AL134" s="24"/>
      <c r="AM134" s="24"/>
      <c r="AN134" s="24"/>
      <c r="AO134" s="24"/>
      <c r="AP134" s="24"/>
      <c r="AQ134" s="24"/>
      <c r="AR134" s="24"/>
      <c r="AS134" s="24"/>
      <c r="AT134" s="24"/>
      <c r="AU134" s="24"/>
      <c r="AV134" s="24"/>
      <c r="AW134" s="24"/>
      <c r="AX134" s="24"/>
    </row>
    <row r="135" spans="1:50" ht="14.25" customHeight="1">
      <c r="A135" s="59" t="s">
        <v>349</v>
      </c>
      <c r="B135" s="59" t="s">
        <v>350</v>
      </c>
      <c r="C135" s="60" t="s">
        <v>28</v>
      </c>
      <c r="D135" s="61">
        <v>98.97</v>
      </c>
      <c r="E135" s="61">
        <v>10.5</v>
      </c>
      <c r="F135" s="59" t="s">
        <v>92</v>
      </c>
      <c r="G135" s="61"/>
      <c r="H135" s="62"/>
      <c r="I135" s="62">
        <v>7.0250000000000004</v>
      </c>
      <c r="J135" s="62">
        <v>1272.3</v>
      </c>
      <c r="K135" s="62">
        <v>222.9</v>
      </c>
      <c r="L135" s="62">
        <v>436.67</v>
      </c>
      <c r="M135" s="62">
        <v>670.67000000000007</v>
      </c>
      <c r="N135" s="62" t="s">
        <v>93</v>
      </c>
      <c r="O135" s="63">
        <f t="shared" si="6"/>
        <v>7.0250000000000004</v>
      </c>
      <c r="P135" s="63">
        <f t="shared" si="7"/>
        <v>1272.3</v>
      </c>
      <c r="Q135" s="63">
        <f t="shared" si="8"/>
        <v>222.9</v>
      </c>
      <c r="R135" s="64">
        <f t="shared" si="9"/>
        <v>1</v>
      </c>
      <c r="S135" s="64">
        <f t="shared" si="10"/>
        <v>1</v>
      </c>
      <c r="T135" s="20"/>
      <c r="AC135" s="72"/>
      <c r="AD135" s="24"/>
      <c r="AE135" s="24"/>
      <c r="AF135" s="24"/>
      <c r="AG135" s="24"/>
      <c r="AH135" s="24"/>
      <c r="AI135" s="24"/>
      <c r="AJ135" s="24"/>
      <c r="AK135" s="24"/>
      <c r="AL135" s="24"/>
      <c r="AM135" s="24"/>
      <c r="AN135" s="24"/>
      <c r="AO135" s="24"/>
      <c r="AP135" s="24"/>
      <c r="AQ135" s="24"/>
      <c r="AR135" s="24"/>
      <c r="AS135" s="24"/>
      <c r="AT135" s="24"/>
      <c r="AU135" s="24"/>
      <c r="AV135" s="24"/>
      <c r="AW135" s="24"/>
      <c r="AX135" s="24"/>
    </row>
    <row r="136" spans="1:50" ht="14.25" customHeight="1">
      <c r="A136" s="59" t="s">
        <v>351</v>
      </c>
      <c r="B136" s="59" t="s">
        <v>352</v>
      </c>
      <c r="C136" s="60" t="s">
        <v>28</v>
      </c>
      <c r="D136" s="61">
        <v>143.01</v>
      </c>
      <c r="E136" s="61">
        <f>1.22*8.3454</f>
        <v>10.181388</v>
      </c>
      <c r="F136" s="61" t="s">
        <v>92</v>
      </c>
      <c r="G136" s="61"/>
      <c r="H136" s="62"/>
      <c r="I136" s="62">
        <f>4.81729 -LOG10(1.01325/760)</f>
        <v>7.6923869798670612</v>
      </c>
      <c r="J136" s="62">
        <v>1990.7550000000001</v>
      </c>
      <c r="K136" s="62">
        <f>-37.803+273.15</f>
        <v>235.34699999999998</v>
      </c>
      <c r="L136" s="62">
        <v>534.05999999999995</v>
      </c>
      <c r="M136" s="62">
        <v>813.06</v>
      </c>
      <c r="N136" s="62" t="s">
        <v>130</v>
      </c>
      <c r="O136" s="63">
        <f t="shared" si="6"/>
        <v>7.6923869798670612</v>
      </c>
      <c r="P136" s="63">
        <f t="shared" si="7"/>
        <v>1990.7550000000001</v>
      </c>
      <c r="Q136" s="63">
        <f t="shared" si="8"/>
        <v>235.34699999999998</v>
      </c>
      <c r="R136" s="64">
        <f t="shared" si="9"/>
        <v>1</v>
      </c>
      <c r="S136" s="64">
        <f t="shared" si="10"/>
        <v>1</v>
      </c>
      <c r="T136" s="20"/>
      <c r="AC136" s="72"/>
      <c r="AD136" s="24"/>
      <c r="AE136" s="24"/>
      <c r="AF136" s="24"/>
      <c r="AG136" s="24"/>
      <c r="AH136" s="24"/>
      <c r="AI136" s="24"/>
      <c r="AJ136" s="24"/>
      <c r="AK136" s="24"/>
      <c r="AL136" s="24"/>
      <c r="AM136" s="24"/>
      <c r="AN136" s="24"/>
      <c r="AO136" s="24"/>
      <c r="AP136" s="24"/>
      <c r="AQ136" s="24"/>
      <c r="AR136" s="24"/>
      <c r="AS136" s="24"/>
      <c r="AT136" s="24"/>
      <c r="AU136" s="24"/>
      <c r="AV136" s="24"/>
      <c r="AW136" s="24"/>
      <c r="AX136" s="24"/>
    </row>
    <row r="137" spans="1:50" ht="14.25" customHeight="1">
      <c r="A137" s="59" t="s">
        <v>353</v>
      </c>
      <c r="B137" s="59" t="s">
        <v>354</v>
      </c>
      <c r="C137" s="60" t="s">
        <v>24</v>
      </c>
      <c r="D137" s="61">
        <v>96.95</v>
      </c>
      <c r="E137" s="61">
        <v>10.763</v>
      </c>
      <c r="F137" s="59" t="s">
        <v>92</v>
      </c>
      <c r="G137" s="61"/>
      <c r="H137" s="62"/>
      <c r="I137" s="62">
        <v>6.9649999999999999</v>
      </c>
      <c r="J137" s="62">
        <v>1141.9000000000001</v>
      </c>
      <c r="K137" s="62">
        <v>231.9</v>
      </c>
      <c r="L137" s="62">
        <v>491.67</v>
      </c>
      <c r="M137" s="62">
        <v>642.67000000000007</v>
      </c>
      <c r="N137" s="62" t="s">
        <v>93</v>
      </c>
      <c r="O137" s="63">
        <f t="shared" si="6"/>
        <v>6.9649999999999999</v>
      </c>
      <c r="P137" s="63">
        <f t="shared" si="7"/>
        <v>1141.9000000000001</v>
      </c>
      <c r="Q137" s="63">
        <f t="shared" si="8"/>
        <v>231.9</v>
      </c>
      <c r="R137" s="64">
        <f t="shared" si="9"/>
        <v>1</v>
      </c>
      <c r="S137" s="64">
        <f t="shared" si="10"/>
        <v>1</v>
      </c>
      <c r="T137" s="20"/>
      <c r="AC137" s="72"/>
      <c r="AD137" s="24"/>
      <c r="AE137" s="24"/>
      <c r="AF137" s="24"/>
      <c r="AG137" s="24"/>
      <c r="AH137" s="24"/>
      <c r="AI137" s="24"/>
      <c r="AJ137" s="24"/>
      <c r="AK137" s="24"/>
      <c r="AL137" s="24"/>
      <c r="AM137" s="24"/>
      <c r="AN137" s="24"/>
      <c r="AO137" s="24"/>
      <c r="AP137" s="24"/>
      <c r="AQ137" s="24"/>
      <c r="AR137" s="24"/>
      <c r="AS137" s="24"/>
      <c r="AT137" s="24"/>
      <c r="AU137" s="24"/>
      <c r="AV137" s="24"/>
      <c r="AW137" s="24"/>
      <c r="AX137" s="24"/>
    </row>
    <row r="138" spans="1:50" ht="14.25" customHeight="1">
      <c r="A138" s="59" t="s">
        <v>355</v>
      </c>
      <c r="B138" s="59" t="s">
        <v>356</v>
      </c>
      <c r="C138" s="60" t="s">
        <v>28</v>
      </c>
      <c r="D138" s="61">
        <v>220.98</v>
      </c>
      <c r="E138" s="61">
        <f>1.415*8.3454</f>
        <v>11.808740999999999</v>
      </c>
      <c r="F138" s="61" t="s">
        <v>92</v>
      </c>
      <c r="G138" s="61"/>
      <c r="H138" s="62"/>
      <c r="I138" s="62">
        <v>10.2507</v>
      </c>
      <c r="J138" s="62">
        <v>3581.3</v>
      </c>
      <c r="K138" s="62">
        <v>274.35000000000002</v>
      </c>
      <c r="L138" s="62">
        <v>694.69200000000001</v>
      </c>
      <c r="M138" s="62">
        <v>909.774</v>
      </c>
      <c r="N138" s="62" t="s">
        <v>98</v>
      </c>
      <c r="O138" s="63">
        <f t="shared" si="6"/>
        <v>10.2507</v>
      </c>
      <c r="P138" s="63">
        <f t="shared" si="7"/>
        <v>3581.3</v>
      </c>
      <c r="Q138" s="63">
        <f t="shared" si="8"/>
        <v>274.35000000000002</v>
      </c>
      <c r="R138" s="64">
        <f t="shared" si="9"/>
        <v>1</v>
      </c>
      <c r="S138" s="64">
        <f t="shared" si="10"/>
        <v>1</v>
      </c>
      <c r="T138" s="20"/>
      <c r="AC138" s="72"/>
      <c r="AD138" s="24"/>
      <c r="AE138" s="24"/>
      <c r="AF138" s="24"/>
      <c r="AG138" s="24"/>
      <c r="AH138" s="24"/>
      <c r="AI138" s="24"/>
      <c r="AJ138" s="24"/>
      <c r="AK138" s="24"/>
      <c r="AL138" s="24"/>
      <c r="AM138" s="24"/>
      <c r="AN138" s="24"/>
      <c r="AO138" s="24"/>
      <c r="AP138" s="24"/>
      <c r="AQ138" s="24"/>
      <c r="AR138" s="24"/>
      <c r="AS138" s="24"/>
      <c r="AT138" s="24"/>
      <c r="AU138" s="24"/>
      <c r="AV138" s="24"/>
      <c r="AW138" s="24"/>
      <c r="AX138" s="24"/>
    </row>
    <row r="139" spans="1:50" ht="14.25" customHeight="1">
      <c r="A139" s="59" t="s">
        <v>357</v>
      </c>
      <c r="B139" s="59" t="s">
        <v>358</v>
      </c>
      <c r="C139" s="60" t="s">
        <v>28</v>
      </c>
      <c r="D139" s="61">
        <v>105.1</v>
      </c>
      <c r="E139" s="61">
        <v>9.1</v>
      </c>
      <c r="F139" s="59" t="s">
        <v>92</v>
      </c>
      <c r="G139" s="61"/>
      <c r="H139" s="62"/>
      <c r="I139" s="62">
        <v>8.3861899999999991</v>
      </c>
      <c r="J139" s="62">
        <v>2515.6387</v>
      </c>
      <c r="K139" s="62">
        <v>188.55199999999999</v>
      </c>
      <c r="L139" s="62">
        <v>765.32400000000007</v>
      </c>
      <c r="M139" s="62">
        <v>1022.346</v>
      </c>
      <c r="N139" s="62" t="s">
        <v>98</v>
      </c>
      <c r="O139" s="63">
        <f t="shared" si="6"/>
        <v>8.3861899999999991</v>
      </c>
      <c r="P139" s="63">
        <f t="shared" si="7"/>
        <v>2515.6387</v>
      </c>
      <c r="Q139" s="63">
        <f t="shared" si="8"/>
        <v>188.55199999999999</v>
      </c>
      <c r="R139" s="64">
        <f t="shared" si="9"/>
        <v>1</v>
      </c>
      <c r="S139" s="64">
        <f t="shared" si="10"/>
        <v>1</v>
      </c>
      <c r="T139" s="20"/>
      <c r="AC139" s="72"/>
      <c r="AD139" s="24"/>
      <c r="AE139" s="24"/>
      <c r="AF139" s="24"/>
      <c r="AG139" s="24"/>
      <c r="AH139" s="24"/>
      <c r="AI139" s="24"/>
      <c r="AJ139" s="24"/>
      <c r="AK139" s="24"/>
      <c r="AL139" s="24"/>
      <c r="AM139" s="24"/>
      <c r="AN139" s="24"/>
      <c r="AO139" s="24"/>
      <c r="AP139" s="24"/>
      <c r="AQ139" s="24"/>
      <c r="AR139" s="24"/>
      <c r="AS139" s="24"/>
      <c r="AT139" s="24"/>
      <c r="AU139" s="24"/>
      <c r="AV139" s="24"/>
      <c r="AW139" s="24"/>
      <c r="AX139" s="24"/>
    </row>
    <row r="140" spans="1:50" ht="14.25" customHeight="1">
      <c r="A140" s="59" t="s">
        <v>359</v>
      </c>
      <c r="B140" s="59" t="s">
        <v>360</v>
      </c>
      <c r="C140" s="60" t="s">
        <v>24</v>
      </c>
      <c r="D140" s="61">
        <v>149.24</v>
      </c>
      <c r="E140" s="61">
        <v>7.7612259999999997</v>
      </c>
      <c r="F140" s="59" t="s">
        <v>92</v>
      </c>
      <c r="G140" s="61"/>
      <c r="H140" s="62"/>
      <c r="I140" s="62">
        <v>7.4660000000000002</v>
      </c>
      <c r="J140" s="62">
        <v>1993.57</v>
      </c>
      <c r="K140" s="62">
        <v>218.5</v>
      </c>
      <c r="L140" s="62">
        <v>581.67000000000007</v>
      </c>
      <c r="M140" s="62">
        <v>884.67000000000007</v>
      </c>
      <c r="N140" s="62" t="s">
        <v>93</v>
      </c>
      <c r="O140" s="63">
        <f t="shared" si="6"/>
        <v>7.4660000000000002</v>
      </c>
      <c r="P140" s="63">
        <f t="shared" si="7"/>
        <v>1993.57</v>
      </c>
      <c r="Q140" s="63">
        <f t="shared" si="8"/>
        <v>218.5</v>
      </c>
      <c r="R140" s="64">
        <f t="shared" si="9"/>
        <v>1</v>
      </c>
      <c r="S140" s="64">
        <f t="shared" si="10"/>
        <v>1</v>
      </c>
      <c r="T140" s="20"/>
      <c r="AC140" s="72"/>
      <c r="AD140" s="24"/>
      <c r="AE140" s="24"/>
      <c r="AF140" s="24"/>
      <c r="AG140" s="24"/>
      <c r="AH140" s="24"/>
      <c r="AI140" s="24"/>
      <c r="AJ140" s="24"/>
      <c r="AK140" s="24"/>
      <c r="AL140" s="24"/>
      <c r="AM140" s="24"/>
      <c r="AN140" s="24"/>
      <c r="AO140" s="24"/>
      <c r="AP140" s="24"/>
      <c r="AQ140" s="24"/>
      <c r="AR140" s="24"/>
      <c r="AS140" s="24"/>
      <c r="AT140" s="24"/>
      <c r="AU140" s="24"/>
      <c r="AV140" s="24"/>
      <c r="AW140" s="24"/>
      <c r="AX140" s="24"/>
    </row>
    <row r="141" spans="1:50" ht="14.25" customHeight="1">
      <c r="A141" s="59" t="s">
        <v>361</v>
      </c>
      <c r="B141" s="59" t="s">
        <v>362</v>
      </c>
      <c r="C141" s="60" t="s">
        <v>28</v>
      </c>
      <c r="D141" s="61">
        <v>154.18</v>
      </c>
      <c r="E141" s="61">
        <f>1.177*8.3454</f>
        <v>9.8225358000000007</v>
      </c>
      <c r="F141" s="61" t="s">
        <v>92</v>
      </c>
      <c r="G141" s="61"/>
      <c r="H141" s="62"/>
      <c r="I141" s="62">
        <v>7.1804199999999998</v>
      </c>
      <c r="J141" s="62">
        <v>1781.2973999999999</v>
      </c>
      <c r="K141" s="62">
        <v>204.905</v>
      </c>
      <c r="L141" s="62">
        <v>641.62800000000004</v>
      </c>
      <c r="M141" s="62">
        <v>924.71400000000006</v>
      </c>
      <c r="N141" s="62" t="s">
        <v>98</v>
      </c>
      <c r="O141" s="63">
        <f t="shared" si="6"/>
        <v>7.1804199999999998</v>
      </c>
      <c r="P141" s="63">
        <f t="shared" si="7"/>
        <v>1781.2973999999999</v>
      </c>
      <c r="Q141" s="63">
        <f t="shared" si="8"/>
        <v>204.905</v>
      </c>
      <c r="R141" s="64">
        <f t="shared" si="9"/>
        <v>1</v>
      </c>
      <c r="S141" s="64">
        <f t="shared" si="10"/>
        <v>1</v>
      </c>
      <c r="T141" s="20"/>
      <c r="AC141" s="72"/>
      <c r="AD141" s="24"/>
      <c r="AE141" s="24"/>
      <c r="AF141" s="24"/>
      <c r="AG141" s="24"/>
      <c r="AH141" s="24"/>
      <c r="AI141" s="24"/>
      <c r="AJ141" s="24"/>
      <c r="AK141" s="24"/>
      <c r="AL141" s="24"/>
      <c r="AM141" s="24"/>
      <c r="AN141" s="24"/>
      <c r="AO141" s="24"/>
      <c r="AP141" s="24"/>
      <c r="AQ141" s="24"/>
      <c r="AR141" s="24"/>
      <c r="AS141" s="24"/>
      <c r="AT141" s="24"/>
      <c r="AU141" s="24"/>
      <c r="AV141" s="24"/>
      <c r="AW141" s="24"/>
      <c r="AX141" s="24"/>
    </row>
    <row r="142" spans="1:50" ht="14.25" customHeight="1">
      <c r="A142" s="59" t="s">
        <v>363</v>
      </c>
      <c r="B142" s="59" t="s">
        <v>364</v>
      </c>
      <c r="C142" s="60" t="s">
        <v>28</v>
      </c>
      <c r="D142" s="61">
        <v>225.29</v>
      </c>
      <c r="E142" s="61">
        <f>1.1303*8.3454</f>
        <v>9.4328056199999999</v>
      </c>
      <c r="F142" s="61" t="s">
        <v>103</v>
      </c>
      <c r="G142" s="61"/>
      <c r="H142" s="62"/>
      <c r="I142" s="62"/>
      <c r="J142" s="62"/>
      <c r="K142" s="62"/>
      <c r="L142" s="62"/>
      <c r="M142" s="62"/>
      <c r="N142" s="62" t="s">
        <v>158</v>
      </c>
      <c r="O142" s="63">
        <f t="shared" si="6"/>
        <v>0</v>
      </c>
      <c r="P142" s="63">
        <f t="shared" si="7"/>
        <v>0</v>
      </c>
      <c r="Q142" s="63">
        <f t="shared" si="8"/>
        <v>0</v>
      </c>
      <c r="R142" s="64">
        <f t="shared" si="9"/>
        <v>1</v>
      </c>
      <c r="S142" s="64">
        <f t="shared" si="10"/>
        <v>1</v>
      </c>
      <c r="T142" s="20"/>
      <c r="AC142" s="72"/>
      <c r="AD142" s="24"/>
      <c r="AE142" s="24"/>
      <c r="AF142" s="24"/>
      <c r="AG142" s="24"/>
      <c r="AH142" s="24"/>
      <c r="AI142" s="24"/>
      <c r="AJ142" s="24"/>
      <c r="AK142" s="24"/>
      <c r="AL142" s="24"/>
      <c r="AM142" s="24"/>
      <c r="AN142" s="24"/>
      <c r="AO142" s="24"/>
      <c r="AP142" s="24"/>
      <c r="AQ142" s="24"/>
      <c r="AR142" s="24"/>
      <c r="AS142" s="24"/>
      <c r="AT142" s="24"/>
      <c r="AU142" s="24"/>
      <c r="AV142" s="24"/>
      <c r="AW142" s="24"/>
      <c r="AX142" s="24"/>
    </row>
    <row r="143" spans="1:50" ht="14.25" customHeight="1">
      <c r="A143" s="59" t="s">
        <v>365</v>
      </c>
      <c r="B143" s="59" t="s">
        <v>366</v>
      </c>
      <c r="C143" s="60" t="s">
        <v>28</v>
      </c>
      <c r="D143" s="61">
        <v>107.54</v>
      </c>
      <c r="E143" s="61">
        <f>1.68*8.3454</f>
        <v>14.020271999999999</v>
      </c>
      <c r="F143" s="61" t="s">
        <v>103</v>
      </c>
      <c r="G143" s="61"/>
      <c r="H143" s="62"/>
      <c r="I143" s="67"/>
      <c r="J143" s="67"/>
      <c r="K143" s="67"/>
      <c r="L143" s="67"/>
      <c r="M143" s="67"/>
      <c r="N143" s="62" t="s">
        <v>104</v>
      </c>
      <c r="O143" s="63">
        <f t="shared" si="6"/>
        <v>0</v>
      </c>
      <c r="P143" s="63">
        <f t="shared" si="7"/>
        <v>0</v>
      </c>
      <c r="Q143" s="63">
        <f t="shared" si="8"/>
        <v>0</v>
      </c>
      <c r="R143" s="64">
        <f t="shared" si="9"/>
        <v>1</v>
      </c>
      <c r="S143" s="64">
        <f t="shared" si="10"/>
        <v>1</v>
      </c>
      <c r="T143" s="20"/>
      <c r="AC143" s="72"/>
      <c r="AD143" s="24"/>
      <c r="AE143" s="24"/>
      <c r="AF143" s="24"/>
      <c r="AG143" s="24"/>
      <c r="AH143" s="24"/>
      <c r="AI143" s="24"/>
      <c r="AJ143" s="24"/>
      <c r="AK143" s="24"/>
      <c r="AL143" s="24"/>
      <c r="AM143" s="24"/>
      <c r="AN143" s="24"/>
      <c r="AO143" s="24"/>
      <c r="AP143" s="24"/>
      <c r="AQ143" s="24"/>
      <c r="AR143" s="24"/>
      <c r="AS143" s="24"/>
      <c r="AT143" s="24"/>
      <c r="AU143" s="24"/>
      <c r="AV143" s="24"/>
      <c r="AW143" s="24"/>
      <c r="AX143" s="24"/>
    </row>
    <row r="144" spans="1:50" ht="14.25" customHeight="1">
      <c r="A144" s="59" t="s">
        <v>367</v>
      </c>
      <c r="B144" s="59" t="s">
        <v>368</v>
      </c>
      <c r="C144" s="60" t="s">
        <v>33</v>
      </c>
      <c r="D144" s="61">
        <v>90.078000000000003</v>
      </c>
      <c r="E144" s="61">
        <f>1.069*8.34</f>
        <v>8.9154599999999995</v>
      </c>
      <c r="F144" s="61" t="s">
        <v>92</v>
      </c>
      <c r="G144" s="61"/>
      <c r="H144" s="62"/>
      <c r="I144" s="62">
        <f>4.77616 -LOG10(1.01325/760)</f>
        <v>7.6512569798670604</v>
      </c>
      <c r="J144" s="62">
        <v>1721.904</v>
      </c>
      <c r="K144" s="62">
        <f>-37.959+273.15</f>
        <v>235.19099999999997</v>
      </c>
      <c r="L144" s="62">
        <v>473.58</v>
      </c>
      <c r="M144" s="62">
        <v>702</v>
      </c>
      <c r="N144" s="62" t="s">
        <v>130</v>
      </c>
      <c r="O144" s="63">
        <f t="shared" si="6"/>
        <v>7.6512569798670604</v>
      </c>
      <c r="P144" s="63">
        <f t="shared" si="7"/>
        <v>1721.904</v>
      </c>
      <c r="Q144" s="63">
        <f t="shared" si="8"/>
        <v>235.19099999999997</v>
      </c>
      <c r="R144" s="64">
        <f t="shared" si="9"/>
        <v>1</v>
      </c>
      <c r="S144" s="64">
        <f t="shared" si="10"/>
        <v>1</v>
      </c>
      <c r="T144" s="20"/>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row>
    <row r="145" spans="1:50" ht="14.25" customHeight="1">
      <c r="A145" s="59" t="s">
        <v>369</v>
      </c>
      <c r="B145" s="59" t="s">
        <v>370</v>
      </c>
      <c r="C145" s="60" t="s">
        <v>28</v>
      </c>
      <c r="D145" s="61">
        <v>73.099999999999994</v>
      </c>
      <c r="E145" s="61">
        <v>7.9114430000000002</v>
      </c>
      <c r="F145" s="59" t="s">
        <v>92</v>
      </c>
      <c r="G145" s="61"/>
      <c r="H145" s="62"/>
      <c r="I145" s="62">
        <v>6.9279999999999999</v>
      </c>
      <c r="J145" s="62">
        <v>1400.87</v>
      </c>
      <c r="K145" s="62">
        <v>196.43</v>
      </c>
      <c r="L145" s="62">
        <v>545.67000000000007</v>
      </c>
      <c r="M145" s="62">
        <v>653.67000000000007</v>
      </c>
      <c r="N145" s="62" t="s">
        <v>93</v>
      </c>
      <c r="O145" s="63">
        <f t="shared" si="6"/>
        <v>6.9279999999999999</v>
      </c>
      <c r="P145" s="63">
        <f t="shared" si="7"/>
        <v>1400.87</v>
      </c>
      <c r="Q145" s="63">
        <f t="shared" si="8"/>
        <v>196.43</v>
      </c>
      <c r="R145" s="64">
        <f t="shared" si="9"/>
        <v>1</v>
      </c>
      <c r="S145" s="64">
        <f t="shared" si="10"/>
        <v>1</v>
      </c>
      <c r="T145" s="20"/>
      <c r="AC145" s="72"/>
      <c r="AD145" s="24"/>
      <c r="AE145" s="24"/>
      <c r="AF145" s="24"/>
      <c r="AG145" s="24"/>
      <c r="AH145" s="24"/>
      <c r="AI145" s="24"/>
      <c r="AJ145" s="24"/>
      <c r="AK145" s="24"/>
      <c r="AL145" s="24"/>
      <c r="AM145" s="24"/>
      <c r="AN145" s="24"/>
      <c r="AO145" s="24"/>
      <c r="AP145" s="24"/>
      <c r="AQ145" s="24"/>
      <c r="AR145" s="24"/>
      <c r="AS145" s="24"/>
      <c r="AT145" s="24"/>
      <c r="AU145" s="24"/>
      <c r="AV145" s="24"/>
      <c r="AW145" s="24"/>
      <c r="AX145" s="24"/>
    </row>
    <row r="146" spans="1:50" ht="14.25" customHeight="1">
      <c r="A146" s="59" t="s">
        <v>371</v>
      </c>
      <c r="B146" s="59" t="s">
        <v>372</v>
      </c>
      <c r="C146" s="60" t="s">
        <v>28</v>
      </c>
      <c r="D146" s="61">
        <v>60.1</v>
      </c>
      <c r="E146" s="61">
        <v>6.60121</v>
      </c>
      <c r="F146" s="59" t="s">
        <v>92</v>
      </c>
      <c r="G146" s="61"/>
      <c r="H146" s="62"/>
      <c r="I146" s="62">
        <v>7.4080000000000004</v>
      </c>
      <c r="J146" s="62">
        <v>1305.9100000000001</v>
      </c>
      <c r="K146" s="62">
        <v>225.53</v>
      </c>
      <c r="L146" s="62">
        <v>427.67</v>
      </c>
      <c r="M146" s="62">
        <v>527.67000000000007</v>
      </c>
      <c r="N146" s="62" t="s">
        <v>93</v>
      </c>
      <c r="O146" s="63">
        <f t="shared" si="6"/>
        <v>7.4080000000000004</v>
      </c>
      <c r="P146" s="63">
        <f t="shared" si="7"/>
        <v>1305.9100000000001</v>
      </c>
      <c r="Q146" s="63">
        <f t="shared" si="8"/>
        <v>225.53</v>
      </c>
      <c r="R146" s="64">
        <f t="shared" si="9"/>
        <v>1</v>
      </c>
      <c r="S146" s="64">
        <f t="shared" si="10"/>
        <v>1</v>
      </c>
      <c r="T146" s="20"/>
      <c r="AC146" s="72"/>
      <c r="AD146" s="24"/>
      <c r="AE146" s="24"/>
      <c r="AF146" s="24"/>
      <c r="AG146" s="24"/>
      <c r="AH146" s="24"/>
      <c r="AI146" s="24"/>
      <c r="AJ146" s="24"/>
      <c r="AK146" s="24"/>
      <c r="AL146" s="24"/>
      <c r="AM146" s="24"/>
      <c r="AN146" s="24"/>
      <c r="AO146" s="24"/>
      <c r="AP146" s="24"/>
      <c r="AQ146" s="24"/>
      <c r="AR146" s="24"/>
      <c r="AS146" s="24"/>
      <c r="AT146" s="24"/>
      <c r="AU146" s="24"/>
      <c r="AV146" s="24"/>
      <c r="AW146" s="24"/>
      <c r="AX146" s="24"/>
    </row>
    <row r="147" spans="1:50" ht="14.25" customHeight="1">
      <c r="A147" s="59" t="s">
        <v>373</v>
      </c>
      <c r="B147" s="59" t="s">
        <v>374</v>
      </c>
      <c r="C147" s="60" t="s">
        <v>28</v>
      </c>
      <c r="D147" s="61">
        <v>194.184</v>
      </c>
      <c r="E147" s="61">
        <v>9.9310310000000008</v>
      </c>
      <c r="F147" s="59" t="s">
        <v>92</v>
      </c>
      <c r="G147" s="61"/>
      <c r="H147" s="62"/>
      <c r="I147" s="62">
        <v>4.5220000000000002</v>
      </c>
      <c r="J147" s="62">
        <v>700.31</v>
      </c>
      <c r="K147" s="62">
        <v>51.42</v>
      </c>
      <c r="L147" s="62">
        <v>639.67000000000007</v>
      </c>
      <c r="M147" s="62">
        <v>763.67000000000007</v>
      </c>
      <c r="N147" s="62" t="s">
        <v>93</v>
      </c>
      <c r="O147" s="63">
        <f t="shared" si="6"/>
        <v>4.5220000000000002</v>
      </c>
      <c r="P147" s="63">
        <f t="shared" si="7"/>
        <v>700.31</v>
      </c>
      <c r="Q147" s="63">
        <f t="shared" si="8"/>
        <v>51.42</v>
      </c>
      <c r="R147" s="64">
        <f t="shared" si="9"/>
        <v>1</v>
      </c>
      <c r="S147" s="64">
        <f t="shared" si="10"/>
        <v>1</v>
      </c>
      <c r="T147" s="20"/>
      <c r="AC147" s="72"/>
      <c r="AD147" s="24"/>
      <c r="AE147" s="24"/>
      <c r="AF147" s="24"/>
      <c r="AG147" s="24"/>
      <c r="AH147" s="24"/>
      <c r="AI147" s="24"/>
      <c r="AJ147" s="24"/>
      <c r="AK147" s="24"/>
      <c r="AL147" s="24"/>
      <c r="AM147" s="24"/>
      <c r="AN147" s="24"/>
      <c r="AO147" s="24"/>
      <c r="AP147" s="24"/>
      <c r="AQ147" s="24"/>
      <c r="AR147" s="24"/>
      <c r="AS147" s="24"/>
      <c r="AT147" s="24"/>
      <c r="AU147" s="24"/>
      <c r="AV147" s="24"/>
      <c r="AW147" s="24"/>
      <c r="AX147" s="24"/>
    </row>
    <row r="148" spans="1:50" ht="14.25" customHeight="1">
      <c r="A148" s="59" t="s">
        <v>375</v>
      </c>
      <c r="B148" s="59" t="s">
        <v>376</v>
      </c>
      <c r="C148" s="60" t="s">
        <v>28</v>
      </c>
      <c r="D148" s="61">
        <v>126.13</v>
      </c>
      <c r="E148" s="61">
        <f>1.333*8.3454</f>
        <v>11.124418199999999</v>
      </c>
      <c r="F148" s="61" t="s">
        <v>92</v>
      </c>
      <c r="G148" s="61"/>
      <c r="H148" s="62"/>
      <c r="I148" s="62">
        <v>6.5592899999999998</v>
      </c>
      <c r="J148" s="62">
        <v>1436.9444000000001</v>
      </c>
      <c r="K148" s="62">
        <v>193.786</v>
      </c>
      <c r="L148" s="62">
        <v>608.11200000000008</v>
      </c>
      <c r="M148" s="62">
        <v>908.67599999999993</v>
      </c>
      <c r="N148" s="62" t="s">
        <v>98</v>
      </c>
      <c r="O148" s="63">
        <f t="shared" si="6"/>
        <v>6.5592899999999998</v>
      </c>
      <c r="P148" s="63">
        <f t="shared" si="7"/>
        <v>1436.9444000000001</v>
      </c>
      <c r="Q148" s="63">
        <f t="shared" si="8"/>
        <v>193.786</v>
      </c>
      <c r="R148" s="64">
        <f t="shared" si="9"/>
        <v>1</v>
      </c>
      <c r="S148" s="64">
        <f t="shared" si="10"/>
        <v>1</v>
      </c>
      <c r="T148" s="20"/>
      <c r="AC148" s="72"/>
      <c r="AD148" s="24"/>
      <c r="AE148" s="24"/>
      <c r="AF148" s="24"/>
      <c r="AG148" s="24"/>
      <c r="AH148" s="24"/>
      <c r="AI148" s="24"/>
      <c r="AJ148" s="24"/>
      <c r="AK148" s="24"/>
      <c r="AL148" s="24"/>
      <c r="AM148" s="24"/>
      <c r="AN148" s="24"/>
      <c r="AO148" s="24"/>
      <c r="AP148" s="24"/>
      <c r="AQ148" s="24"/>
      <c r="AR148" s="24"/>
      <c r="AS148" s="24"/>
      <c r="AT148" s="24"/>
      <c r="AU148" s="24"/>
      <c r="AV148" s="24"/>
      <c r="AW148" s="24"/>
      <c r="AX148" s="24"/>
    </row>
    <row r="149" spans="1:50" ht="14.25" customHeight="1">
      <c r="A149" s="59" t="s">
        <v>377</v>
      </c>
      <c r="B149" s="59" t="s">
        <v>378</v>
      </c>
      <c r="C149" s="60" t="s">
        <v>28</v>
      </c>
      <c r="D149" s="61">
        <v>88.11</v>
      </c>
      <c r="E149" s="61">
        <v>8.6208030000000004</v>
      </c>
      <c r="F149" s="59" t="s">
        <v>92</v>
      </c>
      <c r="G149" s="61"/>
      <c r="H149" s="62"/>
      <c r="I149" s="62">
        <v>7.431</v>
      </c>
      <c r="J149" s="62">
        <v>1554.68</v>
      </c>
      <c r="K149" s="62">
        <v>240.34</v>
      </c>
      <c r="L149" s="62">
        <v>527.67000000000007</v>
      </c>
      <c r="M149" s="62">
        <v>680.67000000000007</v>
      </c>
      <c r="N149" s="62" t="s">
        <v>93</v>
      </c>
      <c r="O149" s="63">
        <f t="shared" si="6"/>
        <v>7.431</v>
      </c>
      <c r="P149" s="63">
        <f t="shared" si="7"/>
        <v>1554.68</v>
      </c>
      <c r="Q149" s="63">
        <f t="shared" si="8"/>
        <v>240.34</v>
      </c>
      <c r="R149" s="64">
        <f t="shared" si="9"/>
        <v>1</v>
      </c>
      <c r="S149" s="64">
        <f t="shared" si="10"/>
        <v>1</v>
      </c>
      <c r="T149" s="20"/>
      <c r="AC149" s="72"/>
      <c r="AD149" s="24"/>
      <c r="AE149" s="24"/>
      <c r="AF149" s="24"/>
      <c r="AG149" s="24"/>
      <c r="AH149" s="24"/>
      <c r="AI149" s="24"/>
      <c r="AJ149" s="24"/>
      <c r="AK149" s="24"/>
      <c r="AL149" s="24"/>
      <c r="AM149" s="24"/>
      <c r="AN149" s="24"/>
      <c r="AO149" s="24"/>
      <c r="AP149" s="24"/>
      <c r="AQ149" s="24"/>
      <c r="AR149" s="24"/>
      <c r="AS149" s="24"/>
      <c r="AT149" s="24"/>
      <c r="AU149" s="24"/>
      <c r="AV149" s="24"/>
      <c r="AW149" s="24"/>
      <c r="AX149" s="24"/>
    </row>
    <row r="150" spans="1:50" ht="14.25" customHeight="1">
      <c r="A150" s="59" t="s">
        <v>379</v>
      </c>
      <c r="B150" s="59" t="s">
        <v>380</v>
      </c>
      <c r="C150" s="60" t="s">
        <v>28</v>
      </c>
      <c r="D150" s="61">
        <v>92.52</v>
      </c>
      <c r="E150" s="61">
        <v>9.8575920000000004</v>
      </c>
      <c r="F150" s="59" t="s">
        <v>92</v>
      </c>
      <c r="G150" s="61"/>
      <c r="H150" s="62"/>
      <c r="I150" s="62">
        <v>8.2294</v>
      </c>
      <c r="J150" s="62">
        <v>2086.8159999999998</v>
      </c>
      <c r="K150" s="62">
        <v>273.16000000000003</v>
      </c>
      <c r="L150" s="62"/>
      <c r="M150" s="62"/>
      <c r="N150" s="62" t="s">
        <v>216</v>
      </c>
      <c r="O150" s="63">
        <f t="shared" si="6"/>
        <v>8.2294</v>
      </c>
      <c r="P150" s="63">
        <f t="shared" si="7"/>
        <v>2086.8159999999998</v>
      </c>
      <c r="Q150" s="63">
        <f t="shared" si="8"/>
        <v>273.16000000000003</v>
      </c>
      <c r="R150" s="64">
        <f t="shared" si="9"/>
        <v>1</v>
      </c>
      <c r="S150" s="64">
        <f t="shared" si="10"/>
        <v>1</v>
      </c>
      <c r="T150" s="20"/>
      <c r="AC150" s="72"/>
      <c r="AD150" s="24"/>
      <c r="AE150" s="24"/>
      <c r="AF150" s="24"/>
      <c r="AG150" s="24"/>
      <c r="AH150" s="24"/>
      <c r="AI150" s="24"/>
      <c r="AJ150" s="24"/>
      <c r="AK150" s="24"/>
      <c r="AL150" s="24"/>
      <c r="AM150" s="24"/>
      <c r="AN150" s="24"/>
      <c r="AO150" s="24"/>
      <c r="AP150" s="24"/>
      <c r="AQ150" s="24"/>
      <c r="AR150" s="24"/>
      <c r="AS150" s="24"/>
      <c r="AT150" s="24"/>
      <c r="AU150" s="24"/>
      <c r="AV150" s="24"/>
      <c r="AW150" s="24"/>
      <c r="AX150" s="24"/>
    </row>
    <row r="151" spans="1:50" ht="14.25" customHeight="1">
      <c r="A151" s="59" t="s">
        <v>381</v>
      </c>
      <c r="B151" s="59" t="s">
        <v>382</v>
      </c>
      <c r="C151" s="60" t="s">
        <v>33</v>
      </c>
      <c r="D151" s="61">
        <v>30.068999999999999</v>
      </c>
      <c r="E151" s="61">
        <v>20.98</v>
      </c>
      <c r="F151" s="61" t="s">
        <v>92</v>
      </c>
      <c r="G151" s="61"/>
      <c r="H151" s="62"/>
      <c r="I151" s="62">
        <f>3.93835-LOG10(1.01325/760)</f>
        <v>6.8134469798670612</v>
      </c>
      <c r="J151" s="62">
        <v>659.73900000000003</v>
      </c>
      <c r="K151" s="62">
        <f>-16.719+ 273.15</f>
        <v>256.43099999999998</v>
      </c>
      <c r="L151" s="62">
        <v>244.33199999999999</v>
      </c>
      <c r="M151" s="62">
        <v>359.82</v>
      </c>
      <c r="N151" s="62" t="s">
        <v>130</v>
      </c>
      <c r="O151" s="63">
        <f t="shared" si="6"/>
        <v>6.8134469798670612</v>
      </c>
      <c r="P151" s="63">
        <f t="shared" si="7"/>
        <v>659.73900000000003</v>
      </c>
      <c r="Q151" s="63">
        <f t="shared" si="8"/>
        <v>256.43099999999998</v>
      </c>
      <c r="R151" s="64">
        <f t="shared" si="9"/>
        <v>1</v>
      </c>
      <c r="S151" s="64">
        <f t="shared" si="10"/>
        <v>1</v>
      </c>
      <c r="T151" s="20"/>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row>
    <row r="152" spans="1:50" ht="14.25" customHeight="1">
      <c r="A152" s="59" t="s">
        <v>383</v>
      </c>
      <c r="B152" s="59" t="s">
        <v>384</v>
      </c>
      <c r="C152" s="60" t="s">
        <v>24</v>
      </c>
      <c r="D152" s="61">
        <v>46.07</v>
      </c>
      <c r="E152" s="61">
        <v>6.61</v>
      </c>
      <c r="F152" s="59" t="s">
        <v>92</v>
      </c>
      <c r="G152" s="61"/>
      <c r="H152" s="62"/>
      <c r="I152" s="62">
        <v>8.3209999999999997</v>
      </c>
      <c r="J152" s="62">
        <v>1718.21</v>
      </c>
      <c r="K152" s="62">
        <v>237.52</v>
      </c>
      <c r="L152" s="62">
        <v>491.67</v>
      </c>
      <c r="M152" s="62">
        <v>632.67000000000007</v>
      </c>
      <c r="N152" s="62" t="s">
        <v>93</v>
      </c>
      <c r="O152" s="63">
        <f t="shared" si="6"/>
        <v>8.3209999999999997</v>
      </c>
      <c r="P152" s="63">
        <f t="shared" si="7"/>
        <v>1718.21</v>
      </c>
      <c r="Q152" s="63">
        <f t="shared" si="8"/>
        <v>237.52</v>
      </c>
      <c r="R152" s="64">
        <f t="shared" si="9"/>
        <v>1</v>
      </c>
      <c r="S152" s="64">
        <f t="shared" si="10"/>
        <v>1</v>
      </c>
      <c r="T152" s="20"/>
      <c r="AC152" s="72"/>
      <c r="AD152" s="24"/>
      <c r="AE152" s="24"/>
      <c r="AF152" s="24"/>
      <c r="AG152" s="24"/>
      <c r="AH152" s="24"/>
      <c r="AI152" s="24"/>
      <c r="AJ152" s="24"/>
      <c r="AK152" s="24"/>
      <c r="AL152" s="24"/>
      <c r="AM152" s="24"/>
      <c r="AN152" s="24"/>
      <c r="AO152" s="24"/>
      <c r="AP152" s="24"/>
      <c r="AQ152" s="24"/>
      <c r="AR152" s="24"/>
      <c r="AS152" s="24"/>
      <c r="AT152" s="24"/>
      <c r="AU152" s="24"/>
      <c r="AV152" s="24"/>
      <c r="AW152" s="24"/>
      <c r="AX152" s="24"/>
    </row>
    <row r="153" spans="1:50" ht="14.25" customHeight="1">
      <c r="A153" s="59" t="s">
        <v>385</v>
      </c>
      <c r="B153" s="59" t="s">
        <v>386</v>
      </c>
      <c r="C153" s="60" t="s">
        <v>24</v>
      </c>
      <c r="D153" s="61">
        <v>61.08</v>
      </c>
      <c r="E153" s="61">
        <v>8.4455489999999998</v>
      </c>
      <c r="F153" s="59" t="s">
        <v>92</v>
      </c>
      <c r="G153" s="61"/>
      <c r="H153" s="62"/>
      <c r="I153" s="62">
        <v>7.4560000000000004</v>
      </c>
      <c r="J153" s="62">
        <v>1577.67</v>
      </c>
      <c r="K153" s="62">
        <v>173.37</v>
      </c>
      <c r="L153" s="62">
        <v>609.67000000000007</v>
      </c>
      <c r="M153" s="62">
        <v>799.67000000000007</v>
      </c>
      <c r="N153" s="62" t="s">
        <v>93</v>
      </c>
      <c r="O153" s="63">
        <f t="shared" ref="O153:O216" si="11">IF($F153="RVP", (12.82-0.9672*LN($G153)), IF($F153 = "RVP+S", 15.64-(1.854*($H153^0.5))-(0.8742-(0.328*($H153^0.5)))*LN($G153), I153))</f>
        <v>7.4560000000000004</v>
      </c>
      <c r="P153" s="63">
        <f t="shared" ref="P153:P216" si="12">IF($F153="RVP", (7261-1216*LN($G153)), IF($F153 = "RVP+S", 8742-(1042*($H153^0.5))-(1049-(179.4*($H153^0.5)))*LN($G153), J153))</f>
        <v>1577.67</v>
      </c>
      <c r="Q153" s="63">
        <f t="shared" ref="Q153:Q216" si="13">IF($F153="RVP", 0, IF($F153 = "RVP+S", 0, K153))</f>
        <v>173.37</v>
      </c>
      <c r="R153" s="64">
        <f t="shared" ref="R153:R216" si="14">IF($F153="RVP",0.4,1)</f>
        <v>1</v>
      </c>
      <c r="S153" s="64">
        <f t="shared" ref="S153:S216" si="15">IF($F153="RVP",0.75,1)</f>
        <v>1</v>
      </c>
      <c r="T153" s="20"/>
      <c r="AC153" s="72"/>
      <c r="AD153" s="24"/>
      <c r="AE153" s="24"/>
      <c r="AF153" s="24"/>
      <c r="AG153" s="24"/>
      <c r="AH153" s="24"/>
      <c r="AI153" s="24"/>
      <c r="AJ153" s="24"/>
      <c r="AK153" s="24"/>
      <c r="AL153" s="24"/>
      <c r="AM153" s="24"/>
      <c r="AN153" s="24"/>
      <c r="AO153" s="24"/>
      <c r="AP153" s="24"/>
      <c r="AQ153" s="24"/>
      <c r="AR153" s="24"/>
      <c r="AS153" s="24"/>
      <c r="AT153" s="24"/>
      <c r="AU153" s="24"/>
      <c r="AV153" s="24"/>
      <c r="AW153" s="24"/>
      <c r="AX153" s="24"/>
    </row>
    <row r="154" spans="1:50" ht="14.25" customHeight="1">
      <c r="A154" s="59" t="s">
        <v>387</v>
      </c>
      <c r="B154" s="59" t="s">
        <v>388</v>
      </c>
      <c r="C154" s="60" t="s">
        <v>24</v>
      </c>
      <c r="D154" s="61">
        <v>88.1</v>
      </c>
      <c r="E154" s="61">
        <v>7.5510000000000002</v>
      </c>
      <c r="F154" s="59" t="s">
        <v>92</v>
      </c>
      <c r="G154" s="61"/>
      <c r="H154" s="62"/>
      <c r="I154" s="62">
        <v>7.101</v>
      </c>
      <c r="J154" s="62">
        <v>1244.95</v>
      </c>
      <c r="K154" s="62">
        <v>217.88</v>
      </c>
      <c r="L154" s="62">
        <v>519.67000000000007</v>
      </c>
      <c r="M154" s="62">
        <v>627.67000000000007</v>
      </c>
      <c r="N154" s="62" t="s">
        <v>93</v>
      </c>
      <c r="O154" s="63">
        <f t="shared" si="11"/>
        <v>7.101</v>
      </c>
      <c r="P154" s="63">
        <f t="shared" si="12"/>
        <v>1244.95</v>
      </c>
      <c r="Q154" s="63">
        <f t="shared" si="13"/>
        <v>217.88</v>
      </c>
      <c r="R154" s="64">
        <f t="shared" si="14"/>
        <v>1</v>
      </c>
      <c r="S154" s="64">
        <f t="shared" si="15"/>
        <v>1</v>
      </c>
      <c r="T154" s="20"/>
      <c r="AC154" s="72"/>
      <c r="AD154" s="24"/>
      <c r="AE154" s="24"/>
      <c r="AF154" s="24"/>
      <c r="AG154" s="24"/>
      <c r="AH154" s="24"/>
      <c r="AI154" s="24"/>
      <c r="AJ154" s="24"/>
      <c r="AK154" s="24"/>
      <c r="AL154" s="24"/>
      <c r="AM154" s="24"/>
      <c r="AN154" s="24"/>
      <c r="AO154" s="24"/>
      <c r="AP154" s="24"/>
      <c r="AQ154" s="24"/>
      <c r="AR154" s="24"/>
      <c r="AS154" s="24"/>
      <c r="AT154" s="24"/>
      <c r="AU154" s="24"/>
      <c r="AV154" s="24"/>
      <c r="AW154" s="24"/>
      <c r="AX154" s="24"/>
    </row>
    <row r="155" spans="1:50" ht="14.25" customHeight="1">
      <c r="A155" s="59" t="s">
        <v>389</v>
      </c>
      <c r="B155" s="59" t="s">
        <v>390</v>
      </c>
      <c r="C155" s="60" t="s">
        <v>28</v>
      </c>
      <c r="D155" s="61">
        <v>100.11</v>
      </c>
      <c r="E155" s="61">
        <v>7.75</v>
      </c>
      <c r="F155" s="59" t="s">
        <v>92</v>
      </c>
      <c r="G155" s="61"/>
      <c r="H155" s="62"/>
      <c r="I155" s="62">
        <v>7.9645000000000001</v>
      </c>
      <c r="J155" s="62">
        <v>1897.011</v>
      </c>
      <c r="K155" s="62">
        <v>273.16000000000003</v>
      </c>
      <c r="L155" s="62">
        <v>438.67</v>
      </c>
      <c r="M155" s="62">
        <v>670.67000000000007</v>
      </c>
      <c r="N155" s="62" t="s">
        <v>93</v>
      </c>
      <c r="O155" s="63">
        <f t="shared" si="11"/>
        <v>7.9645000000000001</v>
      </c>
      <c r="P155" s="63">
        <f t="shared" si="12"/>
        <v>1897.011</v>
      </c>
      <c r="Q155" s="63">
        <f t="shared" si="13"/>
        <v>273.16000000000003</v>
      </c>
      <c r="R155" s="64">
        <f t="shared" si="14"/>
        <v>1</v>
      </c>
      <c r="S155" s="64">
        <f t="shared" si="15"/>
        <v>1</v>
      </c>
      <c r="T155" s="20"/>
      <c r="AC155" s="72"/>
      <c r="AD155" s="24"/>
      <c r="AE155" s="24"/>
      <c r="AF155" s="24"/>
      <c r="AG155" s="24"/>
      <c r="AH155" s="24"/>
      <c r="AI155" s="24"/>
      <c r="AJ155" s="24"/>
      <c r="AK155" s="24"/>
      <c r="AL155" s="24"/>
      <c r="AM155" s="24"/>
      <c r="AN155" s="24"/>
      <c r="AO155" s="24"/>
      <c r="AP155" s="24"/>
      <c r="AQ155" s="24"/>
      <c r="AR155" s="24"/>
      <c r="AS155" s="24"/>
      <c r="AT155" s="24"/>
      <c r="AU155" s="24"/>
      <c r="AV155" s="24"/>
      <c r="AW155" s="24"/>
      <c r="AX155" s="24"/>
    </row>
    <row r="156" spans="1:50" ht="14.25" customHeight="1">
      <c r="A156" s="59" t="s">
        <v>391</v>
      </c>
      <c r="B156" s="59" t="s">
        <v>392</v>
      </c>
      <c r="C156" s="60" t="s">
        <v>28</v>
      </c>
      <c r="D156" s="61">
        <v>106.17</v>
      </c>
      <c r="E156" s="61">
        <v>7.231293</v>
      </c>
      <c r="F156" s="59" t="s">
        <v>92</v>
      </c>
      <c r="G156" s="61"/>
      <c r="H156" s="62"/>
      <c r="I156" s="62">
        <v>6.9749999999999996</v>
      </c>
      <c r="J156" s="62">
        <v>1424.2550000000001</v>
      </c>
      <c r="K156" s="62">
        <v>213.21</v>
      </c>
      <c r="L156" s="62">
        <v>593.67000000000007</v>
      </c>
      <c r="M156" s="62">
        <v>738.67000000000007</v>
      </c>
      <c r="N156" s="62" t="s">
        <v>93</v>
      </c>
      <c r="O156" s="63">
        <f t="shared" si="11"/>
        <v>6.9749999999999996</v>
      </c>
      <c r="P156" s="63">
        <f t="shared" si="12"/>
        <v>1424.2550000000001</v>
      </c>
      <c r="Q156" s="63">
        <f t="shared" si="13"/>
        <v>213.21</v>
      </c>
      <c r="R156" s="64">
        <f t="shared" si="14"/>
        <v>1</v>
      </c>
      <c r="S156" s="64">
        <f t="shared" si="15"/>
        <v>1</v>
      </c>
      <c r="T156" s="20"/>
      <c r="AC156" s="72"/>
      <c r="AD156" s="24"/>
      <c r="AE156" s="24"/>
      <c r="AF156" s="24"/>
      <c r="AG156" s="24"/>
      <c r="AH156" s="24"/>
      <c r="AI156" s="24"/>
      <c r="AJ156" s="24"/>
      <c r="AK156" s="24"/>
      <c r="AL156" s="24"/>
      <c r="AM156" s="24"/>
      <c r="AN156" s="24"/>
      <c r="AO156" s="24"/>
      <c r="AP156" s="24"/>
      <c r="AQ156" s="24"/>
      <c r="AR156" s="24"/>
      <c r="AS156" s="24"/>
      <c r="AT156" s="24"/>
      <c r="AU156" s="24"/>
      <c r="AV156" s="24"/>
      <c r="AW156" s="24"/>
      <c r="AX156" s="24"/>
    </row>
    <row r="157" spans="1:50" ht="14.25" customHeight="1">
      <c r="A157" s="59" t="s">
        <v>393</v>
      </c>
      <c r="B157" s="59" t="s">
        <v>394</v>
      </c>
      <c r="C157" s="60" t="s">
        <v>28</v>
      </c>
      <c r="D157" s="61">
        <v>89.09</v>
      </c>
      <c r="E157" s="61">
        <f>1.1*8.3454</f>
        <v>9.1799400000000002</v>
      </c>
      <c r="F157" s="61" t="s">
        <v>92</v>
      </c>
      <c r="G157" s="61"/>
      <c r="H157" s="62"/>
      <c r="I157" s="62">
        <f>5.48918 -LOG10(1.01325/760)</f>
        <v>8.3642769798670606</v>
      </c>
      <c r="J157" s="62">
        <v>2278.15</v>
      </c>
      <c r="K157" s="62">
        <f>-41.707+273.15</f>
        <v>231.44299999999998</v>
      </c>
      <c r="L157" s="62">
        <v>610.20000000000005</v>
      </c>
      <c r="M157" s="62">
        <v>822.6</v>
      </c>
      <c r="N157" s="62" t="s">
        <v>130</v>
      </c>
      <c r="O157" s="63">
        <f t="shared" si="11"/>
        <v>8.3642769798670606</v>
      </c>
      <c r="P157" s="63">
        <f t="shared" si="12"/>
        <v>2278.15</v>
      </c>
      <c r="Q157" s="63">
        <f t="shared" si="13"/>
        <v>231.44299999999998</v>
      </c>
      <c r="R157" s="64">
        <f t="shared" si="14"/>
        <v>1</v>
      </c>
      <c r="S157" s="64">
        <f t="shared" si="15"/>
        <v>1</v>
      </c>
      <c r="T157" s="20"/>
      <c r="AC157" s="72"/>
      <c r="AD157" s="24"/>
      <c r="AE157" s="24"/>
      <c r="AF157" s="24"/>
      <c r="AG157" s="24"/>
      <c r="AH157" s="24"/>
      <c r="AI157" s="24"/>
      <c r="AJ157" s="24"/>
      <c r="AK157" s="24"/>
      <c r="AL157" s="24"/>
      <c r="AM157" s="24"/>
      <c r="AN157" s="24"/>
      <c r="AO157" s="24"/>
      <c r="AP157" s="24"/>
      <c r="AQ157" s="24"/>
      <c r="AR157" s="24"/>
      <c r="AS157" s="24"/>
      <c r="AT157" s="24"/>
      <c r="AU157" s="24"/>
      <c r="AV157" s="24"/>
      <c r="AW157" s="24"/>
      <c r="AX157" s="24"/>
    </row>
    <row r="158" spans="1:50" ht="14.25" customHeight="1">
      <c r="A158" s="59" t="s">
        <v>395</v>
      </c>
      <c r="B158" s="59" t="s">
        <v>396</v>
      </c>
      <c r="C158" s="60" t="s">
        <v>24</v>
      </c>
      <c r="D158" s="61">
        <v>64.510000000000005</v>
      </c>
      <c r="E158" s="61">
        <v>7.4257410000000004</v>
      </c>
      <c r="F158" s="59" t="s">
        <v>92</v>
      </c>
      <c r="G158" s="61"/>
      <c r="H158" s="62"/>
      <c r="I158" s="62">
        <v>6.9859999999999998</v>
      </c>
      <c r="J158" s="62">
        <v>1030.01</v>
      </c>
      <c r="K158" s="62">
        <v>238.61</v>
      </c>
      <c r="L158" s="62">
        <v>390.67</v>
      </c>
      <c r="M158" s="62">
        <v>514.67000000000007</v>
      </c>
      <c r="N158" s="62" t="s">
        <v>93</v>
      </c>
      <c r="O158" s="63">
        <f t="shared" si="11"/>
        <v>6.9859999999999998</v>
      </c>
      <c r="P158" s="63">
        <f t="shared" si="12"/>
        <v>1030.01</v>
      </c>
      <c r="Q158" s="63">
        <f t="shared" si="13"/>
        <v>238.61</v>
      </c>
      <c r="R158" s="64">
        <f t="shared" si="14"/>
        <v>1</v>
      </c>
      <c r="S158" s="64">
        <f t="shared" si="15"/>
        <v>1</v>
      </c>
      <c r="T158" s="20"/>
      <c r="AC158" s="72"/>
      <c r="AD158" s="24"/>
      <c r="AE158" s="24"/>
      <c r="AF158" s="24"/>
      <c r="AG158" s="24"/>
      <c r="AH158" s="24"/>
      <c r="AI158" s="24"/>
      <c r="AJ158" s="24"/>
      <c r="AK158" s="24"/>
      <c r="AL158" s="24"/>
      <c r="AM158" s="24"/>
      <c r="AN158" s="24"/>
      <c r="AO158" s="24"/>
      <c r="AP158" s="24"/>
      <c r="AQ158" s="24"/>
      <c r="AR158" s="24"/>
      <c r="AS158" s="24"/>
      <c r="AT158" s="24"/>
      <c r="AU158" s="24"/>
      <c r="AV158" s="24"/>
      <c r="AW158" s="24"/>
      <c r="AX158" s="24"/>
    </row>
    <row r="159" spans="1:50" ht="14.25" customHeight="1">
      <c r="A159" s="59" t="s">
        <v>397</v>
      </c>
      <c r="B159" s="59" t="s">
        <v>398</v>
      </c>
      <c r="C159" s="60" t="s">
        <v>24</v>
      </c>
      <c r="D159" s="61">
        <v>74.12</v>
      </c>
      <c r="E159" s="61">
        <v>5.9536119999999997</v>
      </c>
      <c r="F159" s="59" t="s">
        <v>92</v>
      </c>
      <c r="G159" s="61"/>
      <c r="H159" s="62"/>
      <c r="I159" s="62">
        <v>6.92</v>
      </c>
      <c r="J159" s="62">
        <v>1064.07</v>
      </c>
      <c r="K159" s="62">
        <v>228.8</v>
      </c>
      <c r="L159" s="62">
        <v>449.67</v>
      </c>
      <c r="M159" s="62">
        <v>591.67000000000007</v>
      </c>
      <c r="N159" s="62" t="s">
        <v>93</v>
      </c>
      <c r="O159" s="63">
        <f t="shared" si="11"/>
        <v>6.92</v>
      </c>
      <c r="P159" s="63">
        <f t="shared" si="12"/>
        <v>1064.07</v>
      </c>
      <c r="Q159" s="63">
        <f t="shared" si="13"/>
        <v>228.8</v>
      </c>
      <c r="R159" s="64">
        <f t="shared" si="14"/>
        <v>1</v>
      </c>
      <c r="S159" s="64">
        <f t="shared" si="15"/>
        <v>1</v>
      </c>
      <c r="T159" s="20"/>
      <c r="AC159" s="72"/>
      <c r="AD159" s="24"/>
      <c r="AE159" s="24"/>
      <c r="AF159" s="24"/>
      <c r="AG159" s="24"/>
      <c r="AH159" s="24"/>
      <c r="AI159" s="24"/>
      <c r="AJ159" s="24"/>
      <c r="AK159" s="24"/>
      <c r="AL159" s="24"/>
      <c r="AM159" s="24"/>
      <c r="AN159" s="24"/>
      <c r="AO159" s="24"/>
      <c r="AP159" s="24"/>
      <c r="AQ159" s="24"/>
      <c r="AR159" s="24"/>
      <c r="AS159" s="24"/>
      <c r="AT159" s="24"/>
      <c r="AU159" s="24"/>
      <c r="AV159" s="24"/>
      <c r="AW159" s="24"/>
      <c r="AX159" s="24"/>
    </row>
    <row r="160" spans="1:50" ht="14.25" customHeight="1">
      <c r="A160" s="59" t="s">
        <v>399</v>
      </c>
      <c r="B160" s="59" t="s">
        <v>400</v>
      </c>
      <c r="C160" s="60" t="s">
        <v>28</v>
      </c>
      <c r="D160" s="61">
        <v>187.86</v>
      </c>
      <c r="E160" s="61">
        <f>2.18*8.3454</f>
        <v>18.192972000000001</v>
      </c>
      <c r="F160" s="61" t="s">
        <v>92</v>
      </c>
      <c r="G160" s="61"/>
      <c r="H160" s="62"/>
      <c r="I160" s="62">
        <f>7.36914 -LOG10(1.01325/760)</f>
        <v>10.244236979867061</v>
      </c>
      <c r="J160" s="62">
        <v>4101.1459999999997</v>
      </c>
      <c r="K160" s="62">
        <f>153.034+273.15</f>
        <v>426.18399999999997</v>
      </c>
      <c r="L160" s="62">
        <v>442.8</v>
      </c>
      <c r="M160" s="62">
        <v>728.46</v>
      </c>
      <c r="N160" s="62" t="s">
        <v>130</v>
      </c>
      <c r="O160" s="63">
        <f t="shared" si="11"/>
        <v>10.244236979867061</v>
      </c>
      <c r="P160" s="63">
        <f t="shared" si="12"/>
        <v>4101.1459999999997</v>
      </c>
      <c r="Q160" s="63">
        <f t="shared" si="13"/>
        <v>426.18399999999997</v>
      </c>
      <c r="R160" s="64">
        <f t="shared" si="14"/>
        <v>1</v>
      </c>
      <c r="S160" s="64">
        <f t="shared" si="15"/>
        <v>1</v>
      </c>
      <c r="T160" s="20"/>
      <c r="AC160" s="72"/>
      <c r="AD160" s="24"/>
      <c r="AE160" s="24"/>
      <c r="AF160" s="24"/>
      <c r="AG160" s="24"/>
      <c r="AH160" s="24"/>
      <c r="AI160" s="24"/>
      <c r="AJ160" s="24"/>
      <c r="AK160" s="24"/>
      <c r="AL160" s="24"/>
      <c r="AM160" s="24"/>
      <c r="AN160" s="24"/>
      <c r="AO160" s="24"/>
      <c r="AP160" s="24"/>
      <c r="AQ160" s="24"/>
      <c r="AR160" s="24"/>
      <c r="AS160" s="24"/>
      <c r="AT160" s="24"/>
      <c r="AU160" s="24"/>
      <c r="AV160" s="24"/>
      <c r="AW160" s="24"/>
      <c r="AX160" s="24"/>
    </row>
    <row r="161" spans="1:50" ht="14.25" customHeight="1">
      <c r="A161" s="65" t="s">
        <v>401</v>
      </c>
      <c r="B161" s="59" t="s">
        <v>402</v>
      </c>
      <c r="C161" s="60" t="s">
        <v>28</v>
      </c>
      <c r="D161" s="61">
        <v>62.1</v>
      </c>
      <c r="E161" s="61">
        <v>9.2574000000000005</v>
      </c>
      <c r="F161" s="59" t="s">
        <v>92</v>
      </c>
      <c r="G161" s="61"/>
      <c r="H161" s="62"/>
      <c r="I161" s="62">
        <v>9.6959900000000001</v>
      </c>
      <c r="J161" s="62">
        <v>3145.8595999999998</v>
      </c>
      <c r="K161" s="62">
        <v>264.24599999999998</v>
      </c>
      <c r="L161" s="62">
        <v>667.18799999999999</v>
      </c>
      <c r="M161" s="62">
        <v>1121.67</v>
      </c>
      <c r="N161" s="62" t="s">
        <v>98</v>
      </c>
      <c r="O161" s="63">
        <f t="shared" si="11"/>
        <v>9.6959900000000001</v>
      </c>
      <c r="P161" s="63">
        <f t="shared" si="12"/>
        <v>3145.8595999999998</v>
      </c>
      <c r="Q161" s="63">
        <f t="shared" si="13"/>
        <v>264.24599999999998</v>
      </c>
      <c r="R161" s="64">
        <f t="shared" si="14"/>
        <v>1</v>
      </c>
      <c r="S161" s="64">
        <f t="shared" si="15"/>
        <v>1</v>
      </c>
      <c r="T161" s="20"/>
      <c r="AC161" s="72"/>
      <c r="AD161" s="24"/>
      <c r="AE161" s="24"/>
      <c r="AF161" s="24"/>
      <c r="AG161" s="24"/>
      <c r="AH161" s="24"/>
      <c r="AI161" s="24"/>
      <c r="AJ161" s="24"/>
      <c r="AK161" s="24"/>
      <c r="AL161" s="24"/>
      <c r="AM161" s="24"/>
      <c r="AN161" s="24"/>
      <c r="AO161" s="24"/>
      <c r="AP161" s="24"/>
      <c r="AQ161" s="24"/>
      <c r="AR161" s="24"/>
      <c r="AS161" s="24"/>
      <c r="AT161" s="24"/>
      <c r="AU161" s="24"/>
      <c r="AV161" s="24"/>
      <c r="AW161" s="24"/>
      <c r="AX161" s="24"/>
    </row>
    <row r="162" spans="1:50" ht="14.25" customHeight="1">
      <c r="A162" s="59" t="s">
        <v>403</v>
      </c>
      <c r="B162" s="59" t="s">
        <v>404</v>
      </c>
      <c r="C162" s="60" t="s">
        <v>28</v>
      </c>
      <c r="D162" s="61">
        <v>43.07</v>
      </c>
      <c r="E162" s="61">
        <f>0.83*8.3454</f>
        <v>6.9266819999999996</v>
      </c>
      <c r="F162" s="61" t="s">
        <v>92</v>
      </c>
      <c r="G162" s="61"/>
      <c r="H162" s="62"/>
      <c r="I162" s="62">
        <v>7.2149999999999999</v>
      </c>
      <c r="J162" s="62">
        <v>1576</v>
      </c>
      <c r="K162" s="62">
        <v>0</v>
      </c>
      <c r="L162" s="62">
        <v>268</v>
      </c>
      <c r="M162" s="62">
        <v>298</v>
      </c>
      <c r="N162" s="62" t="s">
        <v>405</v>
      </c>
      <c r="O162" s="63">
        <f t="shared" si="11"/>
        <v>7.2149999999999999</v>
      </c>
      <c r="P162" s="63">
        <f t="shared" si="12"/>
        <v>1576</v>
      </c>
      <c r="Q162" s="63">
        <f t="shared" si="13"/>
        <v>0</v>
      </c>
      <c r="R162" s="64">
        <f t="shared" si="14"/>
        <v>1</v>
      </c>
      <c r="S162" s="64">
        <f t="shared" si="15"/>
        <v>1</v>
      </c>
      <c r="T162" s="20"/>
      <c r="AC162" s="72"/>
      <c r="AD162" s="24"/>
      <c r="AE162" s="24"/>
      <c r="AF162" s="24"/>
      <c r="AG162" s="24"/>
      <c r="AH162" s="24"/>
      <c r="AI162" s="24"/>
      <c r="AJ162" s="24"/>
      <c r="AK162" s="24"/>
      <c r="AL162" s="24"/>
      <c r="AM162" s="24"/>
      <c r="AN162" s="24"/>
      <c r="AO162" s="24"/>
      <c r="AP162" s="24"/>
      <c r="AQ162" s="24"/>
      <c r="AR162" s="24"/>
      <c r="AS162" s="24"/>
      <c r="AT162" s="24"/>
      <c r="AU162" s="24"/>
      <c r="AV162" s="24"/>
      <c r="AW162" s="24"/>
      <c r="AX162" s="24"/>
    </row>
    <row r="163" spans="1:50" ht="14.25" customHeight="1">
      <c r="A163" s="65" t="s">
        <v>406</v>
      </c>
      <c r="B163" s="59" t="s">
        <v>407</v>
      </c>
      <c r="C163" s="60" t="s">
        <v>28</v>
      </c>
      <c r="D163" s="61">
        <v>44.052599999999998</v>
      </c>
      <c r="E163" s="61">
        <f>0.882*8.34</f>
        <v>7.35588</v>
      </c>
      <c r="F163" s="59" t="s">
        <v>92</v>
      </c>
      <c r="G163" s="61"/>
      <c r="H163" s="62"/>
      <c r="I163" s="62">
        <v>7.1946199999999996</v>
      </c>
      <c r="J163" s="62">
        <v>1100.6722</v>
      </c>
      <c r="K163" s="62">
        <v>243.30099999999999</v>
      </c>
      <c r="L163" s="62">
        <v>373.55399999999997</v>
      </c>
      <c r="M163" s="62">
        <v>844.47</v>
      </c>
      <c r="N163" s="62" t="s">
        <v>98</v>
      </c>
      <c r="O163" s="63">
        <f t="shared" si="11"/>
        <v>7.1946199999999996</v>
      </c>
      <c r="P163" s="63">
        <f t="shared" si="12"/>
        <v>1100.6722</v>
      </c>
      <c r="Q163" s="63">
        <f t="shared" si="13"/>
        <v>243.30099999999999</v>
      </c>
      <c r="R163" s="64">
        <f t="shared" si="14"/>
        <v>1</v>
      </c>
      <c r="S163" s="64">
        <f t="shared" si="15"/>
        <v>1</v>
      </c>
      <c r="T163" s="20"/>
      <c r="AC163" s="72"/>
      <c r="AD163" s="24"/>
      <c r="AE163" s="24"/>
      <c r="AF163" s="24"/>
      <c r="AG163" s="24"/>
      <c r="AH163" s="24"/>
      <c r="AI163" s="24"/>
      <c r="AJ163" s="24"/>
      <c r="AK163" s="24"/>
      <c r="AL163" s="24"/>
      <c r="AM163" s="24"/>
      <c r="AN163" s="24"/>
      <c r="AO163" s="24"/>
      <c r="AP163" s="24"/>
      <c r="AQ163" s="24"/>
      <c r="AR163" s="24"/>
      <c r="AS163" s="24"/>
      <c r="AT163" s="24"/>
      <c r="AU163" s="24"/>
      <c r="AV163" s="24"/>
      <c r="AW163" s="24"/>
      <c r="AX163" s="24"/>
    </row>
    <row r="164" spans="1:50" ht="14.25" customHeight="1">
      <c r="A164" s="59" t="s">
        <v>408</v>
      </c>
      <c r="B164" s="59" t="s">
        <v>409</v>
      </c>
      <c r="C164" s="60" t="s">
        <v>28</v>
      </c>
      <c r="D164" s="61">
        <v>102.16</v>
      </c>
      <c r="E164" s="61">
        <f>1.45*8.3454</f>
        <v>12.100829999999998</v>
      </c>
      <c r="F164" s="61" t="s">
        <v>103</v>
      </c>
      <c r="G164" s="61"/>
      <c r="H164" s="62"/>
      <c r="I164" s="67"/>
      <c r="J164" s="67"/>
      <c r="K164" s="67"/>
      <c r="L164" s="67"/>
      <c r="M164" s="67"/>
      <c r="N164" s="62" t="s">
        <v>104</v>
      </c>
      <c r="O164" s="63">
        <f t="shared" si="11"/>
        <v>0</v>
      </c>
      <c r="P164" s="63">
        <f t="shared" si="12"/>
        <v>0</v>
      </c>
      <c r="Q164" s="63">
        <f t="shared" si="13"/>
        <v>0</v>
      </c>
      <c r="R164" s="64">
        <f t="shared" si="14"/>
        <v>1</v>
      </c>
      <c r="S164" s="64">
        <f t="shared" si="15"/>
        <v>1</v>
      </c>
      <c r="T164" s="20"/>
      <c r="AC164" s="72"/>
      <c r="AD164" s="24"/>
      <c r="AE164" s="24"/>
      <c r="AF164" s="24"/>
      <c r="AG164" s="24"/>
      <c r="AH164" s="24"/>
      <c r="AI164" s="24"/>
      <c r="AJ164" s="24"/>
      <c r="AK164" s="24"/>
      <c r="AL164" s="24"/>
      <c r="AM164" s="24"/>
      <c r="AN164" s="24"/>
      <c r="AO164" s="24"/>
      <c r="AP164" s="24"/>
      <c r="AQ164" s="24"/>
      <c r="AR164" s="24"/>
      <c r="AS164" s="24"/>
      <c r="AT164" s="24"/>
      <c r="AU164" s="24"/>
      <c r="AV164" s="24"/>
      <c r="AW164" s="24"/>
      <c r="AX164" s="24"/>
    </row>
    <row r="165" spans="1:50" ht="14.25" customHeight="1">
      <c r="A165" s="59" t="s">
        <v>410</v>
      </c>
      <c r="B165" s="59" t="s">
        <v>411</v>
      </c>
      <c r="C165" s="60" t="s">
        <v>28</v>
      </c>
      <c r="D165" s="61">
        <v>98.96</v>
      </c>
      <c r="E165" s="61">
        <f>1.18*8.3454</f>
        <v>9.8475719999999995</v>
      </c>
      <c r="F165" s="61" t="s">
        <v>92</v>
      </c>
      <c r="G165" s="61"/>
      <c r="H165" s="62"/>
      <c r="I165" s="62">
        <f>4.1886 -LOG10(1.01325/760)</f>
        <v>7.0636969798670606</v>
      </c>
      <c r="J165" s="62">
        <v>1215.3420000000001</v>
      </c>
      <c r="K165" s="62">
        <f>-40.26+273.15</f>
        <v>232.89</v>
      </c>
      <c r="L165" s="62">
        <v>421.88400000000001</v>
      </c>
      <c r="M165" s="62">
        <v>523.36800000000005</v>
      </c>
      <c r="N165" s="62" t="s">
        <v>130</v>
      </c>
      <c r="O165" s="63">
        <f t="shared" si="11"/>
        <v>7.0636969798670606</v>
      </c>
      <c r="P165" s="63">
        <f t="shared" si="12"/>
        <v>1215.3420000000001</v>
      </c>
      <c r="Q165" s="63">
        <f t="shared" si="13"/>
        <v>232.89</v>
      </c>
      <c r="R165" s="64">
        <f t="shared" si="14"/>
        <v>1</v>
      </c>
      <c r="S165" s="64">
        <f t="shared" si="15"/>
        <v>1</v>
      </c>
      <c r="T165" s="20"/>
      <c r="AC165" s="72"/>
      <c r="AD165" s="24"/>
      <c r="AE165" s="24"/>
      <c r="AF165" s="24"/>
      <c r="AG165" s="24"/>
      <c r="AH165" s="24"/>
      <c r="AI165" s="24"/>
      <c r="AJ165" s="24"/>
      <c r="AK165" s="24"/>
      <c r="AL165" s="24"/>
      <c r="AM165" s="24"/>
      <c r="AN165" s="24"/>
      <c r="AO165" s="24"/>
      <c r="AP165" s="24"/>
      <c r="AQ165" s="24"/>
      <c r="AR165" s="24"/>
      <c r="AS165" s="24"/>
      <c r="AT165" s="24"/>
      <c r="AU165" s="24"/>
      <c r="AV165" s="24"/>
      <c r="AW165" s="24"/>
      <c r="AX165" s="24"/>
    </row>
    <row r="166" spans="1:50" ht="14.25" customHeight="1">
      <c r="A166" s="59" t="s">
        <v>412</v>
      </c>
      <c r="B166" s="59" t="s">
        <v>413</v>
      </c>
      <c r="C166" s="60" t="s">
        <v>28</v>
      </c>
      <c r="D166" s="61">
        <v>30</v>
      </c>
      <c r="E166" s="61">
        <v>9.02</v>
      </c>
      <c r="F166" s="59" t="s">
        <v>92</v>
      </c>
      <c r="G166" s="61"/>
      <c r="H166" s="62"/>
      <c r="I166" s="62">
        <v>8.1581600000000005</v>
      </c>
      <c r="J166" s="62">
        <v>1194.1401000000001</v>
      </c>
      <c r="K166" s="62">
        <v>254.37700000000001</v>
      </c>
      <c r="L166" s="62">
        <v>326.07000000000005</v>
      </c>
      <c r="M166" s="62">
        <v>487.06200000000001</v>
      </c>
      <c r="N166" s="62" t="s">
        <v>98</v>
      </c>
      <c r="O166" s="63">
        <f t="shared" si="11"/>
        <v>8.1581600000000005</v>
      </c>
      <c r="P166" s="63">
        <f t="shared" si="12"/>
        <v>1194.1401000000001</v>
      </c>
      <c r="Q166" s="63">
        <f t="shared" si="13"/>
        <v>254.37700000000001</v>
      </c>
      <c r="R166" s="64">
        <f t="shared" si="14"/>
        <v>1</v>
      </c>
      <c r="S166" s="64">
        <f t="shared" si="15"/>
        <v>1</v>
      </c>
      <c r="T166" s="20"/>
      <c r="AC166" s="72"/>
      <c r="AD166" s="24"/>
      <c r="AE166" s="24"/>
      <c r="AF166" s="24"/>
      <c r="AG166" s="24"/>
      <c r="AH166" s="24"/>
      <c r="AI166" s="24"/>
      <c r="AJ166" s="24"/>
      <c r="AK166" s="24"/>
      <c r="AL166" s="24"/>
      <c r="AM166" s="24"/>
      <c r="AN166" s="24"/>
      <c r="AO166" s="24"/>
      <c r="AP166" s="24"/>
      <c r="AQ166" s="24"/>
      <c r="AR166" s="24"/>
      <c r="AS166" s="24"/>
      <c r="AT166" s="24"/>
      <c r="AU166" s="24"/>
      <c r="AV166" s="24"/>
      <c r="AW166" s="24"/>
      <c r="AX166" s="24"/>
    </row>
    <row r="167" spans="1:50" ht="14.25" customHeight="1">
      <c r="A167" s="59" t="s">
        <v>414</v>
      </c>
      <c r="B167" s="59" t="s">
        <v>415</v>
      </c>
      <c r="C167" s="60" t="s">
        <v>24</v>
      </c>
      <c r="D167" s="61">
        <v>46.03</v>
      </c>
      <c r="E167" s="61">
        <v>10.181393</v>
      </c>
      <c r="F167" s="59" t="s">
        <v>92</v>
      </c>
      <c r="G167" s="61"/>
      <c r="H167" s="62"/>
      <c r="I167" s="62">
        <v>7.5810000000000004</v>
      </c>
      <c r="J167" s="62">
        <v>1699.2</v>
      </c>
      <c r="K167" s="62">
        <v>260.7</v>
      </c>
      <c r="L167" s="62">
        <v>492.67</v>
      </c>
      <c r="M167" s="62">
        <v>552.67000000000007</v>
      </c>
      <c r="N167" s="62" t="s">
        <v>93</v>
      </c>
      <c r="O167" s="63">
        <f t="shared" si="11"/>
        <v>7.5810000000000004</v>
      </c>
      <c r="P167" s="63">
        <f t="shared" si="12"/>
        <v>1699.2</v>
      </c>
      <c r="Q167" s="63">
        <f t="shared" si="13"/>
        <v>260.7</v>
      </c>
      <c r="R167" s="64">
        <f t="shared" si="14"/>
        <v>1</v>
      </c>
      <c r="S167" s="64">
        <f t="shared" si="15"/>
        <v>1</v>
      </c>
      <c r="T167" s="20"/>
      <c r="AC167" s="72"/>
      <c r="AD167" s="24"/>
      <c r="AE167" s="24"/>
      <c r="AF167" s="24"/>
      <c r="AG167" s="24"/>
      <c r="AH167" s="24"/>
      <c r="AI167" s="24"/>
      <c r="AJ167" s="24"/>
      <c r="AK167" s="24"/>
      <c r="AL167" s="24"/>
      <c r="AM167" s="24"/>
      <c r="AN167" s="24"/>
      <c r="AO167" s="24"/>
      <c r="AP167" s="24"/>
      <c r="AQ167" s="24"/>
      <c r="AR167" s="24"/>
      <c r="AS167" s="24"/>
      <c r="AT167" s="24"/>
      <c r="AU167" s="24"/>
      <c r="AV167" s="24"/>
      <c r="AW167" s="24"/>
      <c r="AX167" s="24"/>
    </row>
    <row r="168" spans="1:50" ht="14.25" customHeight="1">
      <c r="A168" s="59" t="s">
        <v>416</v>
      </c>
      <c r="B168" s="59" t="s">
        <v>417</v>
      </c>
      <c r="C168" s="60" t="s">
        <v>24</v>
      </c>
      <c r="D168" s="61">
        <v>68.08</v>
      </c>
      <c r="E168" s="61">
        <v>7.811299</v>
      </c>
      <c r="F168" s="59" t="s">
        <v>92</v>
      </c>
      <c r="G168" s="61"/>
      <c r="H168" s="62"/>
      <c r="I168" s="62">
        <v>6.9749999999999996</v>
      </c>
      <c r="J168" s="62">
        <v>1060.8699999999999</v>
      </c>
      <c r="K168" s="62">
        <v>227.74</v>
      </c>
      <c r="L168" s="62">
        <v>496.67</v>
      </c>
      <c r="M168" s="62">
        <v>602.67000000000007</v>
      </c>
      <c r="N168" s="62" t="s">
        <v>93</v>
      </c>
      <c r="O168" s="63">
        <f t="shared" si="11"/>
        <v>6.9749999999999996</v>
      </c>
      <c r="P168" s="63">
        <f t="shared" si="12"/>
        <v>1060.8699999999999</v>
      </c>
      <c r="Q168" s="63">
        <f t="shared" si="13"/>
        <v>227.74</v>
      </c>
      <c r="R168" s="64">
        <f t="shared" si="14"/>
        <v>1</v>
      </c>
      <c r="S168" s="64">
        <f t="shared" si="15"/>
        <v>1</v>
      </c>
      <c r="T168" s="20"/>
      <c r="AC168" s="72"/>
      <c r="AD168" s="24"/>
      <c r="AE168" s="24"/>
      <c r="AF168" s="24"/>
      <c r="AG168" s="24"/>
      <c r="AH168" s="24"/>
      <c r="AI168" s="24"/>
      <c r="AJ168" s="24"/>
      <c r="AK168" s="24"/>
      <c r="AL168" s="24"/>
      <c r="AM168" s="24"/>
      <c r="AN168" s="24"/>
      <c r="AO168" s="24"/>
      <c r="AP168" s="24"/>
      <c r="AQ168" s="24"/>
      <c r="AR168" s="24"/>
      <c r="AS168" s="24"/>
      <c r="AT168" s="24"/>
      <c r="AU168" s="24"/>
      <c r="AV168" s="24"/>
      <c r="AW168" s="24"/>
      <c r="AX168" s="24"/>
    </row>
    <row r="169" spans="1:50" ht="14.25" customHeight="1">
      <c r="A169" s="59" t="s">
        <v>418</v>
      </c>
      <c r="B169" s="59" t="s">
        <v>419</v>
      </c>
      <c r="C169" s="60" t="s">
        <v>24</v>
      </c>
      <c r="D169" s="61">
        <v>96.09</v>
      </c>
      <c r="E169" s="61">
        <v>9.680669</v>
      </c>
      <c r="F169" s="59" t="s">
        <v>92</v>
      </c>
      <c r="G169" s="61"/>
      <c r="H169" s="62"/>
      <c r="I169" s="62">
        <v>6.5750000000000002</v>
      </c>
      <c r="J169" s="62">
        <v>1198.7</v>
      </c>
      <c r="K169" s="62">
        <v>162.80000000000001</v>
      </c>
      <c r="L169" s="62">
        <v>592.67000000000007</v>
      </c>
      <c r="M169" s="62">
        <v>780.67000000000007</v>
      </c>
      <c r="N169" s="62" t="s">
        <v>93</v>
      </c>
      <c r="O169" s="63">
        <f t="shared" si="11"/>
        <v>6.5750000000000002</v>
      </c>
      <c r="P169" s="63">
        <f t="shared" si="12"/>
        <v>1198.7</v>
      </c>
      <c r="Q169" s="63">
        <f t="shared" si="13"/>
        <v>162.80000000000001</v>
      </c>
      <c r="R169" s="64">
        <f t="shared" si="14"/>
        <v>1</v>
      </c>
      <c r="S169" s="64">
        <f t="shared" si="15"/>
        <v>1</v>
      </c>
      <c r="T169" s="20"/>
      <c r="AC169" s="72"/>
      <c r="AD169" s="24"/>
      <c r="AE169" s="24"/>
      <c r="AF169" s="24"/>
      <c r="AG169" s="24"/>
      <c r="AH169" s="24"/>
      <c r="AI169" s="24"/>
      <c r="AJ169" s="24"/>
      <c r="AK169" s="24"/>
      <c r="AL169" s="24"/>
      <c r="AM169" s="24"/>
      <c r="AN169" s="24"/>
      <c r="AO169" s="24"/>
      <c r="AP169" s="24"/>
      <c r="AQ169" s="24"/>
      <c r="AR169" s="24"/>
      <c r="AS169" s="24"/>
      <c r="AT169" s="24"/>
      <c r="AU169" s="24"/>
      <c r="AV169" s="24"/>
      <c r="AW169" s="24"/>
      <c r="AX169" s="24"/>
    </row>
    <row r="170" spans="1:50" ht="14.25" customHeight="1">
      <c r="A170" s="59" t="s">
        <v>420</v>
      </c>
      <c r="B170" s="59" t="s">
        <v>86</v>
      </c>
      <c r="C170" s="60" t="s">
        <v>24</v>
      </c>
      <c r="D170" s="61">
        <v>66</v>
      </c>
      <c r="E170" s="61">
        <v>5.6</v>
      </c>
      <c r="F170" s="59" t="s">
        <v>421</v>
      </c>
      <c r="G170" s="61">
        <v>10</v>
      </c>
      <c r="H170" s="62">
        <v>3</v>
      </c>
      <c r="I170" s="62"/>
      <c r="J170" s="62"/>
      <c r="K170" s="62"/>
      <c r="L170" s="62"/>
      <c r="M170" s="62"/>
      <c r="N170" s="62" t="s">
        <v>332</v>
      </c>
      <c r="O170" s="63">
        <f t="shared" si="11"/>
        <v>11.723985667771684</v>
      </c>
      <c r="P170" s="63">
        <f t="shared" si="12"/>
        <v>5237.2733659075366</v>
      </c>
      <c r="Q170" s="63">
        <f t="shared" si="13"/>
        <v>0</v>
      </c>
      <c r="R170" s="64">
        <f t="shared" si="14"/>
        <v>1</v>
      </c>
      <c r="S170" s="64">
        <f t="shared" si="15"/>
        <v>1</v>
      </c>
      <c r="T170" s="20"/>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row>
    <row r="171" spans="1:50" ht="14.25" customHeight="1">
      <c r="A171" s="59" t="s">
        <v>422</v>
      </c>
      <c r="B171" s="59" t="s">
        <v>86</v>
      </c>
      <c r="C171" s="60" t="s">
        <v>24</v>
      </c>
      <c r="D171" s="61">
        <v>65</v>
      </c>
      <c r="E171" s="61">
        <v>5.6</v>
      </c>
      <c r="F171" s="59" t="s">
        <v>421</v>
      </c>
      <c r="G171" s="61">
        <v>11.5</v>
      </c>
      <c r="H171" s="62">
        <v>3</v>
      </c>
      <c r="I171" s="62"/>
      <c r="J171" s="62"/>
      <c r="K171" s="62"/>
      <c r="L171" s="62"/>
      <c r="M171" s="62"/>
      <c r="N171" s="62" t="s">
        <v>332</v>
      </c>
      <c r="O171" s="63">
        <f t="shared" si="11"/>
        <v>11.68120630727924</v>
      </c>
      <c r="P171" s="63">
        <f t="shared" si="12"/>
        <v>5134.0913048133925</v>
      </c>
      <c r="Q171" s="63">
        <f t="shared" si="13"/>
        <v>0</v>
      </c>
      <c r="R171" s="64">
        <f t="shared" si="14"/>
        <v>1</v>
      </c>
      <c r="S171" s="64">
        <f t="shared" si="15"/>
        <v>1</v>
      </c>
      <c r="T171" s="20"/>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row>
    <row r="172" spans="1:50" ht="14.25" customHeight="1">
      <c r="A172" s="59" t="s">
        <v>423</v>
      </c>
      <c r="B172" s="59" t="s">
        <v>86</v>
      </c>
      <c r="C172" s="60" t="s">
        <v>24</v>
      </c>
      <c r="D172" s="61">
        <v>62</v>
      </c>
      <c r="E172" s="61">
        <v>5.6</v>
      </c>
      <c r="F172" s="59" t="s">
        <v>421</v>
      </c>
      <c r="G172" s="61">
        <v>13</v>
      </c>
      <c r="H172" s="62">
        <v>3</v>
      </c>
      <c r="I172" s="62"/>
      <c r="J172" s="62"/>
      <c r="K172" s="62"/>
      <c r="L172" s="62"/>
      <c r="M172" s="62"/>
      <c r="N172" s="62" t="s">
        <v>332</v>
      </c>
      <c r="O172" s="63">
        <f t="shared" si="11"/>
        <v>11.643679289230791</v>
      </c>
      <c r="P172" s="63">
        <f t="shared" si="12"/>
        <v>5043.5776780461138</v>
      </c>
      <c r="Q172" s="63">
        <f t="shared" si="13"/>
        <v>0</v>
      </c>
      <c r="R172" s="64">
        <f t="shared" si="14"/>
        <v>1</v>
      </c>
      <c r="S172" s="64">
        <f t="shared" si="15"/>
        <v>1</v>
      </c>
      <c r="T172" s="20"/>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row>
    <row r="173" spans="1:50" ht="14.25" customHeight="1">
      <c r="A173" s="59" t="s">
        <v>424</v>
      </c>
      <c r="B173" s="59" t="s">
        <v>86</v>
      </c>
      <c r="C173" s="60" t="s">
        <v>24</v>
      </c>
      <c r="D173" s="61">
        <v>62</v>
      </c>
      <c r="E173" s="61">
        <v>5.6</v>
      </c>
      <c r="F173" s="59" t="s">
        <v>421</v>
      </c>
      <c r="G173" s="61">
        <v>13.5</v>
      </c>
      <c r="H173" s="62">
        <v>3</v>
      </c>
      <c r="I173" s="62"/>
      <c r="J173" s="62"/>
      <c r="K173" s="62"/>
      <c r="L173" s="62"/>
      <c r="M173" s="62"/>
      <c r="N173" s="62" t="s">
        <v>332</v>
      </c>
      <c r="O173" s="63">
        <f t="shared" si="11"/>
        <v>11.632127452812064</v>
      </c>
      <c r="P173" s="63">
        <f t="shared" si="12"/>
        <v>5015.71512289368</v>
      </c>
      <c r="Q173" s="63">
        <f t="shared" si="13"/>
        <v>0</v>
      </c>
      <c r="R173" s="64">
        <f t="shared" si="14"/>
        <v>1</v>
      </c>
      <c r="S173" s="64">
        <f t="shared" si="15"/>
        <v>1</v>
      </c>
      <c r="T173" s="20"/>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row>
    <row r="174" spans="1:50" ht="14.25" customHeight="1">
      <c r="A174" s="59" t="s">
        <v>425</v>
      </c>
      <c r="B174" s="59" t="s">
        <v>86</v>
      </c>
      <c r="C174" s="60" t="s">
        <v>24</v>
      </c>
      <c r="D174" s="61">
        <v>60</v>
      </c>
      <c r="E174" s="61">
        <v>5.6</v>
      </c>
      <c r="F174" s="59" t="s">
        <v>421</v>
      </c>
      <c r="G174" s="61">
        <v>15</v>
      </c>
      <c r="H174" s="62">
        <v>3</v>
      </c>
      <c r="I174" s="62"/>
      <c r="J174" s="62"/>
      <c r="K174" s="62"/>
      <c r="L174" s="62"/>
      <c r="M174" s="62"/>
      <c r="N174" s="62" t="s">
        <v>332</v>
      </c>
      <c r="O174" s="63">
        <f t="shared" si="11"/>
        <v>11.599877933347765</v>
      </c>
      <c r="P174" s="63">
        <f t="shared" si="12"/>
        <v>4937.9306060304634</v>
      </c>
      <c r="Q174" s="63">
        <f t="shared" si="13"/>
        <v>0</v>
      </c>
      <c r="R174" s="64">
        <f t="shared" si="14"/>
        <v>1</v>
      </c>
      <c r="S174" s="64">
        <f t="shared" si="15"/>
        <v>1</v>
      </c>
      <c r="T174" s="20"/>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row>
    <row r="175" spans="1:50" ht="14.25" customHeight="1">
      <c r="A175" s="59" t="s">
        <v>426</v>
      </c>
      <c r="B175" s="59" t="s">
        <v>86</v>
      </c>
      <c r="C175" s="60" t="s">
        <v>24</v>
      </c>
      <c r="D175" s="61">
        <v>68</v>
      </c>
      <c r="E175" s="61">
        <v>5.6</v>
      </c>
      <c r="F175" s="59" t="s">
        <v>421</v>
      </c>
      <c r="G175" s="61">
        <v>7</v>
      </c>
      <c r="H175" s="62">
        <v>3</v>
      </c>
      <c r="I175" s="62"/>
      <c r="J175" s="62"/>
      <c r="K175" s="62"/>
      <c r="L175" s="62"/>
      <c r="M175" s="62"/>
      <c r="N175" s="62" t="s">
        <v>332</v>
      </c>
      <c r="O175" s="63">
        <f t="shared" si="11"/>
        <v>11.833159350865042</v>
      </c>
      <c r="P175" s="63">
        <f t="shared" si="12"/>
        <v>5500.5958071301211</v>
      </c>
      <c r="Q175" s="63">
        <f t="shared" si="13"/>
        <v>0</v>
      </c>
      <c r="R175" s="64">
        <f t="shared" si="14"/>
        <v>1</v>
      </c>
      <c r="S175" s="64">
        <f t="shared" si="15"/>
        <v>1</v>
      </c>
      <c r="T175" s="20"/>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row>
    <row r="176" spans="1:50" ht="14.25" customHeight="1">
      <c r="A176" s="59" t="s">
        <v>427</v>
      </c>
      <c r="B176" s="59" t="s">
        <v>86</v>
      </c>
      <c r="C176" s="60" t="s">
        <v>24</v>
      </c>
      <c r="D176" s="61">
        <v>68</v>
      </c>
      <c r="E176" s="61">
        <v>5.6</v>
      </c>
      <c r="F176" s="59" t="s">
        <v>421</v>
      </c>
      <c r="G176" s="61">
        <v>7.8</v>
      </c>
      <c r="H176" s="62">
        <v>3</v>
      </c>
      <c r="I176" s="62"/>
      <c r="J176" s="62"/>
      <c r="K176" s="62"/>
      <c r="L176" s="62"/>
      <c r="M176" s="62"/>
      <c r="N176" s="62" t="s">
        <v>332</v>
      </c>
      <c r="O176" s="63">
        <f t="shared" si="11"/>
        <v>11.800036543119012</v>
      </c>
      <c r="P176" s="63">
        <f t="shared" si="12"/>
        <v>5420.7049547864035</v>
      </c>
      <c r="Q176" s="63">
        <f t="shared" si="13"/>
        <v>0</v>
      </c>
      <c r="R176" s="64">
        <f t="shared" si="14"/>
        <v>1</v>
      </c>
      <c r="S176" s="64">
        <f t="shared" si="15"/>
        <v>1</v>
      </c>
      <c r="T176" s="20"/>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row>
    <row r="177" spans="1:50" ht="14.25" customHeight="1">
      <c r="A177" s="59" t="s">
        <v>428</v>
      </c>
      <c r="B177" s="59" t="s">
        <v>86</v>
      </c>
      <c r="C177" s="60" t="s">
        <v>24</v>
      </c>
      <c r="D177" s="61">
        <v>68</v>
      </c>
      <c r="E177" s="61">
        <v>5.6</v>
      </c>
      <c r="F177" s="59" t="s">
        <v>421</v>
      </c>
      <c r="G177" s="61">
        <v>8.3000000000000007</v>
      </c>
      <c r="H177" s="62">
        <v>3</v>
      </c>
      <c r="I177" s="62"/>
      <c r="J177" s="62"/>
      <c r="K177" s="62"/>
      <c r="L177" s="62"/>
      <c r="M177" s="62"/>
      <c r="N177" s="62" t="s">
        <v>332</v>
      </c>
      <c r="O177" s="63">
        <f t="shared" si="11"/>
        <v>11.781018791813869</v>
      </c>
      <c r="P177" s="63">
        <f t="shared" si="12"/>
        <v>5374.834919459744</v>
      </c>
      <c r="Q177" s="63">
        <f t="shared" si="13"/>
        <v>0</v>
      </c>
      <c r="R177" s="64">
        <f t="shared" si="14"/>
        <v>1</v>
      </c>
      <c r="S177" s="64">
        <f t="shared" si="15"/>
        <v>1</v>
      </c>
      <c r="T177" s="20"/>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row>
    <row r="178" spans="1:50" ht="14.5">
      <c r="A178" s="59" t="s">
        <v>429</v>
      </c>
      <c r="B178" s="59" t="s">
        <v>430</v>
      </c>
      <c r="C178" s="60" t="s">
        <v>20</v>
      </c>
      <c r="D178" s="61">
        <v>36.46</v>
      </c>
      <c r="E178" s="61">
        <f t="shared" ref="E178:E199" si="16">1.2*8.3454</f>
        <v>10.014479999999999</v>
      </c>
      <c r="F178" s="61" t="s">
        <v>92</v>
      </c>
      <c r="G178" s="61"/>
      <c r="H178" s="62"/>
      <c r="I178" s="62">
        <v>10.649786106061722</v>
      </c>
      <c r="J178" s="62">
        <v>3724.6548276755047</v>
      </c>
      <c r="K178" s="62">
        <v>265.40274972076577</v>
      </c>
      <c r="L178" s="62">
        <v>500.67</v>
      </c>
      <c r="M178" s="62">
        <v>689.67</v>
      </c>
      <c r="N178" s="62" t="s">
        <v>225</v>
      </c>
      <c r="O178" s="63">
        <f t="shared" si="11"/>
        <v>10.649786106061722</v>
      </c>
      <c r="P178" s="63">
        <f t="shared" si="12"/>
        <v>3724.6548276755047</v>
      </c>
      <c r="Q178" s="63">
        <f t="shared" si="13"/>
        <v>265.40274972076577</v>
      </c>
      <c r="R178" s="64">
        <f t="shared" si="14"/>
        <v>1</v>
      </c>
      <c r="S178" s="64">
        <f t="shared" si="15"/>
        <v>1</v>
      </c>
      <c r="T178" s="20"/>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row>
    <row r="179" spans="1:50" ht="14.5">
      <c r="A179" s="59" t="s">
        <v>431</v>
      </c>
      <c r="B179" s="59" t="s">
        <v>430</v>
      </c>
      <c r="C179" s="60" t="s">
        <v>20</v>
      </c>
      <c r="D179" s="61">
        <v>36.46</v>
      </c>
      <c r="E179" s="61">
        <f t="shared" si="16"/>
        <v>10.014479999999999</v>
      </c>
      <c r="F179" s="61" t="s">
        <v>92</v>
      </c>
      <c r="G179" s="61"/>
      <c r="H179" s="62"/>
      <c r="I179" s="62">
        <v>10.588351631301389</v>
      </c>
      <c r="J179" s="62">
        <v>3624.8085440855943</v>
      </c>
      <c r="K179" s="62">
        <v>266.61808461779532</v>
      </c>
      <c r="L179" s="62">
        <v>500.67</v>
      </c>
      <c r="M179" s="62">
        <v>689.67</v>
      </c>
      <c r="N179" s="62" t="s">
        <v>225</v>
      </c>
      <c r="O179" s="63">
        <f t="shared" si="11"/>
        <v>10.588351631301389</v>
      </c>
      <c r="P179" s="63">
        <f t="shared" si="12"/>
        <v>3624.8085440855943</v>
      </c>
      <c r="Q179" s="63">
        <f t="shared" si="13"/>
        <v>266.61808461779532</v>
      </c>
      <c r="R179" s="64">
        <f t="shared" si="14"/>
        <v>1</v>
      </c>
      <c r="S179" s="64">
        <f t="shared" si="15"/>
        <v>1</v>
      </c>
      <c r="T179" s="20"/>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row>
    <row r="180" spans="1:50" ht="14.25" customHeight="1">
      <c r="A180" s="59" t="s">
        <v>432</v>
      </c>
      <c r="B180" s="59" t="s">
        <v>430</v>
      </c>
      <c r="C180" s="60" t="s">
        <v>20</v>
      </c>
      <c r="D180" s="61">
        <v>36.46</v>
      </c>
      <c r="E180" s="61">
        <f t="shared" si="16"/>
        <v>10.014479999999999</v>
      </c>
      <c r="F180" s="61" t="s">
        <v>92</v>
      </c>
      <c r="G180" s="61"/>
      <c r="H180" s="62"/>
      <c r="I180" s="62">
        <v>10.559745657143722</v>
      </c>
      <c r="J180" s="62">
        <v>3548.0299836734316</v>
      </c>
      <c r="K180" s="62">
        <v>269.15943305556044</v>
      </c>
      <c r="L180" s="62">
        <v>500.67</v>
      </c>
      <c r="M180" s="62">
        <v>689.67</v>
      </c>
      <c r="N180" s="62" t="s">
        <v>225</v>
      </c>
      <c r="O180" s="63">
        <f t="shared" si="11"/>
        <v>10.559745657143722</v>
      </c>
      <c r="P180" s="63">
        <f t="shared" si="12"/>
        <v>3548.0299836734316</v>
      </c>
      <c r="Q180" s="63">
        <f t="shared" si="13"/>
        <v>269.15943305556044</v>
      </c>
      <c r="R180" s="64">
        <f t="shared" si="14"/>
        <v>1</v>
      </c>
      <c r="S180" s="64">
        <f t="shared" si="15"/>
        <v>1</v>
      </c>
      <c r="T180" s="20"/>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row>
    <row r="181" spans="1:50" ht="14.25" customHeight="1">
      <c r="A181" s="59" t="s">
        <v>433</v>
      </c>
      <c r="B181" s="59" t="s">
        <v>430</v>
      </c>
      <c r="C181" s="60" t="s">
        <v>20</v>
      </c>
      <c r="D181" s="61">
        <v>36.46</v>
      </c>
      <c r="E181" s="61">
        <f t="shared" si="16"/>
        <v>10.014479999999999</v>
      </c>
      <c r="F181" s="61" t="s">
        <v>92</v>
      </c>
      <c r="G181" s="61"/>
      <c r="H181" s="62"/>
      <c r="I181" s="62">
        <v>10.314322734637104</v>
      </c>
      <c r="J181" s="62">
        <v>3317.3779265506505</v>
      </c>
      <c r="K181" s="62">
        <v>263.9149037040072</v>
      </c>
      <c r="L181" s="62">
        <v>500.67</v>
      </c>
      <c r="M181" s="62">
        <v>689.67</v>
      </c>
      <c r="N181" s="62" t="s">
        <v>225</v>
      </c>
      <c r="O181" s="63">
        <f t="shared" si="11"/>
        <v>10.314322734637104</v>
      </c>
      <c r="P181" s="63">
        <f t="shared" si="12"/>
        <v>3317.3779265506505</v>
      </c>
      <c r="Q181" s="63">
        <f t="shared" si="13"/>
        <v>263.9149037040072</v>
      </c>
      <c r="R181" s="64">
        <f t="shared" si="14"/>
        <v>1</v>
      </c>
      <c r="S181" s="64">
        <f t="shared" si="15"/>
        <v>1</v>
      </c>
      <c r="T181" s="20"/>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row>
    <row r="182" spans="1:50" ht="14.25" customHeight="1">
      <c r="A182" s="59" t="s">
        <v>434</v>
      </c>
      <c r="B182" s="59" t="s">
        <v>430</v>
      </c>
      <c r="C182" s="60" t="s">
        <v>20</v>
      </c>
      <c r="D182" s="61">
        <v>36.46</v>
      </c>
      <c r="E182" s="61">
        <f t="shared" si="16"/>
        <v>10.014479999999999</v>
      </c>
      <c r="F182" s="61" t="s">
        <v>92</v>
      </c>
      <c r="G182" s="61"/>
      <c r="H182" s="62"/>
      <c r="I182" s="62">
        <v>10.280848665469554</v>
      </c>
      <c r="J182" s="62">
        <v>3238.5662177695804</v>
      </c>
      <c r="K182" s="62">
        <v>266.49855685909193</v>
      </c>
      <c r="L182" s="62">
        <v>500.67</v>
      </c>
      <c r="M182" s="62">
        <v>689.67</v>
      </c>
      <c r="N182" s="62" t="s">
        <v>225</v>
      </c>
      <c r="O182" s="63">
        <f t="shared" si="11"/>
        <v>10.280848665469554</v>
      </c>
      <c r="P182" s="63">
        <f t="shared" si="12"/>
        <v>3238.5662177695804</v>
      </c>
      <c r="Q182" s="63">
        <f t="shared" si="13"/>
        <v>266.49855685909193</v>
      </c>
      <c r="R182" s="64">
        <f t="shared" si="14"/>
        <v>1</v>
      </c>
      <c r="S182" s="64">
        <f t="shared" si="15"/>
        <v>1</v>
      </c>
      <c r="T182" s="20"/>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row>
    <row r="183" spans="1:50" ht="14.25" customHeight="1">
      <c r="A183" s="59" t="s">
        <v>435</v>
      </c>
      <c r="B183" s="59" t="s">
        <v>430</v>
      </c>
      <c r="C183" s="60" t="s">
        <v>20</v>
      </c>
      <c r="D183" s="61">
        <v>36.46</v>
      </c>
      <c r="E183" s="61">
        <f t="shared" si="16"/>
        <v>10.014479999999999</v>
      </c>
      <c r="F183" s="61" t="s">
        <v>92</v>
      </c>
      <c r="G183" s="61"/>
      <c r="H183" s="62"/>
      <c r="I183" s="62">
        <v>11.46691026507299</v>
      </c>
      <c r="J183" s="62">
        <v>4513.1368098376443</v>
      </c>
      <c r="K183" s="62">
        <v>265.22437142209589</v>
      </c>
      <c r="L183" s="62">
        <v>500.67</v>
      </c>
      <c r="M183" s="62">
        <v>689.67</v>
      </c>
      <c r="N183" s="62" t="s">
        <v>225</v>
      </c>
      <c r="O183" s="63">
        <f t="shared" si="11"/>
        <v>11.46691026507299</v>
      </c>
      <c r="P183" s="63">
        <f t="shared" si="12"/>
        <v>4513.1368098376443</v>
      </c>
      <c r="Q183" s="63">
        <f t="shared" si="13"/>
        <v>265.22437142209589</v>
      </c>
      <c r="R183" s="64">
        <f t="shared" si="14"/>
        <v>1</v>
      </c>
      <c r="S183" s="64">
        <f t="shared" si="15"/>
        <v>1</v>
      </c>
      <c r="T183" s="20"/>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row>
    <row r="184" spans="1:50" ht="14.25" customHeight="1">
      <c r="A184" s="59" t="s">
        <v>436</v>
      </c>
      <c r="B184" s="59" t="s">
        <v>430</v>
      </c>
      <c r="C184" s="60" t="s">
        <v>20</v>
      </c>
      <c r="D184" s="61">
        <v>36.46</v>
      </c>
      <c r="E184" s="61">
        <f t="shared" si="16"/>
        <v>10.014479999999999</v>
      </c>
      <c r="F184" s="61" t="s">
        <v>92</v>
      </c>
      <c r="G184" s="61"/>
      <c r="H184" s="62"/>
      <c r="I184" s="62">
        <v>10.26162985824865</v>
      </c>
      <c r="J184" s="62">
        <v>3163.0090103932826</v>
      </c>
      <c r="K184" s="62">
        <v>268.95862179871858</v>
      </c>
      <c r="L184" s="62">
        <v>500.67</v>
      </c>
      <c r="M184" s="62">
        <v>689.67</v>
      </c>
      <c r="N184" s="62" t="s">
        <v>225</v>
      </c>
      <c r="O184" s="63">
        <f t="shared" si="11"/>
        <v>10.26162985824865</v>
      </c>
      <c r="P184" s="63">
        <f t="shared" si="12"/>
        <v>3163.0090103932826</v>
      </c>
      <c r="Q184" s="63">
        <f t="shared" si="13"/>
        <v>268.95862179871858</v>
      </c>
      <c r="R184" s="64">
        <f t="shared" si="14"/>
        <v>1</v>
      </c>
      <c r="S184" s="64">
        <f t="shared" si="15"/>
        <v>1</v>
      </c>
      <c r="T184" s="20"/>
      <c r="AF184" s="24"/>
      <c r="AG184" s="24"/>
      <c r="AH184" s="24"/>
      <c r="AI184" s="24"/>
      <c r="AJ184" s="24"/>
      <c r="AK184" s="24"/>
      <c r="AL184" s="24"/>
      <c r="AM184" s="24"/>
      <c r="AN184" s="24"/>
      <c r="AO184" s="24"/>
      <c r="AP184" s="24"/>
      <c r="AQ184" s="24"/>
      <c r="AR184" s="24"/>
      <c r="AS184" s="24"/>
      <c r="AT184" s="24"/>
      <c r="AU184" s="24"/>
      <c r="AV184" s="24"/>
      <c r="AW184" s="24"/>
      <c r="AX184" s="24"/>
    </row>
    <row r="185" spans="1:50" ht="14.25" customHeight="1">
      <c r="A185" s="59" t="s">
        <v>437</v>
      </c>
      <c r="B185" s="59" t="s">
        <v>430</v>
      </c>
      <c r="C185" s="60" t="s">
        <v>20</v>
      </c>
      <c r="D185" s="61">
        <v>36.46</v>
      </c>
      <c r="E185" s="61">
        <f t="shared" si="16"/>
        <v>10.014479999999999</v>
      </c>
      <c r="F185" s="61" t="s">
        <v>92</v>
      </c>
      <c r="G185" s="61"/>
      <c r="H185" s="62"/>
      <c r="I185" s="62">
        <v>10.307923943601246</v>
      </c>
      <c r="J185" s="62">
        <v>3106.3933588173986</v>
      </c>
      <c r="K185" s="62">
        <v>271.54606443931931</v>
      </c>
      <c r="L185" s="62">
        <v>500.67</v>
      </c>
      <c r="M185" s="62">
        <v>689.67</v>
      </c>
      <c r="N185" s="62" t="s">
        <v>225</v>
      </c>
      <c r="O185" s="63">
        <f t="shared" si="11"/>
        <v>10.307923943601246</v>
      </c>
      <c r="P185" s="63">
        <f t="shared" si="12"/>
        <v>3106.3933588173986</v>
      </c>
      <c r="Q185" s="63">
        <f t="shared" si="13"/>
        <v>271.54606443931931</v>
      </c>
      <c r="R185" s="64">
        <f t="shared" si="14"/>
        <v>1</v>
      </c>
      <c r="S185" s="64">
        <f t="shared" si="15"/>
        <v>1</v>
      </c>
      <c r="T185" s="20"/>
      <c r="AF185" s="24"/>
      <c r="AG185" s="24"/>
      <c r="AH185" s="24"/>
      <c r="AI185" s="24"/>
      <c r="AJ185" s="24"/>
      <c r="AK185" s="24"/>
      <c r="AL185" s="24"/>
      <c r="AM185" s="24"/>
      <c r="AN185" s="24"/>
      <c r="AO185" s="24"/>
      <c r="AP185" s="24"/>
      <c r="AQ185" s="24"/>
      <c r="AR185" s="24"/>
      <c r="AS185" s="24"/>
      <c r="AT185" s="24"/>
      <c r="AU185" s="24"/>
      <c r="AV185" s="24"/>
      <c r="AW185" s="24"/>
      <c r="AX185" s="24"/>
    </row>
    <row r="186" spans="1:50" ht="14.25" customHeight="1">
      <c r="A186" s="59" t="s">
        <v>438</v>
      </c>
      <c r="B186" s="59" t="s">
        <v>430</v>
      </c>
      <c r="C186" s="60" t="s">
        <v>20</v>
      </c>
      <c r="D186" s="61">
        <v>36.46</v>
      </c>
      <c r="E186" s="61">
        <f t="shared" si="16"/>
        <v>10.014479999999999</v>
      </c>
      <c r="F186" s="61" t="s">
        <v>92</v>
      </c>
      <c r="G186" s="61"/>
      <c r="H186" s="62"/>
      <c r="I186" s="62">
        <v>10.034388640166719</v>
      </c>
      <c r="J186" s="62">
        <v>2869.2944561663826</v>
      </c>
      <c r="K186" s="62">
        <v>265.8927389258775</v>
      </c>
      <c r="L186" s="62">
        <v>500.67</v>
      </c>
      <c r="M186" s="62">
        <v>689.67</v>
      </c>
      <c r="N186" s="62" t="s">
        <v>225</v>
      </c>
      <c r="O186" s="63">
        <f t="shared" si="11"/>
        <v>10.034388640166719</v>
      </c>
      <c r="P186" s="63">
        <f t="shared" si="12"/>
        <v>2869.2944561663826</v>
      </c>
      <c r="Q186" s="63">
        <f t="shared" si="13"/>
        <v>265.8927389258775</v>
      </c>
      <c r="R186" s="64">
        <f t="shared" si="14"/>
        <v>1</v>
      </c>
      <c r="S186" s="64">
        <f t="shared" si="15"/>
        <v>1</v>
      </c>
      <c r="T186" s="20"/>
      <c r="AF186" s="24"/>
      <c r="AG186" s="24"/>
      <c r="AH186" s="24"/>
      <c r="AI186" s="24"/>
      <c r="AJ186" s="24"/>
      <c r="AK186" s="24"/>
      <c r="AL186" s="24"/>
      <c r="AM186" s="24"/>
      <c r="AN186" s="24"/>
      <c r="AO186" s="24"/>
      <c r="AP186" s="24"/>
      <c r="AQ186" s="24"/>
      <c r="AR186" s="24"/>
      <c r="AS186" s="24"/>
      <c r="AT186" s="24"/>
      <c r="AU186" s="24"/>
      <c r="AV186" s="24"/>
      <c r="AW186" s="24"/>
      <c r="AX186" s="24"/>
    </row>
    <row r="187" spans="1:50" ht="14.25" customHeight="1">
      <c r="A187" s="59" t="s">
        <v>439</v>
      </c>
      <c r="B187" s="59" t="s">
        <v>430</v>
      </c>
      <c r="C187" s="60" t="s">
        <v>20</v>
      </c>
      <c r="D187" s="61">
        <v>36.46</v>
      </c>
      <c r="E187" s="61">
        <f t="shared" si="16"/>
        <v>10.014479999999999</v>
      </c>
      <c r="F187" s="61" t="s">
        <v>92</v>
      </c>
      <c r="G187" s="61"/>
      <c r="H187" s="62"/>
      <c r="I187" s="62">
        <v>9.9969265034277761</v>
      </c>
      <c r="J187" s="62">
        <v>2783.7118336322915</v>
      </c>
      <c r="K187" s="62">
        <v>268.17110987443851</v>
      </c>
      <c r="L187" s="62">
        <v>500.67</v>
      </c>
      <c r="M187" s="62">
        <v>689.67</v>
      </c>
      <c r="N187" s="62" t="s">
        <v>225</v>
      </c>
      <c r="O187" s="63">
        <f t="shared" si="11"/>
        <v>9.9969265034277761</v>
      </c>
      <c r="P187" s="63">
        <f t="shared" si="12"/>
        <v>2783.7118336322915</v>
      </c>
      <c r="Q187" s="63">
        <f t="shared" si="13"/>
        <v>268.17110987443851</v>
      </c>
      <c r="R187" s="64">
        <f t="shared" si="14"/>
        <v>1</v>
      </c>
      <c r="S187" s="64">
        <f t="shared" si="15"/>
        <v>1</v>
      </c>
      <c r="T187" s="20"/>
      <c r="AF187" s="24"/>
      <c r="AG187" s="24"/>
      <c r="AH187" s="24"/>
      <c r="AI187" s="24"/>
      <c r="AJ187" s="24"/>
      <c r="AK187" s="24"/>
      <c r="AL187" s="24"/>
      <c r="AM187" s="24"/>
      <c r="AN187" s="24"/>
      <c r="AO187" s="24"/>
      <c r="AP187" s="24"/>
      <c r="AQ187" s="24"/>
      <c r="AR187" s="24"/>
      <c r="AS187" s="24"/>
      <c r="AT187" s="24"/>
      <c r="AU187" s="24"/>
      <c r="AV187" s="24"/>
      <c r="AW187" s="24"/>
      <c r="AX187" s="24"/>
    </row>
    <row r="188" spans="1:50" ht="14.25" customHeight="1">
      <c r="A188" s="59" t="s">
        <v>440</v>
      </c>
      <c r="B188" s="59" t="s">
        <v>430</v>
      </c>
      <c r="C188" s="60" t="s">
        <v>20</v>
      </c>
      <c r="D188" s="61">
        <v>36.46</v>
      </c>
      <c r="E188" s="61">
        <f t="shared" si="16"/>
        <v>10.014479999999999</v>
      </c>
      <c r="F188" s="61" t="s">
        <v>92</v>
      </c>
      <c r="G188" s="61"/>
      <c r="H188" s="62"/>
      <c r="I188" s="62">
        <v>9.8784497734126582</v>
      </c>
      <c r="J188" s="62">
        <v>2643.1368735848882</v>
      </c>
      <c r="K188" s="62">
        <v>267.58622146535396</v>
      </c>
      <c r="L188" s="62">
        <v>500.67</v>
      </c>
      <c r="M188" s="62">
        <v>689.67</v>
      </c>
      <c r="N188" s="62" t="s">
        <v>225</v>
      </c>
      <c r="O188" s="63">
        <f t="shared" si="11"/>
        <v>9.8784497734126582</v>
      </c>
      <c r="P188" s="63">
        <f t="shared" si="12"/>
        <v>2643.1368735848882</v>
      </c>
      <c r="Q188" s="63">
        <f t="shared" si="13"/>
        <v>267.58622146535396</v>
      </c>
      <c r="R188" s="64">
        <f t="shared" si="14"/>
        <v>1</v>
      </c>
      <c r="S188" s="64">
        <f t="shared" si="15"/>
        <v>1</v>
      </c>
      <c r="T188" s="20"/>
      <c r="AF188" s="24"/>
      <c r="AG188" s="24"/>
      <c r="AH188" s="24"/>
      <c r="AI188" s="24"/>
      <c r="AJ188" s="24"/>
      <c r="AK188" s="24"/>
      <c r="AL188" s="24"/>
      <c r="AM188" s="24"/>
      <c r="AN188" s="24"/>
      <c r="AO188" s="24"/>
      <c r="AP188" s="24"/>
      <c r="AQ188" s="24"/>
      <c r="AR188" s="24"/>
      <c r="AS188" s="24"/>
      <c r="AT188" s="24"/>
      <c r="AU188" s="24"/>
      <c r="AV188" s="24"/>
      <c r="AW188" s="24"/>
      <c r="AX188" s="24"/>
    </row>
    <row r="189" spans="1:50" ht="14.25" customHeight="1">
      <c r="A189" s="59" t="s">
        <v>441</v>
      </c>
      <c r="B189" s="59" t="s">
        <v>430</v>
      </c>
      <c r="C189" s="60" t="s">
        <v>20</v>
      </c>
      <c r="D189" s="61">
        <v>36.46</v>
      </c>
      <c r="E189" s="61">
        <f t="shared" si="16"/>
        <v>10.014479999999999</v>
      </c>
      <c r="F189" s="61" t="s">
        <v>92</v>
      </c>
      <c r="G189" s="61"/>
      <c r="H189" s="62"/>
      <c r="I189" s="62">
        <v>9.7979970021957197</v>
      </c>
      <c r="J189" s="62">
        <v>2546.7619459593325</v>
      </c>
      <c r="K189" s="62">
        <v>270.47258900278428</v>
      </c>
      <c r="L189" s="62">
        <v>500.67</v>
      </c>
      <c r="M189" s="62">
        <v>689.67</v>
      </c>
      <c r="N189" s="62" t="s">
        <v>225</v>
      </c>
      <c r="O189" s="63">
        <f t="shared" si="11"/>
        <v>9.7979970021957197</v>
      </c>
      <c r="P189" s="63">
        <f t="shared" si="12"/>
        <v>2546.7619459593325</v>
      </c>
      <c r="Q189" s="63">
        <f t="shared" si="13"/>
        <v>270.47258900278428</v>
      </c>
      <c r="R189" s="64">
        <f t="shared" si="14"/>
        <v>1</v>
      </c>
      <c r="S189" s="64">
        <f t="shared" si="15"/>
        <v>1</v>
      </c>
      <c r="T189" s="20"/>
      <c r="AF189" s="24"/>
      <c r="AG189" s="24"/>
      <c r="AH189" s="24"/>
      <c r="AI189" s="24"/>
      <c r="AJ189" s="24"/>
      <c r="AK189" s="24"/>
      <c r="AL189" s="24"/>
      <c r="AM189" s="24"/>
      <c r="AN189" s="24"/>
      <c r="AO189" s="24"/>
      <c r="AP189" s="24"/>
      <c r="AQ189" s="24"/>
      <c r="AR189" s="24"/>
      <c r="AS189" s="24"/>
      <c r="AT189" s="24"/>
      <c r="AU189" s="24"/>
      <c r="AV189" s="24"/>
      <c r="AW189" s="24"/>
      <c r="AX189" s="24"/>
    </row>
    <row r="190" spans="1:50" ht="14.25" customHeight="1">
      <c r="A190" s="59" t="s">
        <v>442</v>
      </c>
      <c r="B190" s="59" t="s">
        <v>430</v>
      </c>
      <c r="C190" s="60" t="s">
        <v>20</v>
      </c>
      <c r="D190" s="61">
        <v>36.46</v>
      </c>
      <c r="E190" s="61">
        <f t="shared" si="16"/>
        <v>10.014479999999999</v>
      </c>
      <c r="F190" s="61" t="s">
        <v>92</v>
      </c>
      <c r="G190" s="61"/>
      <c r="H190" s="62"/>
      <c r="I190" s="62">
        <v>9.7936766271614619</v>
      </c>
      <c r="J190" s="62">
        <v>2481.9585517239852</v>
      </c>
      <c r="K190" s="62">
        <v>274.65500431479683</v>
      </c>
      <c r="L190" s="62">
        <v>500.67</v>
      </c>
      <c r="M190" s="62">
        <v>689.67</v>
      </c>
      <c r="N190" s="62" t="s">
        <v>225</v>
      </c>
      <c r="O190" s="63">
        <f t="shared" si="11"/>
        <v>9.7936766271614619</v>
      </c>
      <c r="P190" s="63">
        <f t="shared" si="12"/>
        <v>2481.9585517239852</v>
      </c>
      <c r="Q190" s="63">
        <f t="shared" si="13"/>
        <v>274.65500431479683</v>
      </c>
      <c r="R190" s="64">
        <f t="shared" si="14"/>
        <v>1</v>
      </c>
      <c r="S190" s="64">
        <f t="shared" si="15"/>
        <v>1</v>
      </c>
      <c r="T190" s="20"/>
      <c r="AF190" s="24"/>
      <c r="AG190" s="24"/>
      <c r="AH190" s="24"/>
      <c r="AI190" s="24"/>
      <c r="AJ190" s="24"/>
      <c r="AK190" s="24"/>
      <c r="AL190" s="24"/>
      <c r="AM190" s="24"/>
      <c r="AN190" s="24"/>
      <c r="AO190" s="24"/>
      <c r="AP190" s="24"/>
      <c r="AQ190" s="24"/>
      <c r="AR190" s="24"/>
      <c r="AS190" s="24"/>
      <c r="AT190" s="24"/>
      <c r="AU190" s="24"/>
      <c r="AV190" s="24"/>
      <c r="AW190" s="24"/>
      <c r="AX190" s="24"/>
    </row>
    <row r="191" spans="1:50" ht="14.25" customHeight="1">
      <c r="A191" s="59" t="s">
        <v>443</v>
      </c>
      <c r="B191" s="59" t="s">
        <v>430</v>
      </c>
      <c r="C191" s="60" t="s">
        <v>20</v>
      </c>
      <c r="D191" s="61">
        <v>36.46</v>
      </c>
      <c r="E191" s="61">
        <f t="shared" si="16"/>
        <v>10.014479999999999</v>
      </c>
      <c r="F191" s="61" t="s">
        <v>92</v>
      </c>
      <c r="G191" s="61"/>
      <c r="H191" s="62"/>
      <c r="I191" s="62">
        <v>9.4599665579357239</v>
      </c>
      <c r="J191" s="62">
        <v>2223.8866378092957</v>
      </c>
      <c r="K191" s="62">
        <v>266.67577347732487</v>
      </c>
      <c r="L191" s="62">
        <v>500.67</v>
      </c>
      <c r="M191" s="62">
        <v>689.67</v>
      </c>
      <c r="N191" s="62" t="s">
        <v>225</v>
      </c>
      <c r="O191" s="63">
        <f t="shared" si="11"/>
        <v>9.4599665579357239</v>
      </c>
      <c r="P191" s="63">
        <f t="shared" si="12"/>
        <v>2223.8866378092957</v>
      </c>
      <c r="Q191" s="63">
        <f t="shared" si="13"/>
        <v>266.67577347732487</v>
      </c>
      <c r="R191" s="64">
        <f t="shared" si="14"/>
        <v>1</v>
      </c>
      <c r="S191" s="64">
        <f t="shared" si="15"/>
        <v>1</v>
      </c>
      <c r="T191" s="20"/>
      <c r="AF191" s="24"/>
      <c r="AG191" s="24"/>
      <c r="AH191" s="24"/>
      <c r="AI191" s="24"/>
      <c r="AJ191" s="24"/>
      <c r="AK191" s="24"/>
      <c r="AL191" s="24"/>
      <c r="AM191" s="24"/>
      <c r="AN191" s="24"/>
      <c r="AO191" s="24"/>
      <c r="AP191" s="24"/>
      <c r="AQ191" s="24"/>
      <c r="AR191" s="24"/>
      <c r="AS191" s="24"/>
      <c r="AT191" s="24"/>
      <c r="AU191" s="24"/>
      <c r="AV191" s="24"/>
      <c r="AW191" s="24"/>
      <c r="AX191" s="24"/>
    </row>
    <row r="192" spans="1:50" ht="14.25" customHeight="1">
      <c r="A192" s="59" t="s">
        <v>444</v>
      </c>
      <c r="B192" s="59" t="s">
        <v>430</v>
      </c>
      <c r="C192" s="60" t="s">
        <v>20</v>
      </c>
      <c r="D192" s="61">
        <v>36.46</v>
      </c>
      <c r="E192" s="61">
        <f t="shared" si="16"/>
        <v>10.014479999999999</v>
      </c>
      <c r="F192" s="61" t="s">
        <v>92</v>
      </c>
      <c r="G192" s="61"/>
      <c r="H192" s="62"/>
      <c r="I192" s="62">
        <v>9.543974557111266</v>
      </c>
      <c r="J192" s="62">
        <v>2181.0030504465922</v>
      </c>
      <c r="K192" s="62">
        <v>269.97609904776783</v>
      </c>
      <c r="L192" s="62">
        <v>500.67</v>
      </c>
      <c r="M192" s="62">
        <v>689.67</v>
      </c>
      <c r="N192" s="62" t="s">
        <v>225</v>
      </c>
      <c r="O192" s="63">
        <f t="shared" si="11"/>
        <v>9.543974557111266</v>
      </c>
      <c r="P192" s="63">
        <f t="shared" si="12"/>
        <v>2181.0030504465922</v>
      </c>
      <c r="Q192" s="63">
        <f t="shared" si="13"/>
        <v>269.97609904776783</v>
      </c>
      <c r="R192" s="64">
        <f t="shared" si="14"/>
        <v>1</v>
      </c>
      <c r="S192" s="64">
        <f t="shared" si="15"/>
        <v>1</v>
      </c>
      <c r="T192" s="20"/>
      <c r="AF192" s="24"/>
      <c r="AG192" s="24"/>
      <c r="AH192" s="24"/>
      <c r="AI192" s="24"/>
      <c r="AJ192" s="24"/>
      <c r="AK192" s="24"/>
      <c r="AL192" s="24"/>
      <c r="AM192" s="24"/>
      <c r="AN192" s="24"/>
      <c r="AO192" s="24"/>
      <c r="AP192" s="24"/>
      <c r="AQ192" s="24"/>
      <c r="AR192" s="24"/>
      <c r="AS192" s="24"/>
      <c r="AT192" s="24"/>
      <c r="AU192" s="24"/>
      <c r="AV192" s="24"/>
      <c r="AW192" s="24"/>
      <c r="AX192" s="24"/>
    </row>
    <row r="193" spans="1:50" ht="14.25" customHeight="1">
      <c r="A193" s="59" t="s">
        <v>445</v>
      </c>
      <c r="B193" s="59" t="s">
        <v>430</v>
      </c>
      <c r="C193" s="60" t="s">
        <v>20</v>
      </c>
      <c r="D193" s="61">
        <v>36.46</v>
      </c>
      <c r="E193" s="61">
        <f t="shared" si="16"/>
        <v>10.014479999999999</v>
      </c>
      <c r="F193" s="61" t="s">
        <v>92</v>
      </c>
      <c r="G193" s="61"/>
      <c r="H193" s="62"/>
      <c r="I193" s="62">
        <v>9.6186916471740957</v>
      </c>
      <c r="J193" s="62">
        <v>2199.3203084366478</v>
      </c>
      <c r="K193" s="62">
        <v>281.38380884670522</v>
      </c>
      <c r="L193" s="62">
        <v>500.67</v>
      </c>
      <c r="M193" s="62">
        <v>689.67</v>
      </c>
      <c r="N193" s="62" t="s">
        <v>225</v>
      </c>
      <c r="O193" s="63">
        <f t="shared" si="11"/>
        <v>9.6186916471740957</v>
      </c>
      <c r="P193" s="63">
        <f t="shared" si="12"/>
        <v>2199.3203084366478</v>
      </c>
      <c r="Q193" s="63">
        <f t="shared" si="13"/>
        <v>281.38380884670522</v>
      </c>
      <c r="R193" s="64">
        <f t="shared" si="14"/>
        <v>1</v>
      </c>
      <c r="S193" s="64">
        <f t="shared" si="15"/>
        <v>1</v>
      </c>
      <c r="T193" s="20"/>
      <c r="AF193" s="24"/>
      <c r="AG193" s="24"/>
      <c r="AH193" s="24"/>
      <c r="AI193" s="24"/>
      <c r="AJ193" s="24"/>
      <c r="AK193" s="24"/>
      <c r="AL193" s="24"/>
      <c r="AM193" s="24"/>
      <c r="AN193" s="24"/>
      <c r="AO193" s="24"/>
      <c r="AP193" s="24"/>
      <c r="AQ193" s="24"/>
      <c r="AR193" s="24"/>
      <c r="AS193" s="24"/>
      <c r="AT193" s="24"/>
      <c r="AU193" s="24"/>
      <c r="AV193" s="24"/>
      <c r="AW193" s="24"/>
      <c r="AX193" s="24"/>
    </row>
    <row r="194" spans="1:50" ht="14.25" customHeight="1">
      <c r="A194" s="59" t="s">
        <v>446</v>
      </c>
      <c r="B194" s="59" t="s">
        <v>430</v>
      </c>
      <c r="C194" s="60" t="s">
        <v>20</v>
      </c>
      <c r="D194" s="61">
        <v>36.46</v>
      </c>
      <c r="E194" s="61">
        <f t="shared" si="16"/>
        <v>10.014479999999999</v>
      </c>
      <c r="F194" s="61" t="s">
        <v>92</v>
      </c>
      <c r="G194" s="61"/>
      <c r="H194" s="62"/>
      <c r="I194" s="62">
        <v>11.517399116429672</v>
      </c>
      <c r="J194" s="62">
        <v>4384.7493166695867</v>
      </c>
      <c r="K194" s="62">
        <v>269.70730663320813</v>
      </c>
      <c r="L194" s="62">
        <v>500.67</v>
      </c>
      <c r="M194" s="62">
        <v>689.67</v>
      </c>
      <c r="N194" s="62" t="s">
        <v>225</v>
      </c>
      <c r="O194" s="63">
        <f t="shared" si="11"/>
        <v>11.517399116429672</v>
      </c>
      <c r="P194" s="63">
        <f t="shared" si="12"/>
        <v>4384.7493166695867</v>
      </c>
      <c r="Q194" s="63">
        <f t="shared" si="13"/>
        <v>269.70730663320813</v>
      </c>
      <c r="R194" s="64">
        <f t="shared" si="14"/>
        <v>1</v>
      </c>
      <c r="S194" s="64">
        <f t="shared" si="15"/>
        <v>1</v>
      </c>
      <c r="T194" s="20"/>
      <c r="AF194" s="24"/>
      <c r="AG194" s="24"/>
      <c r="AH194" s="24"/>
      <c r="AI194" s="24"/>
      <c r="AJ194" s="24"/>
      <c r="AK194" s="24"/>
      <c r="AL194" s="24"/>
      <c r="AM194" s="24"/>
      <c r="AN194" s="24"/>
      <c r="AO194" s="24"/>
      <c r="AP194" s="24"/>
      <c r="AQ194" s="24"/>
      <c r="AR194" s="24"/>
      <c r="AS194" s="24"/>
      <c r="AT194" s="24"/>
      <c r="AU194" s="24"/>
      <c r="AV194" s="24"/>
      <c r="AW194" s="24"/>
      <c r="AX194" s="24"/>
    </row>
    <row r="195" spans="1:50" ht="14.25" customHeight="1">
      <c r="A195" s="59" t="s">
        <v>447</v>
      </c>
      <c r="B195" s="59" t="s">
        <v>430</v>
      </c>
      <c r="C195" s="60" t="s">
        <v>20</v>
      </c>
      <c r="D195" s="61">
        <v>36.46</v>
      </c>
      <c r="E195" s="61">
        <f t="shared" si="16"/>
        <v>10.014479999999999</v>
      </c>
      <c r="F195" s="61" t="s">
        <v>92</v>
      </c>
      <c r="G195" s="61"/>
      <c r="H195" s="62"/>
      <c r="I195" s="62">
        <v>6.9785133364086853</v>
      </c>
      <c r="J195" s="62">
        <v>874.3934515892206</v>
      </c>
      <c r="K195" s="62">
        <v>179.72233750725124</v>
      </c>
      <c r="L195" s="62">
        <v>500.67</v>
      </c>
      <c r="M195" s="62">
        <v>689.67</v>
      </c>
      <c r="N195" s="62" t="s">
        <v>225</v>
      </c>
      <c r="O195" s="63">
        <f t="shared" si="11"/>
        <v>6.9785133364086853</v>
      </c>
      <c r="P195" s="63">
        <f t="shared" si="12"/>
        <v>874.3934515892206</v>
      </c>
      <c r="Q195" s="63">
        <f t="shared" si="13"/>
        <v>179.72233750725124</v>
      </c>
      <c r="R195" s="64">
        <f t="shared" si="14"/>
        <v>1</v>
      </c>
      <c r="S195" s="64">
        <f t="shared" si="15"/>
        <v>1</v>
      </c>
      <c r="T195" s="20"/>
      <c r="AF195" s="24"/>
      <c r="AG195" s="24"/>
      <c r="AH195" s="24"/>
      <c r="AI195" s="24"/>
      <c r="AJ195" s="24"/>
      <c r="AK195" s="24"/>
      <c r="AL195" s="24"/>
      <c r="AM195" s="24"/>
      <c r="AN195" s="24"/>
      <c r="AO195" s="24"/>
      <c r="AP195" s="24"/>
      <c r="AQ195" s="24"/>
      <c r="AR195" s="24"/>
      <c r="AS195" s="24"/>
      <c r="AT195" s="24"/>
      <c r="AU195" s="24"/>
      <c r="AV195" s="24"/>
      <c r="AW195" s="24"/>
      <c r="AX195" s="24"/>
    </row>
    <row r="196" spans="1:50" ht="14.25" customHeight="1">
      <c r="A196" s="59" t="s">
        <v>448</v>
      </c>
      <c r="B196" s="59" t="s">
        <v>430</v>
      </c>
      <c r="C196" s="60" t="s">
        <v>20</v>
      </c>
      <c r="D196" s="61">
        <v>36.46</v>
      </c>
      <c r="E196" s="61">
        <f t="shared" si="16"/>
        <v>10.014479999999999</v>
      </c>
      <c r="F196" s="61" t="s">
        <v>92</v>
      </c>
      <c r="G196" s="61"/>
      <c r="H196" s="62"/>
      <c r="I196" s="62">
        <v>7.8169478964827235</v>
      </c>
      <c r="J196" s="62">
        <v>1192.7811557534581</v>
      </c>
      <c r="K196" s="62">
        <v>220.21678007547573</v>
      </c>
      <c r="L196" s="62">
        <v>500.67</v>
      </c>
      <c r="M196" s="62">
        <v>689.67</v>
      </c>
      <c r="N196" s="62" t="s">
        <v>225</v>
      </c>
      <c r="O196" s="63">
        <f t="shared" si="11"/>
        <v>7.8169478964827235</v>
      </c>
      <c r="P196" s="63">
        <f t="shared" si="12"/>
        <v>1192.7811557534581</v>
      </c>
      <c r="Q196" s="63">
        <f t="shared" si="13"/>
        <v>220.21678007547573</v>
      </c>
      <c r="R196" s="64">
        <f t="shared" si="14"/>
        <v>1</v>
      </c>
      <c r="S196" s="64">
        <f t="shared" si="15"/>
        <v>1</v>
      </c>
      <c r="T196" s="20"/>
      <c r="AF196" s="24"/>
      <c r="AG196" s="24"/>
      <c r="AH196" s="24"/>
      <c r="AI196" s="24"/>
      <c r="AJ196" s="24"/>
      <c r="AK196" s="24"/>
      <c r="AL196" s="24"/>
      <c r="AM196" s="24"/>
      <c r="AN196" s="24"/>
      <c r="AO196" s="24"/>
      <c r="AP196" s="24"/>
      <c r="AQ196" s="24"/>
      <c r="AR196" s="24"/>
      <c r="AS196" s="24"/>
      <c r="AT196" s="24"/>
      <c r="AU196" s="24"/>
      <c r="AV196" s="24"/>
      <c r="AW196" s="24"/>
      <c r="AX196" s="24"/>
    </row>
    <row r="197" spans="1:50" ht="14.25" customHeight="1">
      <c r="A197" s="59" t="s">
        <v>449</v>
      </c>
      <c r="B197" s="59" t="s">
        <v>430</v>
      </c>
      <c r="C197" s="60" t="s">
        <v>20</v>
      </c>
      <c r="D197" s="61">
        <v>36.46</v>
      </c>
      <c r="E197" s="61">
        <f t="shared" si="16"/>
        <v>10.014479999999999</v>
      </c>
      <c r="F197" s="61" t="s">
        <v>92</v>
      </c>
      <c r="G197" s="61"/>
      <c r="H197" s="62"/>
      <c r="I197" s="62">
        <v>3.0409371614690035</v>
      </c>
      <c r="J197" s="62">
        <v>1.2131169214732498</v>
      </c>
      <c r="K197" s="62">
        <v>0.39892863846197407</v>
      </c>
      <c r="L197" s="62">
        <v>500.67</v>
      </c>
      <c r="M197" s="62">
        <v>689.67</v>
      </c>
      <c r="N197" s="62" t="s">
        <v>225</v>
      </c>
      <c r="O197" s="63">
        <f t="shared" si="11"/>
        <v>3.0409371614690035</v>
      </c>
      <c r="P197" s="63">
        <f t="shared" si="12"/>
        <v>1.2131169214732498</v>
      </c>
      <c r="Q197" s="63">
        <f t="shared" si="13"/>
        <v>0.39892863846197407</v>
      </c>
      <c r="R197" s="64">
        <f t="shared" si="14"/>
        <v>1</v>
      </c>
      <c r="S197" s="64">
        <f t="shared" si="15"/>
        <v>1</v>
      </c>
      <c r="T197" s="20"/>
      <c r="AF197" s="24"/>
      <c r="AG197" s="24"/>
      <c r="AH197" s="24"/>
      <c r="AI197" s="24"/>
      <c r="AJ197" s="24"/>
      <c r="AK197" s="24"/>
      <c r="AL197" s="24"/>
      <c r="AM197" s="24"/>
      <c r="AN197" s="24"/>
      <c r="AO197" s="24"/>
      <c r="AP197" s="24"/>
      <c r="AQ197" s="24"/>
      <c r="AR197" s="24"/>
      <c r="AS197" s="24"/>
      <c r="AT197" s="24"/>
      <c r="AU197" s="24"/>
      <c r="AV197" s="24"/>
      <c r="AW197" s="24"/>
      <c r="AX197" s="24"/>
    </row>
    <row r="198" spans="1:50" ht="14.25" customHeight="1">
      <c r="A198" s="59" t="s">
        <v>450</v>
      </c>
      <c r="B198" s="59" t="s">
        <v>430</v>
      </c>
      <c r="C198" s="60" t="s">
        <v>20</v>
      </c>
      <c r="D198" s="61">
        <v>36.46</v>
      </c>
      <c r="E198" s="61">
        <f t="shared" si="16"/>
        <v>10.014479999999999</v>
      </c>
      <c r="F198" s="61" t="s">
        <v>92</v>
      </c>
      <c r="G198" s="61"/>
      <c r="H198" s="62"/>
      <c r="I198" s="62">
        <v>10.858488156032102</v>
      </c>
      <c r="J198" s="62">
        <v>3966.8108517500659</v>
      </c>
      <c r="K198" s="62">
        <v>263.73584556970769</v>
      </c>
      <c r="L198" s="62">
        <v>500.67</v>
      </c>
      <c r="M198" s="62">
        <v>689.67</v>
      </c>
      <c r="N198" s="62" t="s">
        <v>225</v>
      </c>
      <c r="O198" s="63">
        <f t="shared" si="11"/>
        <v>10.858488156032102</v>
      </c>
      <c r="P198" s="63">
        <f t="shared" si="12"/>
        <v>3966.8108517500659</v>
      </c>
      <c r="Q198" s="63">
        <f t="shared" si="13"/>
        <v>263.73584556970769</v>
      </c>
      <c r="R198" s="64">
        <f t="shared" si="14"/>
        <v>1</v>
      </c>
      <c r="S198" s="64">
        <f t="shared" si="15"/>
        <v>1</v>
      </c>
      <c r="T198" s="20"/>
      <c r="AF198" s="24"/>
      <c r="AG198" s="24"/>
      <c r="AH198" s="24"/>
      <c r="AI198" s="24"/>
      <c r="AJ198" s="24"/>
      <c r="AK198" s="24"/>
      <c r="AL198" s="24"/>
      <c r="AM198" s="24"/>
      <c r="AN198" s="24"/>
      <c r="AO198" s="24"/>
      <c r="AP198" s="24"/>
      <c r="AQ198" s="24"/>
      <c r="AR198" s="24"/>
      <c r="AS198" s="24"/>
      <c r="AT198" s="24"/>
      <c r="AU198" s="24"/>
      <c r="AV198" s="24"/>
      <c r="AW198" s="24"/>
      <c r="AX198" s="24"/>
    </row>
    <row r="199" spans="1:50" ht="14.25" customHeight="1">
      <c r="A199" s="59" t="s">
        <v>451</v>
      </c>
      <c r="B199" s="59" t="s">
        <v>430</v>
      </c>
      <c r="C199" s="60" t="s">
        <v>20</v>
      </c>
      <c r="D199" s="61">
        <v>36.46</v>
      </c>
      <c r="E199" s="61">
        <f t="shared" si="16"/>
        <v>10.014479999999999</v>
      </c>
      <c r="F199" s="61" t="s">
        <v>92</v>
      </c>
      <c r="G199" s="61"/>
      <c r="H199" s="62"/>
      <c r="I199" s="62">
        <v>10.870611133364338</v>
      </c>
      <c r="J199" s="62">
        <v>3931.750723406311</v>
      </c>
      <c r="K199" s="62">
        <v>268.76937583265664</v>
      </c>
      <c r="L199" s="62">
        <v>500.67</v>
      </c>
      <c r="M199" s="62">
        <v>689.67</v>
      </c>
      <c r="N199" s="62" t="s">
        <v>225</v>
      </c>
      <c r="O199" s="63">
        <f t="shared" si="11"/>
        <v>10.870611133364338</v>
      </c>
      <c r="P199" s="63">
        <f t="shared" si="12"/>
        <v>3931.750723406311</v>
      </c>
      <c r="Q199" s="63">
        <f t="shared" si="13"/>
        <v>268.76937583265664</v>
      </c>
      <c r="R199" s="64">
        <f t="shared" si="14"/>
        <v>1</v>
      </c>
      <c r="S199" s="64">
        <f t="shared" si="15"/>
        <v>1</v>
      </c>
      <c r="T199" s="20"/>
      <c r="AF199" s="24"/>
      <c r="AG199" s="24"/>
      <c r="AH199" s="24"/>
      <c r="AI199" s="24"/>
      <c r="AJ199" s="24"/>
      <c r="AK199" s="24"/>
      <c r="AL199" s="24"/>
      <c r="AM199" s="24"/>
      <c r="AN199" s="24"/>
      <c r="AO199" s="24"/>
      <c r="AP199" s="24"/>
      <c r="AQ199" s="24"/>
      <c r="AR199" s="24"/>
      <c r="AS199" s="24"/>
      <c r="AT199" s="24"/>
      <c r="AU199" s="24"/>
      <c r="AV199" s="24"/>
      <c r="AW199" s="24"/>
      <c r="AX199" s="24"/>
    </row>
    <row r="200" spans="1:50" ht="14.25" customHeight="1">
      <c r="A200" s="59" t="s">
        <v>452</v>
      </c>
      <c r="B200" s="59" t="s">
        <v>453</v>
      </c>
      <c r="C200" s="60" t="s">
        <v>28</v>
      </c>
      <c r="D200" s="61">
        <v>373.3177</v>
      </c>
      <c r="E200" s="61">
        <f>1.6*8.3454</f>
        <v>13.352640000000001</v>
      </c>
      <c r="F200" s="61" t="s">
        <v>103</v>
      </c>
      <c r="G200" s="61"/>
      <c r="H200" s="62"/>
      <c r="I200" s="62"/>
      <c r="J200" s="62"/>
      <c r="K200" s="62"/>
      <c r="L200" s="62"/>
      <c r="M200" s="62"/>
      <c r="N200" s="62" t="s">
        <v>168</v>
      </c>
      <c r="O200" s="63">
        <f t="shared" si="11"/>
        <v>0</v>
      </c>
      <c r="P200" s="63">
        <f t="shared" si="12"/>
        <v>0</v>
      </c>
      <c r="Q200" s="63">
        <f t="shared" si="13"/>
        <v>0</v>
      </c>
      <c r="R200" s="64">
        <f t="shared" si="14"/>
        <v>1</v>
      </c>
      <c r="S200" s="64">
        <f t="shared" si="15"/>
        <v>1</v>
      </c>
      <c r="T200" s="20"/>
      <c r="AC200" s="72"/>
      <c r="AF200" s="24"/>
      <c r="AG200" s="24"/>
      <c r="AH200" s="24"/>
      <c r="AI200" s="24"/>
      <c r="AJ200" s="24"/>
      <c r="AK200" s="24"/>
      <c r="AL200" s="24"/>
      <c r="AM200" s="24"/>
      <c r="AN200" s="24"/>
      <c r="AO200" s="24"/>
      <c r="AP200" s="24"/>
      <c r="AQ200" s="24"/>
      <c r="AR200" s="24"/>
      <c r="AS200" s="24"/>
      <c r="AT200" s="24"/>
      <c r="AU200" s="24"/>
      <c r="AV200" s="24"/>
      <c r="AW200" s="24"/>
      <c r="AX200" s="24"/>
    </row>
    <row r="201" spans="1:50" ht="14.25" customHeight="1">
      <c r="A201" s="59" t="s">
        <v>454</v>
      </c>
      <c r="B201" s="59" t="s">
        <v>455</v>
      </c>
      <c r="C201" s="60" t="s">
        <v>24</v>
      </c>
      <c r="D201" s="61">
        <v>100.21</v>
      </c>
      <c r="E201" s="61">
        <v>5.6665299999999998</v>
      </c>
      <c r="F201" s="59" t="s">
        <v>92</v>
      </c>
      <c r="G201" s="61"/>
      <c r="H201" s="62"/>
      <c r="I201" s="62">
        <v>6.8994</v>
      </c>
      <c r="J201" s="62">
        <v>1331.53</v>
      </c>
      <c r="K201" s="62">
        <v>212.41</v>
      </c>
      <c r="L201" s="62"/>
      <c r="M201" s="62"/>
      <c r="N201" s="62" t="s">
        <v>216</v>
      </c>
      <c r="O201" s="63">
        <f t="shared" si="11"/>
        <v>6.8994</v>
      </c>
      <c r="P201" s="63">
        <f t="shared" si="12"/>
        <v>1331.53</v>
      </c>
      <c r="Q201" s="63">
        <f t="shared" si="13"/>
        <v>212.41</v>
      </c>
      <c r="R201" s="64">
        <f t="shared" si="14"/>
        <v>1</v>
      </c>
      <c r="S201" s="64">
        <f t="shared" si="15"/>
        <v>1</v>
      </c>
      <c r="T201" s="20"/>
      <c r="AC201" s="72"/>
      <c r="AF201" s="24"/>
      <c r="AG201" s="24"/>
      <c r="AH201" s="24"/>
      <c r="AI201" s="24"/>
      <c r="AJ201" s="24"/>
      <c r="AK201" s="24"/>
      <c r="AL201" s="24"/>
      <c r="AM201" s="24"/>
      <c r="AN201" s="24"/>
      <c r="AO201" s="24"/>
      <c r="AP201" s="24"/>
      <c r="AQ201" s="24"/>
      <c r="AR201" s="24"/>
      <c r="AS201" s="24"/>
      <c r="AT201" s="24"/>
      <c r="AU201" s="24"/>
      <c r="AV201" s="24"/>
      <c r="AW201" s="24"/>
      <c r="AX201" s="24"/>
    </row>
    <row r="202" spans="1:50" ht="14.25" customHeight="1">
      <c r="A202" s="65" t="s">
        <v>456</v>
      </c>
      <c r="B202" s="59" t="s">
        <v>457</v>
      </c>
      <c r="C202" s="60" t="s">
        <v>28</v>
      </c>
      <c r="D202" s="61">
        <v>284.77999999999997</v>
      </c>
      <c r="E202" s="61">
        <f>1.5691*8.3454</f>
        <v>13.094767139999998</v>
      </c>
      <c r="F202" s="61" t="s">
        <v>92</v>
      </c>
      <c r="G202" s="61"/>
      <c r="H202" s="62"/>
      <c r="I202" s="62">
        <v>6.0398100000000001</v>
      </c>
      <c r="J202" s="62">
        <v>1264.4259</v>
      </c>
      <c r="K202" s="62">
        <v>75.710999999999999</v>
      </c>
      <c r="L202" s="62">
        <v>806.99400000000003</v>
      </c>
      <c r="M202" s="62">
        <v>1151.748</v>
      </c>
      <c r="N202" s="62" t="s">
        <v>98</v>
      </c>
      <c r="O202" s="63">
        <f t="shared" si="11"/>
        <v>6.0398100000000001</v>
      </c>
      <c r="P202" s="63">
        <f t="shared" si="12"/>
        <v>1264.4259</v>
      </c>
      <c r="Q202" s="63">
        <f t="shared" si="13"/>
        <v>75.710999999999999</v>
      </c>
      <c r="R202" s="64">
        <f t="shared" si="14"/>
        <v>1</v>
      </c>
      <c r="S202" s="64">
        <f t="shared" si="15"/>
        <v>1</v>
      </c>
      <c r="T202" s="20"/>
      <c r="AC202" s="72"/>
      <c r="AF202" s="24"/>
      <c r="AG202" s="24"/>
      <c r="AH202" s="24"/>
      <c r="AI202" s="24"/>
      <c r="AJ202" s="24"/>
      <c r="AK202" s="24"/>
      <c r="AL202" s="24"/>
      <c r="AM202" s="24"/>
      <c r="AN202" s="24"/>
      <c r="AO202" s="24"/>
      <c r="AP202" s="24"/>
      <c r="AQ202" s="24"/>
      <c r="AR202" s="24"/>
      <c r="AS202" s="24"/>
      <c r="AT202" s="24"/>
      <c r="AU202" s="24"/>
      <c r="AV202" s="24"/>
      <c r="AW202" s="24"/>
      <c r="AX202" s="24"/>
    </row>
    <row r="203" spans="1:50" ht="14.25" customHeight="1">
      <c r="A203" s="59" t="s">
        <v>458</v>
      </c>
      <c r="B203" s="59" t="s">
        <v>459</v>
      </c>
      <c r="C203" s="60" t="s">
        <v>28</v>
      </c>
      <c r="D203" s="61">
        <v>260.76</v>
      </c>
      <c r="E203" s="61">
        <f>1.68*8.3454</f>
        <v>14.020271999999999</v>
      </c>
      <c r="F203" s="61" t="s">
        <v>92</v>
      </c>
      <c r="G203" s="61"/>
      <c r="H203" s="62"/>
      <c r="I203" s="62">
        <v>6.3741300000000001</v>
      </c>
      <c r="J203" s="62">
        <v>1284.8733999999999</v>
      </c>
      <c r="K203" s="62">
        <v>152.75899999999999</v>
      </c>
      <c r="L203" s="62">
        <v>647.01</v>
      </c>
      <c r="M203" s="62">
        <v>941.13</v>
      </c>
      <c r="N203" s="62" t="s">
        <v>98</v>
      </c>
      <c r="O203" s="63">
        <f t="shared" si="11"/>
        <v>6.3741300000000001</v>
      </c>
      <c r="P203" s="63">
        <f t="shared" si="12"/>
        <v>1284.8733999999999</v>
      </c>
      <c r="Q203" s="63">
        <f t="shared" si="13"/>
        <v>152.75899999999999</v>
      </c>
      <c r="R203" s="64">
        <f t="shared" si="14"/>
        <v>1</v>
      </c>
      <c r="S203" s="64">
        <f t="shared" si="15"/>
        <v>1</v>
      </c>
      <c r="T203" s="20"/>
      <c r="AC203" s="72"/>
      <c r="AF203" s="24"/>
      <c r="AG203" s="24"/>
      <c r="AH203" s="24"/>
      <c r="AI203" s="24"/>
      <c r="AJ203" s="24"/>
      <c r="AK203" s="24"/>
      <c r="AL203" s="24"/>
      <c r="AM203" s="24"/>
      <c r="AN203" s="24"/>
      <c r="AO203" s="24"/>
      <c r="AP203" s="24"/>
      <c r="AQ203" s="24"/>
      <c r="AR203" s="24"/>
      <c r="AS203" s="24"/>
      <c r="AT203" s="24"/>
      <c r="AU203" s="24"/>
      <c r="AV203" s="24"/>
      <c r="AW203" s="24"/>
      <c r="AX203" s="24"/>
    </row>
    <row r="204" spans="1:50" ht="14.25" customHeight="1">
      <c r="A204" s="65" t="s">
        <v>460</v>
      </c>
      <c r="B204" s="59" t="s">
        <v>461</v>
      </c>
      <c r="C204" s="60" t="s">
        <v>28</v>
      </c>
      <c r="D204" s="61">
        <v>272.11</v>
      </c>
      <c r="E204" s="61">
        <f>1.702*8.3454</f>
        <v>14.203870799999999</v>
      </c>
      <c r="F204" s="61" t="s">
        <v>92</v>
      </c>
      <c r="G204" s="61"/>
      <c r="H204" s="62"/>
      <c r="I204" s="62">
        <v>7.0892200000000001</v>
      </c>
      <c r="J204" s="62">
        <v>1829.1202000000001</v>
      </c>
      <c r="K204" s="62">
        <v>195.584</v>
      </c>
      <c r="L204" s="62">
        <v>680.31</v>
      </c>
      <c r="M204" s="62">
        <v>982.22399999999993</v>
      </c>
      <c r="N204" s="62" t="s">
        <v>98</v>
      </c>
      <c r="O204" s="63">
        <f t="shared" si="11"/>
        <v>7.0892200000000001</v>
      </c>
      <c r="P204" s="63">
        <f t="shared" si="12"/>
        <v>1829.1202000000001</v>
      </c>
      <c r="Q204" s="63">
        <f t="shared" si="13"/>
        <v>195.584</v>
      </c>
      <c r="R204" s="64">
        <f t="shared" si="14"/>
        <v>1</v>
      </c>
      <c r="S204" s="64">
        <f t="shared" si="15"/>
        <v>1</v>
      </c>
      <c r="T204" s="20"/>
      <c r="AC204" s="72"/>
      <c r="AF204" s="24"/>
      <c r="AG204" s="24"/>
      <c r="AH204" s="24"/>
      <c r="AI204" s="24"/>
      <c r="AJ204" s="24"/>
      <c r="AK204" s="24"/>
      <c r="AL204" s="24"/>
      <c r="AM204" s="24"/>
      <c r="AN204" s="24"/>
      <c r="AO204" s="24"/>
      <c r="AP204" s="24"/>
      <c r="AQ204" s="24"/>
      <c r="AR204" s="24"/>
      <c r="AS204" s="24"/>
      <c r="AT204" s="24"/>
      <c r="AU204" s="24"/>
      <c r="AV204" s="24"/>
      <c r="AW204" s="24"/>
      <c r="AX204" s="24"/>
    </row>
    <row r="205" spans="1:50" ht="14.25" customHeight="1">
      <c r="A205" s="65" t="s">
        <v>462</v>
      </c>
      <c r="B205" s="59" t="s">
        <v>463</v>
      </c>
      <c r="C205" s="60" t="s">
        <v>28</v>
      </c>
      <c r="D205" s="61">
        <v>236.74</v>
      </c>
      <c r="E205" s="61">
        <f>2.091*8.3454</f>
        <v>17.4502314</v>
      </c>
      <c r="F205" s="61" t="s">
        <v>92</v>
      </c>
      <c r="G205" s="61"/>
      <c r="H205" s="62"/>
      <c r="I205" s="62">
        <v>6.5300799999999999</v>
      </c>
      <c r="J205" s="62">
        <v>1214.2873</v>
      </c>
      <c r="K205" s="62">
        <v>147.899</v>
      </c>
      <c r="L205" s="62">
        <v>620.69400000000007</v>
      </c>
      <c r="M205" s="62">
        <v>878.25600000000009</v>
      </c>
      <c r="N205" s="62" t="s">
        <v>98</v>
      </c>
      <c r="O205" s="63">
        <f t="shared" si="11"/>
        <v>6.5300799999999999</v>
      </c>
      <c r="P205" s="63">
        <f t="shared" si="12"/>
        <v>1214.2873</v>
      </c>
      <c r="Q205" s="63">
        <f t="shared" si="13"/>
        <v>147.899</v>
      </c>
      <c r="R205" s="64">
        <f t="shared" si="14"/>
        <v>1</v>
      </c>
      <c r="S205" s="64">
        <f t="shared" si="15"/>
        <v>1</v>
      </c>
      <c r="T205" s="20"/>
      <c r="AC205" s="72"/>
      <c r="AF205" s="24"/>
      <c r="AG205" s="24"/>
      <c r="AH205" s="24"/>
      <c r="AI205" s="24"/>
      <c r="AJ205" s="24"/>
      <c r="AK205" s="24"/>
      <c r="AL205" s="24"/>
      <c r="AM205" s="24"/>
      <c r="AN205" s="24"/>
      <c r="AO205" s="24"/>
      <c r="AP205" s="24"/>
      <c r="AQ205" s="24"/>
      <c r="AR205" s="24"/>
      <c r="AS205" s="24"/>
      <c r="AT205" s="24"/>
      <c r="AU205" s="24"/>
      <c r="AV205" s="24"/>
      <c r="AW205" s="24"/>
      <c r="AX205" s="24"/>
    </row>
    <row r="206" spans="1:50" ht="14.25" customHeight="1">
      <c r="A206" s="59" t="s">
        <v>464</v>
      </c>
      <c r="B206" s="59" t="s">
        <v>465</v>
      </c>
      <c r="C206" s="60" t="s">
        <v>28</v>
      </c>
      <c r="D206" s="61">
        <v>168.19</v>
      </c>
      <c r="E206" s="61">
        <f>1.047*8.3454</f>
        <v>8.7376337999999993</v>
      </c>
      <c r="F206" s="61" t="s">
        <v>103</v>
      </c>
      <c r="G206" s="61"/>
      <c r="H206" s="62"/>
      <c r="I206" s="67"/>
      <c r="J206" s="67"/>
      <c r="K206" s="67"/>
      <c r="L206" s="67"/>
      <c r="M206" s="67"/>
      <c r="N206" s="62" t="s">
        <v>104</v>
      </c>
      <c r="O206" s="63">
        <f t="shared" si="11"/>
        <v>0</v>
      </c>
      <c r="P206" s="63">
        <f t="shared" si="12"/>
        <v>0</v>
      </c>
      <c r="Q206" s="63">
        <f t="shared" si="13"/>
        <v>0</v>
      </c>
      <c r="R206" s="64">
        <f t="shared" si="14"/>
        <v>1</v>
      </c>
      <c r="S206" s="64">
        <f t="shared" si="15"/>
        <v>1</v>
      </c>
      <c r="T206" s="20"/>
      <c r="AC206" s="72"/>
      <c r="AF206" s="24"/>
      <c r="AG206" s="24"/>
      <c r="AH206" s="24"/>
      <c r="AI206" s="24"/>
      <c r="AJ206" s="24"/>
      <c r="AK206" s="24"/>
      <c r="AL206" s="24"/>
      <c r="AM206" s="24"/>
      <c r="AN206" s="24"/>
      <c r="AO206" s="24"/>
      <c r="AP206" s="24"/>
      <c r="AQ206" s="24"/>
      <c r="AR206" s="24"/>
      <c r="AS206" s="24"/>
      <c r="AT206" s="24"/>
      <c r="AU206" s="24"/>
      <c r="AV206" s="24"/>
      <c r="AW206" s="24"/>
      <c r="AX206" s="24"/>
    </row>
    <row r="207" spans="1:50" ht="14.25" customHeight="1">
      <c r="A207" s="59" t="s">
        <v>466</v>
      </c>
      <c r="B207" s="59" t="s">
        <v>467</v>
      </c>
      <c r="C207" s="60" t="s">
        <v>28</v>
      </c>
      <c r="D207" s="61">
        <v>179.2</v>
      </c>
      <c r="E207" s="61">
        <f>1.03*8.3454</f>
        <v>8.5957620000000006</v>
      </c>
      <c r="F207" s="61" t="s">
        <v>103</v>
      </c>
      <c r="G207" s="61"/>
      <c r="H207" s="62"/>
      <c r="I207" s="67"/>
      <c r="J207" s="67"/>
      <c r="K207" s="67"/>
      <c r="L207" s="67"/>
      <c r="M207" s="67"/>
      <c r="N207" s="62" t="s">
        <v>104</v>
      </c>
      <c r="O207" s="63">
        <f t="shared" si="11"/>
        <v>0</v>
      </c>
      <c r="P207" s="63">
        <f t="shared" si="12"/>
        <v>0</v>
      </c>
      <c r="Q207" s="63">
        <f t="shared" si="13"/>
        <v>0</v>
      </c>
      <c r="R207" s="64">
        <f t="shared" si="14"/>
        <v>1</v>
      </c>
      <c r="S207" s="64">
        <f t="shared" si="15"/>
        <v>1</v>
      </c>
      <c r="T207" s="20"/>
      <c r="AC207" s="72"/>
      <c r="AF207" s="24"/>
      <c r="AG207" s="24"/>
      <c r="AH207" s="24"/>
      <c r="AI207" s="24"/>
      <c r="AJ207" s="24"/>
      <c r="AK207" s="24"/>
      <c r="AL207" s="24"/>
      <c r="AM207" s="24"/>
      <c r="AN207" s="24"/>
      <c r="AO207" s="24"/>
      <c r="AP207" s="24"/>
      <c r="AQ207" s="24"/>
      <c r="AR207" s="24"/>
      <c r="AS207" s="24"/>
      <c r="AT207" s="24"/>
      <c r="AU207" s="24"/>
      <c r="AV207" s="24"/>
      <c r="AW207" s="24"/>
      <c r="AX207" s="24"/>
    </row>
    <row r="208" spans="1:50" ht="14.25" customHeight="1">
      <c r="A208" s="59" t="s">
        <v>468</v>
      </c>
      <c r="B208" s="59" t="s">
        <v>469</v>
      </c>
      <c r="C208" s="60" t="s">
        <v>28</v>
      </c>
      <c r="D208" s="61">
        <v>86.17</v>
      </c>
      <c r="E208" s="61">
        <v>5.5270000000000001</v>
      </c>
      <c r="F208" s="59" t="s">
        <v>92</v>
      </c>
      <c r="G208" s="61"/>
      <c r="H208" s="62"/>
      <c r="I208" s="62">
        <v>6.8760000000000003</v>
      </c>
      <c r="J208" s="62">
        <v>1171.17</v>
      </c>
      <c r="K208" s="62">
        <v>224.41</v>
      </c>
      <c r="L208" s="62">
        <v>514.67000000000007</v>
      </c>
      <c r="M208" s="62">
        <v>616.67000000000007</v>
      </c>
      <c r="N208" s="62" t="s">
        <v>93</v>
      </c>
      <c r="O208" s="63">
        <f t="shared" si="11"/>
        <v>6.8760000000000003</v>
      </c>
      <c r="P208" s="63">
        <f t="shared" si="12"/>
        <v>1171.17</v>
      </c>
      <c r="Q208" s="63">
        <f t="shared" si="13"/>
        <v>224.41</v>
      </c>
      <c r="R208" s="64">
        <f t="shared" si="14"/>
        <v>1</v>
      </c>
      <c r="S208" s="64">
        <f t="shared" si="15"/>
        <v>1</v>
      </c>
      <c r="T208" s="20"/>
      <c r="AC208" s="72"/>
      <c r="AF208" s="24"/>
      <c r="AG208" s="24"/>
      <c r="AH208" s="24"/>
      <c r="AI208" s="24"/>
      <c r="AJ208" s="24"/>
      <c r="AK208" s="24"/>
      <c r="AL208" s="24"/>
      <c r="AM208" s="24"/>
      <c r="AN208" s="24"/>
      <c r="AO208" s="24"/>
      <c r="AP208" s="24"/>
      <c r="AQ208" s="24"/>
      <c r="AR208" s="24"/>
      <c r="AS208" s="24"/>
      <c r="AT208" s="24"/>
      <c r="AU208" s="24"/>
      <c r="AV208" s="24"/>
      <c r="AW208" s="24"/>
      <c r="AX208" s="24"/>
    </row>
    <row r="209" spans="1:50" ht="14.25" customHeight="1">
      <c r="A209" s="59" t="s">
        <v>470</v>
      </c>
      <c r="B209" s="59" t="s">
        <v>471</v>
      </c>
      <c r="C209" s="60" t="s">
        <v>24</v>
      </c>
      <c r="D209" s="61">
        <v>102.18</v>
      </c>
      <c r="E209" s="61">
        <v>6.7898209999999999</v>
      </c>
      <c r="F209" s="59" t="s">
        <v>92</v>
      </c>
      <c r="G209" s="61"/>
      <c r="H209" s="62"/>
      <c r="I209" s="62">
        <v>7.86</v>
      </c>
      <c r="J209" s="62">
        <v>1761.26</v>
      </c>
      <c r="K209" s="62">
        <v>196.66</v>
      </c>
      <c r="L209" s="62">
        <v>585.67000000000007</v>
      </c>
      <c r="M209" s="62">
        <v>774.67000000000007</v>
      </c>
      <c r="N209" s="62" t="s">
        <v>93</v>
      </c>
      <c r="O209" s="63">
        <f t="shared" si="11"/>
        <v>7.86</v>
      </c>
      <c r="P209" s="63">
        <f t="shared" si="12"/>
        <v>1761.26</v>
      </c>
      <c r="Q209" s="63">
        <f t="shared" si="13"/>
        <v>196.66</v>
      </c>
      <c r="R209" s="64">
        <f t="shared" si="14"/>
        <v>1</v>
      </c>
      <c r="S209" s="64">
        <f t="shared" si="15"/>
        <v>1</v>
      </c>
      <c r="T209" s="20"/>
      <c r="AC209" s="72"/>
      <c r="AF209" s="24"/>
      <c r="AG209" s="24"/>
      <c r="AH209" s="24"/>
      <c r="AI209" s="24"/>
      <c r="AJ209" s="24"/>
      <c r="AK209" s="24"/>
      <c r="AL209" s="24"/>
      <c r="AM209" s="24"/>
      <c r="AN209" s="24"/>
      <c r="AO209" s="24"/>
      <c r="AP209" s="24"/>
      <c r="AQ209" s="24"/>
      <c r="AR209" s="24"/>
      <c r="AS209" s="24"/>
      <c r="AT209" s="24"/>
      <c r="AU209" s="24"/>
      <c r="AV209" s="24"/>
      <c r="AW209" s="24"/>
      <c r="AX209" s="24"/>
    </row>
    <row r="210" spans="1:50" ht="14.25" customHeight="1">
      <c r="A210" s="59" t="s">
        <v>472</v>
      </c>
      <c r="B210" s="59" t="s">
        <v>473</v>
      </c>
      <c r="C210" s="60" t="s">
        <v>28</v>
      </c>
      <c r="D210" s="61">
        <v>32.049999999999997</v>
      </c>
      <c r="E210" s="61">
        <f>1.011*8.3454</f>
        <v>8.437199399999999</v>
      </c>
      <c r="F210" s="61" t="s">
        <v>92</v>
      </c>
      <c r="G210" s="61"/>
      <c r="H210" s="62"/>
      <c r="I210" s="62">
        <v>7.8287699999999996</v>
      </c>
      <c r="J210" s="62">
        <v>1698.5808</v>
      </c>
      <c r="K210" s="62">
        <v>229.79</v>
      </c>
      <c r="L210" s="62">
        <v>494.42400000000004</v>
      </c>
      <c r="M210" s="62">
        <v>1175.67</v>
      </c>
      <c r="N210" s="62" t="s">
        <v>98</v>
      </c>
      <c r="O210" s="63">
        <f t="shared" si="11"/>
        <v>7.8287699999999996</v>
      </c>
      <c r="P210" s="63">
        <f t="shared" si="12"/>
        <v>1698.5808</v>
      </c>
      <c r="Q210" s="63">
        <f t="shared" si="13"/>
        <v>229.79</v>
      </c>
      <c r="R210" s="64">
        <f t="shared" si="14"/>
        <v>1</v>
      </c>
      <c r="S210" s="64">
        <f t="shared" si="15"/>
        <v>1</v>
      </c>
      <c r="T210" s="20"/>
      <c r="AC210" s="72"/>
      <c r="AF210" s="24"/>
      <c r="AG210" s="24"/>
      <c r="AH210" s="24"/>
      <c r="AI210" s="24"/>
      <c r="AJ210" s="24"/>
      <c r="AK210" s="24"/>
      <c r="AL210" s="24"/>
      <c r="AM210" s="24"/>
      <c r="AN210" s="24"/>
      <c r="AO210" s="24"/>
      <c r="AP210" s="24"/>
      <c r="AQ210" s="24"/>
      <c r="AR210" s="24"/>
      <c r="AS210" s="24"/>
      <c r="AT210" s="24"/>
      <c r="AU210" s="24"/>
      <c r="AV210" s="24"/>
      <c r="AW210" s="24"/>
      <c r="AX210" s="24"/>
    </row>
    <row r="211" spans="1:50" ht="14.25" customHeight="1">
      <c r="A211" s="59" t="s">
        <v>474</v>
      </c>
      <c r="B211" s="59" t="s">
        <v>475</v>
      </c>
      <c r="C211" s="60" t="s">
        <v>28</v>
      </c>
      <c r="D211" s="61">
        <v>27.03</v>
      </c>
      <c r="E211" s="61">
        <v>5.7720000000000002</v>
      </c>
      <c r="F211" s="59" t="s">
        <v>92</v>
      </c>
      <c r="G211" s="61"/>
      <c r="H211" s="62"/>
      <c r="I211" s="62">
        <v>7.5279999999999996</v>
      </c>
      <c r="J211" s="62">
        <v>1329.5</v>
      </c>
      <c r="K211" s="62">
        <v>260.39999999999998</v>
      </c>
      <c r="L211" s="62">
        <v>461.67</v>
      </c>
      <c r="M211" s="62">
        <v>574.67000000000007</v>
      </c>
      <c r="N211" s="62" t="s">
        <v>93</v>
      </c>
      <c r="O211" s="63">
        <f t="shared" si="11"/>
        <v>7.5279999999999996</v>
      </c>
      <c r="P211" s="63">
        <f t="shared" si="12"/>
        <v>1329.5</v>
      </c>
      <c r="Q211" s="63">
        <f t="shared" si="13"/>
        <v>260.39999999999998</v>
      </c>
      <c r="R211" s="64">
        <f t="shared" si="14"/>
        <v>1</v>
      </c>
      <c r="S211" s="64">
        <f t="shared" si="15"/>
        <v>1</v>
      </c>
      <c r="T211" s="20"/>
      <c r="AC211" s="72"/>
      <c r="AF211" s="24"/>
      <c r="AG211" s="24"/>
      <c r="AH211" s="24"/>
      <c r="AI211" s="24"/>
      <c r="AJ211" s="24"/>
      <c r="AK211" s="24"/>
      <c r="AL211" s="24"/>
      <c r="AM211" s="24"/>
      <c r="AN211" s="24"/>
      <c r="AO211" s="24"/>
      <c r="AP211" s="24"/>
      <c r="AQ211" s="24"/>
      <c r="AR211" s="24"/>
      <c r="AS211" s="24"/>
      <c r="AT211" s="24"/>
      <c r="AU211" s="24"/>
      <c r="AV211" s="24"/>
      <c r="AW211" s="24"/>
      <c r="AX211" s="24"/>
    </row>
    <row r="212" spans="1:50" ht="14.25" customHeight="1">
      <c r="A212" s="59" t="s">
        <v>476</v>
      </c>
      <c r="B212" s="59" t="s">
        <v>477</v>
      </c>
      <c r="C212" s="60" t="s">
        <v>20</v>
      </c>
      <c r="D212" s="61">
        <v>20.010000000000002</v>
      </c>
      <c r="E212" s="61">
        <f>1.15*8.3454</f>
        <v>9.5972099999999987</v>
      </c>
      <c r="F212" s="61" t="s">
        <v>92</v>
      </c>
      <c r="G212" s="61"/>
      <c r="H212" s="62"/>
      <c r="I212" s="62">
        <v>7.6809799999999999</v>
      </c>
      <c r="J212" s="62">
        <v>1475.6</v>
      </c>
      <c r="K212" s="62">
        <v>287.88</v>
      </c>
      <c r="L212" s="62"/>
      <c r="M212" s="62"/>
      <c r="N212" s="62" t="s">
        <v>158</v>
      </c>
      <c r="O212" s="63">
        <f t="shared" si="11"/>
        <v>7.6809799999999999</v>
      </c>
      <c r="P212" s="63">
        <f t="shared" si="12"/>
        <v>1475.6</v>
      </c>
      <c r="Q212" s="63">
        <f t="shared" si="13"/>
        <v>287.88</v>
      </c>
      <c r="R212" s="64">
        <f t="shared" si="14"/>
        <v>1</v>
      </c>
      <c r="S212" s="64">
        <f t="shared" si="15"/>
        <v>1</v>
      </c>
      <c r="T212" s="20"/>
      <c r="AC212" s="72"/>
      <c r="AF212" s="24"/>
      <c r="AG212" s="24"/>
      <c r="AH212" s="24"/>
      <c r="AI212" s="24"/>
      <c r="AJ212" s="24"/>
      <c r="AK212" s="24"/>
      <c r="AL212" s="24"/>
      <c r="AM212" s="24"/>
      <c r="AN212" s="24"/>
      <c r="AO212" s="24"/>
      <c r="AP212" s="24"/>
      <c r="AQ212" s="24"/>
      <c r="AR212" s="24"/>
      <c r="AS212" s="24"/>
      <c r="AT212" s="24"/>
      <c r="AU212" s="24"/>
      <c r="AV212" s="24"/>
      <c r="AW212" s="24"/>
      <c r="AX212" s="24"/>
    </row>
    <row r="213" spans="1:50" ht="14.5">
      <c r="A213" s="65" t="s">
        <v>478</v>
      </c>
      <c r="B213" s="82" t="s">
        <v>479</v>
      </c>
      <c r="C213" s="60" t="s">
        <v>28</v>
      </c>
      <c r="D213" s="61">
        <v>34.08</v>
      </c>
      <c r="E213" s="61">
        <f>1.19*8.3454</f>
        <v>9.9310259999999992</v>
      </c>
      <c r="F213" s="61" t="s">
        <v>92</v>
      </c>
      <c r="G213" s="61"/>
      <c r="H213" s="62"/>
      <c r="I213" s="62">
        <v>7.11958</v>
      </c>
      <c r="J213" s="62">
        <v>802.22659999999996</v>
      </c>
      <c r="K213" s="62">
        <v>249.61</v>
      </c>
      <c r="L213" s="62">
        <v>337.82400000000001</v>
      </c>
      <c r="M213" s="62">
        <v>672.35400000000004</v>
      </c>
      <c r="N213" s="62" t="s">
        <v>98</v>
      </c>
      <c r="O213" s="63">
        <f t="shared" si="11"/>
        <v>7.11958</v>
      </c>
      <c r="P213" s="63">
        <f t="shared" si="12"/>
        <v>802.22659999999996</v>
      </c>
      <c r="Q213" s="63">
        <f t="shared" si="13"/>
        <v>249.61</v>
      </c>
      <c r="R213" s="64">
        <f t="shared" si="14"/>
        <v>1</v>
      </c>
      <c r="S213" s="64">
        <f t="shared" si="15"/>
        <v>1</v>
      </c>
      <c r="AC213" s="72"/>
      <c r="AF213" s="24"/>
      <c r="AG213" s="24"/>
      <c r="AH213" s="24"/>
      <c r="AI213" s="24"/>
      <c r="AJ213" s="24"/>
      <c r="AK213" s="24"/>
      <c r="AL213" s="24"/>
      <c r="AM213" s="24"/>
      <c r="AN213" s="24"/>
      <c r="AO213" s="24"/>
      <c r="AP213" s="24"/>
      <c r="AQ213" s="24"/>
      <c r="AR213" s="24"/>
      <c r="AS213" s="24"/>
      <c r="AT213" s="24"/>
      <c r="AU213" s="24"/>
      <c r="AV213" s="24"/>
      <c r="AW213" s="24"/>
      <c r="AX213" s="24"/>
    </row>
    <row r="214" spans="1:50" ht="14.5">
      <c r="A214" s="59" t="s">
        <v>480</v>
      </c>
      <c r="B214" s="59" t="s">
        <v>481</v>
      </c>
      <c r="C214" s="60" t="s">
        <v>28</v>
      </c>
      <c r="D214" s="61">
        <v>110.11</v>
      </c>
      <c r="E214" s="61">
        <v>10.842000000000001</v>
      </c>
      <c r="F214" s="61" t="s">
        <v>103</v>
      </c>
      <c r="G214" s="61"/>
      <c r="H214" s="62"/>
      <c r="I214" s="62"/>
      <c r="J214" s="62"/>
      <c r="K214" s="62"/>
      <c r="L214" s="62"/>
      <c r="M214" s="62"/>
      <c r="N214" s="62" t="s">
        <v>168</v>
      </c>
      <c r="O214" s="63">
        <f t="shared" si="11"/>
        <v>0</v>
      </c>
      <c r="P214" s="63">
        <f t="shared" si="12"/>
        <v>0</v>
      </c>
      <c r="Q214" s="63">
        <f t="shared" si="13"/>
        <v>0</v>
      </c>
      <c r="R214" s="64">
        <f t="shared" si="14"/>
        <v>1</v>
      </c>
      <c r="S214" s="64">
        <f t="shared" si="15"/>
        <v>1</v>
      </c>
      <c r="AC214" s="72"/>
      <c r="AF214" s="24"/>
      <c r="AG214" s="24"/>
      <c r="AH214" s="24"/>
      <c r="AI214" s="24"/>
      <c r="AJ214" s="24"/>
      <c r="AK214" s="24"/>
      <c r="AL214" s="24"/>
      <c r="AM214" s="24"/>
      <c r="AN214" s="24"/>
      <c r="AO214" s="24"/>
      <c r="AP214" s="24"/>
      <c r="AQ214" s="24"/>
      <c r="AR214" s="24"/>
      <c r="AS214" s="24"/>
      <c r="AT214" s="24"/>
      <c r="AU214" s="24"/>
      <c r="AV214" s="24"/>
      <c r="AW214" s="24"/>
      <c r="AX214" s="24"/>
    </row>
    <row r="215" spans="1:50" ht="14.5">
      <c r="A215" s="65" t="s">
        <v>482</v>
      </c>
      <c r="B215" s="59" t="s">
        <v>483</v>
      </c>
      <c r="C215" s="60" t="s">
        <v>28</v>
      </c>
      <c r="D215" s="61">
        <v>138.19999999999999</v>
      </c>
      <c r="E215" s="61">
        <v>7.6728000000000005</v>
      </c>
      <c r="F215" s="59" t="s">
        <v>92</v>
      </c>
      <c r="G215" s="61"/>
      <c r="H215" s="62"/>
      <c r="I215" s="62">
        <v>7.5264499999999996</v>
      </c>
      <c r="J215" s="62">
        <v>2124.5949000000001</v>
      </c>
      <c r="K215" s="62">
        <v>243.78100000000001</v>
      </c>
      <c r="L215" s="62">
        <v>638.82000000000005</v>
      </c>
      <c r="M215" s="62">
        <v>933.10199999999998</v>
      </c>
      <c r="N215" s="62" t="s">
        <v>98</v>
      </c>
      <c r="O215" s="63">
        <f t="shared" si="11"/>
        <v>7.5264499999999996</v>
      </c>
      <c r="P215" s="63">
        <f t="shared" si="12"/>
        <v>2124.5949000000001</v>
      </c>
      <c r="Q215" s="63">
        <f t="shared" si="13"/>
        <v>243.78100000000001</v>
      </c>
      <c r="R215" s="64">
        <f t="shared" si="14"/>
        <v>1</v>
      </c>
      <c r="S215" s="64">
        <f t="shared" si="15"/>
        <v>1</v>
      </c>
      <c r="AC215" s="72"/>
      <c r="AF215" s="24"/>
      <c r="AG215" s="24"/>
      <c r="AH215" s="24"/>
      <c r="AI215" s="24"/>
      <c r="AJ215" s="24"/>
      <c r="AK215" s="24"/>
      <c r="AL215" s="24"/>
      <c r="AM215" s="24"/>
      <c r="AN215" s="24"/>
      <c r="AO215" s="24"/>
      <c r="AP215" s="24"/>
      <c r="AQ215" s="24"/>
      <c r="AR215" s="24"/>
      <c r="AS215" s="24"/>
      <c r="AT215" s="24"/>
      <c r="AU215" s="24"/>
      <c r="AV215" s="24"/>
      <c r="AW215" s="24"/>
      <c r="AX215" s="24"/>
    </row>
    <row r="216" spans="1:50" ht="14.5">
      <c r="A216" s="59" t="s">
        <v>484</v>
      </c>
      <c r="B216" s="59" t="s">
        <v>485</v>
      </c>
      <c r="C216" s="60" t="s">
        <v>24</v>
      </c>
      <c r="D216" s="61">
        <v>60.09</v>
      </c>
      <c r="E216" s="61">
        <v>6.5730000000000004</v>
      </c>
      <c r="F216" s="59" t="s">
        <v>92</v>
      </c>
      <c r="G216" s="61"/>
      <c r="H216" s="62"/>
      <c r="I216" s="62">
        <v>8.1176999999999992</v>
      </c>
      <c r="J216" s="62">
        <v>1580.92</v>
      </c>
      <c r="K216" s="62">
        <v>219.61</v>
      </c>
      <c r="L216" s="62">
        <v>593.67000000000007</v>
      </c>
      <c r="M216" s="62">
        <v>652.67000000000007</v>
      </c>
      <c r="N216" s="62" t="s">
        <v>93</v>
      </c>
      <c r="O216" s="63">
        <f t="shared" si="11"/>
        <v>8.1176999999999992</v>
      </c>
      <c r="P216" s="63">
        <f t="shared" si="12"/>
        <v>1580.92</v>
      </c>
      <c r="Q216" s="63">
        <f t="shared" si="13"/>
        <v>219.61</v>
      </c>
      <c r="R216" s="64">
        <f t="shared" si="14"/>
        <v>1</v>
      </c>
      <c r="S216" s="64">
        <f t="shared" si="15"/>
        <v>1</v>
      </c>
      <c r="AC216" s="72"/>
      <c r="AF216" s="24"/>
      <c r="AG216" s="24"/>
      <c r="AH216" s="24"/>
      <c r="AI216" s="24"/>
      <c r="AJ216" s="24"/>
      <c r="AK216" s="24"/>
      <c r="AL216" s="24"/>
      <c r="AM216" s="24"/>
      <c r="AN216" s="24"/>
      <c r="AO216" s="24"/>
      <c r="AP216" s="24"/>
      <c r="AQ216" s="24"/>
      <c r="AR216" s="24"/>
      <c r="AS216" s="24"/>
      <c r="AT216" s="24"/>
      <c r="AU216" s="24"/>
      <c r="AV216" s="24"/>
      <c r="AW216" s="24"/>
      <c r="AX216" s="24"/>
    </row>
    <row r="217" spans="1:50" ht="14.5">
      <c r="A217" s="59" t="s">
        <v>486</v>
      </c>
      <c r="B217" s="59" t="s">
        <v>86</v>
      </c>
      <c r="C217" s="60" t="s">
        <v>24</v>
      </c>
      <c r="D217" s="61">
        <v>130</v>
      </c>
      <c r="E217" s="61">
        <v>7</v>
      </c>
      <c r="F217" s="59" t="s">
        <v>92</v>
      </c>
      <c r="G217" s="61"/>
      <c r="H217" s="62"/>
      <c r="I217" s="62">
        <v>-1.3908518546109798</v>
      </c>
      <c r="J217" s="62">
        <v>34.554551418630105</v>
      </c>
      <c r="K217" s="62">
        <v>-51.988869348699431</v>
      </c>
      <c r="L217" s="62"/>
      <c r="M217" s="62">
        <v>550</v>
      </c>
      <c r="N217" s="62" t="s">
        <v>487</v>
      </c>
      <c r="O217" s="63">
        <f t="shared" ref="O217:O280" si="17">IF($F217="RVP", (12.82-0.9672*LN($G217)), IF($F217 = "RVP+S", 15.64-(1.854*($H217^0.5))-(0.8742-(0.328*($H217^0.5)))*LN($G217), I217))</f>
        <v>-1.3908518546109798</v>
      </c>
      <c r="P217" s="63">
        <f t="shared" ref="P217:P280" si="18">IF($F217="RVP", (7261-1216*LN($G217)), IF($F217 = "RVP+S", 8742-(1042*($H217^0.5))-(1049-(179.4*($H217^0.5)))*LN($G217), J217))</f>
        <v>34.554551418630105</v>
      </c>
      <c r="Q217" s="63">
        <f t="shared" ref="Q217:Q280" si="19">IF($F217="RVP", 0, IF($F217 = "RVP+S", 0, K217))</f>
        <v>-51.988869348699431</v>
      </c>
      <c r="R217" s="64">
        <f t="shared" ref="R217:R280" si="20">IF($F217="RVP",0.4,1)</f>
        <v>1</v>
      </c>
      <c r="S217" s="64">
        <f t="shared" ref="S217:S280" si="21">IF($F217="RVP",0.75,1)</f>
        <v>1</v>
      </c>
      <c r="AF217" s="24"/>
      <c r="AG217" s="24"/>
      <c r="AH217" s="24"/>
      <c r="AI217" s="24"/>
      <c r="AJ217" s="24"/>
      <c r="AK217" s="24"/>
      <c r="AL217" s="24"/>
      <c r="AM217" s="24"/>
      <c r="AN217" s="24"/>
      <c r="AO217" s="24"/>
      <c r="AP217" s="24"/>
      <c r="AQ217" s="24"/>
      <c r="AR217" s="24"/>
      <c r="AS217" s="24"/>
      <c r="AT217" s="24"/>
      <c r="AU217" s="24"/>
      <c r="AV217" s="24"/>
      <c r="AW217" s="24"/>
      <c r="AX217" s="24"/>
    </row>
    <row r="218" spans="1:50" ht="14.5">
      <c r="A218" s="59" t="s">
        <v>488</v>
      </c>
      <c r="B218" s="59" t="s">
        <v>86</v>
      </c>
      <c r="C218" s="60" t="s">
        <v>24</v>
      </c>
      <c r="D218" s="61">
        <v>80</v>
      </c>
      <c r="E218" s="61">
        <v>6.4</v>
      </c>
      <c r="F218" s="59" t="s">
        <v>92</v>
      </c>
      <c r="G218" s="61"/>
      <c r="H218" s="62"/>
      <c r="I218" s="62">
        <v>3.9940725169176741</v>
      </c>
      <c r="J218" s="62">
        <v>273.5809962459133</v>
      </c>
      <c r="K218" s="62">
        <v>110.35542842581627</v>
      </c>
      <c r="L218" s="62"/>
      <c r="M218" s="62"/>
      <c r="N218" s="62" t="s">
        <v>487</v>
      </c>
      <c r="O218" s="63">
        <f t="shared" si="17"/>
        <v>3.9940725169176741</v>
      </c>
      <c r="P218" s="63">
        <f t="shared" si="18"/>
        <v>273.5809962459133</v>
      </c>
      <c r="Q218" s="63">
        <f t="shared" si="19"/>
        <v>110.35542842581627</v>
      </c>
      <c r="R218" s="64">
        <f t="shared" si="20"/>
        <v>1</v>
      </c>
      <c r="S218" s="64">
        <f t="shared" si="21"/>
        <v>1</v>
      </c>
      <c r="AF218" s="24"/>
      <c r="AG218" s="24"/>
      <c r="AH218" s="24"/>
      <c r="AI218" s="24"/>
      <c r="AJ218" s="24"/>
      <c r="AK218" s="24"/>
      <c r="AL218" s="24"/>
      <c r="AM218" s="24"/>
      <c r="AN218" s="24"/>
      <c r="AO218" s="24"/>
      <c r="AP218" s="24"/>
      <c r="AQ218" s="24"/>
      <c r="AR218" s="24"/>
      <c r="AS218" s="24"/>
      <c r="AT218" s="24"/>
      <c r="AU218" s="24"/>
      <c r="AV218" s="24"/>
      <c r="AW218" s="24"/>
      <c r="AX218" s="24"/>
    </row>
    <row r="219" spans="1:50" ht="14.5">
      <c r="A219" s="59" t="s">
        <v>489</v>
      </c>
      <c r="B219" s="59" t="s">
        <v>490</v>
      </c>
      <c r="C219" s="60" t="s">
        <v>28</v>
      </c>
      <c r="D219" s="61">
        <v>290.83</v>
      </c>
      <c r="E219" s="61">
        <f>1.7152*8.3454</f>
        <v>14.31403008</v>
      </c>
      <c r="F219" s="61" t="s">
        <v>103</v>
      </c>
      <c r="G219" s="61"/>
      <c r="H219" s="62"/>
      <c r="I219" s="62"/>
      <c r="J219" s="62"/>
      <c r="K219" s="62"/>
      <c r="L219" s="62"/>
      <c r="M219" s="62"/>
      <c r="N219" s="62" t="s">
        <v>109</v>
      </c>
      <c r="O219" s="63">
        <f t="shared" si="17"/>
        <v>0</v>
      </c>
      <c r="P219" s="63">
        <f t="shared" si="18"/>
        <v>0</v>
      </c>
      <c r="Q219" s="63">
        <f t="shared" si="19"/>
        <v>0</v>
      </c>
      <c r="R219" s="64">
        <f t="shared" si="20"/>
        <v>1</v>
      </c>
      <c r="S219" s="64">
        <f t="shared" si="21"/>
        <v>1</v>
      </c>
      <c r="AC219" s="72"/>
      <c r="AF219" s="24"/>
      <c r="AG219" s="24"/>
      <c r="AH219" s="24"/>
      <c r="AI219" s="24"/>
      <c r="AJ219" s="24"/>
      <c r="AK219" s="24"/>
      <c r="AL219" s="24"/>
      <c r="AM219" s="24"/>
      <c r="AN219" s="24"/>
    </row>
    <row r="220" spans="1:50" ht="14.5">
      <c r="A220" s="59" t="s">
        <v>491</v>
      </c>
      <c r="B220" s="59" t="s">
        <v>492</v>
      </c>
      <c r="C220" s="60" t="s">
        <v>28</v>
      </c>
      <c r="D220" s="61">
        <v>98.057000000000002</v>
      </c>
      <c r="E220" s="61">
        <f>1.48*8.34</f>
        <v>12.3432</v>
      </c>
      <c r="F220" s="59" t="s">
        <v>92</v>
      </c>
      <c r="G220" s="61"/>
      <c r="H220" s="62"/>
      <c r="I220" s="62">
        <v>8.3355599999999992</v>
      </c>
      <c r="J220" s="62">
        <v>2525.0547999999999</v>
      </c>
      <c r="K220" s="62">
        <v>262.86</v>
      </c>
      <c r="L220" s="62">
        <v>586.80000000000007</v>
      </c>
      <c r="M220" s="62">
        <v>905.00400000000002</v>
      </c>
      <c r="N220" s="62" t="s">
        <v>98</v>
      </c>
      <c r="O220" s="63">
        <f t="shared" si="17"/>
        <v>8.3355599999999992</v>
      </c>
      <c r="P220" s="63">
        <f t="shared" si="18"/>
        <v>2525.0547999999999</v>
      </c>
      <c r="Q220" s="63">
        <f t="shared" si="19"/>
        <v>262.86</v>
      </c>
      <c r="R220" s="64">
        <f t="shared" si="20"/>
        <v>1</v>
      </c>
      <c r="S220" s="64">
        <f t="shared" si="21"/>
        <v>1</v>
      </c>
      <c r="AC220" s="72"/>
      <c r="AF220" s="24"/>
      <c r="AG220" s="24"/>
      <c r="AH220" s="24"/>
      <c r="AI220" s="24"/>
      <c r="AJ220" s="24"/>
      <c r="AK220" s="24"/>
      <c r="AL220" s="24"/>
      <c r="AM220" s="24"/>
      <c r="AN220" s="24"/>
    </row>
    <row r="221" spans="1:50" ht="14.5">
      <c r="A221" s="59" t="s">
        <v>493</v>
      </c>
      <c r="B221" s="59" t="s">
        <v>494</v>
      </c>
      <c r="C221" s="60" t="s">
        <v>33</v>
      </c>
      <c r="D221" s="83">
        <v>16.0425</v>
      </c>
      <c r="E221" s="61">
        <f>0.656*8.34</f>
        <v>5.4710400000000003</v>
      </c>
      <c r="F221" s="61" t="s">
        <v>92</v>
      </c>
      <c r="G221" s="61"/>
      <c r="H221" s="62"/>
      <c r="I221" s="62">
        <f>4.22061 -LOG10(1.01325/760)</f>
        <v>7.0957069798670602</v>
      </c>
      <c r="J221" s="62">
        <v>516.68899999999996</v>
      </c>
      <c r="K221" s="62">
        <f>11.223+ 273.15</f>
        <v>284.37299999999999</v>
      </c>
      <c r="L221" s="62">
        <v>198</v>
      </c>
      <c r="M221" s="62">
        <v>324.89999999999998</v>
      </c>
      <c r="N221" s="62" t="s">
        <v>130</v>
      </c>
      <c r="O221" s="63">
        <f t="shared" si="17"/>
        <v>7.0957069798670602</v>
      </c>
      <c r="P221" s="63">
        <f t="shared" si="18"/>
        <v>516.68899999999996</v>
      </c>
      <c r="Q221" s="63">
        <f t="shared" si="19"/>
        <v>284.37299999999999</v>
      </c>
      <c r="R221" s="64">
        <f t="shared" si="20"/>
        <v>1</v>
      </c>
      <c r="S221" s="64">
        <f t="shared" si="21"/>
        <v>1</v>
      </c>
      <c r="AF221" s="24"/>
      <c r="AG221" s="24"/>
      <c r="AH221" s="24"/>
      <c r="AI221" s="24"/>
      <c r="AJ221" s="24"/>
      <c r="AK221" s="24"/>
      <c r="AL221" s="24"/>
      <c r="AM221" s="24"/>
      <c r="AN221" s="24"/>
    </row>
    <row r="222" spans="1:50" ht="14.5">
      <c r="A222" s="59" t="s">
        <v>495</v>
      </c>
      <c r="B222" s="59" t="s">
        <v>496</v>
      </c>
      <c r="C222" s="60" t="s">
        <v>28</v>
      </c>
      <c r="D222" s="61">
        <v>32.04</v>
      </c>
      <c r="E222" s="61">
        <v>6.63</v>
      </c>
      <c r="F222" s="59" t="s">
        <v>92</v>
      </c>
      <c r="G222" s="61"/>
      <c r="H222" s="62"/>
      <c r="I222" s="62">
        <v>7.8970000000000002</v>
      </c>
      <c r="J222" s="62">
        <v>1474.08</v>
      </c>
      <c r="K222" s="62">
        <v>229.13</v>
      </c>
      <c r="L222" s="62">
        <v>518.67000000000007</v>
      </c>
      <c r="M222" s="62">
        <v>642.67000000000007</v>
      </c>
      <c r="N222" s="62" t="s">
        <v>93</v>
      </c>
      <c r="O222" s="63">
        <f t="shared" si="17"/>
        <v>7.8970000000000002</v>
      </c>
      <c r="P222" s="63">
        <f t="shared" si="18"/>
        <v>1474.08</v>
      </c>
      <c r="Q222" s="63">
        <f t="shared" si="19"/>
        <v>229.13</v>
      </c>
      <c r="R222" s="64">
        <f t="shared" si="20"/>
        <v>1</v>
      </c>
      <c r="S222" s="64">
        <f t="shared" si="21"/>
        <v>1</v>
      </c>
      <c r="AC222" s="72"/>
      <c r="AF222" s="24"/>
      <c r="AG222" s="24"/>
      <c r="AH222" s="24"/>
      <c r="AI222" s="24"/>
      <c r="AJ222" s="24"/>
      <c r="AK222" s="24"/>
      <c r="AL222" s="24"/>
      <c r="AM222" s="24"/>
      <c r="AN222" s="24"/>
    </row>
    <row r="223" spans="1:50" ht="14.5">
      <c r="A223" s="59" t="s">
        <v>497</v>
      </c>
      <c r="B223" s="59" t="s">
        <v>498</v>
      </c>
      <c r="C223" s="60" t="s">
        <v>28</v>
      </c>
      <c r="D223" s="61">
        <v>345.6481</v>
      </c>
      <c r="E223" s="61">
        <f>1.41*8.3454</f>
        <v>11.767014</v>
      </c>
      <c r="F223" s="61" t="s">
        <v>103</v>
      </c>
      <c r="G223" s="61"/>
      <c r="H223" s="62"/>
      <c r="I223" s="62"/>
      <c r="J223" s="62"/>
      <c r="K223" s="62"/>
      <c r="L223" s="62"/>
      <c r="M223" s="62"/>
      <c r="N223" s="62" t="s">
        <v>109</v>
      </c>
      <c r="O223" s="63">
        <f t="shared" si="17"/>
        <v>0</v>
      </c>
      <c r="P223" s="63">
        <f t="shared" si="18"/>
        <v>0</v>
      </c>
      <c r="Q223" s="63">
        <f t="shared" si="19"/>
        <v>0</v>
      </c>
      <c r="R223" s="64">
        <f t="shared" si="20"/>
        <v>1</v>
      </c>
      <c r="S223" s="64">
        <f t="shared" si="21"/>
        <v>1</v>
      </c>
      <c r="AC223" s="72"/>
      <c r="AF223" s="24"/>
      <c r="AG223" s="24"/>
      <c r="AH223" s="24"/>
      <c r="AI223" s="24"/>
      <c r="AJ223" s="24"/>
      <c r="AK223" s="24"/>
      <c r="AL223" s="24"/>
      <c r="AM223" s="24"/>
      <c r="AN223" s="24"/>
    </row>
    <row r="224" spans="1:50" ht="14.5">
      <c r="A224" s="59" t="s">
        <v>499</v>
      </c>
      <c r="B224" s="59" t="s">
        <v>500</v>
      </c>
      <c r="C224" s="60" t="s">
        <v>33</v>
      </c>
      <c r="D224" s="61">
        <v>74.08</v>
      </c>
      <c r="E224" s="61">
        <v>7.8310000000000004</v>
      </c>
      <c r="F224" s="59" t="s">
        <v>92</v>
      </c>
      <c r="G224" s="61"/>
      <c r="H224" s="62"/>
      <c r="I224" s="62">
        <v>7.0650000000000004</v>
      </c>
      <c r="J224" s="62">
        <v>1157.6300000000001</v>
      </c>
      <c r="K224" s="62">
        <v>219.73</v>
      </c>
      <c r="L224" s="62">
        <v>494.67</v>
      </c>
      <c r="M224" s="62">
        <v>592.67000000000007</v>
      </c>
      <c r="N224" s="62" t="s">
        <v>93</v>
      </c>
      <c r="O224" s="63">
        <f t="shared" si="17"/>
        <v>7.0650000000000004</v>
      </c>
      <c r="P224" s="63">
        <f t="shared" si="18"/>
        <v>1157.6300000000001</v>
      </c>
      <c r="Q224" s="63">
        <f t="shared" si="19"/>
        <v>219.73</v>
      </c>
      <c r="R224" s="64">
        <f t="shared" si="20"/>
        <v>1</v>
      </c>
      <c r="S224" s="64">
        <f t="shared" si="21"/>
        <v>1</v>
      </c>
      <c r="AC224" s="72"/>
      <c r="AF224" s="24"/>
      <c r="AG224" s="24"/>
      <c r="AH224" s="24"/>
      <c r="AI224" s="24"/>
      <c r="AJ224" s="24"/>
      <c r="AK224" s="24"/>
      <c r="AL224" s="24"/>
      <c r="AM224" s="24"/>
      <c r="AN224" s="24"/>
    </row>
    <row r="225" spans="1:34" ht="14.5">
      <c r="A225" s="59" t="s">
        <v>501</v>
      </c>
      <c r="B225" s="59" t="s">
        <v>502</v>
      </c>
      <c r="C225" s="60" t="s">
        <v>28</v>
      </c>
      <c r="D225" s="61">
        <v>94.94</v>
      </c>
      <c r="E225" s="61">
        <f>3.3*8.3454</f>
        <v>27.539819999999999</v>
      </c>
      <c r="F225" s="61" t="s">
        <v>92</v>
      </c>
      <c r="G225" s="61"/>
      <c r="H225" s="62"/>
      <c r="I225" s="62">
        <f>4.26874-LOG10(1.01325/760)</f>
        <v>7.1438369798670607</v>
      </c>
      <c r="J225" s="62">
        <v>1069.7080000000001</v>
      </c>
      <c r="K225" s="62">
        <f>-25.771+273.15</f>
        <v>247.37899999999996</v>
      </c>
      <c r="L225" s="62">
        <v>365.4</v>
      </c>
      <c r="M225" s="62">
        <v>498.24</v>
      </c>
      <c r="N225" s="62" t="s">
        <v>130</v>
      </c>
      <c r="O225" s="63">
        <f t="shared" si="17"/>
        <v>7.1438369798670607</v>
      </c>
      <c r="P225" s="63">
        <f t="shared" si="18"/>
        <v>1069.7080000000001</v>
      </c>
      <c r="Q225" s="63">
        <f t="shared" si="19"/>
        <v>247.37899999999996</v>
      </c>
      <c r="R225" s="64">
        <f t="shared" si="20"/>
        <v>1</v>
      </c>
      <c r="S225" s="64">
        <f t="shared" si="21"/>
        <v>1</v>
      </c>
      <c r="AC225" s="72"/>
      <c r="AF225" s="24"/>
      <c r="AG225" s="24"/>
      <c r="AH225" s="24"/>
    </row>
    <row r="226" spans="1:34" ht="14.5">
      <c r="A226" s="59" t="s">
        <v>503</v>
      </c>
      <c r="B226" s="59" t="s">
        <v>504</v>
      </c>
      <c r="C226" s="60" t="s">
        <v>28</v>
      </c>
      <c r="D226" s="61">
        <v>50.49</v>
      </c>
      <c r="E226" s="61">
        <f>0.915*8.3454</f>
        <v>7.6360409999999996</v>
      </c>
      <c r="F226" s="61" t="s">
        <v>92</v>
      </c>
      <c r="G226" s="61"/>
      <c r="H226" s="62"/>
      <c r="I226" s="62">
        <f>4.91858-LOG10(1.01325/760)</f>
        <v>7.7936769798670618</v>
      </c>
      <c r="J226" s="62">
        <v>1427.529</v>
      </c>
      <c r="K226" s="62">
        <f>45.137+273.15</f>
        <v>318.28699999999998</v>
      </c>
      <c r="L226" s="62">
        <v>545.4</v>
      </c>
      <c r="M226" s="62">
        <v>749.34</v>
      </c>
      <c r="N226" s="62" t="s">
        <v>130</v>
      </c>
      <c r="O226" s="63">
        <f t="shared" si="17"/>
        <v>7.7936769798670618</v>
      </c>
      <c r="P226" s="63">
        <f t="shared" si="18"/>
        <v>1427.529</v>
      </c>
      <c r="Q226" s="63">
        <f t="shared" si="19"/>
        <v>318.28699999999998</v>
      </c>
      <c r="R226" s="64">
        <f t="shared" si="20"/>
        <v>1</v>
      </c>
      <c r="S226" s="64">
        <f t="shared" si="21"/>
        <v>1</v>
      </c>
      <c r="AC226" s="72"/>
      <c r="AF226" s="24"/>
      <c r="AG226" s="24"/>
      <c r="AH226" s="24"/>
    </row>
    <row r="227" spans="1:34" ht="14.5">
      <c r="A227" s="59" t="s">
        <v>505</v>
      </c>
      <c r="B227" s="59" t="s">
        <v>506</v>
      </c>
      <c r="C227" s="60" t="s">
        <v>24</v>
      </c>
      <c r="D227" s="61">
        <v>72.099999999999994</v>
      </c>
      <c r="E227" s="61">
        <v>6.7469999999999999</v>
      </c>
      <c r="F227" s="59" t="s">
        <v>92</v>
      </c>
      <c r="G227" s="61"/>
      <c r="H227" s="62"/>
      <c r="I227" s="62">
        <v>6.8644999999999996</v>
      </c>
      <c r="J227" s="62">
        <v>1150.2070000000001</v>
      </c>
      <c r="K227" s="62">
        <v>209.24600000000001</v>
      </c>
      <c r="L227" s="62">
        <v>565.67000000000007</v>
      </c>
      <c r="M227" s="62">
        <v>666.67000000000007</v>
      </c>
      <c r="N227" s="62" t="s">
        <v>93</v>
      </c>
      <c r="O227" s="63">
        <f t="shared" si="17"/>
        <v>6.8644999999999996</v>
      </c>
      <c r="P227" s="63">
        <f t="shared" si="18"/>
        <v>1150.2070000000001</v>
      </c>
      <c r="Q227" s="63">
        <f t="shared" si="19"/>
        <v>209.24600000000001</v>
      </c>
      <c r="R227" s="64">
        <f t="shared" si="20"/>
        <v>1</v>
      </c>
      <c r="S227" s="64">
        <f t="shared" si="21"/>
        <v>1</v>
      </c>
      <c r="U227" s="84"/>
      <c r="V227" s="84"/>
      <c r="W227" s="84"/>
      <c r="X227" s="84"/>
      <c r="AC227" s="72"/>
      <c r="AF227" s="24"/>
    </row>
    <row r="228" spans="1:34" ht="14.5">
      <c r="A228" s="59" t="s">
        <v>507</v>
      </c>
      <c r="B228" s="59" t="s">
        <v>508</v>
      </c>
      <c r="C228" s="60" t="s">
        <v>28</v>
      </c>
      <c r="D228" s="61">
        <v>46.07</v>
      </c>
      <c r="E228" s="61">
        <f>1.6*8.3454</f>
        <v>13.352640000000001</v>
      </c>
      <c r="F228" s="61" t="s">
        <v>92</v>
      </c>
      <c r="G228" s="61"/>
      <c r="H228" s="62"/>
      <c r="I228" s="62">
        <f>3.96787 -LOG10(1.01325/760)</f>
        <v>6.8429669798670609</v>
      </c>
      <c r="J228" s="62">
        <v>1115.19</v>
      </c>
      <c r="K228" s="62">
        <f>-81.502+273.15</f>
        <v>191.64799999999997</v>
      </c>
      <c r="L228" s="62">
        <v>495.19799999999998</v>
      </c>
      <c r="M228" s="62">
        <v>536.976</v>
      </c>
      <c r="N228" s="62" t="s">
        <v>130</v>
      </c>
      <c r="O228" s="63">
        <f t="shared" si="17"/>
        <v>6.8429669798670609</v>
      </c>
      <c r="P228" s="63">
        <f t="shared" si="18"/>
        <v>1115.19</v>
      </c>
      <c r="Q228" s="63">
        <f t="shared" si="19"/>
        <v>191.64799999999997</v>
      </c>
      <c r="R228" s="64">
        <f t="shared" si="20"/>
        <v>1</v>
      </c>
      <c r="S228" s="64">
        <f t="shared" si="21"/>
        <v>1</v>
      </c>
      <c r="AC228" s="72"/>
      <c r="AF228" s="24"/>
    </row>
    <row r="229" spans="1:34" ht="14.5">
      <c r="A229" s="59" t="s">
        <v>509</v>
      </c>
      <c r="B229" s="59" t="s">
        <v>510</v>
      </c>
      <c r="C229" s="60" t="s">
        <v>28</v>
      </c>
      <c r="D229" s="61">
        <v>141.94</v>
      </c>
      <c r="E229" s="61">
        <f>2.28*8.3454</f>
        <v>19.027511999999998</v>
      </c>
      <c r="F229" s="61" t="s">
        <v>92</v>
      </c>
      <c r="G229" s="61"/>
      <c r="H229" s="62"/>
      <c r="I229" s="62">
        <f>4.1554 -LOG10(1.01325/760)</f>
        <v>7.0304969798670616</v>
      </c>
      <c r="J229" s="62">
        <v>1177.78</v>
      </c>
      <c r="K229" s="62">
        <f>-32.058+273.15</f>
        <v>241.09199999999998</v>
      </c>
      <c r="L229" s="62">
        <v>392.4</v>
      </c>
      <c r="M229" s="62">
        <v>568.08000000000004</v>
      </c>
      <c r="N229" s="62" t="s">
        <v>130</v>
      </c>
      <c r="O229" s="63">
        <f t="shared" si="17"/>
        <v>7.0304969798670616</v>
      </c>
      <c r="P229" s="63">
        <f t="shared" si="18"/>
        <v>1177.78</v>
      </c>
      <c r="Q229" s="63">
        <f t="shared" si="19"/>
        <v>241.09199999999998</v>
      </c>
      <c r="R229" s="64">
        <f t="shared" si="20"/>
        <v>1</v>
      </c>
      <c r="S229" s="64">
        <f t="shared" si="21"/>
        <v>1</v>
      </c>
      <c r="AC229" s="72"/>
      <c r="AF229" s="24"/>
    </row>
    <row r="230" spans="1:34" ht="14.5">
      <c r="A230" s="59" t="s">
        <v>511</v>
      </c>
      <c r="B230" s="59" t="s">
        <v>512</v>
      </c>
      <c r="C230" s="60" t="s">
        <v>28</v>
      </c>
      <c r="D230" s="61">
        <v>100.16</v>
      </c>
      <c r="E230" s="61">
        <v>6.6930139999999998</v>
      </c>
      <c r="F230" s="59" t="s">
        <v>92</v>
      </c>
      <c r="G230" s="61"/>
      <c r="H230" s="62"/>
      <c r="I230" s="62">
        <v>6.6719999999999997</v>
      </c>
      <c r="J230" s="62">
        <v>1168.4000000000001</v>
      </c>
      <c r="K230" s="62">
        <v>191.9</v>
      </c>
      <c r="L230" s="62">
        <v>530.67000000000007</v>
      </c>
      <c r="M230" s="62">
        <v>700.67000000000007</v>
      </c>
      <c r="N230" s="62" t="s">
        <v>93</v>
      </c>
      <c r="O230" s="63">
        <f t="shared" si="17"/>
        <v>6.6719999999999997</v>
      </c>
      <c r="P230" s="63">
        <f t="shared" si="18"/>
        <v>1168.4000000000001</v>
      </c>
      <c r="Q230" s="63">
        <f t="shared" si="19"/>
        <v>191.9</v>
      </c>
      <c r="R230" s="64">
        <f t="shared" si="20"/>
        <v>1</v>
      </c>
      <c r="S230" s="64">
        <f t="shared" si="21"/>
        <v>1</v>
      </c>
      <c r="AC230" s="72"/>
    </row>
    <row r="231" spans="1:34" ht="14.5">
      <c r="A231" s="59" t="s">
        <v>513</v>
      </c>
      <c r="B231" s="59" t="s">
        <v>514</v>
      </c>
      <c r="C231" s="60" t="s">
        <v>28</v>
      </c>
      <c r="D231" s="61">
        <v>57.05</v>
      </c>
      <c r="E231" s="61">
        <f>0.923*8.3454</f>
        <v>7.7028042000000001</v>
      </c>
      <c r="F231" s="61" t="s">
        <v>92</v>
      </c>
      <c r="G231" s="61"/>
      <c r="H231" s="62"/>
      <c r="I231" s="62">
        <v>6.6961700000000004</v>
      </c>
      <c r="J231" s="62">
        <v>915.48829999999998</v>
      </c>
      <c r="K231" s="62">
        <v>200.84800000000001</v>
      </c>
      <c r="L231" s="62">
        <v>419.43600000000004</v>
      </c>
      <c r="M231" s="62">
        <v>599.04</v>
      </c>
      <c r="N231" s="62" t="s">
        <v>98</v>
      </c>
      <c r="O231" s="63">
        <f t="shared" si="17"/>
        <v>6.6961700000000004</v>
      </c>
      <c r="P231" s="63">
        <f t="shared" si="18"/>
        <v>915.48829999999998</v>
      </c>
      <c r="Q231" s="63">
        <f t="shared" si="19"/>
        <v>200.84800000000001</v>
      </c>
      <c r="R231" s="64">
        <f t="shared" si="20"/>
        <v>1</v>
      </c>
      <c r="S231" s="64">
        <f t="shared" si="21"/>
        <v>1</v>
      </c>
      <c r="AC231" s="72"/>
    </row>
    <row r="232" spans="1:34" ht="14.5">
      <c r="A232" s="59" t="s">
        <v>515</v>
      </c>
      <c r="B232" s="59" t="s">
        <v>516</v>
      </c>
      <c r="C232" s="60" t="s">
        <v>28</v>
      </c>
      <c r="D232" s="61">
        <v>100.11</v>
      </c>
      <c r="E232" s="61">
        <v>7.9089999999999998</v>
      </c>
      <c r="F232" s="59" t="s">
        <v>92</v>
      </c>
      <c r="G232" s="61"/>
      <c r="H232" s="62"/>
      <c r="I232" s="62">
        <v>8.4090000000000007</v>
      </c>
      <c r="J232" s="62">
        <v>2050.5</v>
      </c>
      <c r="K232" s="62">
        <v>274.39999999999998</v>
      </c>
      <c r="L232" s="62">
        <v>561.67000000000007</v>
      </c>
      <c r="M232" s="62">
        <v>651.67000000000007</v>
      </c>
      <c r="N232" s="62" t="s">
        <v>93</v>
      </c>
      <c r="O232" s="63">
        <f t="shared" si="17"/>
        <v>8.4090000000000007</v>
      </c>
      <c r="P232" s="63">
        <f t="shared" si="18"/>
        <v>2050.5</v>
      </c>
      <c r="Q232" s="63">
        <f t="shared" si="19"/>
        <v>274.39999999999998</v>
      </c>
      <c r="R232" s="64">
        <f t="shared" si="20"/>
        <v>1</v>
      </c>
      <c r="S232" s="64">
        <f t="shared" si="21"/>
        <v>1</v>
      </c>
      <c r="AC232" s="72"/>
    </row>
    <row r="233" spans="1:34" ht="14.5">
      <c r="A233" s="59" t="s">
        <v>517</v>
      </c>
      <c r="B233" s="59" t="s">
        <v>518</v>
      </c>
      <c r="C233" s="60" t="s">
        <v>24</v>
      </c>
      <c r="D233" s="61">
        <v>118.18</v>
      </c>
      <c r="E233" s="61">
        <v>7.5943180000000003</v>
      </c>
      <c r="F233" s="59" t="s">
        <v>92</v>
      </c>
      <c r="G233" s="61"/>
      <c r="H233" s="62"/>
      <c r="I233" s="62">
        <v>6.923</v>
      </c>
      <c r="J233" s="62">
        <v>1486.88</v>
      </c>
      <c r="K233" s="62">
        <v>202.4</v>
      </c>
      <c r="L233" s="62"/>
      <c r="M233" s="62"/>
      <c r="N233" s="62" t="s">
        <v>216</v>
      </c>
      <c r="O233" s="63">
        <f t="shared" si="17"/>
        <v>6.923</v>
      </c>
      <c r="P233" s="63">
        <f t="shared" si="18"/>
        <v>1486.88</v>
      </c>
      <c r="Q233" s="63">
        <f t="shared" si="19"/>
        <v>202.4</v>
      </c>
      <c r="R233" s="64">
        <f t="shared" si="20"/>
        <v>1</v>
      </c>
      <c r="S233" s="64">
        <f t="shared" si="21"/>
        <v>1</v>
      </c>
      <c r="AC233" s="72"/>
    </row>
    <row r="234" spans="1:34" ht="14.5">
      <c r="A234" s="59" t="s">
        <v>519</v>
      </c>
      <c r="B234" s="59" t="s">
        <v>520</v>
      </c>
      <c r="C234" s="60" t="s">
        <v>28</v>
      </c>
      <c r="D234" s="61">
        <v>88.15</v>
      </c>
      <c r="E234" s="61">
        <f>0.7404*8.3454</f>
        <v>6.178934159999999</v>
      </c>
      <c r="F234" s="61" t="s">
        <v>92</v>
      </c>
      <c r="G234" s="61"/>
      <c r="H234" s="62"/>
      <c r="I234" s="62">
        <f>4.00878-LOG10(1.01325/760)</f>
        <v>6.8838769798670612</v>
      </c>
      <c r="J234" s="62">
        <v>1160.2719999999999</v>
      </c>
      <c r="K234" s="62">
        <f>-53.444+273.15</f>
        <v>219.70599999999996</v>
      </c>
      <c r="L234" s="62">
        <v>532.99800000000005</v>
      </c>
      <c r="M234" s="62">
        <v>613.98</v>
      </c>
      <c r="N234" s="62" t="s">
        <v>130</v>
      </c>
      <c r="O234" s="63">
        <f t="shared" si="17"/>
        <v>6.8838769798670612</v>
      </c>
      <c r="P234" s="63">
        <f t="shared" si="18"/>
        <v>1160.2719999999999</v>
      </c>
      <c r="Q234" s="63">
        <f t="shared" si="19"/>
        <v>219.70599999999996</v>
      </c>
      <c r="R234" s="64">
        <f t="shared" si="20"/>
        <v>1</v>
      </c>
      <c r="S234" s="64">
        <f t="shared" si="21"/>
        <v>1</v>
      </c>
      <c r="AC234" s="72"/>
    </row>
    <row r="235" spans="1:34" ht="14.5">
      <c r="A235" s="59" t="s">
        <v>521</v>
      </c>
      <c r="B235" s="59" t="s">
        <v>522</v>
      </c>
      <c r="C235" s="60" t="s">
        <v>33</v>
      </c>
      <c r="D235" s="61">
        <v>84.94</v>
      </c>
      <c r="E235" s="61">
        <v>11.122</v>
      </c>
      <c r="F235" s="59" t="s">
        <v>92</v>
      </c>
      <c r="G235" s="61"/>
      <c r="H235" s="62"/>
      <c r="I235" s="62">
        <v>7.4089999999999998</v>
      </c>
      <c r="J235" s="62">
        <v>1325.9</v>
      </c>
      <c r="K235" s="62">
        <v>252.6</v>
      </c>
      <c r="L235" s="62">
        <v>419.67</v>
      </c>
      <c r="M235" s="62">
        <v>563.67000000000007</v>
      </c>
      <c r="N235" s="62" t="s">
        <v>93</v>
      </c>
      <c r="O235" s="63">
        <f t="shared" si="17"/>
        <v>7.4089999999999998</v>
      </c>
      <c r="P235" s="63">
        <f t="shared" si="18"/>
        <v>1325.9</v>
      </c>
      <c r="Q235" s="63">
        <f t="shared" si="19"/>
        <v>252.6</v>
      </c>
      <c r="R235" s="64">
        <f t="shared" si="20"/>
        <v>1</v>
      </c>
      <c r="S235" s="64">
        <f t="shared" si="21"/>
        <v>1</v>
      </c>
      <c r="AC235" s="72"/>
    </row>
    <row r="236" spans="1:34" ht="14.5">
      <c r="A236" s="59" t="s">
        <v>523</v>
      </c>
      <c r="B236" s="59" t="s">
        <v>524</v>
      </c>
      <c r="C236" s="60" t="s">
        <v>28</v>
      </c>
      <c r="D236" s="61">
        <v>250.25</v>
      </c>
      <c r="E236" s="61">
        <f>1.19*8.3454</f>
        <v>9.9310259999999992</v>
      </c>
      <c r="F236" s="61" t="s">
        <v>103</v>
      </c>
      <c r="G236" s="61"/>
      <c r="H236" s="62"/>
      <c r="I236" s="62"/>
      <c r="J236" s="62"/>
      <c r="K236" s="62"/>
      <c r="L236" s="62"/>
      <c r="M236" s="62"/>
      <c r="N236" s="62" t="s">
        <v>168</v>
      </c>
      <c r="O236" s="63">
        <f t="shared" si="17"/>
        <v>0</v>
      </c>
      <c r="P236" s="63">
        <f t="shared" si="18"/>
        <v>0</v>
      </c>
      <c r="Q236" s="63">
        <f t="shared" si="19"/>
        <v>0</v>
      </c>
      <c r="R236" s="64">
        <f t="shared" si="20"/>
        <v>1</v>
      </c>
      <c r="S236" s="64">
        <f t="shared" si="21"/>
        <v>1</v>
      </c>
      <c r="AC236" s="72"/>
    </row>
    <row r="237" spans="1:34" ht="14.5">
      <c r="A237" s="59" t="s">
        <v>525</v>
      </c>
      <c r="B237" s="59" t="s">
        <v>526</v>
      </c>
      <c r="C237" s="60" t="s">
        <v>24</v>
      </c>
      <c r="D237" s="61">
        <v>87.12</v>
      </c>
      <c r="E237" s="61">
        <v>8.4038219999999999</v>
      </c>
      <c r="F237" s="59" t="s">
        <v>92</v>
      </c>
      <c r="G237" s="61"/>
      <c r="H237" s="62"/>
      <c r="I237" s="62">
        <v>7.7180999999999997</v>
      </c>
      <c r="J237" s="62">
        <v>1745.8</v>
      </c>
      <c r="K237" s="62">
        <v>235</v>
      </c>
      <c r="L237" s="62">
        <v>491.67</v>
      </c>
      <c r="M237" s="62">
        <v>570.67000000000007</v>
      </c>
      <c r="N237" s="62" t="s">
        <v>93</v>
      </c>
      <c r="O237" s="63">
        <f t="shared" si="17"/>
        <v>7.7180999999999997</v>
      </c>
      <c r="P237" s="63">
        <f t="shared" si="18"/>
        <v>1745.8</v>
      </c>
      <c r="Q237" s="63">
        <f t="shared" si="19"/>
        <v>235</v>
      </c>
      <c r="R237" s="64">
        <f t="shared" si="20"/>
        <v>1</v>
      </c>
      <c r="S237" s="64">
        <f t="shared" si="21"/>
        <v>1</v>
      </c>
      <c r="AC237" s="72"/>
    </row>
    <row r="238" spans="1:34" ht="14.5">
      <c r="A238" s="59" t="s">
        <v>527</v>
      </c>
      <c r="B238" s="59" t="s">
        <v>528</v>
      </c>
      <c r="C238" s="60" t="s">
        <v>28</v>
      </c>
      <c r="D238" s="61">
        <v>121.18</v>
      </c>
      <c r="E238" s="61">
        <f>0.956*8.3454</f>
        <v>7.9782023999999998</v>
      </c>
      <c r="F238" s="61" t="s">
        <v>92</v>
      </c>
      <c r="G238" s="61"/>
      <c r="H238" s="62"/>
      <c r="I238" s="62">
        <v>7.4311999999999996</v>
      </c>
      <c r="J238" s="62">
        <v>1915.1051</v>
      </c>
      <c r="K238" s="62">
        <v>228.017</v>
      </c>
      <c r="L238" s="62">
        <v>617.25599999999997</v>
      </c>
      <c r="M238" s="62">
        <v>892.45800000000008</v>
      </c>
      <c r="N238" s="62" t="s">
        <v>98</v>
      </c>
      <c r="O238" s="63">
        <f t="shared" si="17"/>
        <v>7.4311999999999996</v>
      </c>
      <c r="P238" s="63">
        <f t="shared" si="18"/>
        <v>1915.1051</v>
      </c>
      <c r="Q238" s="63">
        <f t="shared" si="19"/>
        <v>228.017</v>
      </c>
      <c r="R238" s="64">
        <f t="shared" si="20"/>
        <v>1</v>
      </c>
      <c r="S238" s="64">
        <f t="shared" si="21"/>
        <v>1</v>
      </c>
      <c r="AC238" s="72"/>
    </row>
    <row r="239" spans="1:34" ht="14.5">
      <c r="A239" s="59" t="s">
        <v>529</v>
      </c>
      <c r="B239" s="59" t="s">
        <v>530</v>
      </c>
      <c r="C239" s="60" t="s">
        <v>28</v>
      </c>
      <c r="D239" s="61">
        <v>128.16999999999999</v>
      </c>
      <c r="E239" s="61">
        <v>8.5565429999999996</v>
      </c>
      <c r="F239" s="59" t="s">
        <v>92</v>
      </c>
      <c r="G239" s="61"/>
      <c r="H239" s="62"/>
      <c r="I239" s="62">
        <v>7.37</v>
      </c>
      <c r="J239" s="62">
        <v>1968.36</v>
      </c>
      <c r="K239" s="62">
        <v>222.61</v>
      </c>
      <c r="L239" s="62">
        <v>636.67000000000007</v>
      </c>
      <c r="M239" s="62">
        <v>813.67000000000007</v>
      </c>
      <c r="N239" s="62" t="s">
        <v>93</v>
      </c>
      <c r="O239" s="63">
        <f t="shared" si="17"/>
        <v>7.37</v>
      </c>
      <c r="P239" s="63">
        <f t="shared" si="18"/>
        <v>1968.36</v>
      </c>
      <c r="Q239" s="63">
        <f t="shared" si="19"/>
        <v>222.61</v>
      </c>
      <c r="R239" s="64">
        <f t="shared" si="20"/>
        <v>1</v>
      </c>
      <c r="S239" s="64">
        <f t="shared" si="21"/>
        <v>1</v>
      </c>
      <c r="AC239" s="72"/>
    </row>
    <row r="240" spans="1:34" ht="14.5">
      <c r="A240" s="59" t="s">
        <v>531</v>
      </c>
      <c r="B240" s="59" t="s">
        <v>532</v>
      </c>
      <c r="C240" s="60" t="s">
        <v>28</v>
      </c>
      <c r="D240" s="61">
        <v>123.06</v>
      </c>
      <c r="E240" s="61">
        <v>10.00614</v>
      </c>
      <c r="F240" s="59" t="s">
        <v>92</v>
      </c>
      <c r="G240" s="61"/>
      <c r="H240" s="62"/>
      <c r="I240" s="62">
        <v>7.1150000000000002</v>
      </c>
      <c r="J240" s="62">
        <v>1746.6</v>
      </c>
      <c r="K240" s="62">
        <v>201.8</v>
      </c>
      <c r="L240" s="62">
        <v>732.67000000000007</v>
      </c>
      <c r="M240" s="62">
        <v>870.67000000000007</v>
      </c>
      <c r="N240" s="62" t="s">
        <v>93</v>
      </c>
      <c r="O240" s="63">
        <f t="shared" si="17"/>
        <v>7.1150000000000002</v>
      </c>
      <c r="P240" s="63">
        <f t="shared" si="18"/>
        <v>1746.6</v>
      </c>
      <c r="Q240" s="63">
        <f t="shared" si="19"/>
        <v>201.8</v>
      </c>
      <c r="R240" s="64">
        <f t="shared" si="20"/>
        <v>1</v>
      </c>
      <c r="S240" s="64">
        <f t="shared" si="21"/>
        <v>1</v>
      </c>
      <c r="AC240" s="72"/>
    </row>
    <row r="241" spans="1:29" ht="14.5">
      <c r="A241" s="65" t="s">
        <v>533</v>
      </c>
      <c r="B241" s="59" t="s">
        <v>534</v>
      </c>
      <c r="C241" s="60" t="s">
        <v>28</v>
      </c>
      <c r="D241" s="61">
        <v>74.08</v>
      </c>
      <c r="E241" s="61">
        <f>1.01*8.3454</f>
        <v>8.4288539999999994</v>
      </c>
      <c r="F241" s="61" t="s">
        <v>92</v>
      </c>
      <c r="G241" s="61"/>
      <c r="H241" s="62"/>
      <c r="I241" s="62">
        <v>7.5381299999999998</v>
      </c>
      <c r="J241" s="62">
        <v>1890.2752</v>
      </c>
      <c r="K241" s="62">
        <v>253.02199999999999</v>
      </c>
      <c r="L241" s="62">
        <v>546.93000000000006</v>
      </c>
      <c r="M241" s="62">
        <v>817.29</v>
      </c>
      <c r="N241" s="62" t="s">
        <v>98</v>
      </c>
      <c r="O241" s="63">
        <f t="shared" si="17"/>
        <v>7.5381299999999998</v>
      </c>
      <c r="P241" s="63">
        <f t="shared" si="18"/>
        <v>1890.2752</v>
      </c>
      <c r="Q241" s="63">
        <f t="shared" si="19"/>
        <v>253.02199999999999</v>
      </c>
      <c r="R241" s="64">
        <f t="shared" si="20"/>
        <v>1</v>
      </c>
      <c r="S241" s="64">
        <f t="shared" si="21"/>
        <v>1</v>
      </c>
      <c r="AC241" s="72"/>
    </row>
    <row r="242" spans="1:29" ht="14.5">
      <c r="A242" s="59" t="s">
        <v>535</v>
      </c>
      <c r="B242" s="59" t="s">
        <v>536</v>
      </c>
      <c r="C242" s="60" t="s">
        <v>28</v>
      </c>
      <c r="D242" s="61">
        <v>116.12</v>
      </c>
      <c r="E242" s="61">
        <f>1.2829*8.3454</f>
        <v>10.706313659999999</v>
      </c>
      <c r="F242" s="61" t="s">
        <v>103</v>
      </c>
      <c r="G242" s="61"/>
      <c r="H242" s="62"/>
      <c r="I242" s="67"/>
      <c r="J242" s="67"/>
      <c r="K242" s="67"/>
      <c r="L242" s="67"/>
      <c r="M242" s="67"/>
      <c r="N242" s="62" t="s">
        <v>104</v>
      </c>
      <c r="O242" s="63">
        <f t="shared" si="17"/>
        <v>0</v>
      </c>
      <c r="P242" s="63">
        <f t="shared" si="18"/>
        <v>0</v>
      </c>
      <c r="Q242" s="63">
        <f t="shared" si="19"/>
        <v>0</v>
      </c>
      <c r="R242" s="64">
        <f t="shared" si="20"/>
        <v>1</v>
      </c>
      <c r="S242" s="64">
        <f t="shared" si="21"/>
        <v>1</v>
      </c>
      <c r="AC242" s="72"/>
    </row>
    <row r="243" spans="1:29" ht="14.5">
      <c r="A243" s="59" t="s">
        <v>537</v>
      </c>
      <c r="B243" s="59" t="s">
        <v>538</v>
      </c>
      <c r="C243" s="60" t="s">
        <v>28</v>
      </c>
      <c r="D243" s="61">
        <v>103.08</v>
      </c>
      <c r="E243" s="61">
        <f>1.5048*8.3454</f>
        <v>12.558157919999999</v>
      </c>
      <c r="F243" s="61" t="s">
        <v>103</v>
      </c>
      <c r="G243" s="61"/>
      <c r="H243" s="62"/>
      <c r="I243" s="62"/>
      <c r="J243" s="62"/>
      <c r="K243" s="62"/>
      <c r="L243" s="62"/>
      <c r="M243" s="62"/>
      <c r="N243" s="62" t="s">
        <v>539</v>
      </c>
      <c r="O243" s="63">
        <f t="shared" si="17"/>
        <v>0</v>
      </c>
      <c r="P243" s="63">
        <f t="shared" si="18"/>
        <v>0</v>
      </c>
      <c r="Q243" s="63">
        <f t="shared" si="19"/>
        <v>0</v>
      </c>
      <c r="R243" s="64">
        <f t="shared" si="20"/>
        <v>1</v>
      </c>
      <c r="S243" s="64">
        <f t="shared" si="21"/>
        <v>1</v>
      </c>
      <c r="AC243" s="72"/>
    </row>
    <row r="244" spans="1:29" ht="14.5">
      <c r="A244" s="59" t="s">
        <v>540</v>
      </c>
      <c r="B244" s="59" t="s">
        <v>86</v>
      </c>
      <c r="C244" s="60" t="s">
        <v>24</v>
      </c>
      <c r="D244" s="61">
        <v>130</v>
      </c>
      <c r="E244" s="61">
        <v>7.1</v>
      </c>
      <c r="F244" s="59" t="s">
        <v>92</v>
      </c>
      <c r="G244" s="61"/>
      <c r="H244" s="62"/>
      <c r="I244" s="62">
        <v>3.7133115977369577</v>
      </c>
      <c r="J244" s="62">
        <v>659.72475600749181</v>
      </c>
      <c r="K244" s="62">
        <v>141.69180292402768</v>
      </c>
      <c r="L244" s="62"/>
      <c r="M244" s="62"/>
      <c r="N244" s="62" t="s">
        <v>487</v>
      </c>
      <c r="O244" s="63">
        <f t="shared" si="17"/>
        <v>3.7133115977369577</v>
      </c>
      <c r="P244" s="63">
        <f t="shared" si="18"/>
        <v>659.72475600749181</v>
      </c>
      <c r="Q244" s="63">
        <f t="shared" si="19"/>
        <v>141.69180292402768</v>
      </c>
      <c r="R244" s="64">
        <f t="shared" si="20"/>
        <v>1</v>
      </c>
      <c r="S244" s="64">
        <f t="shared" si="21"/>
        <v>1</v>
      </c>
    </row>
    <row r="245" spans="1:29" ht="14.5">
      <c r="A245" s="59" t="s">
        <v>541</v>
      </c>
      <c r="B245" s="59" t="s">
        <v>542</v>
      </c>
      <c r="C245" s="60" t="s">
        <v>28</v>
      </c>
      <c r="D245" s="61">
        <v>123.15</v>
      </c>
      <c r="E245" s="61">
        <f>1.092*8.3454</f>
        <v>9.1131767999999997</v>
      </c>
      <c r="F245" s="61" t="s">
        <v>103</v>
      </c>
      <c r="G245" s="61"/>
      <c r="H245" s="62"/>
      <c r="I245" s="62"/>
      <c r="J245" s="62"/>
      <c r="K245" s="62"/>
      <c r="L245" s="62"/>
      <c r="M245" s="62"/>
      <c r="N245" s="62" t="s">
        <v>109</v>
      </c>
      <c r="O245" s="63">
        <f t="shared" si="17"/>
        <v>0</v>
      </c>
      <c r="P245" s="63">
        <f t="shared" si="18"/>
        <v>0</v>
      </c>
      <c r="Q245" s="63">
        <f t="shared" si="19"/>
        <v>0</v>
      </c>
      <c r="R245" s="64">
        <f t="shared" si="20"/>
        <v>1</v>
      </c>
      <c r="S245" s="64">
        <f t="shared" si="21"/>
        <v>1</v>
      </c>
      <c r="AC245" s="72"/>
    </row>
    <row r="246" spans="1:29" ht="14.5">
      <c r="A246" s="65" t="s">
        <v>543</v>
      </c>
      <c r="B246" s="59" t="s">
        <v>544</v>
      </c>
      <c r="C246" s="60" t="s">
        <v>28</v>
      </c>
      <c r="D246" s="61">
        <v>107.15</v>
      </c>
      <c r="E246" s="61">
        <f>1.008*8.3454</f>
        <v>8.4121632000000002</v>
      </c>
      <c r="F246" s="61" t="s">
        <v>92</v>
      </c>
      <c r="G246" s="61"/>
      <c r="H246" s="62"/>
      <c r="I246" s="62">
        <v>7.0715399999999997</v>
      </c>
      <c r="J246" s="62">
        <v>1529.673</v>
      </c>
      <c r="K246" s="62">
        <v>165.16399999999999</v>
      </c>
      <c r="L246" s="62">
        <v>647.87400000000002</v>
      </c>
      <c r="M246" s="62">
        <v>902.25</v>
      </c>
      <c r="N246" s="62" t="s">
        <v>98</v>
      </c>
      <c r="O246" s="63">
        <f t="shared" si="17"/>
        <v>7.0715399999999997</v>
      </c>
      <c r="P246" s="63">
        <f t="shared" si="18"/>
        <v>1529.673</v>
      </c>
      <c r="Q246" s="63">
        <f t="shared" si="19"/>
        <v>165.16399999999999</v>
      </c>
      <c r="R246" s="64">
        <f t="shared" si="20"/>
        <v>1</v>
      </c>
      <c r="S246" s="64">
        <f t="shared" si="21"/>
        <v>1</v>
      </c>
      <c r="AC246" s="72"/>
    </row>
    <row r="247" spans="1:29" ht="14.5">
      <c r="A247" s="59" t="s">
        <v>545</v>
      </c>
      <c r="B247" s="59" t="s">
        <v>546</v>
      </c>
      <c r="C247" s="60" t="s">
        <v>28</v>
      </c>
      <c r="D247" s="61">
        <v>291.26</v>
      </c>
      <c r="E247" s="61">
        <f>1.26*8.3454</f>
        <v>10.515203999999999</v>
      </c>
      <c r="F247" s="61" t="s">
        <v>103</v>
      </c>
      <c r="G247" s="61"/>
      <c r="H247" s="62"/>
      <c r="I247" s="62"/>
      <c r="J247" s="62"/>
      <c r="K247" s="62"/>
      <c r="L247" s="62"/>
      <c r="M247" s="62"/>
      <c r="N247" s="62" t="s">
        <v>158</v>
      </c>
      <c r="O247" s="63">
        <f t="shared" si="17"/>
        <v>0</v>
      </c>
      <c r="P247" s="63">
        <f t="shared" si="18"/>
        <v>0</v>
      </c>
      <c r="Q247" s="63">
        <f t="shared" si="19"/>
        <v>0</v>
      </c>
      <c r="R247" s="64">
        <f t="shared" si="20"/>
        <v>1</v>
      </c>
      <c r="S247" s="64">
        <f t="shared" si="21"/>
        <v>1</v>
      </c>
      <c r="AC247" s="72"/>
    </row>
    <row r="248" spans="1:29" ht="14.5">
      <c r="A248" s="59" t="s">
        <v>547</v>
      </c>
      <c r="B248" s="59" t="s">
        <v>548</v>
      </c>
      <c r="C248" s="60" t="s">
        <v>24</v>
      </c>
      <c r="D248" s="61">
        <v>202.09</v>
      </c>
      <c r="E248" s="61">
        <v>14.020279</v>
      </c>
      <c r="F248" s="59" t="s">
        <v>92</v>
      </c>
      <c r="G248" s="61"/>
      <c r="H248" s="62"/>
      <c r="I248" s="62">
        <v>6.74</v>
      </c>
      <c r="J248" s="62">
        <v>1378</v>
      </c>
      <c r="K248" s="62">
        <v>197</v>
      </c>
      <c r="L248" s="62">
        <v>536.67000000000007</v>
      </c>
      <c r="M248" s="62">
        <v>783.67000000000007</v>
      </c>
      <c r="N248" s="62" t="s">
        <v>93</v>
      </c>
      <c r="O248" s="63">
        <f t="shared" si="17"/>
        <v>6.74</v>
      </c>
      <c r="P248" s="63">
        <f t="shared" si="18"/>
        <v>1378</v>
      </c>
      <c r="Q248" s="63">
        <f t="shared" si="19"/>
        <v>197</v>
      </c>
      <c r="R248" s="64">
        <f t="shared" si="20"/>
        <v>1</v>
      </c>
      <c r="S248" s="64">
        <f t="shared" si="21"/>
        <v>1</v>
      </c>
      <c r="AC248" s="72"/>
    </row>
    <row r="249" spans="1:29" ht="14.5">
      <c r="A249" s="59" t="s">
        <v>549</v>
      </c>
      <c r="B249" s="59" t="s">
        <v>550</v>
      </c>
      <c r="C249" s="60" t="s">
        <v>28</v>
      </c>
      <c r="D249" s="61">
        <v>295.33</v>
      </c>
      <c r="E249" s="61">
        <f>1.718*8.3454</f>
        <v>14.3373972</v>
      </c>
      <c r="F249" s="61" t="s">
        <v>103</v>
      </c>
      <c r="G249" s="61"/>
      <c r="H249" s="62"/>
      <c r="I249" s="62"/>
      <c r="J249" s="62"/>
      <c r="K249" s="62"/>
      <c r="L249" s="62"/>
      <c r="M249" s="62"/>
      <c r="N249" s="62" t="s">
        <v>168</v>
      </c>
      <c r="O249" s="63">
        <f t="shared" si="17"/>
        <v>0</v>
      </c>
      <c r="P249" s="63">
        <f t="shared" si="18"/>
        <v>0</v>
      </c>
      <c r="Q249" s="63">
        <f t="shared" si="19"/>
        <v>0</v>
      </c>
      <c r="R249" s="64">
        <f t="shared" si="20"/>
        <v>1</v>
      </c>
      <c r="S249" s="64">
        <f t="shared" si="21"/>
        <v>1</v>
      </c>
      <c r="AC249" s="72"/>
    </row>
    <row r="250" spans="1:29" ht="14.5">
      <c r="A250" s="59" t="s">
        <v>551</v>
      </c>
      <c r="B250" s="59" t="s">
        <v>552</v>
      </c>
      <c r="C250" s="60" t="s">
        <v>28</v>
      </c>
      <c r="D250" s="61">
        <v>266.33999999999997</v>
      </c>
      <c r="E250" s="61">
        <f>1.978*8.3454</f>
        <v>16.507201200000001</v>
      </c>
      <c r="F250" s="61" t="s">
        <v>103</v>
      </c>
      <c r="G250" s="61"/>
      <c r="H250" s="62"/>
      <c r="I250" s="62"/>
      <c r="J250" s="62"/>
      <c r="K250" s="62"/>
      <c r="L250" s="62"/>
      <c r="M250" s="62"/>
      <c r="N250" s="62" t="s">
        <v>168</v>
      </c>
      <c r="O250" s="63">
        <f t="shared" si="17"/>
        <v>0</v>
      </c>
      <c r="P250" s="63">
        <f t="shared" si="18"/>
        <v>0</v>
      </c>
      <c r="Q250" s="63">
        <f t="shared" si="19"/>
        <v>0</v>
      </c>
      <c r="R250" s="64">
        <f t="shared" si="20"/>
        <v>1</v>
      </c>
      <c r="S250" s="64">
        <f t="shared" si="21"/>
        <v>1</v>
      </c>
      <c r="AC250" s="72"/>
    </row>
    <row r="251" spans="1:29" ht="14.5">
      <c r="A251" s="59" t="s">
        <v>553</v>
      </c>
      <c r="B251" s="59" t="s">
        <v>554</v>
      </c>
      <c r="C251" s="60" t="s">
        <v>33</v>
      </c>
      <c r="D251" s="61">
        <v>165.83</v>
      </c>
      <c r="E251" s="61">
        <f>1.62*8.34</f>
        <v>13.510800000000001</v>
      </c>
      <c r="F251" s="61" t="s">
        <v>92</v>
      </c>
      <c r="G251" s="61"/>
      <c r="H251" s="62"/>
      <c r="I251" s="62">
        <f>4.18056 -LOG10(1.01325/760)</f>
        <v>7.0556569798670612</v>
      </c>
      <c r="J251" s="62">
        <v>1440.819</v>
      </c>
      <c r="K251" s="62">
        <f>-49.171 + 273.15</f>
        <v>223.97899999999998</v>
      </c>
      <c r="L251" s="62">
        <v>541.85400000000004</v>
      </c>
      <c r="M251" s="62">
        <v>685.51199999999994</v>
      </c>
      <c r="N251" s="62" t="s">
        <v>130</v>
      </c>
      <c r="O251" s="63">
        <f t="shared" si="17"/>
        <v>7.0556569798670612</v>
      </c>
      <c r="P251" s="63">
        <f t="shared" si="18"/>
        <v>1440.819</v>
      </c>
      <c r="Q251" s="63">
        <f t="shared" si="19"/>
        <v>223.97899999999998</v>
      </c>
      <c r="R251" s="64">
        <f t="shared" si="20"/>
        <v>1</v>
      </c>
      <c r="S251" s="64">
        <f t="shared" si="21"/>
        <v>1</v>
      </c>
    </row>
    <row r="252" spans="1:29" ht="14.5">
      <c r="A252" s="59" t="s">
        <v>555</v>
      </c>
      <c r="B252" s="59" t="s">
        <v>556</v>
      </c>
      <c r="C252" s="60" t="s">
        <v>28</v>
      </c>
      <c r="D252" s="61">
        <v>94.11</v>
      </c>
      <c r="E252" s="61">
        <v>8.9295829999999992</v>
      </c>
      <c r="F252" s="59" t="s">
        <v>92</v>
      </c>
      <c r="G252" s="61"/>
      <c r="H252" s="62"/>
      <c r="I252" s="62">
        <v>7.133</v>
      </c>
      <c r="J252" s="62">
        <v>1516.79</v>
      </c>
      <c r="K252" s="62">
        <v>174.95</v>
      </c>
      <c r="L252" s="62">
        <v>684.67000000000007</v>
      </c>
      <c r="M252" s="62">
        <v>818.67000000000007</v>
      </c>
      <c r="N252" s="62" t="s">
        <v>93</v>
      </c>
      <c r="O252" s="63">
        <f t="shared" si="17"/>
        <v>7.133</v>
      </c>
      <c r="P252" s="63">
        <f t="shared" si="18"/>
        <v>1516.79</v>
      </c>
      <c r="Q252" s="63">
        <f t="shared" si="19"/>
        <v>174.95</v>
      </c>
      <c r="R252" s="64">
        <f t="shared" si="20"/>
        <v>1</v>
      </c>
      <c r="S252" s="64">
        <f t="shared" si="21"/>
        <v>1</v>
      </c>
      <c r="AC252" s="72"/>
    </row>
    <row r="253" spans="1:29" ht="14.5">
      <c r="A253" s="59" t="s">
        <v>557</v>
      </c>
      <c r="B253" s="59" t="s">
        <v>558</v>
      </c>
      <c r="C253" s="60" t="s">
        <v>28</v>
      </c>
      <c r="D253" s="61">
        <v>98.92</v>
      </c>
      <c r="E253" s="61">
        <f>0.94*8.3454</f>
        <v>7.8446759999999989</v>
      </c>
      <c r="F253" s="61" t="s">
        <v>92</v>
      </c>
      <c r="G253" s="61"/>
      <c r="H253" s="62"/>
      <c r="I253" s="62">
        <v>7.1308299999999996</v>
      </c>
      <c r="J253" s="62">
        <v>1060.0797</v>
      </c>
      <c r="K253" s="62">
        <v>241.87</v>
      </c>
      <c r="L253" s="62">
        <v>367.54200000000003</v>
      </c>
      <c r="M253" s="62">
        <v>819</v>
      </c>
      <c r="N253" s="62" t="s">
        <v>98</v>
      </c>
      <c r="O253" s="63">
        <f t="shared" si="17"/>
        <v>7.1308299999999996</v>
      </c>
      <c r="P253" s="63">
        <f t="shared" si="18"/>
        <v>1060.0797</v>
      </c>
      <c r="Q253" s="63">
        <f t="shared" si="19"/>
        <v>241.87</v>
      </c>
      <c r="R253" s="64">
        <f t="shared" si="20"/>
        <v>1</v>
      </c>
      <c r="S253" s="64">
        <f t="shared" si="21"/>
        <v>1</v>
      </c>
      <c r="AC253" s="72"/>
    </row>
    <row r="254" spans="1:29" ht="14.5">
      <c r="A254" s="59" t="s">
        <v>559</v>
      </c>
      <c r="B254" s="59" t="s">
        <v>560</v>
      </c>
      <c r="C254" s="60" t="s">
        <v>28</v>
      </c>
      <c r="D254" s="61">
        <v>34</v>
      </c>
      <c r="E254" s="61">
        <f>0.491*8.3454</f>
        <v>4.0975913999999998</v>
      </c>
      <c r="F254" s="61" t="s">
        <v>92</v>
      </c>
      <c r="G254" s="61"/>
      <c r="H254" s="62"/>
      <c r="I254" s="62">
        <v>6.9837499999999997</v>
      </c>
      <c r="J254" s="62">
        <v>724.47080000000005</v>
      </c>
      <c r="K254" s="62">
        <v>264.31</v>
      </c>
      <c r="L254" s="62">
        <v>250.86600000000001</v>
      </c>
      <c r="M254" s="62">
        <v>584.55000000000007</v>
      </c>
      <c r="N254" s="62" t="s">
        <v>98</v>
      </c>
      <c r="O254" s="63">
        <f t="shared" si="17"/>
        <v>6.9837499999999997</v>
      </c>
      <c r="P254" s="63">
        <f t="shared" si="18"/>
        <v>724.47080000000005</v>
      </c>
      <c r="Q254" s="63">
        <f t="shared" si="19"/>
        <v>264.31</v>
      </c>
      <c r="R254" s="64">
        <f t="shared" si="20"/>
        <v>1</v>
      </c>
      <c r="S254" s="64">
        <f t="shared" si="21"/>
        <v>1</v>
      </c>
      <c r="AC254" s="72"/>
    </row>
    <row r="255" spans="1:29" ht="14.5">
      <c r="A255" s="59" t="s">
        <v>561</v>
      </c>
      <c r="B255" s="59" t="s">
        <v>562</v>
      </c>
      <c r="C255" s="60" t="s">
        <v>20</v>
      </c>
      <c r="D255" s="61">
        <v>30.97</v>
      </c>
      <c r="E255" s="61">
        <f>2.34*8.3454</f>
        <v>19.528236</v>
      </c>
      <c r="F255" s="61" t="s">
        <v>103</v>
      </c>
      <c r="G255" s="61"/>
      <c r="H255" s="62"/>
      <c r="I255" s="62"/>
      <c r="J255" s="62"/>
      <c r="K255" s="62"/>
      <c r="L255" s="62"/>
      <c r="M255" s="62"/>
      <c r="N255" s="62" t="s">
        <v>168</v>
      </c>
      <c r="O255" s="63">
        <f t="shared" si="17"/>
        <v>0</v>
      </c>
      <c r="P255" s="63">
        <f t="shared" si="18"/>
        <v>0</v>
      </c>
      <c r="Q255" s="63">
        <f t="shared" si="19"/>
        <v>0</v>
      </c>
      <c r="R255" s="64">
        <f t="shared" si="20"/>
        <v>1</v>
      </c>
      <c r="S255" s="64">
        <f t="shared" si="21"/>
        <v>1</v>
      </c>
      <c r="AC255" s="72"/>
    </row>
    <row r="256" spans="1:29" ht="14.5">
      <c r="A256" s="59" t="s">
        <v>563</v>
      </c>
      <c r="B256" s="59" t="s">
        <v>564</v>
      </c>
      <c r="C256" s="60" t="s">
        <v>28</v>
      </c>
      <c r="D256" s="61">
        <v>148.1</v>
      </c>
      <c r="E256" s="61">
        <f>1.53*8.34</f>
        <v>12.760199999999999</v>
      </c>
      <c r="F256" s="61" t="s">
        <v>92</v>
      </c>
      <c r="G256" s="61"/>
      <c r="H256" s="62"/>
      <c r="I256" s="62">
        <v>8.0512899999999998</v>
      </c>
      <c r="J256" s="62">
        <v>2504.9439000000002</v>
      </c>
      <c r="K256" s="62">
        <v>200.42099999999999</v>
      </c>
      <c r="L256" s="62">
        <v>770.36400000000003</v>
      </c>
      <c r="M256" s="62">
        <v>1056.8700000000001</v>
      </c>
      <c r="N256" s="62" t="s">
        <v>98</v>
      </c>
      <c r="O256" s="63">
        <f t="shared" si="17"/>
        <v>8.0512899999999998</v>
      </c>
      <c r="P256" s="63">
        <f t="shared" si="18"/>
        <v>2504.9439000000002</v>
      </c>
      <c r="Q256" s="63">
        <f t="shared" si="19"/>
        <v>200.42099999999999</v>
      </c>
      <c r="R256" s="64">
        <f t="shared" si="20"/>
        <v>1</v>
      </c>
      <c r="S256" s="64">
        <f t="shared" si="21"/>
        <v>1</v>
      </c>
      <c r="AC256" s="72"/>
    </row>
    <row r="257" spans="1:29" ht="14.5">
      <c r="A257" s="59" t="s">
        <v>565</v>
      </c>
      <c r="B257" s="59" t="s">
        <v>566</v>
      </c>
      <c r="C257" s="60" t="s">
        <v>24</v>
      </c>
      <c r="D257" s="61">
        <v>93.13</v>
      </c>
      <c r="E257" s="61">
        <v>7.8697160000000004</v>
      </c>
      <c r="F257" s="59" t="s">
        <v>92</v>
      </c>
      <c r="G257" s="61"/>
      <c r="H257" s="62"/>
      <c r="I257" s="62">
        <v>7.032</v>
      </c>
      <c r="J257" s="62">
        <v>1415.73</v>
      </c>
      <c r="K257" s="62">
        <v>211.63</v>
      </c>
      <c r="L257" s="62"/>
      <c r="M257" s="62"/>
      <c r="N257" s="62" t="s">
        <v>216</v>
      </c>
      <c r="O257" s="63">
        <f t="shared" si="17"/>
        <v>7.032</v>
      </c>
      <c r="P257" s="63">
        <f t="shared" si="18"/>
        <v>1415.73</v>
      </c>
      <c r="Q257" s="63">
        <f t="shared" si="19"/>
        <v>211.63</v>
      </c>
      <c r="R257" s="64">
        <f t="shared" si="20"/>
        <v>1</v>
      </c>
      <c r="S257" s="64">
        <f t="shared" si="21"/>
        <v>1</v>
      </c>
      <c r="AC257" s="72"/>
    </row>
    <row r="258" spans="1:29" ht="14.5">
      <c r="A258" s="59" t="s">
        <v>567</v>
      </c>
      <c r="B258" s="59" t="s">
        <v>568</v>
      </c>
      <c r="C258" s="60" t="s">
        <v>28</v>
      </c>
      <c r="D258" s="61">
        <v>360.87815999999998</v>
      </c>
      <c r="E258" s="61">
        <f>1.44*8.36454</f>
        <v>12.044937599999999</v>
      </c>
      <c r="F258" s="61" t="s">
        <v>103</v>
      </c>
      <c r="G258" s="61"/>
      <c r="H258" s="62"/>
      <c r="I258" s="67"/>
      <c r="J258" s="67"/>
      <c r="K258" s="67"/>
      <c r="L258" s="67"/>
      <c r="M258" s="67"/>
      <c r="N258" s="62" t="s">
        <v>104</v>
      </c>
      <c r="O258" s="63">
        <f t="shared" si="17"/>
        <v>0</v>
      </c>
      <c r="P258" s="63">
        <f t="shared" si="18"/>
        <v>0</v>
      </c>
      <c r="Q258" s="63">
        <f t="shared" si="19"/>
        <v>0</v>
      </c>
      <c r="R258" s="64">
        <f t="shared" si="20"/>
        <v>1</v>
      </c>
      <c r="S258" s="64">
        <f t="shared" si="21"/>
        <v>1</v>
      </c>
      <c r="AC258" s="72"/>
    </row>
    <row r="259" spans="1:29" ht="14.5">
      <c r="A259" s="59" t="s">
        <v>569</v>
      </c>
      <c r="B259" s="59" t="s">
        <v>570</v>
      </c>
      <c r="C259" s="60" t="s">
        <v>28</v>
      </c>
      <c r="D259" s="61">
        <v>108.14</v>
      </c>
      <c r="E259" s="61">
        <f>1.135*8.3454</f>
        <v>9.4720289999999991</v>
      </c>
      <c r="F259" s="61" t="s">
        <v>92</v>
      </c>
      <c r="G259" s="61"/>
      <c r="H259" s="62"/>
      <c r="I259" s="62">
        <v>7.5494500000000002</v>
      </c>
      <c r="J259" s="62">
        <v>2076.6039999999998</v>
      </c>
      <c r="K259" s="62">
        <v>177.749</v>
      </c>
      <c r="L259" s="62">
        <v>742.44599999999991</v>
      </c>
      <c r="M259" s="62">
        <v>1027.548</v>
      </c>
      <c r="N259" s="62" t="s">
        <v>98</v>
      </c>
      <c r="O259" s="63">
        <f t="shared" si="17"/>
        <v>7.5494500000000002</v>
      </c>
      <c r="P259" s="63">
        <f t="shared" si="18"/>
        <v>2076.6039999999998</v>
      </c>
      <c r="Q259" s="63">
        <f t="shared" si="19"/>
        <v>177.749</v>
      </c>
      <c r="R259" s="64">
        <f t="shared" si="20"/>
        <v>1</v>
      </c>
      <c r="S259" s="64">
        <f t="shared" si="21"/>
        <v>1</v>
      </c>
      <c r="AC259" s="72"/>
    </row>
    <row r="260" spans="1:29" ht="14.5">
      <c r="A260" s="59" t="s">
        <v>571</v>
      </c>
      <c r="B260" s="59" t="s">
        <v>485</v>
      </c>
      <c r="C260" s="60" t="s">
        <v>24</v>
      </c>
      <c r="D260" s="61">
        <v>60.1</v>
      </c>
      <c r="E260" s="61">
        <v>6.559488</v>
      </c>
      <c r="F260" s="59" t="s">
        <v>92</v>
      </c>
      <c r="G260" s="61"/>
      <c r="H260" s="62"/>
      <c r="I260" s="62">
        <v>8.1170000000000009</v>
      </c>
      <c r="J260" s="62">
        <v>1580.92</v>
      </c>
      <c r="K260" s="62">
        <v>219.61</v>
      </c>
      <c r="L260" s="62">
        <v>593.67000000000007</v>
      </c>
      <c r="M260" s="62">
        <v>652.67000000000007</v>
      </c>
      <c r="N260" s="62" t="s">
        <v>93</v>
      </c>
      <c r="O260" s="63">
        <f t="shared" si="17"/>
        <v>8.1170000000000009</v>
      </c>
      <c r="P260" s="63">
        <f t="shared" si="18"/>
        <v>1580.92</v>
      </c>
      <c r="Q260" s="63">
        <f t="shared" si="19"/>
        <v>219.61</v>
      </c>
      <c r="R260" s="64">
        <f t="shared" si="20"/>
        <v>1</v>
      </c>
      <c r="S260" s="64">
        <f t="shared" si="21"/>
        <v>1</v>
      </c>
      <c r="AC260" s="72"/>
    </row>
    <row r="261" spans="1:29" ht="14.5">
      <c r="A261" s="65" t="s">
        <v>572</v>
      </c>
      <c r="B261" s="59" t="s">
        <v>573</v>
      </c>
      <c r="C261" s="60" t="s">
        <v>28</v>
      </c>
      <c r="D261" s="61">
        <v>58.08</v>
      </c>
      <c r="E261" s="61">
        <f>0.805*8.3454</f>
        <v>6.7180470000000003</v>
      </c>
      <c r="F261" s="61" t="s">
        <v>92</v>
      </c>
      <c r="G261" s="61"/>
      <c r="H261" s="62"/>
      <c r="I261" s="62">
        <v>7.26342</v>
      </c>
      <c r="J261" s="62">
        <v>1277.1176</v>
      </c>
      <c r="K261" s="62">
        <v>242.55600000000001</v>
      </c>
      <c r="L261" s="62">
        <v>422.1</v>
      </c>
      <c r="M261" s="62">
        <v>907.92000000000007</v>
      </c>
      <c r="N261" s="62" t="s">
        <v>98</v>
      </c>
      <c r="O261" s="63">
        <f t="shared" si="17"/>
        <v>7.26342</v>
      </c>
      <c r="P261" s="63">
        <f t="shared" si="18"/>
        <v>1277.1176</v>
      </c>
      <c r="Q261" s="63">
        <f t="shared" si="19"/>
        <v>242.55600000000001</v>
      </c>
      <c r="R261" s="64">
        <f t="shared" si="20"/>
        <v>1</v>
      </c>
      <c r="S261" s="64">
        <f t="shared" si="21"/>
        <v>1</v>
      </c>
      <c r="AC261" s="72"/>
    </row>
    <row r="262" spans="1:29" ht="14.5">
      <c r="A262" s="59" t="s">
        <v>574</v>
      </c>
      <c r="B262" s="59" t="s">
        <v>575</v>
      </c>
      <c r="C262" s="60" t="s">
        <v>28</v>
      </c>
      <c r="D262" s="61">
        <v>209.24</v>
      </c>
      <c r="E262" s="61">
        <f>1.12*8.3454</f>
        <v>9.3468480000000014</v>
      </c>
      <c r="F262" s="61" t="s">
        <v>103</v>
      </c>
      <c r="G262" s="61"/>
      <c r="H262" s="62"/>
      <c r="I262" s="62"/>
      <c r="J262" s="62"/>
      <c r="K262" s="62"/>
      <c r="L262" s="62"/>
      <c r="M262" s="62"/>
      <c r="N262" s="62" t="s">
        <v>168</v>
      </c>
      <c r="O262" s="63">
        <f t="shared" si="17"/>
        <v>0</v>
      </c>
      <c r="P262" s="63">
        <f t="shared" si="18"/>
        <v>0</v>
      </c>
      <c r="Q262" s="63">
        <f t="shared" si="19"/>
        <v>0</v>
      </c>
      <c r="R262" s="64">
        <f t="shared" si="20"/>
        <v>1</v>
      </c>
      <c r="S262" s="64">
        <f t="shared" si="21"/>
        <v>1</v>
      </c>
      <c r="AC262" s="72"/>
    </row>
    <row r="263" spans="1:29" ht="14.5">
      <c r="A263" s="59" t="s">
        <v>576</v>
      </c>
      <c r="B263" s="59" t="s">
        <v>577</v>
      </c>
      <c r="C263" s="60" t="s">
        <v>33</v>
      </c>
      <c r="D263" s="61">
        <v>102.089</v>
      </c>
      <c r="E263" s="61">
        <f>1.2*8.34</f>
        <v>10.007999999999999</v>
      </c>
      <c r="F263" s="61" t="s">
        <v>92</v>
      </c>
      <c r="G263" s="61"/>
      <c r="H263" s="62"/>
      <c r="I263" s="62">
        <f>10.207-LOG10(101.325/760)</f>
        <v>11.082096979867062</v>
      </c>
      <c r="J263" s="62">
        <v>1410.89</v>
      </c>
      <c r="K263" s="62">
        <f>-260.44+273.15</f>
        <v>12.70999999999998</v>
      </c>
      <c r="L263" s="62"/>
      <c r="M263" s="62"/>
      <c r="N263" s="62" t="s">
        <v>578</v>
      </c>
      <c r="O263" s="63">
        <f t="shared" si="17"/>
        <v>11.082096979867062</v>
      </c>
      <c r="P263" s="63">
        <f t="shared" si="18"/>
        <v>1410.89</v>
      </c>
      <c r="Q263" s="63">
        <f t="shared" si="19"/>
        <v>12.70999999999998</v>
      </c>
      <c r="R263" s="64">
        <f t="shared" si="20"/>
        <v>1</v>
      </c>
      <c r="S263" s="64">
        <f t="shared" si="21"/>
        <v>1</v>
      </c>
    </row>
    <row r="264" spans="1:29" ht="14.5">
      <c r="A264" s="59" t="s">
        <v>579</v>
      </c>
      <c r="B264" s="59" t="s">
        <v>580</v>
      </c>
      <c r="C264" s="60" t="s">
        <v>28</v>
      </c>
      <c r="D264" s="61">
        <v>112.99</v>
      </c>
      <c r="E264" s="61">
        <f>1.156*8.3454</f>
        <v>9.6472823999999981</v>
      </c>
      <c r="F264" s="61" t="s">
        <v>92</v>
      </c>
      <c r="G264" s="61"/>
      <c r="H264" s="62"/>
      <c r="I264" s="62">
        <f>4.0867 -LOG10(1.01325/760)</f>
        <v>6.9617969798670618</v>
      </c>
      <c r="J264" s="62">
        <v>1296.9960000000001</v>
      </c>
      <c r="K264" s="62">
        <f>-51.559+273.15</f>
        <v>221.59099999999998</v>
      </c>
      <c r="L264" s="62">
        <v>572.274</v>
      </c>
      <c r="M264" s="62">
        <v>664.74</v>
      </c>
      <c r="N264" s="62" t="s">
        <v>130</v>
      </c>
      <c r="O264" s="63">
        <f t="shared" si="17"/>
        <v>6.9617969798670618</v>
      </c>
      <c r="P264" s="63">
        <f t="shared" si="18"/>
        <v>1296.9960000000001</v>
      </c>
      <c r="Q264" s="63">
        <f t="shared" si="19"/>
        <v>221.59099999999998</v>
      </c>
      <c r="R264" s="64">
        <f t="shared" si="20"/>
        <v>1</v>
      </c>
      <c r="S264" s="64">
        <f t="shared" si="21"/>
        <v>1</v>
      </c>
      <c r="AC264" s="72"/>
    </row>
    <row r="265" spans="1:29" ht="14.5">
      <c r="A265" s="59" t="s">
        <v>581</v>
      </c>
      <c r="B265" s="59" t="s">
        <v>582</v>
      </c>
      <c r="C265" s="60" t="s">
        <v>24</v>
      </c>
      <c r="D265" s="61">
        <v>76.099999999999994</v>
      </c>
      <c r="E265" s="61">
        <v>8.6458390000000005</v>
      </c>
      <c r="F265" s="59" t="s">
        <v>92</v>
      </c>
      <c r="G265" s="61"/>
      <c r="H265" s="62"/>
      <c r="I265" s="62">
        <v>8.2081999999999997</v>
      </c>
      <c r="J265" s="62">
        <v>2085.9</v>
      </c>
      <c r="K265" s="62">
        <v>203.54</v>
      </c>
      <c r="L265" s="62"/>
      <c r="M265" s="62"/>
      <c r="N265" s="62" t="s">
        <v>216</v>
      </c>
      <c r="O265" s="63">
        <f t="shared" si="17"/>
        <v>8.2081999999999997</v>
      </c>
      <c r="P265" s="63">
        <f t="shared" si="18"/>
        <v>2085.9</v>
      </c>
      <c r="Q265" s="63">
        <f t="shared" si="19"/>
        <v>203.54</v>
      </c>
      <c r="R265" s="64">
        <f t="shared" si="20"/>
        <v>1</v>
      </c>
      <c r="S265" s="64">
        <f t="shared" si="21"/>
        <v>1</v>
      </c>
      <c r="AC265" s="72"/>
    </row>
    <row r="266" spans="1:29" ht="14.5">
      <c r="A266" s="59" t="s">
        <v>583</v>
      </c>
      <c r="B266" s="59" t="s">
        <v>584</v>
      </c>
      <c r="C266" s="60" t="s">
        <v>28</v>
      </c>
      <c r="D266" s="61">
        <v>58.08</v>
      </c>
      <c r="E266" s="61">
        <v>6.9266860000000001</v>
      </c>
      <c r="F266" s="59" t="s">
        <v>92</v>
      </c>
      <c r="G266" s="61"/>
      <c r="H266" s="62"/>
      <c r="I266" s="62">
        <v>7.0670999999999999</v>
      </c>
      <c r="J266" s="62">
        <v>1133.2670000000001</v>
      </c>
      <c r="K266" s="62">
        <v>236.1054</v>
      </c>
      <c r="L266" s="62">
        <v>359.67</v>
      </c>
      <c r="M266" s="62">
        <v>553.67000000000007</v>
      </c>
      <c r="N266" s="62" t="s">
        <v>93</v>
      </c>
      <c r="O266" s="63">
        <f t="shared" si="17"/>
        <v>7.0670999999999999</v>
      </c>
      <c r="P266" s="63">
        <f t="shared" si="18"/>
        <v>1133.2670000000001</v>
      </c>
      <c r="Q266" s="63">
        <f t="shared" si="19"/>
        <v>236.1054</v>
      </c>
      <c r="R266" s="64">
        <f t="shared" si="20"/>
        <v>1</v>
      </c>
      <c r="S266" s="64">
        <f t="shared" si="21"/>
        <v>1</v>
      </c>
      <c r="V266" s="74"/>
      <c r="AC266" s="72"/>
    </row>
    <row r="267" spans="1:29" ht="14.5">
      <c r="A267" s="59" t="s">
        <v>585</v>
      </c>
      <c r="B267" s="59" t="s">
        <v>586</v>
      </c>
      <c r="C267" s="60" t="s">
        <v>24</v>
      </c>
      <c r="D267" s="61">
        <v>79.099999999999994</v>
      </c>
      <c r="E267" s="61">
        <v>8.1943529999999996</v>
      </c>
      <c r="F267" s="59" t="s">
        <v>92</v>
      </c>
      <c r="G267" s="61"/>
      <c r="H267" s="62"/>
      <c r="I267" s="62">
        <v>7.0410000000000004</v>
      </c>
      <c r="J267" s="62">
        <v>1373.8</v>
      </c>
      <c r="K267" s="62">
        <v>214.98</v>
      </c>
      <c r="L267" s="62">
        <v>612.67000000000007</v>
      </c>
      <c r="M267" s="62">
        <v>766.67000000000007</v>
      </c>
      <c r="N267" s="62" t="s">
        <v>93</v>
      </c>
      <c r="O267" s="63">
        <f t="shared" si="17"/>
        <v>7.0410000000000004</v>
      </c>
      <c r="P267" s="63">
        <f t="shared" si="18"/>
        <v>1373.8</v>
      </c>
      <c r="Q267" s="63">
        <f t="shared" si="19"/>
        <v>214.98</v>
      </c>
      <c r="R267" s="64">
        <f t="shared" si="20"/>
        <v>1</v>
      </c>
      <c r="S267" s="64">
        <f t="shared" si="21"/>
        <v>1</v>
      </c>
      <c r="V267" s="74"/>
      <c r="AC267" s="72"/>
    </row>
    <row r="268" spans="1:29" ht="14.5">
      <c r="A268" s="59" t="s">
        <v>587</v>
      </c>
      <c r="B268" s="59" t="s">
        <v>588</v>
      </c>
      <c r="C268" s="60" t="s">
        <v>28</v>
      </c>
      <c r="D268" s="61">
        <v>129.16</v>
      </c>
      <c r="E268" s="61">
        <f>1.093*8.3454</f>
        <v>9.1215221999999994</v>
      </c>
      <c r="F268" s="61" t="s">
        <v>92</v>
      </c>
      <c r="G268" s="61"/>
      <c r="H268" s="62"/>
      <c r="I268" s="62">
        <v>7.21408</v>
      </c>
      <c r="J268" s="62">
        <v>1902.9766999999999</v>
      </c>
      <c r="K268" s="62">
        <v>201.30500000000001</v>
      </c>
      <c r="L268" s="62">
        <v>680.5440000000001</v>
      </c>
      <c r="M268" s="62">
        <v>978.82199999999989</v>
      </c>
      <c r="N268" s="62" t="s">
        <v>98</v>
      </c>
      <c r="O268" s="63">
        <f t="shared" si="17"/>
        <v>7.21408</v>
      </c>
      <c r="P268" s="63">
        <f t="shared" si="18"/>
        <v>1902.9766999999999</v>
      </c>
      <c r="Q268" s="63">
        <f t="shared" si="19"/>
        <v>201.30500000000001</v>
      </c>
      <c r="R268" s="64">
        <f t="shared" si="20"/>
        <v>1</v>
      </c>
      <c r="S268" s="64">
        <f t="shared" si="21"/>
        <v>1</v>
      </c>
      <c r="AC268" s="72"/>
    </row>
    <row r="269" spans="1:29" ht="14.5">
      <c r="A269" s="59" t="s">
        <v>589</v>
      </c>
      <c r="B269" s="59" t="s">
        <v>590</v>
      </c>
      <c r="C269" s="60" t="s">
        <v>28</v>
      </c>
      <c r="D269" s="61">
        <v>108.09</v>
      </c>
      <c r="E269" s="61">
        <f>1.31*8.3454</f>
        <v>10.932474000000001</v>
      </c>
      <c r="F269" s="61" t="s">
        <v>92</v>
      </c>
      <c r="G269" s="61"/>
      <c r="H269" s="62"/>
      <c r="I269" s="62">
        <v>8.3342299999999998</v>
      </c>
      <c r="J269" s="62">
        <v>1815.7058999999999</v>
      </c>
      <c r="K269" s="62">
        <v>170.256</v>
      </c>
      <c r="L269" s="62">
        <v>630.80999999999995</v>
      </c>
      <c r="M269" s="62">
        <v>819.63</v>
      </c>
      <c r="N269" s="62" t="s">
        <v>98</v>
      </c>
      <c r="O269" s="63">
        <f t="shared" si="17"/>
        <v>8.3342299999999998</v>
      </c>
      <c r="P269" s="63">
        <f t="shared" si="18"/>
        <v>1815.7058999999999</v>
      </c>
      <c r="Q269" s="63">
        <f t="shared" si="19"/>
        <v>170.256</v>
      </c>
      <c r="R269" s="64">
        <f t="shared" si="20"/>
        <v>1</v>
      </c>
      <c r="S269" s="64">
        <f t="shared" si="21"/>
        <v>1</v>
      </c>
      <c r="AC269" s="72"/>
    </row>
    <row r="270" spans="1:29" ht="14.5">
      <c r="A270" s="59" t="s">
        <v>591</v>
      </c>
      <c r="B270" s="59" t="s">
        <v>86</v>
      </c>
      <c r="C270" s="60" t="s">
        <v>24</v>
      </c>
      <c r="D270" s="61">
        <v>190</v>
      </c>
      <c r="E270" s="61">
        <v>7.9</v>
      </c>
      <c r="F270" s="59" t="s">
        <v>92</v>
      </c>
      <c r="G270" s="61"/>
      <c r="H270" s="62"/>
      <c r="I270" s="62">
        <v>-4.2400754382282067</v>
      </c>
      <c r="J270" s="62">
        <v>82.098133197391491</v>
      </c>
      <c r="K270" s="62">
        <v>-69.555646412178447</v>
      </c>
      <c r="L270" s="62"/>
      <c r="M270" s="62"/>
      <c r="N270" s="62" t="s">
        <v>487</v>
      </c>
      <c r="O270" s="63">
        <f t="shared" si="17"/>
        <v>-4.2400754382282067</v>
      </c>
      <c r="P270" s="63">
        <f t="shared" si="18"/>
        <v>82.098133197391491</v>
      </c>
      <c r="Q270" s="63">
        <f t="shared" si="19"/>
        <v>-69.555646412178447</v>
      </c>
      <c r="R270" s="64">
        <f t="shared" si="20"/>
        <v>1</v>
      </c>
      <c r="S270" s="64">
        <f t="shared" si="21"/>
        <v>1</v>
      </c>
      <c r="V270" s="74"/>
    </row>
    <row r="271" spans="1:29" ht="14.5">
      <c r="A271" s="59" t="s">
        <v>592</v>
      </c>
      <c r="B271" s="59" t="s">
        <v>593</v>
      </c>
      <c r="C271" s="60" t="s">
        <v>24</v>
      </c>
      <c r="D271" s="61">
        <v>110.1</v>
      </c>
      <c r="E271" s="61">
        <f>1.28*8.34</f>
        <v>10.6752</v>
      </c>
      <c r="F271" s="59" t="s">
        <v>92</v>
      </c>
      <c r="G271" s="61"/>
      <c r="H271" s="62"/>
      <c r="I271" s="62">
        <v>6.9242999999999997</v>
      </c>
      <c r="J271" s="62">
        <v>1884.547</v>
      </c>
      <c r="K271" s="62">
        <v>186.06</v>
      </c>
      <c r="L271" s="62">
        <v>764.67000000000007</v>
      </c>
      <c r="M271" s="62">
        <v>989.67000000000007</v>
      </c>
      <c r="N271" s="62" t="s">
        <v>93</v>
      </c>
      <c r="O271" s="63">
        <f t="shared" si="17"/>
        <v>6.9242999999999997</v>
      </c>
      <c r="P271" s="63">
        <f t="shared" si="18"/>
        <v>1884.547</v>
      </c>
      <c r="Q271" s="63">
        <f t="shared" si="19"/>
        <v>186.06</v>
      </c>
      <c r="R271" s="64">
        <f t="shared" si="20"/>
        <v>1</v>
      </c>
      <c r="S271" s="64">
        <f t="shared" si="21"/>
        <v>1</v>
      </c>
      <c r="AC271" s="72"/>
    </row>
    <row r="272" spans="1:29" ht="14.5">
      <c r="A272" s="59" t="s">
        <v>594</v>
      </c>
      <c r="B272" s="59" t="s">
        <v>595</v>
      </c>
      <c r="C272" s="60" t="s">
        <v>28</v>
      </c>
      <c r="D272" s="61">
        <v>104.15</v>
      </c>
      <c r="E272" s="61">
        <v>7.5859730000000001</v>
      </c>
      <c r="F272" s="59" t="s">
        <v>92</v>
      </c>
      <c r="G272" s="61"/>
      <c r="H272" s="62"/>
      <c r="I272" s="62">
        <v>7.14</v>
      </c>
      <c r="J272" s="62">
        <v>1574.51</v>
      </c>
      <c r="K272" s="62">
        <v>224.09</v>
      </c>
      <c r="L272" s="62">
        <v>545.67000000000007</v>
      </c>
      <c r="M272" s="62">
        <v>752.67000000000007</v>
      </c>
      <c r="N272" s="62" t="s">
        <v>93</v>
      </c>
      <c r="O272" s="63">
        <f t="shared" si="17"/>
        <v>7.14</v>
      </c>
      <c r="P272" s="63">
        <f t="shared" si="18"/>
        <v>1574.51</v>
      </c>
      <c r="Q272" s="63">
        <f t="shared" si="19"/>
        <v>224.09</v>
      </c>
      <c r="R272" s="64">
        <f t="shared" si="20"/>
        <v>1</v>
      </c>
      <c r="S272" s="64">
        <f t="shared" si="21"/>
        <v>1</v>
      </c>
      <c r="AC272" s="72"/>
    </row>
    <row r="273" spans="1:29" ht="14.5">
      <c r="A273" s="59" t="s">
        <v>596</v>
      </c>
      <c r="B273" s="59" t="s">
        <v>597</v>
      </c>
      <c r="C273" s="60" t="s">
        <v>28</v>
      </c>
      <c r="D273" s="61">
        <v>120.15</v>
      </c>
      <c r="E273" s="61">
        <f>1.054*8.3454</f>
        <v>8.7960516000000002</v>
      </c>
      <c r="F273" s="61" t="s">
        <v>103</v>
      </c>
      <c r="G273" s="61"/>
      <c r="H273" s="62"/>
      <c r="I273" s="67"/>
      <c r="J273" s="67"/>
      <c r="K273" s="67"/>
      <c r="L273" s="67"/>
      <c r="M273" s="67"/>
      <c r="N273" s="62" t="s">
        <v>104</v>
      </c>
      <c r="O273" s="63">
        <f t="shared" si="17"/>
        <v>0</v>
      </c>
      <c r="P273" s="63">
        <f t="shared" si="18"/>
        <v>0</v>
      </c>
      <c r="Q273" s="63">
        <f t="shared" si="19"/>
        <v>0</v>
      </c>
      <c r="R273" s="64">
        <f t="shared" si="20"/>
        <v>1</v>
      </c>
      <c r="S273" s="64">
        <f t="shared" si="21"/>
        <v>1</v>
      </c>
      <c r="AC273" s="72"/>
    </row>
    <row r="274" spans="1:29" ht="14.5">
      <c r="A274" s="59" t="s">
        <v>598</v>
      </c>
      <c r="B274" s="77" t="s">
        <v>599</v>
      </c>
      <c r="C274" s="60" t="s">
        <v>33</v>
      </c>
      <c r="D274" s="61">
        <v>116.16</v>
      </c>
      <c r="E274" s="61">
        <v>7.1665619999999999</v>
      </c>
      <c r="F274" s="59" t="s">
        <v>92</v>
      </c>
      <c r="G274" s="61"/>
      <c r="H274" s="62"/>
      <c r="I274" s="62">
        <v>7.0705499999999999</v>
      </c>
      <c r="J274" s="78">
        <v>1327.54</v>
      </c>
      <c r="K274" s="78">
        <v>220.85599999999999</v>
      </c>
      <c r="L274" s="62">
        <v>509.67</v>
      </c>
      <c r="M274" s="62">
        <v>931.09</v>
      </c>
      <c r="N274" s="62" t="s">
        <v>600</v>
      </c>
      <c r="O274" s="63">
        <f t="shared" si="17"/>
        <v>7.0705499999999999</v>
      </c>
      <c r="P274" s="63">
        <f t="shared" si="18"/>
        <v>1327.54</v>
      </c>
      <c r="Q274" s="63">
        <f t="shared" si="19"/>
        <v>220.85599999999999</v>
      </c>
      <c r="R274" s="64">
        <f t="shared" si="20"/>
        <v>1</v>
      </c>
      <c r="S274" s="64">
        <f t="shared" si="21"/>
        <v>1</v>
      </c>
    </row>
    <row r="275" spans="1:29" ht="14.5">
      <c r="A275" s="59" t="s">
        <v>601</v>
      </c>
      <c r="B275" s="59" t="s">
        <v>602</v>
      </c>
      <c r="C275" s="60" t="s">
        <v>24</v>
      </c>
      <c r="D275" s="61">
        <v>167.84800000000001</v>
      </c>
      <c r="E275" s="61">
        <v>12.962082000000001</v>
      </c>
      <c r="F275" s="59" t="s">
        <v>92</v>
      </c>
      <c r="G275" s="61"/>
      <c r="H275" s="62"/>
      <c r="I275" s="62">
        <v>6.8979999999999997</v>
      </c>
      <c r="J275" s="62">
        <v>1365.88</v>
      </c>
      <c r="K275" s="62">
        <v>209.74</v>
      </c>
      <c r="L275" s="62">
        <v>598.67000000000007</v>
      </c>
      <c r="M275" s="62">
        <v>725.67000000000007</v>
      </c>
      <c r="N275" s="62" t="s">
        <v>93</v>
      </c>
      <c r="O275" s="63">
        <f t="shared" si="17"/>
        <v>6.8979999999999997</v>
      </c>
      <c r="P275" s="63">
        <f t="shared" si="18"/>
        <v>1365.88</v>
      </c>
      <c r="Q275" s="63">
        <f t="shared" si="19"/>
        <v>209.74</v>
      </c>
      <c r="R275" s="64">
        <f t="shared" si="20"/>
        <v>1</v>
      </c>
      <c r="S275" s="64">
        <f t="shared" si="21"/>
        <v>1</v>
      </c>
      <c r="AC275" s="72"/>
    </row>
    <row r="276" spans="1:29" ht="14.5">
      <c r="A276" s="59" t="s">
        <v>603</v>
      </c>
      <c r="B276" s="59" t="s">
        <v>604</v>
      </c>
      <c r="C276" s="60" t="s">
        <v>28</v>
      </c>
      <c r="D276" s="61">
        <v>167.84800000000001</v>
      </c>
      <c r="E276" s="61">
        <v>13.269193</v>
      </c>
      <c r="F276" s="59" t="s">
        <v>92</v>
      </c>
      <c r="G276" s="61"/>
      <c r="H276" s="62"/>
      <c r="I276" s="62">
        <v>6.6310000000000002</v>
      </c>
      <c r="J276" s="62">
        <v>1228.0999999999999</v>
      </c>
      <c r="K276" s="62">
        <v>179.9</v>
      </c>
      <c r="L276" s="62">
        <v>536.67000000000007</v>
      </c>
      <c r="M276" s="62">
        <v>725.67000000000007</v>
      </c>
      <c r="N276" s="62" t="s">
        <v>93</v>
      </c>
      <c r="O276" s="63">
        <f t="shared" si="17"/>
        <v>6.6310000000000002</v>
      </c>
      <c r="P276" s="63">
        <f t="shared" si="18"/>
        <v>1228.0999999999999</v>
      </c>
      <c r="Q276" s="63">
        <f t="shared" si="19"/>
        <v>179.9</v>
      </c>
      <c r="R276" s="64">
        <f t="shared" si="20"/>
        <v>1</v>
      </c>
      <c r="S276" s="64">
        <f t="shared" si="21"/>
        <v>1</v>
      </c>
      <c r="AC276" s="72"/>
    </row>
    <row r="277" spans="1:29" ht="14.5">
      <c r="A277" s="59" t="s">
        <v>605</v>
      </c>
      <c r="B277" s="59" t="s">
        <v>554</v>
      </c>
      <c r="C277" s="60" t="s">
        <v>33</v>
      </c>
      <c r="D277" s="61">
        <v>165.82</v>
      </c>
      <c r="E277" s="61">
        <v>13.536246</v>
      </c>
      <c r="F277" s="59" t="s">
        <v>92</v>
      </c>
      <c r="G277" s="61"/>
      <c r="H277" s="62"/>
      <c r="I277" s="62">
        <v>6.98</v>
      </c>
      <c r="J277" s="62">
        <v>1386.92</v>
      </c>
      <c r="K277" s="62">
        <v>217.53</v>
      </c>
      <c r="L277" s="62">
        <v>541.67000000000007</v>
      </c>
      <c r="M277" s="62">
        <v>685.67000000000007</v>
      </c>
      <c r="N277" s="62" t="s">
        <v>93</v>
      </c>
      <c r="O277" s="63">
        <f t="shared" si="17"/>
        <v>6.98</v>
      </c>
      <c r="P277" s="63">
        <f t="shared" si="18"/>
        <v>1386.92</v>
      </c>
      <c r="Q277" s="63">
        <f t="shared" si="19"/>
        <v>217.53</v>
      </c>
      <c r="R277" s="64">
        <f t="shared" si="20"/>
        <v>1</v>
      </c>
      <c r="S277" s="64">
        <f t="shared" si="21"/>
        <v>1</v>
      </c>
      <c r="AC277" s="72"/>
    </row>
    <row r="278" spans="1:29" ht="14.5">
      <c r="A278" s="59" t="s">
        <v>606</v>
      </c>
      <c r="B278" s="59" t="s">
        <v>607</v>
      </c>
      <c r="C278" s="60" t="s">
        <v>24</v>
      </c>
      <c r="D278" s="61">
        <v>72.11</v>
      </c>
      <c r="E278" s="61">
        <v>7.4207340000000004</v>
      </c>
      <c r="F278" s="59" t="s">
        <v>92</v>
      </c>
      <c r="G278" s="61"/>
      <c r="H278" s="62"/>
      <c r="I278" s="62">
        <v>6.9950000000000001</v>
      </c>
      <c r="J278" s="62">
        <v>1202.29</v>
      </c>
      <c r="K278" s="62">
        <v>226.25</v>
      </c>
      <c r="L278" s="62">
        <v>533.67000000000007</v>
      </c>
      <c r="M278" s="62">
        <v>670.67000000000007</v>
      </c>
      <c r="N278" s="62" t="s">
        <v>93</v>
      </c>
      <c r="O278" s="63">
        <f t="shared" si="17"/>
        <v>6.9950000000000001</v>
      </c>
      <c r="P278" s="63">
        <f t="shared" si="18"/>
        <v>1202.29</v>
      </c>
      <c r="Q278" s="63">
        <f t="shared" si="19"/>
        <v>226.25</v>
      </c>
      <c r="R278" s="64">
        <f t="shared" si="20"/>
        <v>1</v>
      </c>
      <c r="S278" s="64">
        <f t="shared" si="21"/>
        <v>1</v>
      </c>
      <c r="AC278" s="72"/>
    </row>
    <row r="279" spans="1:29" ht="14.5">
      <c r="A279" s="59" t="s">
        <v>608</v>
      </c>
      <c r="B279" s="59" t="s">
        <v>609</v>
      </c>
      <c r="C279" s="60" t="s">
        <v>28</v>
      </c>
      <c r="D279" s="61">
        <v>189.68</v>
      </c>
      <c r="E279" s="61">
        <f>1.73*8.3454</f>
        <v>14.437541999999999</v>
      </c>
      <c r="F279" s="61" t="s">
        <v>92</v>
      </c>
      <c r="G279" s="61"/>
      <c r="H279" s="62"/>
      <c r="I279" s="62">
        <v>7.2949999999999999</v>
      </c>
      <c r="J279" s="62">
        <v>1668.8244</v>
      </c>
      <c r="K279" s="62">
        <v>242.21</v>
      </c>
      <c r="L279" s="62">
        <v>448.29</v>
      </c>
      <c r="M279" s="62">
        <v>1148.4000000000001</v>
      </c>
      <c r="N279" s="62" t="s">
        <v>98</v>
      </c>
      <c r="O279" s="63">
        <f t="shared" si="17"/>
        <v>7.2949999999999999</v>
      </c>
      <c r="P279" s="63">
        <f t="shared" si="18"/>
        <v>1668.8244</v>
      </c>
      <c r="Q279" s="63">
        <f t="shared" si="19"/>
        <v>242.21</v>
      </c>
      <c r="R279" s="64">
        <f t="shared" si="20"/>
        <v>1</v>
      </c>
      <c r="S279" s="64">
        <f t="shared" si="21"/>
        <v>1</v>
      </c>
      <c r="AC279" s="72"/>
    </row>
    <row r="280" spans="1:29" ht="14.5">
      <c r="A280" s="59" t="s">
        <v>610</v>
      </c>
      <c r="B280" s="59" t="s">
        <v>611</v>
      </c>
      <c r="C280" s="60" t="s">
        <v>28</v>
      </c>
      <c r="D280" s="61">
        <v>92.14</v>
      </c>
      <c r="E280" s="61">
        <v>7.2605019999999998</v>
      </c>
      <c r="F280" s="59" t="s">
        <v>92</v>
      </c>
      <c r="G280" s="61"/>
      <c r="H280" s="62"/>
      <c r="I280" s="62">
        <v>6.9539999999999997</v>
      </c>
      <c r="J280" s="62">
        <v>1344.8</v>
      </c>
      <c r="K280" s="62">
        <v>219.48</v>
      </c>
      <c r="L280" s="62">
        <v>491.67</v>
      </c>
      <c r="M280" s="62">
        <v>581.67000000000007</v>
      </c>
      <c r="N280" s="62" t="s">
        <v>93</v>
      </c>
      <c r="O280" s="63">
        <f t="shared" si="17"/>
        <v>6.9539999999999997</v>
      </c>
      <c r="P280" s="63">
        <f t="shared" si="18"/>
        <v>1344.8</v>
      </c>
      <c r="Q280" s="63">
        <f t="shared" si="19"/>
        <v>219.48</v>
      </c>
      <c r="R280" s="64">
        <f t="shared" si="20"/>
        <v>1</v>
      </c>
      <c r="S280" s="64">
        <f t="shared" si="21"/>
        <v>1</v>
      </c>
      <c r="AC280" s="72"/>
    </row>
    <row r="281" spans="1:29" ht="14.5">
      <c r="A281" s="59" t="s">
        <v>612</v>
      </c>
      <c r="B281" s="59" t="s">
        <v>613</v>
      </c>
      <c r="C281" s="60" t="s">
        <v>28</v>
      </c>
      <c r="D281" s="61">
        <v>170.67910000000001</v>
      </c>
      <c r="E281" s="61">
        <f>1.65*8.3454</f>
        <v>13.769909999999999</v>
      </c>
      <c r="F281" s="61" t="s">
        <v>103</v>
      </c>
      <c r="G281" s="61"/>
      <c r="H281" s="62"/>
      <c r="I281" s="67"/>
      <c r="J281" s="67"/>
      <c r="K281" s="67"/>
      <c r="L281" s="67"/>
      <c r="M281" s="67"/>
      <c r="N281" s="62" t="s">
        <v>104</v>
      </c>
      <c r="O281" s="63">
        <f t="shared" ref="O281:O300" si="22">IF($F281="RVP", (12.82-0.9672*LN($G281)), IF($F281 = "RVP+S", 15.64-(1.854*($H281^0.5))-(0.8742-(0.328*($H281^0.5)))*LN($G281), I281))</f>
        <v>0</v>
      </c>
      <c r="P281" s="63">
        <f t="shared" ref="P281:P300" si="23">IF($F281="RVP", (7261-1216*LN($G281)), IF($F281 = "RVP+S", 8742-(1042*($H281^0.5))-(1049-(179.4*($H281^0.5)))*LN($G281), J281))</f>
        <v>0</v>
      </c>
      <c r="Q281" s="63">
        <f t="shared" ref="Q281:Q300" si="24">IF($F281="RVP", 0, IF($F281 = "RVP+S", 0, K281))</f>
        <v>0</v>
      </c>
      <c r="R281" s="64">
        <f t="shared" ref="R281:R301" si="25">IF($F281="RVP",0.4,1)</f>
        <v>1</v>
      </c>
      <c r="S281" s="64">
        <f t="shared" ref="S281:S301" si="26">IF($F281="RVP",0.75,1)</f>
        <v>1</v>
      </c>
      <c r="AC281" s="72"/>
    </row>
    <row r="282" spans="1:29" ht="14.5">
      <c r="A282" s="59" t="s">
        <v>614</v>
      </c>
      <c r="B282" s="59" t="s">
        <v>615</v>
      </c>
      <c r="C282" s="60" t="s">
        <v>33</v>
      </c>
      <c r="D282" s="61">
        <v>187.376</v>
      </c>
      <c r="E282" s="61">
        <v>13.018831</v>
      </c>
      <c r="F282" s="59" t="s">
        <v>92</v>
      </c>
      <c r="G282" s="61"/>
      <c r="H282" s="62"/>
      <c r="I282" s="62">
        <v>6.88</v>
      </c>
      <c r="J282" s="62">
        <v>1099.9000000000001</v>
      </c>
      <c r="K282" s="62">
        <v>227.5</v>
      </c>
      <c r="L282" s="62">
        <v>446.67</v>
      </c>
      <c r="M282" s="62">
        <v>640.67000000000007</v>
      </c>
      <c r="N282" s="62" t="s">
        <v>93</v>
      </c>
      <c r="O282" s="63">
        <f t="shared" si="22"/>
        <v>6.88</v>
      </c>
      <c r="P282" s="63">
        <f t="shared" si="23"/>
        <v>1099.9000000000001</v>
      </c>
      <c r="Q282" s="63">
        <f t="shared" si="24"/>
        <v>227.5</v>
      </c>
      <c r="R282" s="64">
        <f t="shared" si="25"/>
        <v>1</v>
      </c>
      <c r="S282" s="64">
        <f t="shared" si="26"/>
        <v>1</v>
      </c>
      <c r="AC282" s="72"/>
    </row>
    <row r="283" spans="1:29" ht="14.5">
      <c r="A283" s="59" t="s">
        <v>616</v>
      </c>
      <c r="B283" s="59" t="s">
        <v>91</v>
      </c>
      <c r="C283" s="60" t="s">
        <v>36</v>
      </c>
      <c r="D283" s="61">
        <v>133.41999999999999</v>
      </c>
      <c r="E283" s="61">
        <v>11.215999999999999</v>
      </c>
      <c r="F283" s="59" t="s">
        <v>92</v>
      </c>
      <c r="G283" s="61"/>
      <c r="H283" s="62"/>
      <c r="I283" s="62">
        <v>8.6430000000000007</v>
      </c>
      <c r="J283" s="62">
        <v>2136.6</v>
      </c>
      <c r="K283" s="62">
        <v>302.8</v>
      </c>
      <c r="L283" s="62">
        <v>481.67</v>
      </c>
      <c r="M283" s="62">
        <v>521.67000000000007</v>
      </c>
      <c r="N283" s="62" t="s">
        <v>93</v>
      </c>
      <c r="O283" s="63">
        <f t="shared" si="22"/>
        <v>8.6430000000000007</v>
      </c>
      <c r="P283" s="63">
        <f t="shared" si="23"/>
        <v>2136.6</v>
      </c>
      <c r="Q283" s="63">
        <f t="shared" si="24"/>
        <v>302.8</v>
      </c>
      <c r="R283" s="64">
        <f t="shared" si="25"/>
        <v>1</v>
      </c>
      <c r="S283" s="64">
        <f t="shared" si="26"/>
        <v>1</v>
      </c>
      <c r="AC283" s="72"/>
    </row>
    <row r="284" spans="1:29" ht="14.5">
      <c r="A284" s="59" t="s">
        <v>617</v>
      </c>
      <c r="B284" s="59" t="s">
        <v>618</v>
      </c>
      <c r="C284" s="60" t="s">
        <v>28</v>
      </c>
      <c r="D284" s="61">
        <v>133.4</v>
      </c>
      <c r="E284" s="61">
        <v>11.975655</v>
      </c>
      <c r="F284" s="59" t="s">
        <v>92</v>
      </c>
      <c r="G284" s="61"/>
      <c r="H284" s="62"/>
      <c r="I284" s="62">
        <v>6.9509999999999996</v>
      </c>
      <c r="J284" s="62">
        <v>1314.41</v>
      </c>
      <c r="K284" s="62">
        <v>209.2</v>
      </c>
      <c r="L284" s="62">
        <v>581.67000000000007</v>
      </c>
      <c r="M284" s="62">
        <v>696.67000000000007</v>
      </c>
      <c r="N284" s="62" t="s">
        <v>93</v>
      </c>
      <c r="O284" s="63">
        <f t="shared" si="22"/>
        <v>6.9509999999999996</v>
      </c>
      <c r="P284" s="63">
        <f t="shared" si="23"/>
        <v>1314.41</v>
      </c>
      <c r="Q284" s="63">
        <f t="shared" si="24"/>
        <v>209.2</v>
      </c>
      <c r="R284" s="64">
        <f t="shared" si="25"/>
        <v>1</v>
      </c>
      <c r="S284" s="64">
        <f t="shared" si="26"/>
        <v>1</v>
      </c>
      <c r="AC284" s="72"/>
    </row>
    <row r="285" spans="1:29" ht="14.5">
      <c r="A285" s="59" t="s">
        <v>619</v>
      </c>
      <c r="B285" s="59" t="s">
        <v>620</v>
      </c>
      <c r="C285" s="60" t="s">
        <v>28</v>
      </c>
      <c r="D285" s="61">
        <v>131.4</v>
      </c>
      <c r="E285" s="61">
        <v>12.272</v>
      </c>
      <c r="F285" s="59" t="s">
        <v>92</v>
      </c>
      <c r="G285" s="61"/>
      <c r="H285" s="62"/>
      <c r="I285" s="62">
        <v>6.5179999999999998</v>
      </c>
      <c r="J285" s="62">
        <v>1018.6</v>
      </c>
      <c r="K285" s="62">
        <v>192.7</v>
      </c>
      <c r="L285" s="62">
        <v>523.67000000000007</v>
      </c>
      <c r="M285" s="62">
        <v>647.67000000000007</v>
      </c>
      <c r="N285" s="62" t="s">
        <v>93</v>
      </c>
      <c r="O285" s="63">
        <f t="shared" si="22"/>
        <v>6.5179999999999998</v>
      </c>
      <c r="P285" s="63">
        <f t="shared" si="23"/>
        <v>1018.6</v>
      </c>
      <c r="Q285" s="63">
        <f t="shared" si="24"/>
        <v>192.7</v>
      </c>
      <c r="R285" s="64">
        <f t="shared" si="25"/>
        <v>1</v>
      </c>
      <c r="S285" s="64">
        <f t="shared" si="26"/>
        <v>1</v>
      </c>
      <c r="AC285" s="72"/>
    </row>
    <row r="286" spans="1:29" ht="14.5">
      <c r="A286" s="59" t="s">
        <v>621</v>
      </c>
      <c r="B286" s="59" t="s">
        <v>622</v>
      </c>
      <c r="C286" s="60" t="s">
        <v>33</v>
      </c>
      <c r="D286" s="61">
        <v>137.36000000000001</v>
      </c>
      <c r="E286" s="61">
        <v>12.468033999999999</v>
      </c>
      <c r="F286" s="59" t="s">
        <v>92</v>
      </c>
      <c r="G286" s="61"/>
      <c r="H286" s="62"/>
      <c r="I286" s="62">
        <v>6.8840000000000003</v>
      </c>
      <c r="J286" s="62">
        <v>1043.0039999999999</v>
      </c>
      <c r="K286" s="62">
        <v>236.88</v>
      </c>
      <c r="L286" s="62"/>
      <c r="M286" s="62"/>
      <c r="N286" s="62" t="s">
        <v>216</v>
      </c>
      <c r="O286" s="63">
        <f t="shared" si="22"/>
        <v>6.8840000000000003</v>
      </c>
      <c r="P286" s="63">
        <f t="shared" si="23"/>
        <v>1043.0039999999999</v>
      </c>
      <c r="Q286" s="63">
        <f t="shared" si="24"/>
        <v>236.88</v>
      </c>
      <c r="R286" s="64">
        <f t="shared" si="25"/>
        <v>1</v>
      </c>
      <c r="S286" s="64">
        <f t="shared" si="26"/>
        <v>1</v>
      </c>
      <c r="AC286" s="72"/>
    </row>
    <row r="287" spans="1:29" ht="14.5">
      <c r="A287" s="59" t="s">
        <v>623</v>
      </c>
      <c r="B287" s="59" t="s">
        <v>624</v>
      </c>
      <c r="C287" s="60" t="s">
        <v>24</v>
      </c>
      <c r="D287" s="61">
        <v>147.43</v>
      </c>
      <c r="E287" s="61">
        <v>11.575075999999999</v>
      </c>
      <c r="F287" s="59" t="s">
        <v>92</v>
      </c>
      <c r="G287" s="61"/>
      <c r="H287" s="62"/>
      <c r="I287" s="62">
        <v>6.9029999999999996</v>
      </c>
      <c r="J287" s="62">
        <v>788.2</v>
      </c>
      <c r="K287" s="62">
        <v>243.23</v>
      </c>
      <c r="L287" s="62">
        <v>507.67</v>
      </c>
      <c r="M287" s="62">
        <v>775.67000000000007</v>
      </c>
      <c r="N287" s="62" t="s">
        <v>93</v>
      </c>
      <c r="O287" s="63">
        <f t="shared" si="22"/>
        <v>6.9029999999999996</v>
      </c>
      <c r="P287" s="63">
        <f t="shared" si="23"/>
        <v>788.2</v>
      </c>
      <c r="Q287" s="63">
        <f t="shared" si="24"/>
        <v>243.23</v>
      </c>
      <c r="R287" s="64">
        <f t="shared" si="25"/>
        <v>1</v>
      </c>
      <c r="S287" s="64">
        <f t="shared" si="26"/>
        <v>1</v>
      </c>
      <c r="AC287" s="72"/>
    </row>
    <row r="288" spans="1:29" ht="14.5">
      <c r="A288" s="59" t="s">
        <v>625</v>
      </c>
      <c r="B288" s="59" t="s">
        <v>626</v>
      </c>
      <c r="C288" s="60" t="s">
        <v>28</v>
      </c>
      <c r="D288" s="61">
        <v>101.19</v>
      </c>
      <c r="E288" s="61">
        <f>0.726*8.34</f>
        <v>6.0548399999999996</v>
      </c>
      <c r="F288" s="59" t="s">
        <v>92</v>
      </c>
      <c r="G288" s="61"/>
      <c r="H288" s="62"/>
      <c r="I288" s="62">
        <v>6.5030999999999999</v>
      </c>
      <c r="J288" s="62">
        <v>919.4203</v>
      </c>
      <c r="K288" s="62">
        <v>164.67400000000001</v>
      </c>
      <c r="L288" s="62">
        <v>495.99</v>
      </c>
      <c r="M288" s="62">
        <v>693.55799999999999</v>
      </c>
      <c r="N288" s="62" t="s">
        <v>98</v>
      </c>
      <c r="O288" s="63">
        <f t="shared" si="22"/>
        <v>6.5030999999999999</v>
      </c>
      <c r="P288" s="63">
        <f t="shared" si="23"/>
        <v>919.4203</v>
      </c>
      <c r="Q288" s="63">
        <f t="shared" si="24"/>
        <v>164.67400000000001</v>
      </c>
      <c r="R288" s="64">
        <f t="shared" si="25"/>
        <v>1</v>
      </c>
      <c r="S288" s="64">
        <f t="shared" si="26"/>
        <v>1</v>
      </c>
      <c r="AC288" s="72"/>
    </row>
    <row r="289" spans="1:29" ht="14.5">
      <c r="A289" s="59" t="s">
        <v>627</v>
      </c>
      <c r="B289" s="59" t="s">
        <v>628</v>
      </c>
      <c r="C289" s="60" t="s">
        <v>28</v>
      </c>
      <c r="D289" s="61">
        <v>335.28</v>
      </c>
      <c r="E289" s="61">
        <f>1.294*8.3454</f>
        <v>10.7989476</v>
      </c>
      <c r="F289" s="61" t="s">
        <v>103</v>
      </c>
      <c r="G289" s="61"/>
      <c r="H289" s="62"/>
      <c r="I289" s="62"/>
      <c r="J289" s="62"/>
      <c r="K289" s="62"/>
      <c r="L289" s="62"/>
      <c r="M289" s="62"/>
      <c r="N289" s="62" t="s">
        <v>109</v>
      </c>
      <c r="O289" s="63">
        <f t="shared" si="22"/>
        <v>0</v>
      </c>
      <c r="P289" s="63">
        <f t="shared" si="23"/>
        <v>0</v>
      </c>
      <c r="Q289" s="63">
        <f t="shared" si="24"/>
        <v>0</v>
      </c>
      <c r="R289" s="64">
        <f t="shared" si="25"/>
        <v>1</v>
      </c>
      <c r="S289" s="64">
        <f t="shared" si="26"/>
        <v>1</v>
      </c>
      <c r="AC289" s="72"/>
    </row>
    <row r="290" spans="1:29" ht="14.5">
      <c r="A290" s="59" t="s">
        <v>629</v>
      </c>
      <c r="B290" s="59" t="s">
        <v>630</v>
      </c>
      <c r="C290" s="60" t="s">
        <v>28</v>
      </c>
      <c r="D290" s="61">
        <v>86.09</v>
      </c>
      <c r="E290" s="61">
        <v>7.8170000000000002</v>
      </c>
      <c r="F290" s="59" t="s">
        <v>92</v>
      </c>
      <c r="G290" s="61"/>
      <c r="H290" s="62"/>
      <c r="I290" s="62">
        <v>7.21</v>
      </c>
      <c r="J290" s="62">
        <v>1296.1300000000001</v>
      </c>
      <c r="K290" s="62">
        <v>226.66</v>
      </c>
      <c r="L290" s="62">
        <v>530.67000000000007</v>
      </c>
      <c r="M290" s="62">
        <v>621.67000000000007</v>
      </c>
      <c r="N290" s="62" t="s">
        <v>93</v>
      </c>
      <c r="O290" s="63">
        <f t="shared" si="22"/>
        <v>7.21</v>
      </c>
      <c r="P290" s="63">
        <f t="shared" si="23"/>
        <v>1296.1300000000001</v>
      </c>
      <c r="Q290" s="63">
        <f t="shared" si="24"/>
        <v>226.66</v>
      </c>
      <c r="R290" s="64">
        <f t="shared" si="25"/>
        <v>1</v>
      </c>
      <c r="S290" s="64">
        <f t="shared" si="26"/>
        <v>1</v>
      </c>
      <c r="AC290" s="72"/>
    </row>
    <row r="291" spans="1:29" ht="14.5">
      <c r="A291" s="59" t="s">
        <v>631</v>
      </c>
      <c r="B291" s="59" t="s">
        <v>632</v>
      </c>
      <c r="C291" s="60" t="s">
        <v>28</v>
      </c>
      <c r="D291" s="61">
        <v>106.95</v>
      </c>
      <c r="E291" s="61">
        <f>1.517*8.3454</f>
        <v>12.659971799999999</v>
      </c>
      <c r="F291" s="61" t="s">
        <v>92</v>
      </c>
      <c r="G291" s="61"/>
      <c r="H291" s="62"/>
      <c r="I291" s="62">
        <v>7.4048499999999997</v>
      </c>
      <c r="J291" s="62">
        <v>1204.6473000000001</v>
      </c>
      <c r="K291" s="62">
        <v>250.42699999999999</v>
      </c>
      <c r="L291" s="62">
        <v>379.45799999999997</v>
      </c>
      <c r="M291" s="62">
        <v>554.36400000000003</v>
      </c>
      <c r="N291" s="62" t="s">
        <v>98</v>
      </c>
      <c r="O291" s="63">
        <f t="shared" si="22"/>
        <v>7.4048499999999997</v>
      </c>
      <c r="P291" s="63">
        <f t="shared" si="23"/>
        <v>1204.6473000000001</v>
      </c>
      <c r="Q291" s="63">
        <f t="shared" si="24"/>
        <v>250.42699999999999</v>
      </c>
      <c r="R291" s="64">
        <f t="shared" si="25"/>
        <v>1</v>
      </c>
      <c r="S291" s="64">
        <f t="shared" si="26"/>
        <v>1</v>
      </c>
      <c r="AC291" s="72"/>
    </row>
    <row r="292" spans="1:29" ht="14.5">
      <c r="A292" s="59" t="s">
        <v>633</v>
      </c>
      <c r="B292" s="59" t="s">
        <v>634</v>
      </c>
      <c r="C292" s="60" t="s">
        <v>28</v>
      </c>
      <c r="D292" s="61">
        <v>62.5</v>
      </c>
      <c r="E292" s="61">
        <f>0.911*8.3454</f>
        <v>7.6026594000000003</v>
      </c>
      <c r="F292" s="61" t="s">
        <v>92</v>
      </c>
      <c r="G292" s="61"/>
      <c r="H292" s="62"/>
      <c r="I292" s="62">
        <v>6.9086299999999996</v>
      </c>
      <c r="J292" s="62">
        <v>910.28599999999994</v>
      </c>
      <c r="K292" s="62">
        <v>239.8</v>
      </c>
      <c r="L292" s="62">
        <v>337.33800000000002</v>
      </c>
      <c r="M292" s="62">
        <v>499.69800000000004</v>
      </c>
      <c r="N292" s="62" t="s">
        <v>98</v>
      </c>
      <c r="O292" s="63">
        <f t="shared" si="22"/>
        <v>6.9086299999999996</v>
      </c>
      <c r="P292" s="63">
        <f t="shared" si="23"/>
        <v>910.28599999999994</v>
      </c>
      <c r="Q292" s="63">
        <f t="shared" si="24"/>
        <v>239.8</v>
      </c>
      <c r="R292" s="64">
        <f t="shared" si="25"/>
        <v>1</v>
      </c>
      <c r="S292" s="64">
        <f t="shared" si="26"/>
        <v>1</v>
      </c>
      <c r="AC292" s="72"/>
    </row>
    <row r="293" spans="1:29" ht="14.5">
      <c r="A293" s="59" t="s">
        <v>635</v>
      </c>
      <c r="B293" s="59" t="s">
        <v>636</v>
      </c>
      <c r="C293" s="60" t="s">
        <v>28</v>
      </c>
      <c r="D293" s="61">
        <v>96.5</v>
      </c>
      <c r="E293" s="61">
        <v>10.382999999999999</v>
      </c>
      <c r="F293" s="59" t="s">
        <v>92</v>
      </c>
      <c r="G293" s="61"/>
      <c r="H293" s="62"/>
      <c r="I293" s="62">
        <v>6.9720000000000004</v>
      </c>
      <c r="J293" s="62">
        <v>1099.4000000000001</v>
      </c>
      <c r="K293" s="62">
        <v>237.2</v>
      </c>
      <c r="L293" s="62">
        <v>440.67</v>
      </c>
      <c r="M293" s="62">
        <v>549.67000000000007</v>
      </c>
      <c r="N293" s="62" t="s">
        <v>93</v>
      </c>
      <c r="O293" s="63">
        <f t="shared" si="22"/>
        <v>6.9720000000000004</v>
      </c>
      <c r="P293" s="63">
        <f t="shared" si="23"/>
        <v>1099.4000000000001</v>
      </c>
      <c r="Q293" s="63">
        <f t="shared" si="24"/>
        <v>237.2</v>
      </c>
      <c r="R293" s="64">
        <f t="shared" si="25"/>
        <v>1</v>
      </c>
      <c r="S293" s="64">
        <f t="shared" si="26"/>
        <v>1</v>
      </c>
      <c r="AC293" s="72"/>
    </row>
    <row r="294" spans="1:29" ht="14.5">
      <c r="A294" s="59" t="s">
        <v>78</v>
      </c>
      <c r="B294" s="77" t="s">
        <v>637</v>
      </c>
      <c r="C294" s="60" t="s">
        <v>78</v>
      </c>
      <c r="D294" s="61">
        <v>18.02</v>
      </c>
      <c r="E294" s="61">
        <v>8.34</v>
      </c>
      <c r="F294" s="59" t="s">
        <v>92</v>
      </c>
      <c r="G294" s="61"/>
      <c r="H294" s="62"/>
      <c r="I294" s="62">
        <v>8.0713100000000004</v>
      </c>
      <c r="J294" s="78">
        <v>1730.63</v>
      </c>
      <c r="K294" s="78">
        <v>233.42599999999999</v>
      </c>
      <c r="L294" s="62">
        <v>493.47</v>
      </c>
      <c r="M294" s="62">
        <v>671.67</v>
      </c>
      <c r="N294" s="62" t="s">
        <v>168</v>
      </c>
      <c r="O294" s="63">
        <f t="shared" si="22"/>
        <v>8.0713100000000004</v>
      </c>
      <c r="P294" s="63">
        <f t="shared" si="23"/>
        <v>1730.63</v>
      </c>
      <c r="Q294" s="63">
        <f t="shared" si="24"/>
        <v>233.42599999999999</v>
      </c>
      <c r="R294" s="64">
        <f t="shared" si="25"/>
        <v>1</v>
      </c>
      <c r="S294" s="64">
        <f t="shared" si="26"/>
        <v>1</v>
      </c>
    </row>
    <row r="295" spans="1:29" ht="14.5">
      <c r="A295" s="59" t="s">
        <v>638</v>
      </c>
      <c r="B295" s="59" t="s">
        <v>639</v>
      </c>
      <c r="C295" s="60" t="s">
        <v>28</v>
      </c>
      <c r="D295" s="61">
        <v>106.16</v>
      </c>
      <c r="E295" s="61">
        <v>7.1770480000000001</v>
      </c>
      <c r="F295" s="59" t="s">
        <v>92</v>
      </c>
      <c r="G295" s="61"/>
      <c r="H295" s="62"/>
      <c r="I295" s="62">
        <v>7.0090000000000003</v>
      </c>
      <c r="J295" s="62">
        <v>1426.2660000000001</v>
      </c>
      <c r="K295" s="62">
        <v>215.11</v>
      </c>
      <c r="L295" s="62">
        <v>541.67000000000007</v>
      </c>
      <c r="M295" s="62">
        <v>790.67000000000007</v>
      </c>
      <c r="N295" s="62" t="s">
        <v>93</v>
      </c>
      <c r="O295" s="63">
        <f t="shared" si="22"/>
        <v>7.0090000000000003</v>
      </c>
      <c r="P295" s="63">
        <f t="shared" si="23"/>
        <v>1426.2660000000001</v>
      </c>
      <c r="Q295" s="63">
        <f t="shared" si="24"/>
        <v>215.11</v>
      </c>
      <c r="R295" s="64">
        <f t="shared" si="25"/>
        <v>1</v>
      </c>
      <c r="S295" s="64">
        <f t="shared" si="26"/>
        <v>1</v>
      </c>
      <c r="AC295" s="72"/>
    </row>
    <row r="296" spans="1:29" ht="14.5">
      <c r="A296" s="59" t="s">
        <v>640</v>
      </c>
      <c r="B296" s="59" t="s">
        <v>641</v>
      </c>
      <c r="C296" s="60" t="s">
        <v>28</v>
      </c>
      <c r="D296" s="61">
        <v>106.16</v>
      </c>
      <c r="E296" s="61">
        <v>7.3439560000000004</v>
      </c>
      <c r="F296" s="59" t="s">
        <v>92</v>
      </c>
      <c r="G296" s="61"/>
      <c r="H296" s="62"/>
      <c r="I296" s="62">
        <v>6.9980000000000002</v>
      </c>
      <c r="J296" s="62">
        <v>1474.6790000000001</v>
      </c>
      <c r="K296" s="62">
        <v>213.69</v>
      </c>
      <c r="L296" s="62">
        <v>549.67000000000007</v>
      </c>
      <c r="M296" s="62">
        <v>801.67000000000007</v>
      </c>
      <c r="N296" s="62" t="s">
        <v>93</v>
      </c>
      <c r="O296" s="63">
        <f t="shared" si="22"/>
        <v>6.9980000000000002</v>
      </c>
      <c r="P296" s="63">
        <f t="shared" si="23"/>
        <v>1474.6790000000001</v>
      </c>
      <c r="Q296" s="63">
        <f t="shared" si="24"/>
        <v>213.69</v>
      </c>
      <c r="R296" s="64">
        <f t="shared" si="25"/>
        <v>1</v>
      </c>
      <c r="S296" s="64">
        <f t="shared" si="26"/>
        <v>1</v>
      </c>
      <c r="AC296" s="72"/>
    </row>
    <row r="297" spans="1:29" ht="14.5">
      <c r="A297" s="59" t="s">
        <v>642</v>
      </c>
      <c r="B297" s="59" t="s">
        <v>643</v>
      </c>
      <c r="C297" s="60" t="s">
        <v>28</v>
      </c>
      <c r="D297" s="61">
        <v>106.16</v>
      </c>
      <c r="E297" s="61">
        <v>7.1853930000000004</v>
      </c>
      <c r="F297" s="59" t="s">
        <v>92</v>
      </c>
      <c r="G297" s="61"/>
      <c r="H297" s="62"/>
      <c r="I297" s="62">
        <v>7.02</v>
      </c>
      <c r="J297" s="62">
        <v>1474.4</v>
      </c>
      <c r="K297" s="62">
        <v>217.77</v>
      </c>
      <c r="L297" s="62">
        <v>515.67000000000007</v>
      </c>
      <c r="M297" s="62">
        <v>814.67000000000007</v>
      </c>
      <c r="N297" s="62" t="s">
        <v>93</v>
      </c>
      <c r="O297" s="63">
        <f t="shared" si="22"/>
        <v>7.02</v>
      </c>
      <c r="P297" s="63">
        <f t="shared" si="23"/>
        <v>1474.4</v>
      </c>
      <c r="Q297" s="63">
        <f t="shared" si="24"/>
        <v>217.77</v>
      </c>
      <c r="R297" s="64">
        <f t="shared" si="25"/>
        <v>1</v>
      </c>
      <c r="S297" s="64">
        <f t="shared" si="26"/>
        <v>1</v>
      </c>
      <c r="AC297" s="72"/>
    </row>
    <row r="298" spans="1:29" ht="14.5">
      <c r="A298" s="59" t="s">
        <v>644</v>
      </c>
      <c r="B298" s="59" t="s">
        <v>645</v>
      </c>
      <c r="C298" s="60" t="s">
        <v>28</v>
      </c>
      <c r="D298" s="61">
        <v>106.17</v>
      </c>
      <c r="E298" s="61">
        <v>7.2057599999999997</v>
      </c>
      <c r="F298" s="59" t="s">
        <v>92</v>
      </c>
      <c r="G298" s="61"/>
      <c r="H298" s="62"/>
      <c r="I298" s="62">
        <v>7.0090000000000003</v>
      </c>
      <c r="J298" s="62">
        <v>1458.4483333333335</v>
      </c>
      <c r="K298" s="62">
        <v>215.52333333333334</v>
      </c>
      <c r="L298" s="62">
        <v>535.67000000000007</v>
      </c>
      <c r="M298" s="62">
        <v>802.3366666666667</v>
      </c>
      <c r="N298" s="62" t="s">
        <v>93</v>
      </c>
      <c r="O298" s="63">
        <f t="shared" si="22"/>
        <v>7.0090000000000003</v>
      </c>
      <c r="P298" s="63">
        <f t="shared" si="23"/>
        <v>1458.4483333333335</v>
      </c>
      <c r="Q298" s="63">
        <f t="shared" si="24"/>
        <v>215.52333333333334</v>
      </c>
      <c r="R298" s="64">
        <f t="shared" si="25"/>
        <v>1</v>
      </c>
      <c r="S298" s="64">
        <f t="shared" si="26"/>
        <v>1</v>
      </c>
      <c r="AC298" s="72"/>
    </row>
    <row r="300" spans="1:29" ht="73">
      <c r="A300" s="51" t="s">
        <v>646</v>
      </c>
      <c r="B300" s="85" t="s">
        <v>60</v>
      </c>
      <c r="C300" s="86" t="s">
        <v>61</v>
      </c>
      <c r="D300" s="52" t="s">
        <v>647</v>
      </c>
      <c r="E300" s="87" t="s">
        <v>648</v>
      </c>
      <c r="F300" s="51" t="s">
        <v>64</v>
      </c>
      <c r="G300" s="51" t="s">
        <v>65</v>
      </c>
      <c r="H300" s="88" t="s">
        <v>66</v>
      </c>
      <c r="I300" s="52" t="s">
        <v>649</v>
      </c>
      <c r="J300" s="52" t="s">
        <v>650</v>
      </c>
      <c r="K300" s="52" t="s">
        <v>651</v>
      </c>
      <c r="L300" s="51" t="s">
        <v>70</v>
      </c>
      <c r="M300" s="51" t="s">
        <v>71</v>
      </c>
      <c r="N300" s="51" t="s">
        <v>72</v>
      </c>
      <c r="O300" s="52" t="s">
        <v>73</v>
      </c>
      <c r="P300" s="52" t="s">
        <v>74</v>
      </c>
      <c r="Q300" s="52" t="s">
        <v>75</v>
      </c>
      <c r="R300" s="52" t="s">
        <v>76</v>
      </c>
      <c r="S300" s="52" t="s">
        <v>77</v>
      </c>
    </row>
    <row r="301" spans="1:29" ht="28">
      <c r="A301" s="89"/>
      <c r="B301" s="90"/>
      <c r="C301" s="91"/>
      <c r="D301" s="92" t="s">
        <v>652</v>
      </c>
      <c r="E301" s="93"/>
      <c r="F301" s="89"/>
      <c r="G301" s="89"/>
      <c r="H301" s="94"/>
      <c r="I301" s="95" t="s">
        <v>652</v>
      </c>
      <c r="J301" s="96"/>
      <c r="K301" s="96"/>
      <c r="L301" s="89"/>
      <c r="M301" s="89"/>
      <c r="N301" s="89"/>
      <c r="O301" s="57"/>
      <c r="P301" s="57"/>
      <c r="Q301" s="57"/>
      <c r="R301" s="57"/>
      <c r="S301" s="57"/>
    </row>
    <row r="302" spans="1:29" ht="14.5">
      <c r="A302" s="97" t="s">
        <v>653</v>
      </c>
      <c r="B302" s="77" t="s">
        <v>654</v>
      </c>
      <c r="C302" s="59" t="s">
        <v>654</v>
      </c>
      <c r="D302" s="64">
        <f>SUMIF('Mixture Data'!A:A,$A302,'Mixture Data'!AE:AE)</f>
        <v>51.312110609090347</v>
      </c>
      <c r="E302" s="64">
        <f>SUMIF('Mixture Data'!A:A,$A302,'Mixture Data'!L:L)</f>
        <v>6.7977673898704021</v>
      </c>
      <c r="F302" s="59" t="s">
        <v>92</v>
      </c>
      <c r="G302" s="98"/>
      <c r="H302" s="99"/>
      <c r="I302" s="63">
        <f>INDEX('Mixture Data'!$1:$1048576,MATCH('Product Data'!$A302,'Mixture Data'!$A:$A,0),MATCH('Product Data'!I$23,'Mixture Data'!$11:$11,0))</f>
        <v>8.1342805843960964</v>
      </c>
      <c r="J302" s="63">
        <f>INDEX('Mixture Data'!$1:$1048576,MATCH('Product Data'!$A302,'Mixture Data'!$A:$A,0),MATCH('Product Data'!J$23,'Mixture Data'!$11:$11,0))</f>
        <v>1690.8957156964671</v>
      </c>
      <c r="K302" s="63">
        <f>INDEX('Mixture Data'!$1:$1048576,MATCH('Product Data'!$A302,'Mixture Data'!$A:$A,0),MATCH('Product Data'!K$23,'Mixture Data'!$11:$11,0))</f>
        <v>235.50168366207279</v>
      </c>
      <c r="L302" s="100"/>
      <c r="M302" s="100"/>
      <c r="N302" s="62" t="s">
        <v>655</v>
      </c>
      <c r="O302" s="63">
        <f t="shared" ref="O302:O303" si="27">IF($F302="RVP", (12.82-0.9672*LN($G302)), IF($F302 = "RVP+S", 15.64-(1.854*($H302^0.5))-(0.8742-(0.328*($H302^0.5)))*LN($G302), I302))</f>
        <v>8.1342805843960964</v>
      </c>
      <c r="P302" s="63">
        <f t="shared" ref="P302:P303" si="28">IF($F302="RVP", (7261-1216*LN($G302)), IF($F302 = "RVP+S", 8742-(1042*($H302^0.5))-(1049-(179.4*($H302^0.5)))*LN($G302), J302))</f>
        <v>1690.8957156964671</v>
      </c>
      <c r="Q302" s="63">
        <f t="shared" ref="Q302:Q303" si="29">IF($F302="RVP", 0, IF($F302 = "RVP+S", 0, K302))</f>
        <v>235.50168366207279</v>
      </c>
      <c r="R302" s="64">
        <f t="shared" ref="R302:R303" si="30">IF($F302="RVP",0.4,1)</f>
        <v>1</v>
      </c>
      <c r="S302" s="64">
        <f t="shared" ref="S302:S303" si="31">IF($F302="RVP",0.75,1)</f>
        <v>1</v>
      </c>
    </row>
    <row r="303" spans="1:29" ht="14.5">
      <c r="A303" s="97" t="s">
        <v>656</v>
      </c>
      <c r="B303" s="77" t="s">
        <v>654</v>
      </c>
      <c r="C303" s="59" t="s">
        <v>654</v>
      </c>
      <c r="D303" s="64">
        <f>SUMIF('Mixture Data'!A:A,$A303,'Mixture Data'!AE:AE)</f>
        <v>111.92230463595808</v>
      </c>
      <c r="E303" s="64">
        <f>SUMIF('Mixture Data'!A:A,$A303,'Mixture Data'!L:L)</f>
        <v>8.2931726295841006</v>
      </c>
      <c r="F303" s="59" t="s">
        <v>92</v>
      </c>
      <c r="G303" s="98"/>
      <c r="H303" s="99"/>
      <c r="I303" s="63">
        <f>INDEX('Mixture Data'!$1:$1048576,MATCH('Product Data'!$A303,'Mixture Data'!$A:$A,0),MATCH('Product Data'!I$23,'Mixture Data'!$11:$11,0))</f>
        <v>8.9275175590100275</v>
      </c>
      <c r="J303" s="63">
        <f>INDEX('Mixture Data'!$1:$1048576,MATCH('Product Data'!$A303,'Mixture Data'!$A:$A,0),MATCH('Product Data'!J$23,'Mixture Data'!$11:$11,0))</f>
        <v>2582.9671207458073</v>
      </c>
      <c r="K303" s="63">
        <f>INDEX('Mixture Data'!$1:$1048576,MATCH('Product Data'!$A303,'Mixture Data'!$A:$A,0),MATCH('Product Data'!K$23,'Mixture Data'!$11:$11,0))</f>
        <v>352.19438606821001</v>
      </c>
      <c r="L303" s="100"/>
      <c r="M303" s="100"/>
      <c r="N303" s="62" t="s">
        <v>655</v>
      </c>
      <c r="O303" s="63">
        <f t="shared" si="27"/>
        <v>8.9275175590100275</v>
      </c>
      <c r="P303" s="63">
        <f t="shared" si="28"/>
        <v>2582.9671207458073</v>
      </c>
      <c r="Q303" s="63">
        <f t="shared" si="29"/>
        <v>352.19438606821001</v>
      </c>
      <c r="R303" s="64">
        <f t="shared" si="30"/>
        <v>1</v>
      </c>
      <c r="S303" s="64">
        <f t="shared" si="31"/>
        <v>1</v>
      </c>
    </row>
    <row r="305" spans="2:14" ht="14.5">
      <c r="B305" s="6"/>
      <c r="C305" s="6"/>
      <c r="D305" s="6"/>
      <c r="H305" s="5"/>
      <c r="J305" s="5"/>
      <c r="K305" s="5"/>
      <c r="L305" s="5"/>
      <c r="N305" s="5"/>
    </row>
    <row r="306" spans="2:14" ht="14.5">
      <c r="B306" s="6"/>
      <c r="E306" s="5"/>
      <c r="F306" s="5"/>
      <c r="G306" s="5"/>
      <c r="H306" s="5"/>
      <c r="I306" s="5"/>
      <c r="J306" s="5"/>
      <c r="K306" s="5"/>
      <c r="L306" s="5"/>
      <c r="N306" s="5"/>
    </row>
    <row r="307" spans="2:14" ht="14.5">
      <c r="B307" s="6"/>
      <c r="E307" s="5"/>
      <c r="F307" s="5"/>
      <c r="G307" s="5"/>
      <c r="H307" s="5"/>
      <c r="I307" s="5"/>
      <c r="J307" s="5"/>
      <c r="K307" s="5"/>
      <c r="L307" s="5"/>
      <c r="N307" s="5"/>
    </row>
    <row r="308" spans="2:14" ht="14.5">
      <c r="B308" s="6"/>
      <c r="E308" s="5"/>
      <c r="F308" s="5"/>
      <c r="G308" s="5"/>
      <c r="H308" s="5"/>
      <c r="I308" s="5"/>
      <c r="J308" s="5"/>
      <c r="K308" s="5"/>
      <c r="L308" s="5"/>
      <c r="N308" s="5"/>
    </row>
    <row r="309" spans="2:14" ht="14.5">
      <c r="B309" s="6"/>
      <c r="E309" s="5"/>
      <c r="F309" s="5"/>
      <c r="G309" s="5"/>
      <c r="H309" s="5"/>
      <c r="I309" s="5"/>
      <c r="J309" s="5"/>
      <c r="K309" s="5"/>
      <c r="L309" s="5"/>
      <c r="N309" s="5"/>
    </row>
    <row r="310" spans="2:14" ht="14.5">
      <c r="B310" s="6"/>
      <c r="E310" s="5"/>
      <c r="F310" s="5"/>
      <c r="G310" s="5"/>
      <c r="H310" s="5"/>
      <c r="I310" s="5"/>
      <c r="J310" s="5"/>
      <c r="K310" s="5"/>
      <c r="L310" s="5"/>
      <c r="N310" s="5"/>
    </row>
    <row r="311" spans="2:14" ht="14.5">
      <c r="B311" s="6"/>
      <c r="E311" s="5"/>
      <c r="F311" s="5"/>
      <c r="G311" s="5"/>
      <c r="H311" s="5"/>
      <c r="I311" s="5"/>
      <c r="J311" s="5"/>
      <c r="K311" s="5"/>
      <c r="L311" s="5"/>
      <c r="N311" s="5"/>
    </row>
    <row r="312" spans="2:14" ht="14.5">
      <c r="B312" s="6"/>
      <c r="E312" s="5"/>
      <c r="F312" s="5"/>
      <c r="G312" s="5"/>
      <c r="H312" s="5"/>
      <c r="I312" s="5"/>
      <c r="J312" s="5"/>
      <c r="K312" s="5"/>
      <c r="L312" s="5"/>
      <c r="N312" s="5"/>
    </row>
    <row r="313" spans="2:14" ht="14.5">
      <c r="E313" s="5"/>
      <c r="F313" s="5"/>
      <c r="G313" s="5"/>
      <c r="H313" s="5"/>
      <c r="I313" s="5"/>
      <c r="J313" s="5"/>
      <c r="K313" s="5"/>
      <c r="L313" s="5"/>
      <c r="N313" s="5"/>
    </row>
    <row r="314" spans="2:14" ht="14.5">
      <c r="E314" s="5"/>
      <c r="F314" s="5"/>
      <c r="G314" s="5"/>
      <c r="H314" s="5"/>
      <c r="I314" s="5"/>
      <c r="J314" s="5"/>
      <c r="K314" s="5"/>
      <c r="L314" s="5"/>
      <c r="N314" s="5"/>
    </row>
    <row r="315" spans="2:14" ht="14.5">
      <c r="E315" s="5"/>
      <c r="F315" s="5"/>
      <c r="G315" s="5"/>
      <c r="H315" s="5"/>
      <c r="I315" s="5"/>
      <c r="J315" s="5"/>
      <c r="K315" s="5"/>
      <c r="L315" s="5"/>
      <c r="N315" s="5"/>
    </row>
    <row r="316" spans="2:14" ht="14.5">
      <c r="E316" s="5"/>
      <c r="F316" s="5"/>
      <c r="G316" s="5"/>
      <c r="H316" s="5"/>
      <c r="I316" s="5"/>
      <c r="J316" s="5"/>
      <c r="K316" s="5"/>
      <c r="L316" s="5"/>
      <c r="N316" s="5"/>
    </row>
    <row r="317" spans="2:14" ht="14.5">
      <c r="E317" s="5"/>
      <c r="F317" s="5"/>
      <c r="G317" s="5"/>
      <c r="H317" s="5"/>
      <c r="I317" s="5"/>
      <c r="J317" s="5"/>
      <c r="K317" s="5"/>
      <c r="L317" s="5"/>
      <c r="N317" s="5"/>
    </row>
    <row r="318" spans="2:14" ht="14.5">
      <c r="E318" s="5"/>
      <c r="F318" s="5"/>
      <c r="G318" s="5"/>
      <c r="H318" s="5"/>
      <c r="I318" s="5"/>
      <c r="J318" s="5"/>
      <c r="K318" s="5"/>
      <c r="L318" s="5"/>
      <c r="N318" s="5"/>
    </row>
    <row r="319" spans="2:14" ht="14.5">
      <c r="E319" s="5"/>
      <c r="F319" s="5"/>
      <c r="G319" s="5"/>
      <c r="H319" s="5"/>
      <c r="I319" s="5"/>
      <c r="J319" s="5"/>
      <c r="K319" s="5"/>
      <c r="L319" s="5"/>
      <c r="N319" s="5"/>
    </row>
    <row r="320" spans="2:14" ht="14.5">
      <c r="E320" s="5"/>
      <c r="F320" s="5"/>
      <c r="G320" s="5"/>
      <c r="H320" s="5"/>
      <c r="I320" s="5"/>
      <c r="J320" s="5"/>
      <c r="K320" s="5"/>
      <c r="L320" s="5"/>
      <c r="N320" s="5"/>
    </row>
    <row r="321" spans="4:14" ht="14.5">
      <c r="E321" s="5"/>
      <c r="F321" s="5"/>
      <c r="G321" s="5"/>
      <c r="H321" s="5"/>
      <c r="I321" s="5"/>
      <c r="J321" s="5"/>
      <c r="K321" s="5"/>
      <c r="L321" s="5"/>
      <c r="N321" s="5"/>
    </row>
    <row r="322" spans="4:14" ht="14.5">
      <c r="E322" s="5"/>
      <c r="F322" s="5"/>
      <c r="G322" s="5"/>
      <c r="H322" s="5"/>
      <c r="I322" s="5"/>
      <c r="J322" s="5"/>
      <c r="K322" s="5"/>
      <c r="L322" s="5"/>
      <c r="N322" s="5"/>
    </row>
    <row r="323" spans="4:14" ht="14.5">
      <c r="E323" s="5"/>
      <c r="F323" s="5"/>
      <c r="G323" s="5"/>
      <c r="H323" s="5"/>
      <c r="I323" s="5"/>
      <c r="J323" s="5"/>
      <c r="K323" s="5"/>
      <c r="L323" s="5"/>
      <c r="N323" s="5"/>
    </row>
    <row r="324" spans="4:14" ht="14.5">
      <c r="E324" s="5"/>
      <c r="F324" s="5"/>
      <c r="G324" s="5"/>
      <c r="H324" s="5"/>
      <c r="I324" s="5"/>
      <c r="J324" s="5"/>
      <c r="K324" s="5"/>
      <c r="L324" s="5"/>
      <c r="N324" s="5"/>
    </row>
    <row r="325" spans="4:14" ht="14.5">
      <c r="E325" s="5"/>
      <c r="F325" s="5"/>
      <c r="G325" s="5"/>
      <c r="H325" s="5"/>
      <c r="I325" s="5"/>
      <c r="J325" s="5"/>
      <c r="K325" s="5"/>
      <c r="L325" s="5"/>
      <c r="N325" s="5"/>
    </row>
    <row r="326" spans="4:14" ht="14.5">
      <c r="E326" s="5"/>
      <c r="F326" s="5"/>
      <c r="G326" s="5"/>
      <c r="H326" s="5"/>
      <c r="I326" s="5"/>
      <c r="J326" s="5"/>
      <c r="K326" s="5"/>
      <c r="L326" s="5"/>
      <c r="N326" s="5"/>
    </row>
    <row r="327" spans="4:14" ht="14.5">
      <c r="E327" s="5"/>
      <c r="F327" s="5"/>
      <c r="G327" s="5"/>
      <c r="H327" s="5"/>
      <c r="I327" s="5"/>
      <c r="J327" s="5"/>
      <c r="K327" s="5"/>
      <c r="L327" s="5"/>
      <c r="N327" s="5"/>
    </row>
    <row r="328" spans="4:14" ht="14.5">
      <c r="E328" s="5"/>
      <c r="F328" s="5"/>
      <c r="G328" s="5"/>
      <c r="H328" s="5"/>
      <c r="I328" s="5"/>
      <c r="J328" s="5"/>
      <c r="K328" s="5"/>
      <c r="L328" s="5"/>
      <c r="N328" s="5"/>
    </row>
    <row r="329" spans="4:14" ht="14.5">
      <c r="D329" s="6"/>
      <c r="F329" s="5"/>
      <c r="G329" s="5"/>
      <c r="H329" s="5"/>
      <c r="I329" s="5"/>
      <c r="J329" s="5"/>
      <c r="K329" s="5"/>
      <c r="L329" s="5"/>
      <c r="N329" s="5"/>
    </row>
    <row r="330" spans="4:14" ht="14.5">
      <c r="D330" s="6"/>
      <c r="F330" s="5"/>
      <c r="G330" s="5"/>
      <c r="H330" s="5"/>
      <c r="I330" s="5"/>
      <c r="J330" s="5"/>
      <c r="K330" s="5"/>
      <c r="L330" s="5"/>
      <c r="N330" s="5"/>
    </row>
    <row r="331" spans="4:14" ht="14.5">
      <c r="D331" s="6"/>
      <c r="F331" s="5"/>
      <c r="G331" s="5"/>
      <c r="H331" s="5"/>
      <c r="I331" s="5"/>
      <c r="J331" s="5"/>
      <c r="K331" s="5"/>
      <c r="L331" s="5"/>
      <c r="N331" s="5"/>
    </row>
    <row r="332" spans="4:14" ht="14.5">
      <c r="D332" s="6"/>
      <c r="F332" s="5"/>
      <c r="G332" s="5"/>
      <c r="H332" s="5"/>
      <c r="I332" s="5"/>
      <c r="J332" s="5"/>
      <c r="K332" s="5"/>
      <c r="L332" s="5"/>
      <c r="N332" s="5"/>
    </row>
    <row r="333" spans="4:14" ht="14.5">
      <c r="D333" s="6"/>
      <c r="F333" s="5"/>
      <c r="G333" s="5"/>
      <c r="H333" s="5"/>
      <c r="I333" s="5"/>
      <c r="J333" s="5"/>
      <c r="K333" s="5"/>
      <c r="L333" s="5"/>
      <c r="N333" s="5"/>
    </row>
    <row r="334" spans="4:14" ht="14.5">
      <c r="D334" s="6"/>
      <c r="F334" s="5"/>
      <c r="G334" s="5"/>
      <c r="H334" s="5"/>
      <c r="I334" s="5"/>
      <c r="J334" s="5"/>
      <c r="K334" s="5"/>
      <c r="L334" s="5"/>
      <c r="N334" s="5"/>
    </row>
    <row r="335" spans="4:14" ht="14.5">
      <c r="D335" s="6"/>
      <c r="F335" s="5"/>
      <c r="G335" s="5"/>
      <c r="H335" s="5"/>
      <c r="I335" s="5"/>
      <c r="J335" s="5"/>
      <c r="K335" s="5"/>
      <c r="L335" s="5"/>
      <c r="N335" s="5"/>
    </row>
    <row r="336" spans="4:14" ht="14.5">
      <c r="D336" s="6"/>
      <c r="F336" s="5"/>
      <c r="G336" s="5"/>
      <c r="H336" s="5"/>
      <c r="I336" s="5"/>
      <c r="J336" s="5"/>
      <c r="K336" s="5"/>
      <c r="L336" s="5"/>
      <c r="N336" s="5"/>
    </row>
    <row r="337" spans="4:14" ht="14.5">
      <c r="D337" s="6"/>
      <c r="F337" s="5"/>
      <c r="G337" s="5"/>
      <c r="H337" s="5"/>
      <c r="I337" s="5"/>
      <c r="J337" s="5"/>
      <c r="K337" s="5"/>
      <c r="L337" s="5"/>
      <c r="N337" s="5"/>
    </row>
    <row r="338" spans="4:14" ht="14.5">
      <c r="D338" s="6"/>
      <c r="F338" s="5"/>
      <c r="G338" s="5"/>
      <c r="H338" s="5"/>
      <c r="I338" s="5"/>
      <c r="J338" s="5"/>
      <c r="K338" s="5"/>
      <c r="L338" s="5"/>
      <c r="N338" s="5"/>
    </row>
    <row r="339" spans="4:14" ht="14.5">
      <c r="D339" s="6"/>
      <c r="F339" s="5"/>
      <c r="G339" s="5"/>
      <c r="H339" s="5"/>
      <c r="I339" s="5"/>
      <c r="J339" s="5"/>
      <c r="K339" s="5"/>
      <c r="L339" s="5"/>
      <c r="N339" s="5"/>
    </row>
    <row r="340" spans="4:14" ht="14.5">
      <c r="D340" s="6"/>
      <c r="F340" s="5"/>
      <c r="G340" s="5"/>
      <c r="H340" s="5"/>
      <c r="I340" s="5"/>
      <c r="J340" s="5"/>
      <c r="K340" s="5"/>
      <c r="L340" s="5"/>
      <c r="N340" s="5"/>
    </row>
    <row r="341" spans="4:14" ht="14.5">
      <c r="D341" s="6"/>
      <c r="F341" s="5"/>
      <c r="G341" s="5"/>
      <c r="H341" s="5"/>
      <c r="I341" s="5"/>
      <c r="J341" s="5"/>
      <c r="K341" s="5"/>
      <c r="L341" s="5"/>
      <c r="N341" s="5"/>
    </row>
    <row r="342" spans="4:14" ht="14.5">
      <c r="D342" s="6"/>
      <c r="F342" s="5"/>
      <c r="G342" s="5"/>
      <c r="H342" s="5"/>
      <c r="I342" s="5"/>
      <c r="J342" s="5"/>
      <c r="K342" s="5"/>
      <c r="L342" s="5"/>
      <c r="N342" s="5"/>
    </row>
    <row r="343" spans="4:14" ht="14.5">
      <c r="D343" s="6"/>
      <c r="F343" s="5"/>
      <c r="G343" s="5"/>
      <c r="H343" s="5"/>
      <c r="I343" s="5"/>
      <c r="J343" s="5"/>
      <c r="K343" s="5"/>
      <c r="L343" s="5"/>
      <c r="N343" s="5"/>
    </row>
    <row r="344" spans="4:14" ht="14.5">
      <c r="D344" s="6"/>
      <c r="F344" s="5"/>
      <c r="G344" s="5"/>
      <c r="H344" s="5"/>
      <c r="I344" s="5"/>
      <c r="J344" s="5"/>
      <c r="K344" s="5"/>
      <c r="L344" s="5"/>
      <c r="N344" s="5"/>
    </row>
    <row r="345" spans="4:14" ht="14.5">
      <c r="D345" s="6"/>
      <c r="F345" s="5"/>
      <c r="G345" s="5"/>
      <c r="H345" s="5"/>
      <c r="I345" s="5"/>
      <c r="J345" s="5"/>
      <c r="K345" s="5"/>
      <c r="L345" s="5"/>
      <c r="N345" s="5"/>
    </row>
    <row r="346" spans="4:14" ht="14.5">
      <c r="D346" s="6"/>
      <c r="F346" s="5"/>
      <c r="G346" s="5"/>
      <c r="H346" s="5"/>
      <c r="I346" s="5"/>
      <c r="J346" s="5"/>
      <c r="K346" s="5"/>
      <c r="L346" s="5"/>
      <c r="N346" s="5"/>
    </row>
    <row r="347" spans="4:14" ht="14.5">
      <c r="D347" s="6"/>
      <c r="F347" s="5"/>
      <c r="G347" s="5"/>
      <c r="H347" s="5"/>
      <c r="I347" s="5"/>
      <c r="J347" s="5"/>
      <c r="K347" s="5"/>
      <c r="L347" s="5"/>
      <c r="N347" s="5"/>
    </row>
    <row r="348" spans="4:14" ht="14.5">
      <c r="D348" s="6"/>
      <c r="F348" s="5"/>
      <c r="G348" s="5"/>
      <c r="H348" s="5"/>
      <c r="I348" s="5"/>
      <c r="J348" s="5"/>
      <c r="K348" s="5"/>
      <c r="L348" s="5"/>
      <c r="N348" s="5"/>
    </row>
    <row r="349" spans="4:14" ht="14.5">
      <c r="D349" s="6"/>
      <c r="F349" s="5"/>
      <c r="G349" s="5"/>
      <c r="H349" s="5"/>
      <c r="I349" s="5"/>
      <c r="J349" s="5"/>
      <c r="K349" s="5"/>
      <c r="L349" s="5"/>
      <c r="N349" s="5"/>
    </row>
    <row r="350" spans="4:14" ht="14.5">
      <c r="D350" s="6"/>
      <c r="F350" s="5"/>
      <c r="G350" s="5"/>
      <c r="H350" s="5"/>
      <c r="I350" s="5"/>
      <c r="J350" s="5"/>
      <c r="K350" s="5"/>
      <c r="L350" s="5"/>
      <c r="N350" s="5"/>
    </row>
    <row r="351" spans="4:14" ht="14.5">
      <c r="D351" s="6"/>
      <c r="F351" s="5"/>
      <c r="G351" s="5"/>
      <c r="H351" s="5"/>
      <c r="I351" s="5"/>
      <c r="J351" s="5"/>
      <c r="K351" s="5"/>
      <c r="L351" s="5"/>
      <c r="N351" s="5"/>
    </row>
    <row r="352" spans="4:14" ht="14.5">
      <c r="D352" s="6"/>
      <c r="F352" s="5"/>
      <c r="G352" s="5"/>
      <c r="H352" s="5"/>
      <c r="I352" s="5"/>
      <c r="J352" s="5"/>
      <c r="K352" s="5"/>
      <c r="L352" s="5"/>
      <c r="N352" s="5"/>
    </row>
    <row r="353" spans="4:14" ht="14.5">
      <c r="D353" s="6"/>
      <c r="F353" s="5"/>
      <c r="G353" s="5"/>
      <c r="H353" s="5"/>
      <c r="I353" s="5"/>
      <c r="J353" s="5"/>
      <c r="K353" s="5"/>
      <c r="L353" s="5"/>
      <c r="N353" s="5"/>
    </row>
    <row r="354" spans="4:14" ht="14.5">
      <c r="D354" s="6"/>
      <c r="F354" s="5"/>
      <c r="G354" s="5"/>
      <c r="H354" s="5"/>
      <c r="I354" s="5"/>
      <c r="J354" s="5"/>
      <c r="K354" s="5"/>
      <c r="L354" s="5"/>
      <c r="N354" s="5"/>
    </row>
    <row r="355" spans="4:14" ht="14.5">
      <c r="D355" s="6"/>
      <c r="F355" s="5"/>
      <c r="G355" s="5"/>
      <c r="H355" s="5"/>
      <c r="I355" s="5"/>
      <c r="J355" s="5"/>
      <c r="K355" s="5"/>
      <c r="L355" s="5"/>
      <c r="N355" s="5"/>
    </row>
    <row r="356" spans="4:14" ht="14.5">
      <c r="D356" s="6"/>
      <c r="F356" s="5"/>
      <c r="G356" s="5"/>
      <c r="H356" s="5"/>
      <c r="I356" s="5"/>
      <c r="J356" s="5"/>
      <c r="K356" s="5"/>
      <c r="L356" s="5"/>
      <c r="N356" s="5"/>
    </row>
    <row r="357" spans="4:14" ht="14.5">
      <c r="D357" s="6"/>
      <c r="F357" s="5"/>
      <c r="G357" s="5"/>
      <c r="H357" s="5"/>
      <c r="I357" s="5"/>
      <c r="J357" s="5"/>
      <c r="K357" s="5"/>
      <c r="L357" s="5"/>
      <c r="N357" s="5"/>
    </row>
    <row r="358" spans="4:14" ht="14.5">
      <c r="D358" s="6"/>
      <c r="F358" s="5"/>
      <c r="G358" s="5"/>
      <c r="H358" s="5"/>
      <c r="I358" s="5"/>
      <c r="J358" s="5"/>
      <c r="K358" s="5"/>
      <c r="L358" s="5"/>
      <c r="N358" s="5"/>
    </row>
    <row r="359" spans="4:14" ht="14.5">
      <c r="D359" s="6"/>
      <c r="F359" s="5"/>
      <c r="G359" s="5"/>
      <c r="H359" s="5"/>
      <c r="I359" s="5"/>
      <c r="J359" s="5"/>
      <c r="K359" s="5"/>
      <c r="L359" s="5"/>
      <c r="N359" s="5"/>
    </row>
    <row r="360" spans="4:14" ht="14.5">
      <c r="D360" s="6"/>
      <c r="F360" s="5"/>
      <c r="G360" s="5"/>
      <c r="H360" s="5"/>
      <c r="I360" s="5"/>
      <c r="J360" s="5"/>
      <c r="K360" s="5"/>
      <c r="L360" s="5"/>
      <c r="N360" s="5"/>
    </row>
    <row r="361" spans="4:14" ht="14.5">
      <c r="D361" s="6"/>
      <c r="F361" s="5"/>
      <c r="G361" s="5"/>
      <c r="H361" s="5"/>
      <c r="I361" s="5"/>
      <c r="J361" s="5"/>
      <c r="K361" s="5"/>
      <c r="L361" s="5"/>
      <c r="N361" s="5"/>
    </row>
    <row r="362" spans="4:14" ht="14.5">
      <c r="D362" s="6"/>
      <c r="F362" s="5"/>
      <c r="G362" s="5"/>
      <c r="H362" s="5"/>
      <c r="I362" s="5"/>
      <c r="J362" s="5"/>
      <c r="K362" s="5"/>
      <c r="L362" s="5"/>
      <c r="N362" s="5"/>
    </row>
    <row r="363" spans="4:14" ht="14.5">
      <c r="D363" s="6"/>
      <c r="F363" s="5"/>
      <c r="G363" s="5"/>
      <c r="H363" s="5"/>
      <c r="I363" s="5"/>
      <c r="J363" s="5"/>
      <c r="K363" s="5"/>
      <c r="L363" s="5"/>
      <c r="N363" s="5"/>
    </row>
    <row r="364" spans="4:14" ht="14.5">
      <c r="D364" s="6"/>
      <c r="F364" s="5"/>
      <c r="G364" s="5"/>
      <c r="H364" s="5"/>
      <c r="I364" s="5"/>
      <c r="J364" s="5"/>
      <c r="K364" s="5"/>
      <c r="L364" s="5"/>
      <c r="N364" s="5"/>
    </row>
    <row r="365" spans="4:14" ht="14.5">
      <c r="D365" s="6"/>
      <c r="F365" s="5"/>
      <c r="G365" s="5"/>
      <c r="H365" s="5"/>
      <c r="I365" s="5"/>
      <c r="J365" s="5"/>
      <c r="K365" s="5"/>
      <c r="L365" s="5"/>
      <c r="N365" s="5"/>
    </row>
    <row r="366" spans="4:14" ht="14.5">
      <c r="D366" s="6"/>
      <c r="F366" s="5"/>
      <c r="G366" s="5"/>
      <c r="H366" s="5"/>
      <c r="I366" s="5"/>
      <c r="J366" s="5"/>
      <c r="K366" s="5"/>
      <c r="L366" s="5"/>
      <c r="N366" s="5"/>
    </row>
    <row r="367" spans="4:14" ht="14.5">
      <c r="D367" s="6"/>
      <c r="F367" s="5"/>
      <c r="G367" s="5"/>
      <c r="H367" s="5"/>
      <c r="I367" s="5"/>
      <c r="J367" s="5"/>
      <c r="K367" s="5"/>
      <c r="L367" s="5"/>
      <c r="N367" s="5"/>
    </row>
    <row r="368" spans="4:14" ht="14.5">
      <c r="D368" s="6"/>
      <c r="F368" s="5"/>
      <c r="G368" s="5"/>
      <c r="H368" s="5"/>
      <c r="I368" s="5"/>
      <c r="J368" s="5"/>
      <c r="K368" s="5"/>
      <c r="L368" s="5"/>
      <c r="N368" s="5"/>
    </row>
    <row r="369" spans="3:14" ht="14.5">
      <c r="D369" s="6"/>
      <c r="F369" s="5"/>
      <c r="G369" s="5"/>
      <c r="H369" s="5"/>
      <c r="I369" s="5"/>
      <c r="J369" s="5"/>
      <c r="K369" s="5"/>
      <c r="L369" s="5"/>
      <c r="N369" s="5"/>
    </row>
    <row r="370" spans="3:14" ht="14.5">
      <c r="D370" s="6"/>
      <c r="F370" s="5"/>
      <c r="G370" s="5"/>
      <c r="H370" s="5"/>
      <c r="I370" s="5"/>
      <c r="J370" s="5"/>
      <c r="K370" s="5"/>
      <c r="L370" s="5"/>
      <c r="N370" s="5"/>
    </row>
    <row r="371" spans="3:14" ht="14.5">
      <c r="D371" s="6"/>
      <c r="F371" s="5"/>
      <c r="G371" s="5"/>
      <c r="H371" s="5"/>
      <c r="I371" s="5"/>
      <c r="J371" s="5"/>
      <c r="K371" s="5"/>
      <c r="L371" s="5"/>
      <c r="N371" s="5"/>
    </row>
    <row r="372" spans="3:14" ht="14.5">
      <c r="D372" s="6"/>
      <c r="F372" s="5"/>
      <c r="G372" s="5"/>
      <c r="H372" s="5"/>
      <c r="I372" s="5"/>
      <c r="J372" s="5"/>
      <c r="K372" s="5"/>
      <c r="L372" s="5"/>
      <c r="N372" s="5"/>
    </row>
    <row r="373" spans="3:14" ht="14.5">
      <c r="C373" s="6"/>
      <c r="D373" s="6"/>
      <c r="F373" s="5"/>
      <c r="G373" s="5"/>
      <c r="H373" s="5"/>
      <c r="I373" s="5"/>
      <c r="J373" s="5"/>
      <c r="K373" s="5"/>
      <c r="L373" s="5"/>
      <c r="N373" s="5"/>
    </row>
    <row r="374" spans="3:14" ht="14.5">
      <c r="C374" s="6"/>
      <c r="D374" s="6"/>
      <c r="F374" s="5"/>
      <c r="G374" s="5"/>
      <c r="H374" s="5"/>
      <c r="I374" s="5"/>
      <c r="J374" s="5"/>
      <c r="K374" s="5"/>
      <c r="L374" s="5"/>
      <c r="N374" s="5"/>
    </row>
    <row r="375" spans="3:14" ht="14.5">
      <c r="C375" s="6"/>
      <c r="D375" s="6"/>
      <c r="F375" s="5"/>
      <c r="G375" s="5"/>
      <c r="H375" s="5"/>
      <c r="I375" s="5"/>
      <c r="J375" s="5"/>
      <c r="K375" s="5"/>
      <c r="L375" s="5"/>
      <c r="N375" s="5"/>
    </row>
    <row r="376" spans="3:14" ht="14.5">
      <c r="C376" s="6"/>
      <c r="D376" s="6"/>
      <c r="F376" s="5"/>
      <c r="G376" s="5"/>
      <c r="H376" s="5"/>
      <c r="I376" s="5"/>
      <c r="J376" s="5"/>
      <c r="K376" s="5"/>
      <c r="L376" s="5"/>
      <c r="N376" s="5"/>
    </row>
    <row r="377" spans="3:14" ht="14.5">
      <c r="C377" s="6"/>
      <c r="D377" s="6"/>
      <c r="F377" s="5"/>
      <c r="G377" s="5"/>
      <c r="H377" s="5"/>
      <c r="I377" s="5"/>
      <c r="J377" s="5"/>
      <c r="K377" s="5"/>
      <c r="L377" s="5"/>
      <c r="N377" s="5"/>
    </row>
    <row r="378" spans="3:14" ht="14.5">
      <c r="C378" s="6"/>
      <c r="D378" s="6"/>
      <c r="F378" s="5"/>
      <c r="G378" s="5"/>
      <c r="H378" s="5"/>
      <c r="I378" s="5"/>
      <c r="J378" s="5"/>
      <c r="K378" s="5"/>
      <c r="L378" s="5"/>
      <c r="N378" s="5"/>
    </row>
    <row r="379" spans="3:14" ht="14.5">
      <c r="C379" s="6"/>
      <c r="D379" s="6"/>
      <c r="F379" s="5"/>
      <c r="G379" s="5"/>
      <c r="H379" s="5"/>
      <c r="I379" s="5"/>
      <c r="J379" s="5"/>
      <c r="K379" s="5"/>
      <c r="L379" s="5"/>
      <c r="N379" s="5"/>
    </row>
    <row r="380" spans="3:14" ht="14.5">
      <c r="C380" s="6"/>
      <c r="D380" s="6"/>
      <c r="F380" s="5"/>
      <c r="G380" s="5"/>
      <c r="H380" s="5"/>
      <c r="I380" s="5"/>
      <c r="J380" s="5"/>
      <c r="K380" s="5"/>
      <c r="L380" s="5"/>
      <c r="N380" s="5"/>
    </row>
    <row r="381" spans="3:14" ht="14.5">
      <c r="C381" s="6"/>
      <c r="D381" s="6"/>
      <c r="F381" s="5"/>
      <c r="G381" s="5"/>
      <c r="H381" s="5"/>
      <c r="I381" s="5"/>
      <c r="J381" s="5"/>
      <c r="K381" s="5"/>
      <c r="L381" s="5"/>
      <c r="N381" s="5"/>
    </row>
    <row r="382" spans="3:14" ht="14.5">
      <c r="C382" s="6"/>
      <c r="D382" s="6"/>
      <c r="F382" s="5"/>
      <c r="G382" s="5"/>
      <c r="H382" s="5"/>
      <c r="I382" s="5"/>
      <c r="J382" s="5"/>
      <c r="K382" s="5"/>
      <c r="L382" s="5"/>
      <c r="N382" s="5"/>
    </row>
    <row r="383" spans="3:14" ht="14.5">
      <c r="C383" s="6"/>
      <c r="D383" s="6"/>
      <c r="F383" s="5"/>
      <c r="G383" s="5"/>
      <c r="H383" s="5"/>
      <c r="I383" s="5"/>
      <c r="J383" s="5"/>
      <c r="K383" s="5"/>
      <c r="L383" s="5"/>
      <c r="N383" s="5"/>
    </row>
    <row r="384" spans="3:14" ht="14.5">
      <c r="C384" s="6"/>
      <c r="D384" s="6"/>
      <c r="F384" s="5"/>
      <c r="G384" s="5"/>
      <c r="H384" s="5"/>
      <c r="I384" s="5"/>
      <c r="J384" s="5"/>
      <c r="K384" s="5"/>
      <c r="L384" s="5"/>
      <c r="N384" s="5"/>
    </row>
    <row r="385" spans="3:14" ht="14.5">
      <c r="C385" s="6"/>
      <c r="D385" s="6"/>
      <c r="F385" s="5"/>
      <c r="G385" s="5"/>
      <c r="H385" s="5"/>
      <c r="I385" s="5"/>
      <c r="J385" s="5"/>
      <c r="K385" s="5"/>
      <c r="L385" s="5"/>
      <c r="N385" s="5"/>
    </row>
    <row r="386" spans="3:14" ht="14.5">
      <c r="C386" s="6"/>
      <c r="D386" s="6"/>
      <c r="F386" s="5"/>
      <c r="G386" s="5"/>
      <c r="H386" s="5"/>
      <c r="I386" s="5"/>
      <c r="J386" s="5"/>
      <c r="K386" s="5"/>
      <c r="L386" s="5"/>
      <c r="N386" s="5"/>
    </row>
    <row r="387" spans="3:14" ht="14.5">
      <c r="C387" s="6"/>
      <c r="D387" s="6"/>
      <c r="F387" s="5"/>
      <c r="G387" s="5"/>
      <c r="H387" s="5"/>
      <c r="I387" s="5"/>
      <c r="J387" s="5"/>
      <c r="K387" s="5"/>
      <c r="L387" s="5"/>
      <c r="N387" s="5"/>
    </row>
    <row r="388" spans="3:14" ht="14.5">
      <c r="C388" s="6"/>
      <c r="D388" s="6"/>
      <c r="F388" s="5"/>
      <c r="H388" s="5"/>
      <c r="I388" s="5"/>
      <c r="J388" s="5"/>
      <c r="K388" s="5"/>
      <c r="L388" s="5"/>
      <c r="N388" s="5"/>
    </row>
    <row r="389" spans="3:14" ht="14.5">
      <c r="C389" s="6"/>
      <c r="D389" s="6"/>
      <c r="F389" s="5"/>
      <c r="H389" s="5"/>
      <c r="I389" s="5"/>
      <c r="J389" s="5"/>
      <c r="K389" s="5"/>
      <c r="L389" s="5"/>
      <c r="N389" s="5"/>
    </row>
    <row r="390" spans="3:14" ht="14.5">
      <c r="C390" s="6"/>
      <c r="D390" s="6"/>
      <c r="F390" s="5"/>
      <c r="H390" s="5"/>
      <c r="I390" s="5"/>
      <c r="J390" s="5"/>
      <c r="K390" s="5"/>
      <c r="L390" s="5"/>
      <c r="N390" s="5"/>
    </row>
    <row r="391" spans="3:14" ht="14.5">
      <c r="C391" s="6"/>
      <c r="D391" s="6"/>
      <c r="F391" s="5"/>
      <c r="H391" s="5"/>
      <c r="I391" s="5"/>
      <c r="J391" s="5"/>
      <c r="K391" s="5"/>
      <c r="L391" s="5"/>
      <c r="N391" s="5"/>
    </row>
    <row r="392" spans="3:14" ht="14.5">
      <c r="C392" s="6"/>
      <c r="D392" s="6"/>
      <c r="F392" s="5"/>
      <c r="H392" s="5"/>
      <c r="I392" s="5"/>
      <c r="J392" s="5"/>
      <c r="K392" s="5"/>
      <c r="L392" s="5"/>
      <c r="N392" s="5"/>
    </row>
    <row r="393" spans="3:14" ht="14.5">
      <c r="C393" s="6"/>
      <c r="D393" s="6"/>
      <c r="F393" s="5"/>
      <c r="H393" s="5"/>
      <c r="I393" s="5"/>
      <c r="J393" s="5"/>
      <c r="K393" s="5"/>
      <c r="L393" s="5"/>
      <c r="N393" s="5"/>
    </row>
    <row r="394" spans="3:14" ht="14.5">
      <c r="C394" s="6"/>
      <c r="D394" s="6"/>
      <c r="F394" s="5"/>
      <c r="H394" s="5"/>
      <c r="I394" s="5"/>
      <c r="J394" s="5"/>
      <c r="K394" s="5"/>
      <c r="L394" s="5"/>
      <c r="N394" s="5"/>
    </row>
    <row r="395" spans="3:14" ht="14.5">
      <c r="C395" s="6"/>
      <c r="D395" s="6"/>
      <c r="F395" s="5"/>
      <c r="H395" s="5"/>
      <c r="I395" s="5"/>
      <c r="J395" s="5"/>
      <c r="K395" s="5"/>
      <c r="L395" s="5"/>
      <c r="N395" s="5"/>
    </row>
    <row r="396" spans="3:14" ht="14.5">
      <c r="C396" s="6"/>
      <c r="D396" s="6"/>
      <c r="F396" s="5"/>
      <c r="H396" s="5"/>
      <c r="I396" s="5"/>
      <c r="J396" s="5"/>
      <c r="K396" s="5"/>
      <c r="L396" s="5"/>
      <c r="N396" s="5"/>
    </row>
    <row r="397" spans="3:14" ht="14.5">
      <c r="C397" s="6"/>
      <c r="D397" s="6"/>
      <c r="N397" s="5"/>
    </row>
  </sheetData>
  <autoFilter ref="A23:BQ303" xr:uid="{9C0084DA-1D3E-4FD4-B9D7-9384C6992A70}"/>
  <conditionalFormatting sqref="G39 G65:G80 G82:G87 G93:G95 G103:G109 G131 G133 G136:G150 G156:G157 G159:G169 G271 G255:G261 G251:G253 G249 G49 G30 G32:G33 G97:G100 G117:G121 G125:G129 G152 G171:G172 G202:G214 G264:G269 G273 G175:G200 G25 G53:G63 G275 G216:G246 G27:G28 G35 G278:G281 G89:G91 G111:G115">
    <cfRule type="expression" dxfId="349" priority="332">
      <formula>AND($F25&lt;&gt;"RVP",$F25&lt;&gt;"RVP+S")</formula>
    </cfRule>
  </conditionalFormatting>
  <conditionalFormatting sqref="H39 H65:H80 H82:H87 H93:H95 H103:H109 H131 H133 H136:H150 H156:H157 H159:H169 H271 H255:H261 H251:H253 H249 H49 H30 H32:H33 H97:H100 H117:H121 H125:H129 H152 H171:H172 H202:H214 H264:H269 H273 H175:H200 H25 H53:H63 H275 H216:H246 H27:H28 H35 H278:H281 H89:H91 H111:H115">
    <cfRule type="expression" dxfId="348" priority="331">
      <formula>$F25&lt;&gt;"RVP+S"</formula>
    </cfRule>
  </conditionalFormatting>
  <conditionalFormatting sqref="I67:M68 I94:M94 I136:M138 I156:M156 I159:M159 I273:M273 I54:M54 I76:M76 I78:M78 I80:M80 I111:M112 I117:M117 I129:M129 I140:M140 I147:M148 I161:M161 I164:M164 I169:M169 I210:M210 I236:M236 I244:M244 I269:M269 I39:M39 I82:M87 I104:M104 I120:M121 I127:M127 I167:M167 I172:M172 I208:M208 I241:M242 I251:M253 I255:M256 I264:M266 I27:M28 I30:M30 I32:M33 I125:M125 I176:M199 I25:M25 I62:M62 I222:M234 I221:K221 M221 I216:M220 I35:M35 I278:M281">
    <cfRule type="expression" dxfId="347" priority="330">
      <formula>$F25&lt;&gt;"Antoine's"</formula>
    </cfRule>
  </conditionalFormatting>
  <conditionalFormatting sqref="G302:M303">
    <cfRule type="expression" dxfId="346" priority="328">
      <formula>$F302= "Non-volatile"</formula>
    </cfRule>
  </conditionalFormatting>
  <conditionalFormatting sqref="I302:K303">
    <cfRule type="containsBlanks" dxfId="345" priority="329">
      <formula>LEN(TRIM(I302))=0</formula>
    </cfRule>
  </conditionalFormatting>
  <conditionalFormatting sqref="I302:M303 N303">
    <cfRule type="expression" dxfId="344" priority="327">
      <formula>$F302="RVP+S"</formula>
    </cfRule>
  </conditionalFormatting>
  <conditionalFormatting sqref="G302:M303 N303">
    <cfRule type="expression" dxfId="343" priority="326">
      <formula>$F302="Empty"</formula>
    </cfRule>
  </conditionalFormatting>
  <conditionalFormatting sqref="N302">
    <cfRule type="expression" dxfId="342" priority="325">
      <formula>$A$1149="mixtures"</formula>
    </cfRule>
  </conditionalFormatting>
  <conditionalFormatting sqref="N302">
    <cfRule type="containsBlanks" dxfId="341" priority="324">
      <formula>LEN(TRIM(N302))=0</formula>
    </cfRule>
  </conditionalFormatting>
  <conditionalFormatting sqref="G302:H303">
    <cfRule type="containsBlanks" dxfId="340" priority="319">
      <formula>LEN(TRIM(G302))=0</formula>
    </cfRule>
  </conditionalFormatting>
  <conditionalFormatting sqref="N302:N303">
    <cfRule type="expression" dxfId="339" priority="323">
      <formula>$F302="RVP"</formula>
    </cfRule>
  </conditionalFormatting>
  <conditionalFormatting sqref="N302">
    <cfRule type="expression" dxfId="338" priority="322">
      <formula>$F302="RVP+S"</formula>
    </cfRule>
  </conditionalFormatting>
  <conditionalFormatting sqref="N302">
    <cfRule type="expression" dxfId="337" priority="321">
      <formula>$F302="Empty"</formula>
    </cfRule>
  </conditionalFormatting>
  <conditionalFormatting sqref="G302:H303 L302:N303">
    <cfRule type="expression" dxfId="336" priority="320">
      <formula>$F302="Mix"</formula>
    </cfRule>
  </conditionalFormatting>
  <conditionalFormatting sqref="G302:H303">
    <cfRule type="expression" dxfId="335" priority="318">
      <formula>$F302="Antoine's"</formula>
    </cfRule>
  </conditionalFormatting>
  <conditionalFormatting sqref="N303">
    <cfRule type="expression" dxfId="334" priority="317">
      <formula>$A$1149="mixtures"</formula>
    </cfRule>
  </conditionalFormatting>
  <conditionalFormatting sqref="N303">
    <cfRule type="containsBlanks" dxfId="333" priority="316">
      <formula>LEN(TRIM(N303))=0</formula>
    </cfRule>
  </conditionalFormatting>
  <conditionalFormatting sqref="G282:G296">
    <cfRule type="expression" dxfId="332" priority="315">
      <formula>AND($F282&lt;&gt;"RVP",$F282&lt;&gt;"RVP+S")</formula>
    </cfRule>
  </conditionalFormatting>
  <conditionalFormatting sqref="H282:H296">
    <cfRule type="expression" dxfId="331" priority="314">
      <formula>$F282&lt;&gt;"RVP+S"</formula>
    </cfRule>
  </conditionalFormatting>
  <conditionalFormatting sqref="I282:M288 I290:M296">
    <cfRule type="expression" dxfId="330" priority="313">
      <formula>$F282&lt;&gt;"Antoine's"</formula>
    </cfRule>
  </conditionalFormatting>
  <conditionalFormatting sqref="G38">
    <cfRule type="expression" dxfId="329" priority="312">
      <formula>AND($F38&lt;&gt;"RVP",$F38&lt;&gt;"RVP+S")</formula>
    </cfRule>
  </conditionalFormatting>
  <conditionalFormatting sqref="H38">
    <cfRule type="expression" dxfId="328" priority="311">
      <formula>$F38&lt;&gt;"RVP+S"</formula>
    </cfRule>
  </conditionalFormatting>
  <conditionalFormatting sqref="I38:M38">
    <cfRule type="expression" dxfId="327" priority="310">
      <formula>$F38&lt;&gt;"Antoine's"</formula>
    </cfRule>
  </conditionalFormatting>
  <conditionalFormatting sqref="G43:H43">
    <cfRule type="expression" dxfId="326" priority="309">
      <formula>$F43= "Non-volatile"</formula>
    </cfRule>
  </conditionalFormatting>
  <conditionalFormatting sqref="G43:H43">
    <cfRule type="expression" dxfId="325" priority="308">
      <formula>$F43="Antoine's"</formula>
    </cfRule>
  </conditionalFormatting>
  <conditionalFormatting sqref="G43:H43">
    <cfRule type="expression" dxfId="324" priority="307">
      <formula>$F43="Empty"</formula>
    </cfRule>
  </conditionalFormatting>
  <conditionalFormatting sqref="G43:H43">
    <cfRule type="expression" dxfId="323" priority="306">
      <formula>$F43="Mix"</formula>
    </cfRule>
  </conditionalFormatting>
  <conditionalFormatting sqref="G64:H64">
    <cfRule type="expression" dxfId="322" priority="304">
      <formula>$F64="Antoine's"</formula>
    </cfRule>
  </conditionalFormatting>
  <conditionalFormatting sqref="G64:H64">
    <cfRule type="expression" dxfId="321" priority="305">
      <formula>$F64= "Non-volatile"</formula>
    </cfRule>
  </conditionalFormatting>
  <conditionalFormatting sqref="G64:H64">
    <cfRule type="expression" dxfId="320" priority="303">
      <formula>$F64="Empty"</formula>
    </cfRule>
  </conditionalFormatting>
  <conditionalFormatting sqref="G64:H64">
    <cfRule type="expression" dxfId="319" priority="302">
      <formula>$F64="Mix"</formula>
    </cfRule>
  </conditionalFormatting>
  <conditionalFormatting sqref="G81:H81">
    <cfRule type="expression" dxfId="318" priority="301">
      <formula>$F81= "Non-volatile"</formula>
    </cfRule>
  </conditionalFormatting>
  <conditionalFormatting sqref="G81:H81">
    <cfRule type="expression" dxfId="317" priority="300">
      <formula>$F81="Antoine's"</formula>
    </cfRule>
  </conditionalFormatting>
  <conditionalFormatting sqref="G81:H81">
    <cfRule type="expression" dxfId="316" priority="299">
      <formula>$F81="Empty"</formula>
    </cfRule>
  </conditionalFormatting>
  <conditionalFormatting sqref="G81:H81">
    <cfRule type="expression" dxfId="315" priority="298">
      <formula>$F81="Mix"</formula>
    </cfRule>
  </conditionalFormatting>
  <conditionalFormatting sqref="G92:H92">
    <cfRule type="expression" dxfId="314" priority="297">
      <formula>$F92= "Non-volatile"</formula>
    </cfRule>
  </conditionalFormatting>
  <conditionalFormatting sqref="G92:H92">
    <cfRule type="expression" dxfId="313" priority="296">
      <formula>$F92="Antoine's"</formula>
    </cfRule>
  </conditionalFormatting>
  <conditionalFormatting sqref="G92:H92">
    <cfRule type="expression" dxfId="312" priority="295">
      <formula>$F92="Empty"</formula>
    </cfRule>
  </conditionalFormatting>
  <conditionalFormatting sqref="G92:H92">
    <cfRule type="expression" dxfId="311" priority="294">
      <formula>$F92="Mix"</formula>
    </cfRule>
  </conditionalFormatting>
  <conditionalFormatting sqref="G101:H101">
    <cfRule type="expression" dxfId="310" priority="293">
      <formula>$F101= "Non-volatile"</formula>
    </cfRule>
  </conditionalFormatting>
  <conditionalFormatting sqref="G101:H101">
    <cfRule type="expression" dxfId="309" priority="292">
      <formula>$F101="Antoine's"</formula>
    </cfRule>
  </conditionalFormatting>
  <conditionalFormatting sqref="G101:H101">
    <cfRule type="expression" dxfId="308" priority="291">
      <formula>$F101="Empty"</formula>
    </cfRule>
  </conditionalFormatting>
  <conditionalFormatting sqref="G101:H101">
    <cfRule type="expression" dxfId="307" priority="290">
      <formula>$F101="Mix"</formula>
    </cfRule>
  </conditionalFormatting>
  <conditionalFormatting sqref="G102:H102">
    <cfRule type="expression" dxfId="306" priority="289">
      <formula>$F102= "Non-volatile"</formula>
    </cfRule>
  </conditionalFormatting>
  <conditionalFormatting sqref="G102:H102">
    <cfRule type="expression" dxfId="305" priority="288">
      <formula>$F102="Antoine's"</formula>
    </cfRule>
  </conditionalFormatting>
  <conditionalFormatting sqref="G102:H102">
    <cfRule type="expression" dxfId="304" priority="287">
      <formula>$F102="Empty"</formula>
    </cfRule>
  </conditionalFormatting>
  <conditionalFormatting sqref="G102:H102">
    <cfRule type="expression" dxfId="303" priority="286">
      <formula>$F102="Mix"</formula>
    </cfRule>
  </conditionalFormatting>
  <conditionalFormatting sqref="G130:H130">
    <cfRule type="expression" dxfId="302" priority="285">
      <formula>$F130= "Non-volatile"</formula>
    </cfRule>
  </conditionalFormatting>
  <conditionalFormatting sqref="G130:H130">
    <cfRule type="expression" dxfId="301" priority="284">
      <formula>$F130="Antoine's"</formula>
    </cfRule>
  </conditionalFormatting>
  <conditionalFormatting sqref="G130:H130">
    <cfRule type="expression" dxfId="300" priority="283">
      <formula>$F130="Empty"</formula>
    </cfRule>
  </conditionalFormatting>
  <conditionalFormatting sqref="G130:H130">
    <cfRule type="expression" dxfId="299" priority="282">
      <formula>$F130="Mix"</formula>
    </cfRule>
  </conditionalFormatting>
  <conditionalFormatting sqref="G135:H135">
    <cfRule type="expression" dxfId="298" priority="281">
      <formula>$F135= "Non-volatile"</formula>
    </cfRule>
  </conditionalFormatting>
  <conditionalFormatting sqref="G135:H135">
    <cfRule type="expression" dxfId="297" priority="280">
      <formula>$F135="Antoine's"</formula>
    </cfRule>
  </conditionalFormatting>
  <conditionalFormatting sqref="G135:H135">
    <cfRule type="expression" dxfId="296" priority="279">
      <formula>$F135="Empty"</formula>
    </cfRule>
  </conditionalFormatting>
  <conditionalFormatting sqref="G135:H135">
    <cfRule type="expression" dxfId="295" priority="278">
      <formula>$F135="Mix"</formula>
    </cfRule>
  </conditionalFormatting>
  <conditionalFormatting sqref="G154:H154">
    <cfRule type="expression" dxfId="294" priority="277">
      <formula>$F154= "Non-volatile"</formula>
    </cfRule>
  </conditionalFormatting>
  <conditionalFormatting sqref="G154:H154">
    <cfRule type="expression" dxfId="293" priority="276">
      <formula>$F154="Antoine's"</formula>
    </cfRule>
  </conditionalFormatting>
  <conditionalFormatting sqref="G154:H154">
    <cfRule type="expression" dxfId="292" priority="275">
      <formula>$F154="Empty"</formula>
    </cfRule>
  </conditionalFormatting>
  <conditionalFormatting sqref="G154:H154">
    <cfRule type="expression" dxfId="291" priority="274">
      <formula>$F154="Mix"</formula>
    </cfRule>
  </conditionalFormatting>
  <conditionalFormatting sqref="G155:H155">
    <cfRule type="expression" dxfId="290" priority="273">
      <formula>$F155= "Non-volatile"</formula>
    </cfRule>
  </conditionalFormatting>
  <conditionalFormatting sqref="G155:H155">
    <cfRule type="expression" dxfId="289" priority="272">
      <formula>$F155="Antoine's"</formula>
    </cfRule>
  </conditionalFormatting>
  <conditionalFormatting sqref="G155:H155">
    <cfRule type="expression" dxfId="288" priority="271">
      <formula>$F155="Empty"</formula>
    </cfRule>
  </conditionalFormatting>
  <conditionalFormatting sqref="G155:H155">
    <cfRule type="expression" dxfId="287" priority="270">
      <formula>$F155="Mix"</formula>
    </cfRule>
  </conditionalFormatting>
  <conditionalFormatting sqref="G158:H158">
    <cfRule type="expression" dxfId="286" priority="269">
      <formula>$F158= "Non-volatile"</formula>
    </cfRule>
  </conditionalFormatting>
  <conditionalFormatting sqref="G158:H158">
    <cfRule type="expression" dxfId="285" priority="268">
      <formula>$F158="Antoine's"</formula>
    </cfRule>
  </conditionalFormatting>
  <conditionalFormatting sqref="G158:H158">
    <cfRule type="expression" dxfId="284" priority="267">
      <formula>$F158="Empty"</formula>
    </cfRule>
  </conditionalFormatting>
  <conditionalFormatting sqref="G158:H158">
    <cfRule type="expression" dxfId="283" priority="266">
      <formula>$F158="Mix"</formula>
    </cfRule>
  </conditionalFormatting>
  <conditionalFormatting sqref="G215:H215">
    <cfRule type="expression" dxfId="282" priority="265">
      <formula>$F215= "Non-volatile"</formula>
    </cfRule>
  </conditionalFormatting>
  <conditionalFormatting sqref="G215:H215">
    <cfRule type="expression" dxfId="281" priority="264">
      <formula>$F215="Antoine's"</formula>
    </cfRule>
  </conditionalFormatting>
  <conditionalFormatting sqref="G215:H215">
    <cfRule type="expression" dxfId="280" priority="263">
      <formula>$F215="Empty"</formula>
    </cfRule>
  </conditionalFormatting>
  <conditionalFormatting sqref="G215:H215">
    <cfRule type="expression" dxfId="279" priority="262">
      <formula>$F215="Mix"</formula>
    </cfRule>
  </conditionalFormatting>
  <conditionalFormatting sqref="G270:H270">
    <cfRule type="expression" dxfId="278" priority="261">
      <formula>$F270= "Non-volatile"</formula>
    </cfRule>
  </conditionalFormatting>
  <conditionalFormatting sqref="G270:H270">
    <cfRule type="expression" dxfId="277" priority="260">
      <formula>$F270="Antoine's"</formula>
    </cfRule>
  </conditionalFormatting>
  <conditionalFormatting sqref="G270:H270">
    <cfRule type="expression" dxfId="276" priority="259">
      <formula>$F270="Empty"</formula>
    </cfRule>
  </conditionalFormatting>
  <conditionalFormatting sqref="G270:H270">
    <cfRule type="expression" dxfId="275" priority="258">
      <formula>$F270="Mix"</formula>
    </cfRule>
  </conditionalFormatting>
  <conditionalFormatting sqref="G277:H277">
    <cfRule type="expression" dxfId="274" priority="257">
      <formula>$F277= "Non-volatile"</formula>
    </cfRule>
  </conditionalFormatting>
  <conditionalFormatting sqref="G277:H277">
    <cfRule type="expression" dxfId="273" priority="256">
      <formula>$F277="Antoine's"</formula>
    </cfRule>
  </conditionalFormatting>
  <conditionalFormatting sqref="G277:H277">
    <cfRule type="expression" dxfId="272" priority="255">
      <formula>$F277="Empty"</formula>
    </cfRule>
  </conditionalFormatting>
  <conditionalFormatting sqref="G277:H277">
    <cfRule type="expression" dxfId="271" priority="254">
      <formula>$F277="Mix"</formula>
    </cfRule>
  </conditionalFormatting>
  <conditionalFormatting sqref="I43:M43">
    <cfRule type="expression" dxfId="270" priority="253">
      <formula>$F43&lt;&gt;"Antoine's"</formula>
    </cfRule>
  </conditionalFormatting>
  <conditionalFormatting sqref="I53:M53">
    <cfRule type="expression" dxfId="269" priority="252">
      <formula>$F53&lt;&gt;"Antoine's"</formula>
    </cfRule>
  </conditionalFormatting>
  <conditionalFormatting sqref="I55:M55">
    <cfRule type="expression" dxfId="268" priority="251">
      <formula>$F55&lt;&gt;"Antoine's"</formula>
    </cfRule>
  </conditionalFormatting>
  <conditionalFormatting sqref="I56:M56">
    <cfRule type="expression" dxfId="267" priority="250">
      <formula>$F56&lt;&gt;"Antoine's"</formula>
    </cfRule>
  </conditionalFormatting>
  <conditionalFormatting sqref="I57:M57">
    <cfRule type="expression" dxfId="266" priority="249">
      <formula>$F57&lt;&gt;"Antoine's"</formula>
    </cfRule>
  </conditionalFormatting>
  <conditionalFormatting sqref="I58:M58">
    <cfRule type="expression" dxfId="265" priority="248">
      <formula>$F58&lt;&gt;"Antoine's"</formula>
    </cfRule>
  </conditionalFormatting>
  <conditionalFormatting sqref="I59:M59">
    <cfRule type="expression" dxfId="264" priority="247">
      <formula>$F59&lt;&gt;"Antoine's"</formula>
    </cfRule>
  </conditionalFormatting>
  <conditionalFormatting sqref="I60:M60">
    <cfRule type="expression" dxfId="263" priority="246">
      <formula>$F60&lt;&gt;"Antoine's"</formula>
    </cfRule>
  </conditionalFormatting>
  <conditionalFormatting sqref="I61:M61">
    <cfRule type="expression" dxfId="262" priority="245">
      <formula>$F61&lt;&gt;"Antoine's"</formula>
    </cfRule>
  </conditionalFormatting>
  <conditionalFormatting sqref="I64:M64">
    <cfRule type="expression" dxfId="261" priority="244">
      <formula>$F64&lt;&gt;"Antoine's"</formula>
    </cfRule>
  </conditionalFormatting>
  <conditionalFormatting sqref="I65:M65">
    <cfRule type="expression" dxfId="260" priority="243">
      <formula>$F65&lt;&gt;"Antoine's"</formula>
    </cfRule>
  </conditionalFormatting>
  <conditionalFormatting sqref="I66:M66">
    <cfRule type="expression" dxfId="259" priority="242">
      <formula>$F66&lt;&gt;"Antoine's"</formula>
    </cfRule>
  </conditionalFormatting>
  <conditionalFormatting sqref="I69:M69">
    <cfRule type="expression" dxfId="258" priority="241">
      <formula>$F69&lt;&gt;"Antoine's"</formula>
    </cfRule>
  </conditionalFormatting>
  <conditionalFormatting sqref="I70:M70">
    <cfRule type="expression" dxfId="257" priority="240">
      <formula>$F70&lt;&gt;"Antoine's"</formula>
    </cfRule>
  </conditionalFormatting>
  <conditionalFormatting sqref="I71:M71">
    <cfRule type="expression" dxfId="256" priority="239">
      <formula>$F71&lt;&gt;"Antoine's"</formula>
    </cfRule>
  </conditionalFormatting>
  <conditionalFormatting sqref="I72:M72">
    <cfRule type="expression" dxfId="255" priority="238">
      <formula>$F72&lt;&gt;"Antoine's"</formula>
    </cfRule>
  </conditionalFormatting>
  <conditionalFormatting sqref="I73:M73">
    <cfRule type="expression" dxfId="254" priority="237">
      <formula>$F73&lt;&gt;"Antoine's"</formula>
    </cfRule>
  </conditionalFormatting>
  <conditionalFormatting sqref="I74:M74">
    <cfRule type="expression" dxfId="253" priority="236">
      <formula>$F74&lt;&gt;"Antoine's"</formula>
    </cfRule>
  </conditionalFormatting>
  <conditionalFormatting sqref="I75:M75">
    <cfRule type="expression" dxfId="252" priority="235">
      <formula>$F75&lt;&gt;"Antoine's"</formula>
    </cfRule>
  </conditionalFormatting>
  <conditionalFormatting sqref="I77:M77">
    <cfRule type="expression" dxfId="251" priority="234">
      <formula>$F77&lt;&gt;"Antoine's"</formula>
    </cfRule>
  </conditionalFormatting>
  <conditionalFormatting sqref="I79:M79">
    <cfRule type="expression" dxfId="250" priority="233">
      <formula>$F79&lt;&gt;"Antoine's"</formula>
    </cfRule>
  </conditionalFormatting>
  <conditionalFormatting sqref="I81:M81">
    <cfRule type="expression" dxfId="249" priority="232">
      <formula>$F81&lt;&gt;"Antoine's"</formula>
    </cfRule>
  </conditionalFormatting>
  <conditionalFormatting sqref="I89:M89">
    <cfRule type="expression" dxfId="248" priority="231">
      <formula>$F89&lt;&gt;"Antoine's"</formula>
    </cfRule>
  </conditionalFormatting>
  <conditionalFormatting sqref="I93:M93">
    <cfRule type="expression" dxfId="247" priority="230">
      <formula>$F93&lt;&gt;"Antoine's"</formula>
    </cfRule>
  </conditionalFormatting>
  <conditionalFormatting sqref="I95:M95">
    <cfRule type="expression" dxfId="246" priority="229">
      <formula>$F95&lt;&gt;"Antoine's"</formula>
    </cfRule>
  </conditionalFormatting>
  <conditionalFormatting sqref="I100:M100">
    <cfRule type="expression" dxfId="245" priority="228">
      <formula>$F100&lt;&gt;"Antoine's"</formula>
    </cfRule>
  </conditionalFormatting>
  <conditionalFormatting sqref="I101:M101">
    <cfRule type="expression" dxfId="244" priority="227">
      <formula>$F101&lt;&gt;"Antoine's"</formula>
    </cfRule>
  </conditionalFormatting>
  <conditionalFormatting sqref="I102:M102">
    <cfRule type="expression" dxfId="243" priority="226">
      <formula>$F102&lt;&gt;"Antoine's"</formula>
    </cfRule>
  </conditionalFormatting>
  <conditionalFormatting sqref="L108:M108">
    <cfRule type="expression" dxfId="242" priority="224">
      <formula>$F108&lt;&gt;"Antoine's"</formula>
    </cfRule>
  </conditionalFormatting>
  <conditionalFormatting sqref="K107:M107">
    <cfRule type="expression" dxfId="241" priority="225">
      <formula>$F107&lt;&gt;"Antoine's"</formula>
    </cfRule>
  </conditionalFormatting>
  <conditionalFormatting sqref="I113:M113">
    <cfRule type="expression" dxfId="240" priority="223">
      <formula>$F113&lt;&gt;"Antoine's"</formula>
    </cfRule>
  </conditionalFormatting>
  <conditionalFormatting sqref="I114:M114">
    <cfRule type="expression" dxfId="239" priority="222">
      <formula>$F114&lt;&gt;"Antoine's"</formula>
    </cfRule>
  </conditionalFormatting>
  <conditionalFormatting sqref="I115:M115">
    <cfRule type="expression" dxfId="238" priority="221">
      <formula>$F115&lt;&gt;"Antoine's"</formula>
    </cfRule>
  </conditionalFormatting>
  <conditionalFormatting sqref="I118:M118">
    <cfRule type="expression" dxfId="237" priority="220">
      <formula>$F118&lt;&gt;"Antoine's"</formula>
    </cfRule>
  </conditionalFormatting>
  <conditionalFormatting sqref="I119:M119">
    <cfRule type="expression" dxfId="236" priority="219">
      <formula>$F119&lt;&gt;"Antoine's"</formula>
    </cfRule>
  </conditionalFormatting>
  <conditionalFormatting sqref="I126:M126">
    <cfRule type="expression" dxfId="235" priority="218">
      <formula>$F126&lt;&gt;"Antoine's"</formula>
    </cfRule>
  </conditionalFormatting>
  <conditionalFormatting sqref="I128:M128">
    <cfRule type="expression" dxfId="234" priority="217">
      <formula>$F128&lt;&gt;"Antoine's"</formula>
    </cfRule>
  </conditionalFormatting>
  <conditionalFormatting sqref="I130:M130">
    <cfRule type="expression" dxfId="233" priority="216">
      <formula>$F130&lt;&gt;"Antoine's"</formula>
    </cfRule>
  </conditionalFormatting>
  <conditionalFormatting sqref="I131:M131">
    <cfRule type="expression" dxfId="232" priority="215">
      <formula>$F131&lt;&gt;"Antoine's"</formula>
    </cfRule>
  </conditionalFormatting>
  <conditionalFormatting sqref="I135:M135">
    <cfRule type="expression" dxfId="231" priority="214">
      <formula>$F135&lt;&gt;"Antoine's"</formula>
    </cfRule>
  </conditionalFormatting>
  <conditionalFormatting sqref="I139:M139">
    <cfRule type="expression" dxfId="230" priority="213">
      <formula>$F139&lt;&gt;"Antoine's"</formula>
    </cfRule>
  </conditionalFormatting>
  <conditionalFormatting sqref="I141:M141">
    <cfRule type="expression" dxfId="229" priority="212">
      <formula>$F141&lt;&gt;"Antoine's"</formula>
    </cfRule>
  </conditionalFormatting>
  <conditionalFormatting sqref="I142:M142">
    <cfRule type="expression" dxfId="228" priority="211">
      <formula>$F142&lt;&gt;"Antoine's"</formula>
    </cfRule>
  </conditionalFormatting>
  <conditionalFormatting sqref="I143:M143">
    <cfRule type="expression" dxfId="227" priority="210">
      <formula>$F143&lt;&gt;"Antoine's"</formula>
    </cfRule>
  </conditionalFormatting>
  <conditionalFormatting sqref="I144:M144">
    <cfRule type="expression" dxfId="226" priority="209">
      <formula>$F144&lt;&gt;"Antoine's"</formula>
    </cfRule>
  </conditionalFormatting>
  <conditionalFormatting sqref="I145:M145">
    <cfRule type="expression" dxfId="225" priority="208">
      <formula>$F145&lt;&gt;"Antoine's"</formula>
    </cfRule>
  </conditionalFormatting>
  <conditionalFormatting sqref="I150:M150">
    <cfRule type="expression" dxfId="224" priority="207">
      <formula>$F150&lt;&gt;"Antoine's"</formula>
    </cfRule>
  </conditionalFormatting>
  <conditionalFormatting sqref="I152:M152">
    <cfRule type="expression" dxfId="223" priority="206">
      <formula>$F152&lt;&gt;"Antoine's"</formula>
    </cfRule>
  </conditionalFormatting>
  <conditionalFormatting sqref="I155:M155">
    <cfRule type="expression" dxfId="222" priority="205">
      <formula>$F155&lt;&gt;"Antoine's"</formula>
    </cfRule>
  </conditionalFormatting>
  <conditionalFormatting sqref="I157:M157">
    <cfRule type="expression" dxfId="221" priority="204">
      <formula>$F157&lt;&gt;"Antoine's"</formula>
    </cfRule>
  </conditionalFormatting>
  <conditionalFormatting sqref="I158:M158">
    <cfRule type="expression" dxfId="220" priority="203">
      <formula>$F158&lt;&gt;"Antoine's"</formula>
    </cfRule>
  </conditionalFormatting>
  <conditionalFormatting sqref="I160:M160">
    <cfRule type="expression" dxfId="219" priority="202">
      <formula>$F160&lt;&gt;"Antoine's"</formula>
    </cfRule>
  </conditionalFormatting>
  <conditionalFormatting sqref="I162:M162">
    <cfRule type="expression" dxfId="218" priority="201">
      <formula>$F162&lt;&gt;"Antoine's"</formula>
    </cfRule>
  </conditionalFormatting>
  <conditionalFormatting sqref="I163:M163">
    <cfRule type="expression" dxfId="217" priority="200">
      <formula>$F163&lt;&gt;"Antoine's"</formula>
    </cfRule>
  </conditionalFormatting>
  <conditionalFormatting sqref="I165:M165">
    <cfRule type="expression" dxfId="216" priority="199">
      <formula>$F165&lt;&gt;"Antoine's"</formula>
    </cfRule>
  </conditionalFormatting>
  <conditionalFormatting sqref="I166:M166">
    <cfRule type="expression" dxfId="215" priority="198">
      <formula>$F166&lt;&gt;"Antoine's"</formula>
    </cfRule>
  </conditionalFormatting>
  <conditionalFormatting sqref="I168:M168">
    <cfRule type="expression" dxfId="214" priority="197">
      <formula>$F168&lt;&gt;"Antoine's"</formula>
    </cfRule>
  </conditionalFormatting>
  <conditionalFormatting sqref="I171:M171">
    <cfRule type="expression" dxfId="213" priority="196">
      <formula>$F171&lt;&gt;"Antoine's"</formula>
    </cfRule>
  </conditionalFormatting>
  <conditionalFormatting sqref="I175:M175">
    <cfRule type="expression" dxfId="212" priority="195">
      <formula>$F175&lt;&gt;"Antoine's"</formula>
    </cfRule>
  </conditionalFormatting>
  <conditionalFormatting sqref="I200:M200">
    <cfRule type="expression" dxfId="211" priority="194">
      <formula>$F200&lt;&gt;"Antoine's"</formula>
    </cfRule>
  </conditionalFormatting>
  <conditionalFormatting sqref="I202:M202">
    <cfRule type="expression" dxfId="210" priority="193">
      <formula>$F202&lt;&gt;"Antoine's"</formula>
    </cfRule>
  </conditionalFormatting>
  <conditionalFormatting sqref="I204:M204">
    <cfRule type="expression" dxfId="209" priority="192">
      <formula>$F204&lt;&gt;"Antoine's"</formula>
    </cfRule>
  </conditionalFormatting>
  <conditionalFormatting sqref="I205:M205">
    <cfRule type="expression" dxfId="208" priority="191">
      <formula>$F205&lt;&gt;"Antoine's"</formula>
    </cfRule>
  </conditionalFormatting>
  <conditionalFormatting sqref="I206:M206">
    <cfRule type="expression" dxfId="207" priority="190">
      <formula>$F206&lt;&gt;"Antoine's"</formula>
    </cfRule>
  </conditionalFormatting>
  <conditionalFormatting sqref="I207:M207">
    <cfRule type="expression" dxfId="206" priority="189">
      <formula>$F207&lt;&gt;"Antoine's"</formula>
    </cfRule>
  </conditionalFormatting>
  <conditionalFormatting sqref="I209:M209">
    <cfRule type="expression" dxfId="205" priority="188">
      <formula>$F209&lt;&gt;"Antoine's"</formula>
    </cfRule>
  </conditionalFormatting>
  <conditionalFormatting sqref="I212:M212">
    <cfRule type="expression" dxfId="204" priority="187">
      <formula>$F212&lt;&gt;"Antoine's"</formula>
    </cfRule>
  </conditionalFormatting>
  <conditionalFormatting sqref="I215:M215">
    <cfRule type="expression" dxfId="203" priority="186">
      <formula>$F215&lt;&gt;"Antoine's"</formula>
    </cfRule>
  </conditionalFormatting>
  <conditionalFormatting sqref="I237:M237">
    <cfRule type="expression" dxfId="202" priority="185">
      <formula>$F237&lt;&gt;"Antoine's"</formula>
    </cfRule>
  </conditionalFormatting>
  <conditionalFormatting sqref="I238:M238">
    <cfRule type="expression" dxfId="201" priority="184">
      <formula>$F238&lt;&gt;"Antoine's"</formula>
    </cfRule>
  </conditionalFormatting>
  <conditionalFormatting sqref="I240:M240">
    <cfRule type="expression" dxfId="200" priority="183">
      <formula>$F240&lt;&gt;"Antoine's"</formula>
    </cfRule>
  </conditionalFormatting>
  <conditionalFormatting sqref="I243:M243">
    <cfRule type="expression" dxfId="199" priority="182">
      <formula>$F243&lt;&gt;"Antoine's"</formula>
    </cfRule>
  </conditionalFormatting>
  <conditionalFormatting sqref="I245:M245">
    <cfRule type="expression" dxfId="198" priority="181">
      <formula>$F245&lt;&gt;"Antoine's"</formula>
    </cfRule>
  </conditionalFormatting>
  <conditionalFormatting sqref="I246:M246">
    <cfRule type="expression" dxfId="197" priority="180">
      <formula>$F246&lt;&gt;"Antoine's"</formula>
    </cfRule>
  </conditionalFormatting>
  <conditionalFormatting sqref="I249:M249">
    <cfRule type="expression" dxfId="196" priority="179">
      <formula>$F249&lt;&gt;"Antoine's"</formula>
    </cfRule>
  </conditionalFormatting>
  <conditionalFormatting sqref="I257:M257">
    <cfRule type="expression" dxfId="195" priority="178">
      <formula>$F257&lt;&gt;"Antoine's"</formula>
    </cfRule>
  </conditionalFormatting>
  <conditionalFormatting sqref="I258:M258">
    <cfRule type="expression" dxfId="194" priority="177">
      <formula>$F258&lt;&gt;"Antoine's"</formula>
    </cfRule>
  </conditionalFormatting>
  <conditionalFormatting sqref="I260:M260">
    <cfRule type="expression" dxfId="193" priority="176">
      <formula>$F260&lt;&gt;"Antoine's"</formula>
    </cfRule>
  </conditionalFormatting>
  <conditionalFormatting sqref="I261:M261">
    <cfRule type="expression" dxfId="192" priority="175">
      <formula>$F261&lt;&gt;"Antoine's"</formula>
    </cfRule>
  </conditionalFormatting>
  <conditionalFormatting sqref="I268:M268">
    <cfRule type="expression" dxfId="191" priority="174">
      <formula>$F268&lt;&gt;"Antoine's"</formula>
    </cfRule>
  </conditionalFormatting>
  <conditionalFormatting sqref="I270:M270">
    <cfRule type="expression" dxfId="190" priority="173">
      <formula>$F270&lt;&gt;"Antoine's"</formula>
    </cfRule>
  </conditionalFormatting>
  <conditionalFormatting sqref="I271:M271">
    <cfRule type="expression" dxfId="189" priority="172">
      <formula>$F271&lt;&gt;"Antoine's"</formula>
    </cfRule>
  </conditionalFormatting>
  <conditionalFormatting sqref="I275:M275">
    <cfRule type="expression" dxfId="188" priority="171">
      <formula>$F275&lt;&gt;"Antoine's"</formula>
    </cfRule>
  </conditionalFormatting>
  <conditionalFormatting sqref="I277:M277">
    <cfRule type="expression" dxfId="187" priority="170">
      <formula>$F277&lt;&gt;"Antoine's"</formula>
    </cfRule>
  </conditionalFormatting>
  <conditionalFormatting sqref="I42:M42">
    <cfRule type="expression" dxfId="186" priority="100">
      <formula>$F42&lt;&gt;"Antoine's"</formula>
    </cfRule>
  </conditionalFormatting>
  <conditionalFormatting sqref="I63:M63">
    <cfRule type="expression" dxfId="185" priority="169">
      <formula>$F63&lt;&gt;"Antoine's"</formula>
    </cfRule>
  </conditionalFormatting>
  <conditionalFormatting sqref="I90:M90">
    <cfRule type="expression" dxfId="184" priority="168">
      <formula>$F90&lt;&gt;"Antoine's"</formula>
    </cfRule>
  </conditionalFormatting>
  <conditionalFormatting sqref="I91:M91">
    <cfRule type="expression" dxfId="183" priority="167">
      <formula>$F91&lt;&gt;"Antoine's"</formula>
    </cfRule>
  </conditionalFormatting>
  <conditionalFormatting sqref="I92:M92">
    <cfRule type="expression" dxfId="182" priority="166">
      <formula>$F92&lt;&gt;"Antoine's"</formula>
    </cfRule>
  </conditionalFormatting>
  <conditionalFormatting sqref="I97:M97">
    <cfRule type="expression" dxfId="181" priority="165">
      <formula>$F97&lt;&gt;"Antoine's"</formula>
    </cfRule>
  </conditionalFormatting>
  <conditionalFormatting sqref="I98:M98">
    <cfRule type="expression" dxfId="180" priority="164">
      <formula>$F98&lt;&gt;"Antoine's"</formula>
    </cfRule>
  </conditionalFormatting>
  <conditionalFormatting sqref="I99:M99">
    <cfRule type="expression" dxfId="179" priority="163">
      <formula>$F99&lt;&gt;"Antoine's"</formula>
    </cfRule>
  </conditionalFormatting>
  <conditionalFormatting sqref="I103:M103">
    <cfRule type="expression" dxfId="178" priority="162">
      <formula>$F103&lt;&gt;"Antoine's"</formula>
    </cfRule>
  </conditionalFormatting>
  <conditionalFormatting sqref="I105:M105">
    <cfRule type="expression" dxfId="177" priority="161">
      <formula>$F105&lt;&gt;"Antoine's"</formula>
    </cfRule>
  </conditionalFormatting>
  <conditionalFormatting sqref="K109:M109">
    <cfRule type="expression" dxfId="176" priority="160">
      <formula>$F109&lt;&gt;"Antoine's"</formula>
    </cfRule>
  </conditionalFormatting>
  <conditionalFormatting sqref="I133:M133">
    <cfRule type="expression" dxfId="175" priority="159">
      <formula>$F133&lt;&gt;"Antoine's"</formula>
    </cfRule>
  </conditionalFormatting>
  <conditionalFormatting sqref="I146:M146">
    <cfRule type="expression" dxfId="174" priority="158">
      <formula>$F146&lt;&gt;"Antoine's"</formula>
    </cfRule>
  </conditionalFormatting>
  <conditionalFormatting sqref="I149:M149">
    <cfRule type="expression" dxfId="173" priority="157">
      <formula>$F149&lt;&gt;"Antoine's"</formula>
    </cfRule>
  </conditionalFormatting>
  <conditionalFormatting sqref="I154:M154">
    <cfRule type="expression" dxfId="172" priority="156">
      <formula>$F154&lt;&gt;"Antoine's"</formula>
    </cfRule>
  </conditionalFormatting>
  <conditionalFormatting sqref="I49:M49">
    <cfRule type="expression" dxfId="171" priority="133">
      <formula>$F49&lt;&gt;"Antoine's"</formula>
    </cfRule>
  </conditionalFormatting>
  <conditionalFormatting sqref="I254:M254">
    <cfRule type="expression" dxfId="170" priority="143">
      <formula>$F254&lt;&gt;"Antoine's"</formula>
    </cfRule>
  </conditionalFormatting>
  <conditionalFormatting sqref="I203:M203">
    <cfRule type="expression" dxfId="169" priority="155">
      <formula>$F203&lt;&gt;"Antoine's"</formula>
    </cfRule>
  </conditionalFormatting>
  <conditionalFormatting sqref="I211:M211">
    <cfRule type="expression" dxfId="168" priority="154">
      <formula>$F211&lt;&gt;"Antoine's"</formula>
    </cfRule>
  </conditionalFormatting>
  <conditionalFormatting sqref="I213:M213">
    <cfRule type="expression" dxfId="167" priority="153">
      <formula>$F213&lt;&gt;"Antoine's"</formula>
    </cfRule>
  </conditionalFormatting>
  <conditionalFormatting sqref="I214:M214">
    <cfRule type="expression" dxfId="166" priority="152">
      <formula>$F214&lt;&gt;"Antoine's"</formula>
    </cfRule>
  </conditionalFormatting>
  <conditionalFormatting sqref="I235:M235">
    <cfRule type="expression" dxfId="165" priority="151">
      <formula>$F235&lt;&gt;"Antoine's"</formula>
    </cfRule>
  </conditionalFormatting>
  <conditionalFormatting sqref="I239:M239">
    <cfRule type="expression" dxfId="164" priority="150">
      <formula>$F239&lt;&gt;"Antoine's"</formula>
    </cfRule>
  </conditionalFormatting>
  <conditionalFormatting sqref="I259:M259">
    <cfRule type="expression" dxfId="163" priority="149">
      <formula>$F259&lt;&gt;"Antoine's"</formula>
    </cfRule>
  </conditionalFormatting>
  <conditionalFormatting sqref="I267:M267">
    <cfRule type="expression" dxfId="162" priority="148">
      <formula>$F267&lt;&gt;"Antoine's"</formula>
    </cfRule>
  </conditionalFormatting>
  <conditionalFormatting sqref="I289:M289">
    <cfRule type="expression" dxfId="161" priority="147">
      <formula>$F289&lt;&gt;"Antoine's"</formula>
    </cfRule>
  </conditionalFormatting>
  <conditionalFormatting sqref="L298:M298">
    <cfRule type="expression" dxfId="160" priority="146">
      <formula>$F298&lt;&gt;"Antoine's"</formula>
    </cfRule>
  </conditionalFormatting>
  <conditionalFormatting sqref="G254">
    <cfRule type="expression" dxfId="159" priority="145">
      <formula>AND($F254&lt;&gt;"RVP",$F254&lt;&gt;"RVP+S")</formula>
    </cfRule>
  </conditionalFormatting>
  <conditionalFormatting sqref="H254">
    <cfRule type="expression" dxfId="158" priority="144">
      <formula>$F254&lt;&gt;"RVP+S"</formula>
    </cfRule>
  </conditionalFormatting>
  <conditionalFormatting sqref="G250">
    <cfRule type="expression" dxfId="157" priority="142">
      <formula>AND($F250&lt;&gt;"RVP",$F250&lt;&gt;"RVP+S")</formula>
    </cfRule>
  </conditionalFormatting>
  <conditionalFormatting sqref="H250">
    <cfRule type="expression" dxfId="156" priority="141">
      <formula>$F250&lt;&gt;"RVP+S"</formula>
    </cfRule>
  </conditionalFormatting>
  <conditionalFormatting sqref="I250:M250">
    <cfRule type="expression" dxfId="155" priority="140">
      <formula>$F250&lt;&gt;"Antoine's"</formula>
    </cfRule>
  </conditionalFormatting>
  <conditionalFormatting sqref="G248">
    <cfRule type="expression" dxfId="154" priority="139">
      <formula>AND($F248&lt;&gt;"RVP",$F248&lt;&gt;"RVP+S")</formula>
    </cfRule>
  </conditionalFormatting>
  <conditionalFormatting sqref="H248">
    <cfRule type="expression" dxfId="153" priority="138">
      <formula>$F248&lt;&gt;"RVP+S"</formula>
    </cfRule>
  </conditionalFormatting>
  <conditionalFormatting sqref="I248:M248">
    <cfRule type="expression" dxfId="152" priority="137">
      <formula>$F248&lt;&gt;"Antoine's"</formula>
    </cfRule>
  </conditionalFormatting>
  <conditionalFormatting sqref="G52">
    <cfRule type="expression" dxfId="151" priority="136">
      <formula>AND($F52&lt;&gt;"RVP",$F52&lt;&gt;"RVP+S")</formula>
    </cfRule>
  </conditionalFormatting>
  <conditionalFormatting sqref="H52">
    <cfRule type="expression" dxfId="150" priority="135">
      <formula>$F52&lt;&gt;"RVP+S"</formula>
    </cfRule>
  </conditionalFormatting>
  <conditionalFormatting sqref="I52:M52">
    <cfRule type="expression" dxfId="149" priority="134">
      <formula>$F52&lt;&gt;"Antoine's"</formula>
    </cfRule>
  </conditionalFormatting>
  <conditionalFormatting sqref="G48">
    <cfRule type="expression" dxfId="148" priority="132">
      <formula>AND($F48&lt;&gt;"RVP",$F48&lt;&gt;"RVP+S")</formula>
    </cfRule>
  </conditionalFormatting>
  <conditionalFormatting sqref="H48">
    <cfRule type="expression" dxfId="147" priority="131">
      <formula>$F48&lt;&gt;"RVP+S"</formula>
    </cfRule>
  </conditionalFormatting>
  <conditionalFormatting sqref="I48:M48">
    <cfRule type="expression" dxfId="146" priority="130">
      <formula>$F48&lt;&gt;"Antoine's"</formula>
    </cfRule>
  </conditionalFormatting>
  <conditionalFormatting sqref="G47">
    <cfRule type="expression" dxfId="145" priority="129">
      <formula>AND($F47&lt;&gt;"RVP",$F47&lt;&gt;"RVP+S")</formula>
    </cfRule>
  </conditionalFormatting>
  <conditionalFormatting sqref="H47">
    <cfRule type="expression" dxfId="144" priority="128">
      <formula>$F47&lt;&gt;"RVP+S"</formula>
    </cfRule>
  </conditionalFormatting>
  <conditionalFormatting sqref="I47:M47">
    <cfRule type="expression" dxfId="143" priority="127">
      <formula>$F47&lt;&gt;"Antoine's"</formula>
    </cfRule>
  </conditionalFormatting>
  <conditionalFormatting sqref="G46">
    <cfRule type="expression" dxfId="142" priority="126">
      <formula>AND($F46&lt;&gt;"RVP",$F46&lt;&gt;"RVP+S")</formula>
    </cfRule>
  </conditionalFormatting>
  <conditionalFormatting sqref="H46">
    <cfRule type="expression" dxfId="141" priority="125">
      <formula>$F46&lt;&gt;"RVP+S"</formula>
    </cfRule>
  </conditionalFormatting>
  <conditionalFormatting sqref="I46:M46">
    <cfRule type="expression" dxfId="140" priority="124">
      <formula>$F46&lt;&gt;"Antoine's"</formula>
    </cfRule>
  </conditionalFormatting>
  <conditionalFormatting sqref="G44">
    <cfRule type="expression" dxfId="139" priority="123">
      <formula>AND($F44&lt;&gt;"RVP",$F44&lt;&gt;"RVP+S")</formula>
    </cfRule>
  </conditionalFormatting>
  <conditionalFormatting sqref="H44">
    <cfRule type="expression" dxfId="138" priority="122">
      <formula>$F44&lt;&gt;"RVP+S"</formula>
    </cfRule>
  </conditionalFormatting>
  <conditionalFormatting sqref="I44:M44">
    <cfRule type="expression" dxfId="137" priority="121">
      <formula>$F44&lt;&gt;"Antoine's"</formula>
    </cfRule>
  </conditionalFormatting>
  <conditionalFormatting sqref="G41">
    <cfRule type="expression" dxfId="136" priority="120">
      <formula>AND($F41&lt;&gt;"RVP",$F41&lt;&gt;"RVP+S")</formula>
    </cfRule>
  </conditionalFormatting>
  <conditionalFormatting sqref="H41">
    <cfRule type="expression" dxfId="135" priority="119">
      <formula>$F41&lt;&gt;"RVP+S"</formula>
    </cfRule>
  </conditionalFormatting>
  <conditionalFormatting sqref="I41:M41">
    <cfRule type="expression" dxfId="134" priority="118">
      <formula>$F41&lt;&gt;"Antoine's"</formula>
    </cfRule>
  </conditionalFormatting>
  <conditionalFormatting sqref="G40">
    <cfRule type="expression" dxfId="133" priority="117">
      <formula>AND($F40&lt;&gt;"RVP",$F40&lt;&gt;"RVP+S")</formula>
    </cfRule>
  </conditionalFormatting>
  <conditionalFormatting sqref="H40">
    <cfRule type="expression" dxfId="132" priority="116">
      <formula>$F40&lt;&gt;"RVP+S"</formula>
    </cfRule>
  </conditionalFormatting>
  <conditionalFormatting sqref="I40:M40">
    <cfRule type="expression" dxfId="131" priority="115">
      <formula>$F40&lt;&gt;"Antoine's"</formula>
    </cfRule>
  </conditionalFormatting>
  <conditionalFormatting sqref="G36">
    <cfRule type="expression" dxfId="130" priority="114">
      <formula>AND($F36&lt;&gt;"RVP",$F36&lt;&gt;"RVP+S")</formula>
    </cfRule>
  </conditionalFormatting>
  <conditionalFormatting sqref="H36">
    <cfRule type="expression" dxfId="129" priority="113">
      <formula>$F36&lt;&gt;"RVP+S"</formula>
    </cfRule>
  </conditionalFormatting>
  <conditionalFormatting sqref="I36:M36">
    <cfRule type="expression" dxfId="128" priority="112">
      <formula>$F36&lt;&gt;"Antoine's"</formula>
    </cfRule>
  </conditionalFormatting>
  <conditionalFormatting sqref="G34">
    <cfRule type="expression" dxfId="127" priority="111">
      <formula>AND($F34&lt;&gt;"RVP",$F34&lt;&gt;"RVP+S")</formula>
    </cfRule>
  </conditionalFormatting>
  <conditionalFormatting sqref="H34">
    <cfRule type="expression" dxfId="126" priority="110">
      <formula>$F34&lt;&gt;"RVP+S"</formula>
    </cfRule>
  </conditionalFormatting>
  <conditionalFormatting sqref="I34:M34">
    <cfRule type="expression" dxfId="125" priority="109">
      <formula>$F34&lt;&gt;"Antoine's"</formula>
    </cfRule>
  </conditionalFormatting>
  <conditionalFormatting sqref="G31">
    <cfRule type="expression" dxfId="124" priority="108">
      <formula>AND($F31&lt;&gt;"RVP",$F31&lt;&gt;"RVP+S")</formula>
    </cfRule>
  </conditionalFormatting>
  <conditionalFormatting sqref="H31">
    <cfRule type="expression" dxfId="123" priority="107">
      <formula>$F31&lt;&gt;"RVP+S"</formula>
    </cfRule>
  </conditionalFormatting>
  <conditionalFormatting sqref="I31:M31">
    <cfRule type="expression" dxfId="122" priority="106">
      <formula>$F31&lt;&gt;"Antoine's"</formula>
    </cfRule>
  </conditionalFormatting>
  <conditionalFormatting sqref="G37">
    <cfRule type="expression" dxfId="121" priority="105">
      <formula>AND($F37&lt;&gt;"RVP",$F37&lt;&gt;"RVP+S")</formula>
    </cfRule>
  </conditionalFormatting>
  <conditionalFormatting sqref="H37">
    <cfRule type="expression" dxfId="120" priority="104">
      <formula>$F37&lt;&gt;"RVP+S"</formula>
    </cfRule>
  </conditionalFormatting>
  <conditionalFormatting sqref="I37:M37">
    <cfRule type="expression" dxfId="119" priority="103">
      <formula>$F37&lt;&gt;"Antoine's"</formula>
    </cfRule>
  </conditionalFormatting>
  <conditionalFormatting sqref="G42">
    <cfRule type="expression" dxfId="118" priority="102">
      <formula>AND($F42&lt;&gt;"RVP",$F42&lt;&gt;"RVP+S")</formula>
    </cfRule>
  </conditionalFormatting>
  <conditionalFormatting sqref="H42">
    <cfRule type="expression" dxfId="117" priority="101">
      <formula>$F42&lt;&gt;"RVP+S"</formula>
    </cfRule>
  </conditionalFormatting>
  <conditionalFormatting sqref="G50">
    <cfRule type="expression" dxfId="116" priority="99">
      <formula>AND($F50&lt;&gt;"RVP",$F50&lt;&gt;"RVP+S")</formula>
    </cfRule>
  </conditionalFormatting>
  <conditionalFormatting sqref="H50">
    <cfRule type="expression" dxfId="115" priority="98">
      <formula>$F50&lt;&gt;"RVP+S"</formula>
    </cfRule>
  </conditionalFormatting>
  <conditionalFormatting sqref="I50:M50">
    <cfRule type="expression" dxfId="114" priority="97">
      <formula>$F50&lt;&gt;"Antoine's"</formula>
    </cfRule>
  </conditionalFormatting>
  <conditionalFormatting sqref="G51">
    <cfRule type="expression" dxfId="113" priority="96">
      <formula>AND($F51&lt;&gt;"RVP",$F51&lt;&gt;"RVP+S")</formula>
    </cfRule>
  </conditionalFormatting>
  <conditionalFormatting sqref="H51">
    <cfRule type="expression" dxfId="112" priority="95">
      <formula>$F51&lt;&gt;"RVP+S"</formula>
    </cfRule>
  </conditionalFormatting>
  <conditionalFormatting sqref="I51:M51">
    <cfRule type="expression" dxfId="111" priority="94">
      <formula>$F51&lt;&gt;"Antoine's"</formula>
    </cfRule>
  </conditionalFormatting>
  <conditionalFormatting sqref="G116">
    <cfRule type="expression" dxfId="110" priority="93">
      <formula>AND($F116&lt;&gt;"RVP",$F116&lt;&gt;"RVP+S")</formula>
    </cfRule>
  </conditionalFormatting>
  <conditionalFormatting sqref="H116">
    <cfRule type="expression" dxfId="109" priority="92">
      <formula>$F116&lt;&gt;"RVP+S"</formula>
    </cfRule>
  </conditionalFormatting>
  <conditionalFormatting sqref="I116:M116">
    <cfRule type="expression" dxfId="108" priority="91">
      <formula>$F116&lt;&gt;"Antoine's"</formula>
    </cfRule>
  </conditionalFormatting>
  <conditionalFormatting sqref="G122">
    <cfRule type="expression" dxfId="107" priority="90">
      <formula>AND($F122&lt;&gt;"RVP",$F122&lt;&gt;"RVP+S")</formula>
    </cfRule>
  </conditionalFormatting>
  <conditionalFormatting sqref="H122">
    <cfRule type="expression" dxfId="106" priority="89">
      <formula>$F122&lt;&gt;"RVP+S"</formula>
    </cfRule>
  </conditionalFormatting>
  <conditionalFormatting sqref="I122:M122">
    <cfRule type="expression" dxfId="105" priority="88">
      <formula>$F122&lt;&gt;"Antoine's"</formula>
    </cfRule>
  </conditionalFormatting>
  <conditionalFormatting sqref="G123">
    <cfRule type="expression" dxfId="104" priority="87">
      <formula>AND($F123&lt;&gt;"RVP",$F123&lt;&gt;"RVP+S")</formula>
    </cfRule>
  </conditionalFormatting>
  <conditionalFormatting sqref="H123">
    <cfRule type="expression" dxfId="103" priority="86">
      <formula>$F123&lt;&gt;"RVP+S"</formula>
    </cfRule>
  </conditionalFormatting>
  <conditionalFormatting sqref="I123:M123">
    <cfRule type="expression" dxfId="102" priority="85">
      <formula>$F123&lt;&gt;"Antoine's"</formula>
    </cfRule>
  </conditionalFormatting>
  <conditionalFormatting sqref="G124">
    <cfRule type="expression" dxfId="101" priority="84">
      <formula>AND($F124&lt;&gt;"RVP",$F124&lt;&gt;"RVP+S")</formula>
    </cfRule>
  </conditionalFormatting>
  <conditionalFormatting sqref="H124">
    <cfRule type="expression" dxfId="100" priority="83">
      <formula>$F124&lt;&gt;"RVP+S"</formula>
    </cfRule>
  </conditionalFormatting>
  <conditionalFormatting sqref="I124:M124">
    <cfRule type="expression" dxfId="99" priority="82">
      <formula>$F124&lt;&gt;"Antoine's"</formula>
    </cfRule>
  </conditionalFormatting>
  <conditionalFormatting sqref="G151">
    <cfRule type="expression" dxfId="98" priority="81">
      <formula>AND($F151&lt;&gt;"RVP",$F151&lt;&gt;"RVP+S")</formula>
    </cfRule>
  </conditionalFormatting>
  <conditionalFormatting sqref="H151">
    <cfRule type="expression" dxfId="97" priority="80">
      <formula>$F151&lt;&gt;"RVP+S"</formula>
    </cfRule>
  </conditionalFormatting>
  <conditionalFormatting sqref="I151:M151">
    <cfRule type="expression" dxfId="96" priority="79">
      <formula>$F151&lt;&gt;"Antoine's"</formula>
    </cfRule>
  </conditionalFormatting>
  <conditionalFormatting sqref="G170">
    <cfRule type="expression" dxfId="95" priority="78">
      <formula>AND($F170&lt;&gt;"RVP",$F170&lt;&gt;"RVP+S")</formula>
    </cfRule>
  </conditionalFormatting>
  <conditionalFormatting sqref="H170">
    <cfRule type="expression" dxfId="94" priority="77">
      <formula>$F170&lt;&gt;"RVP+S"</formula>
    </cfRule>
  </conditionalFormatting>
  <conditionalFormatting sqref="I170:M170">
    <cfRule type="expression" dxfId="93" priority="76">
      <formula>$F170&lt;&gt;"Antoine's"</formula>
    </cfRule>
  </conditionalFormatting>
  <conditionalFormatting sqref="G201">
    <cfRule type="expression" dxfId="92" priority="75">
      <formula>AND($F201&lt;&gt;"RVP",$F201&lt;&gt;"RVP+S")</formula>
    </cfRule>
  </conditionalFormatting>
  <conditionalFormatting sqref="H201">
    <cfRule type="expression" dxfId="91" priority="74">
      <formula>$F201&lt;&gt;"RVP+S"</formula>
    </cfRule>
  </conditionalFormatting>
  <conditionalFormatting sqref="I201:M201">
    <cfRule type="expression" dxfId="90" priority="73">
      <formula>$F201&lt;&gt;"Antoine's"</formula>
    </cfRule>
  </conditionalFormatting>
  <conditionalFormatting sqref="G272">
    <cfRule type="expression" dxfId="89" priority="72">
      <formula>AND($F272&lt;&gt;"RVP",$F272&lt;&gt;"RVP+S")</formula>
    </cfRule>
  </conditionalFormatting>
  <conditionalFormatting sqref="H272">
    <cfRule type="expression" dxfId="88" priority="71">
      <formula>$F272&lt;&gt;"RVP+S"</formula>
    </cfRule>
  </conditionalFormatting>
  <conditionalFormatting sqref="I272:M272">
    <cfRule type="expression" dxfId="87" priority="70">
      <formula>$F272&lt;&gt;"Antoine's"</formula>
    </cfRule>
  </conditionalFormatting>
  <conditionalFormatting sqref="G29">
    <cfRule type="expression" dxfId="86" priority="69">
      <formula>AND($F29&lt;&gt;"RVP",$F29&lt;&gt;"RVP+S")</formula>
    </cfRule>
  </conditionalFormatting>
  <conditionalFormatting sqref="H29">
    <cfRule type="expression" dxfId="85" priority="68">
      <formula>$F29&lt;&gt;"RVP+S"</formula>
    </cfRule>
  </conditionalFormatting>
  <conditionalFormatting sqref="I29:M29">
    <cfRule type="expression" dxfId="84" priority="67">
      <formula>$F29&lt;&gt;"Antoine's"</formula>
    </cfRule>
  </conditionalFormatting>
  <conditionalFormatting sqref="G96">
    <cfRule type="expression" dxfId="83" priority="66">
      <formula>AND($F96&lt;&gt;"RVP",$F96&lt;&gt;"RVP+S")</formula>
    </cfRule>
  </conditionalFormatting>
  <conditionalFormatting sqref="H96">
    <cfRule type="expression" dxfId="82" priority="65">
      <formula>$F96&lt;&gt;"RVP+S"</formula>
    </cfRule>
  </conditionalFormatting>
  <conditionalFormatting sqref="I96:M96">
    <cfRule type="expression" dxfId="81" priority="64">
      <formula>$F96&lt;&gt;"Antoine's"</formula>
    </cfRule>
  </conditionalFormatting>
  <conditionalFormatting sqref="G134">
    <cfRule type="expression" dxfId="80" priority="63">
      <formula>AND($F134&lt;&gt;"RVP",$F134&lt;&gt;"RVP+S")</formula>
    </cfRule>
  </conditionalFormatting>
  <conditionalFormatting sqref="H134">
    <cfRule type="expression" dxfId="79" priority="62">
      <formula>$F134&lt;&gt;"RVP+S"</formula>
    </cfRule>
  </conditionalFormatting>
  <conditionalFormatting sqref="I134:M134">
    <cfRule type="expression" dxfId="78" priority="61">
      <formula>$F134&lt;&gt;"Antoine's"</formula>
    </cfRule>
  </conditionalFormatting>
  <conditionalFormatting sqref="G153">
    <cfRule type="expression" dxfId="77" priority="60">
      <formula>AND($F153&lt;&gt;"RVP",$F153&lt;&gt;"RVP+S")</formula>
    </cfRule>
  </conditionalFormatting>
  <conditionalFormatting sqref="H153">
    <cfRule type="expression" dxfId="76" priority="59">
      <formula>$F153&lt;&gt;"RVP+S"</formula>
    </cfRule>
  </conditionalFormatting>
  <conditionalFormatting sqref="I153:M153">
    <cfRule type="expression" dxfId="75" priority="58">
      <formula>$F153&lt;&gt;"Antoine's"</formula>
    </cfRule>
  </conditionalFormatting>
  <conditionalFormatting sqref="G173">
    <cfRule type="expression" dxfId="74" priority="57">
      <formula>AND($F173&lt;&gt;"RVP",$F173&lt;&gt;"RVP+S")</formula>
    </cfRule>
  </conditionalFormatting>
  <conditionalFormatting sqref="H173">
    <cfRule type="expression" dxfId="73" priority="56">
      <formula>$F173&lt;&gt;"RVP+S"</formula>
    </cfRule>
  </conditionalFormatting>
  <conditionalFormatting sqref="I173:M173">
    <cfRule type="expression" dxfId="72" priority="55">
      <formula>$F173&lt;&gt;"Antoine's"</formula>
    </cfRule>
  </conditionalFormatting>
  <conditionalFormatting sqref="G174">
    <cfRule type="expression" dxfId="71" priority="54">
      <formula>AND($F174&lt;&gt;"RVP",$F174&lt;&gt;"RVP+S")</formula>
    </cfRule>
  </conditionalFormatting>
  <conditionalFormatting sqref="H174">
    <cfRule type="expression" dxfId="70" priority="53">
      <formula>$F174&lt;&gt;"RVP+S"</formula>
    </cfRule>
  </conditionalFormatting>
  <conditionalFormatting sqref="I174:M174">
    <cfRule type="expression" dxfId="69" priority="52">
      <formula>$F174&lt;&gt;"Antoine's"</formula>
    </cfRule>
  </conditionalFormatting>
  <conditionalFormatting sqref="G247">
    <cfRule type="expression" dxfId="68" priority="51">
      <formula>AND($F247&lt;&gt;"RVP",$F247&lt;&gt;"RVP+S")</formula>
    </cfRule>
  </conditionalFormatting>
  <conditionalFormatting sqref="H247">
    <cfRule type="expression" dxfId="67" priority="50">
      <formula>$F247&lt;&gt;"RVP+S"</formula>
    </cfRule>
  </conditionalFormatting>
  <conditionalFormatting sqref="I247:M247">
    <cfRule type="expression" dxfId="66" priority="49">
      <formula>$F247&lt;&gt;"Antoine's"</formula>
    </cfRule>
  </conditionalFormatting>
  <conditionalFormatting sqref="G262">
    <cfRule type="expression" dxfId="65" priority="48">
      <formula>AND($F262&lt;&gt;"RVP",$F262&lt;&gt;"RVP+S")</formula>
    </cfRule>
  </conditionalFormatting>
  <conditionalFormatting sqref="H262">
    <cfRule type="expression" dxfId="64" priority="47">
      <formula>$F262&lt;&gt;"RVP+S"</formula>
    </cfRule>
  </conditionalFormatting>
  <conditionalFormatting sqref="I262:M262">
    <cfRule type="expression" dxfId="63" priority="46">
      <formula>$F262&lt;&gt;"Antoine's"</formula>
    </cfRule>
  </conditionalFormatting>
  <conditionalFormatting sqref="G276">
    <cfRule type="expression" dxfId="62" priority="45">
      <formula>AND($F276&lt;&gt;"RVP",$F276&lt;&gt;"RVP+S")</formula>
    </cfRule>
  </conditionalFormatting>
  <conditionalFormatting sqref="H276">
    <cfRule type="expression" dxfId="61" priority="44">
      <formula>$F276&lt;&gt;"RVP+S"</formula>
    </cfRule>
  </conditionalFormatting>
  <conditionalFormatting sqref="I276:M276">
    <cfRule type="expression" dxfId="60" priority="43">
      <formula>$F276&lt;&gt;"Antoine's"</formula>
    </cfRule>
  </conditionalFormatting>
  <conditionalFormatting sqref="G297">
    <cfRule type="expression" dxfId="59" priority="42">
      <formula>AND($F297&lt;&gt;"RVP",$F297&lt;&gt;"RVP+S")</formula>
    </cfRule>
  </conditionalFormatting>
  <conditionalFormatting sqref="H297">
    <cfRule type="expression" dxfId="58" priority="41">
      <formula>$F297&lt;&gt;"RVP+S"</formula>
    </cfRule>
  </conditionalFormatting>
  <conditionalFormatting sqref="I297:M297">
    <cfRule type="expression" dxfId="57" priority="40">
      <formula>$F297&lt;&gt;"Antoine's"</formula>
    </cfRule>
  </conditionalFormatting>
  <conditionalFormatting sqref="G298:K298">
    <cfRule type="expression" dxfId="56" priority="39">
      <formula>$F298= "Non-volatile"</formula>
    </cfRule>
  </conditionalFormatting>
  <conditionalFormatting sqref="I298:K298">
    <cfRule type="expression" dxfId="55" priority="38">
      <formula>$F298="RVP+S"</formula>
    </cfRule>
  </conditionalFormatting>
  <conditionalFormatting sqref="G298:H298">
    <cfRule type="expression" dxfId="54" priority="37">
      <formula>$F298="Antoine's"</formula>
    </cfRule>
  </conditionalFormatting>
  <conditionalFormatting sqref="G298:K298">
    <cfRule type="expression" dxfId="53" priority="36">
      <formula>$F298="Empty"</formula>
    </cfRule>
  </conditionalFormatting>
  <conditionalFormatting sqref="G298:H298">
    <cfRule type="expression" dxfId="52" priority="35">
      <formula>$F298="Mix"</formula>
    </cfRule>
  </conditionalFormatting>
  <conditionalFormatting sqref="G26:M26">
    <cfRule type="expression" dxfId="51" priority="34">
      <formula>$F26= "Non-volatile"</formula>
    </cfRule>
  </conditionalFormatting>
  <conditionalFormatting sqref="I26:N26">
    <cfRule type="expression" dxfId="50" priority="33">
      <formula>$F26="RVP+S"</formula>
    </cfRule>
  </conditionalFormatting>
  <conditionalFormatting sqref="G26:H26">
    <cfRule type="expression" dxfId="49" priority="32">
      <formula>$F26="Antoine's"</formula>
    </cfRule>
  </conditionalFormatting>
  <conditionalFormatting sqref="G26:N26">
    <cfRule type="expression" dxfId="48" priority="31">
      <formula>$F26="Empty"</formula>
    </cfRule>
  </conditionalFormatting>
  <conditionalFormatting sqref="L26:N26 G26:H26">
    <cfRule type="expression" dxfId="47" priority="30">
      <formula>$F26="Mix"</formula>
    </cfRule>
  </conditionalFormatting>
  <conditionalFormatting sqref="G45">
    <cfRule type="expression" dxfId="46" priority="29">
      <formula>AND($F45&lt;&gt;"RVP",$F45&lt;&gt;"RVP+S")</formula>
    </cfRule>
  </conditionalFormatting>
  <conditionalFormatting sqref="H45">
    <cfRule type="expression" dxfId="45" priority="28">
      <formula>$F45&lt;&gt;"RVP+S"</formula>
    </cfRule>
  </conditionalFormatting>
  <conditionalFormatting sqref="I45:M45">
    <cfRule type="expression" dxfId="44" priority="27">
      <formula>$F45&lt;&gt;"Antoine's"</formula>
    </cfRule>
  </conditionalFormatting>
  <conditionalFormatting sqref="G274:M274">
    <cfRule type="expression" dxfId="43" priority="26">
      <formula>$F274= "Non-volatile"</formula>
    </cfRule>
  </conditionalFormatting>
  <conditionalFormatting sqref="I274:M274">
    <cfRule type="expression" dxfId="42" priority="25">
      <formula>$F274="RVP+S"</formula>
    </cfRule>
  </conditionalFormatting>
  <conditionalFormatting sqref="G274:H274">
    <cfRule type="expression" dxfId="41" priority="24">
      <formula>$F274="Antoine's"</formula>
    </cfRule>
  </conditionalFormatting>
  <conditionalFormatting sqref="G274:M274">
    <cfRule type="expression" dxfId="40" priority="23">
      <formula>$F274="Empty"</formula>
    </cfRule>
  </conditionalFormatting>
  <conditionalFormatting sqref="L274:M274 G274:H274">
    <cfRule type="expression" dxfId="39" priority="22">
      <formula>$F274="Mix"</formula>
    </cfRule>
  </conditionalFormatting>
  <conditionalFormatting sqref="L221">
    <cfRule type="expression" dxfId="38" priority="21">
      <formula>$F221= "Non-volatile"</formula>
    </cfRule>
  </conditionalFormatting>
  <conditionalFormatting sqref="L221">
    <cfRule type="expression" dxfId="37" priority="20">
      <formula>$F221="RVP+S"</formula>
    </cfRule>
  </conditionalFormatting>
  <conditionalFormatting sqref="L221">
    <cfRule type="expression" dxfId="36" priority="19">
      <formula>$F221="Empty"</formula>
    </cfRule>
  </conditionalFormatting>
  <conditionalFormatting sqref="L221">
    <cfRule type="expression" dxfId="35" priority="18">
      <formula>$F221="Mix"</formula>
    </cfRule>
  </conditionalFormatting>
  <conditionalFormatting sqref="G263">
    <cfRule type="expression" dxfId="34" priority="17">
      <formula>AND($F263&lt;&gt;"RVP",$F263&lt;&gt;"RVP+S")</formula>
    </cfRule>
  </conditionalFormatting>
  <conditionalFormatting sqref="H263">
    <cfRule type="expression" dxfId="33" priority="16">
      <formula>$F263&lt;&gt;"RVP+S"</formula>
    </cfRule>
  </conditionalFormatting>
  <conditionalFormatting sqref="I263:M263">
    <cfRule type="expression" dxfId="32" priority="15">
      <formula>$F263&lt;&gt;"Antoine's"</formula>
    </cfRule>
  </conditionalFormatting>
  <conditionalFormatting sqref="I106:I109">
    <cfRule type="expression" dxfId="31" priority="14">
      <formula>$F106&lt;&gt;"Antoine's"</formula>
    </cfRule>
  </conditionalFormatting>
  <conditionalFormatting sqref="J106:J109">
    <cfRule type="expression" dxfId="30" priority="13">
      <formula>$F106&lt;&gt;"Antoine's"</formula>
    </cfRule>
  </conditionalFormatting>
  <conditionalFormatting sqref="K106">
    <cfRule type="expression" dxfId="29" priority="12">
      <formula>$F106&lt;&gt;"Antoine's"</formula>
    </cfRule>
  </conditionalFormatting>
  <conditionalFormatting sqref="L106:M106">
    <cfRule type="expression" dxfId="28" priority="11">
      <formula>$F106&lt;&gt;"Antoine's"</formula>
    </cfRule>
  </conditionalFormatting>
  <conditionalFormatting sqref="K108">
    <cfRule type="expression" dxfId="27" priority="10">
      <formula>$F108&lt;&gt;"Antoine's"</formula>
    </cfRule>
  </conditionalFormatting>
  <conditionalFormatting sqref="G88">
    <cfRule type="expression" dxfId="26" priority="9">
      <formula>AND($F88&lt;&gt;"RVP",$F88&lt;&gt;"RVP+S")</formula>
    </cfRule>
  </conditionalFormatting>
  <conditionalFormatting sqref="H88">
    <cfRule type="expression" dxfId="25" priority="8">
      <formula>$F88&lt;&gt;"RVP+S"</formula>
    </cfRule>
  </conditionalFormatting>
  <conditionalFormatting sqref="I88:M88">
    <cfRule type="expression" dxfId="24" priority="7">
      <formula>$F88&lt;&gt;"Antoine's"</formula>
    </cfRule>
  </conditionalFormatting>
  <conditionalFormatting sqref="G110">
    <cfRule type="expression" dxfId="23" priority="6">
      <formula>AND($F110&lt;&gt;"RVP",$F110&lt;&gt;"RVP+S")</formula>
    </cfRule>
  </conditionalFormatting>
  <conditionalFormatting sqref="H110">
    <cfRule type="expression" dxfId="22" priority="5">
      <formula>$F110&lt;&gt;"RVP+S"</formula>
    </cfRule>
  </conditionalFormatting>
  <conditionalFormatting sqref="I110:M110">
    <cfRule type="expression" dxfId="21" priority="4">
      <formula>$F110&lt;&gt;"Antoine's"</formula>
    </cfRule>
  </conditionalFormatting>
  <conditionalFormatting sqref="G132">
    <cfRule type="expression" dxfId="20" priority="3">
      <formula>AND($F132&lt;&gt;"RVP",$F132&lt;&gt;"RVP+S")</formula>
    </cfRule>
  </conditionalFormatting>
  <conditionalFormatting sqref="H132">
    <cfRule type="expression" dxfId="19" priority="2">
      <formula>$F132&lt;&gt;"RVP+S"</formula>
    </cfRule>
  </conditionalFormatting>
  <conditionalFormatting sqref="I132:M132">
    <cfRule type="expression" dxfId="18" priority="1">
      <formula>$F132&lt;&gt;"Antoine's"</formula>
    </cfRule>
  </conditionalFormatting>
  <dataValidations count="3">
    <dataValidation type="list" allowBlank="1" showInputMessage="1" showErrorMessage="1" sqref="C64 C298 C26 C263 C274" xr:uid="{1B72328B-601E-4294-B22C-CBF753CF7AB8}">
      <formula1>"Non-VOC, PM, PM HAP, VOC, VOC HAP, VOC Exempt, VOC Non-Emitted, Water, Mix"</formula1>
    </dataValidation>
    <dataValidation type="list" allowBlank="1" showInputMessage="1" showErrorMessage="1" sqref="C302:C303 C25 C264:C273 C65:C262 C27:C63 C275:C297" xr:uid="{170309A0-F64B-4020-A19E-7BFAB77D09B0}">
      <formula1>"Non-VOC, PM, PM HAP, VOC, VOC HAP, VOC Exempt, VOC Exempt HAP, VOC Non-Emitted, Water, Mix"</formula1>
    </dataValidation>
    <dataValidation type="list" allowBlank="1" showInputMessage="1" showErrorMessage="1" sqref="F302:F303 F25:F298" xr:uid="{4D706FF0-7450-4A45-911F-591FD8AC23B4}">
      <formula1>"Empty, RVP, RVP+S, Antoine's, Non-volatile, Mix"</formula1>
    </dataValidation>
  </dataValidations>
  <hyperlinks>
    <hyperlink ref="X18" r:id="rId1" display="https://www.law.cornell.edu/cfr/text/40/51.100" xr:uid="{326F592A-3A19-4450-BBA9-9E8032F8D715}"/>
  </hyperlinks>
  <printOptions horizontalCentered="1"/>
  <pageMargins left="0.25" right="0.25" top="0.75" bottom="0.75" header="0.3" footer="0.3"/>
  <pageSetup scale="50" fitToHeight="0" orientation="landscape" r:id="rId2"/>
  <headerFooter alignWithMargins="0">
    <oddFooter>&amp;L&amp;F &amp;CPage &amp;P of &amp;N&amp;R&amp;D</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98690-CEFF-472A-9B6E-511558D263AD}">
  <sheetPr codeName="Sheet23"/>
  <dimension ref="A1:DT29"/>
  <sheetViews>
    <sheetView workbookViewId="0">
      <selection sqref="A1:XFD1048576"/>
    </sheetView>
  </sheetViews>
  <sheetFormatPr defaultColWidth="9.08984375" defaultRowHeight="14"/>
  <cols>
    <col min="1" max="1" width="23.90625" style="33" customWidth="1"/>
    <col min="2" max="2" width="21.453125" style="33" bestFit="1" customWidth="1"/>
    <col min="3" max="3" width="12.453125" style="33" customWidth="1"/>
    <col min="4" max="4" width="18.36328125" style="33" bestFit="1" customWidth="1"/>
    <col min="5" max="5" width="13.54296875" style="33" customWidth="1"/>
    <col min="6" max="6" width="12.08984375" style="33" customWidth="1"/>
    <col min="7" max="7" width="9.6328125" style="33" customWidth="1"/>
    <col min="8" max="8" width="11.08984375" style="33" customWidth="1"/>
    <col min="9" max="10" width="11.453125" style="33" bestFit="1" customWidth="1"/>
    <col min="11" max="11" width="16.6328125" style="33" customWidth="1"/>
    <col min="12" max="12" width="13.90625" style="33" bestFit="1" customWidth="1"/>
    <col min="13" max="13" width="10.6328125" style="33" customWidth="1"/>
    <col min="14" max="14" width="10.453125" style="33" customWidth="1"/>
    <col min="15" max="16" width="10.36328125" style="33" bestFit="1" customWidth="1"/>
    <col min="17" max="17" width="11.6328125" style="33" customWidth="1"/>
    <col min="18" max="18" width="10.36328125" style="33" bestFit="1" customWidth="1"/>
    <col min="19" max="19" width="10" style="33" customWidth="1"/>
    <col min="20" max="20" width="10.54296875" style="33" customWidth="1"/>
    <col min="21" max="21" width="10.36328125" style="33" bestFit="1" customWidth="1"/>
    <col min="22" max="22" width="10" style="33" customWidth="1"/>
    <col min="23" max="23" width="10.54296875" style="33" customWidth="1"/>
    <col min="24" max="25" width="10.36328125" style="33" bestFit="1" customWidth="1"/>
    <col min="26" max="26" width="11" style="33" customWidth="1"/>
    <col min="27" max="27" width="10.36328125" style="33" bestFit="1" customWidth="1"/>
    <col min="28" max="28" width="11.08984375" style="33" customWidth="1"/>
    <col min="29" max="29" width="10.36328125" style="33" bestFit="1" customWidth="1"/>
    <col min="30" max="30" width="9" style="33" bestFit="1" customWidth="1"/>
    <col min="31" max="31" width="10.6328125" style="33" customWidth="1"/>
    <col min="32" max="32" width="9" style="33" bestFit="1" customWidth="1"/>
    <col min="33" max="34" width="10.36328125" style="33" bestFit="1" customWidth="1"/>
    <col min="35" max="35" width="11.6328125" style="33" customWidth="1"/>
    <col min="36" max="37" width="10.36328125" style="33" bestFit="1" customWidth="1"/>
    <col min="38" max="38" width="10.54296875" style="33" customWidth="1"/>
    <col min="39" max="39" width="10" style="33" customWidth="1"/>
    <col min="40" max="40" width="10.36328125" style="33" bestFit="1" customWidth="1"/>
    <col min="41" max="41" width="10.54296875" style="33" customWidth="1"/>
    <col min="42" max="43" width="10.36328125" style="33" bestFit="1" customWidth="1"/>
    <col min="44" max="44" width="10.08984375" style="33" customWidth="1"/>
    <col min="45" max="45" width="10.36328125" style="33" customWidth="1"/>
    <col min="46" max="46" width="10.36328125" style="33" bestFit="1" customWidth="1"/>
    <col min="47" max="47" width="11.08984375" style="33" customWidth="1"/>
    <col min="48" max="48" width="10" style="33" customWidth="1"/>
    <col min="49" max="49" width="10.36328125" style="33" bestFit="1" customWidth="1"/>
    <col min="50" max="50" width="10.54296875" style="33" customWidth="1"/>
    <col min="51" max="52" width="10.36328125" style="33" bestFit="1" customWidth="1"/>
    <col min="53" max="53" width="10.08984375" style="33" customWidth="1"/>
    <col min="54" max="54" width="10.36328125" style="33" customWidth="1"/>
    <col min="55" max="55" width="10.36328125" style="33" bestFit="1" customWidth="1"/>
    <col min="56" max="56" width="11.08984375" style="33" customWidth="1"/>
    <col min="57" max="57" width="10" style="33" customWidth="1"/>
    <col min="58" max="58" width="10.36328125" style="33" bestFit="1" customWidth="1"/>
    <col min="59" max="59" width="11.54296875" style="33" customWidth="1"/>
    <col min="60" max="61" width="10.36328125" style="33" bestFit="1" customWidth="1"/>
    <col min="62" max="62" width="11.36328125" style="33" customWidth="1"/>
    <col min="63" max="64" width="10.36328125" style="33" customWidth="1"/>
    <col min="65" max="65" width="10.36328125" style="33" bestFit="1" customWidth="1"/>
    <col min="66" max="66" width="11.6328125" style="33" customWidth="1"/>
    <col min="67" max="71" width="8.36328125" style="33" bestFit="1" customWidth="1"/>
    <col min="72" max="74" width="8.36328125" style="33" customWidth="1"/>
    <col min="75" max="80" width="8.36328125" style="33" bestFit="1" customWidth="1"/>
    <col min="81" max="81" width="8.36328125" style="33" customWidth="1"/>
    <col min="82" max="82" width="8.36328125" style="33" bestFit="1" customWidth="1"/>
    <col min="83" max="83" width="3.453125" style="33" bestFit="1" customWidth="1"/>
    <col min="84" max="84" width="4.90625" style="33" customWidth="1"/>
    <col min="85" max="85" width="12.08984375" style="33" bestFit="1" customWidth="1"/>
    <col min="86" max="86" width="21.54296875" style="33" customWidth="1"/>
    <col min="87" max="89" width="8" style="33" bestFit="1" customWidth="1"/>
    <col min="90" max="92" width="8" style="33" customWidth="1"/>
    <col min="93" max="93" width="8" style="33" bestFit="1" customWidth="1"/>
    <col min="94" max="94" width="8" style="33" customWidth="1"/>
    <col min="95" max="101" width="8" style="33" bestFit="1" customWidth="1"/>
    <col min="102" max="102" width="8" style="33" customWidth="1"/>
    <col min="103" max="103" width="3.453125" style="33" bestFit="1" customWidth="1"/>
    <col min="104" max="104" width="3.90625" style="33" customWidth="1"/>
    <col min="105" max="105" width="9.54296875" style="33" customWidth="1"/>
    <col min="106" max="106" width="7.36328125" style="33" bestFit="1" customWidth="1"/>
    <col min="107" max="107" width="6.6328125" style="33" customWidth="1"/>
    <col min="108" max="108" width="13.36328125" style="33" bestFit="1" customWidth="1"/>
    <col min="109" max="110" width="13.54296875" style="33" bestFit="1" customWidth="1"/>
    <col min="111" max="111" width="9.08984375" style="33"/>
    <col min="112" max="112" width="41.36328125" style="106" customWidth="1"/>
    <col min="113" max="113" width="9.08984375" style="106"/>
    <col min="114" max="16384" width="9.08984375" style="33"/>
  </cols>
  <sheetData>
    <row r="1" spans="1:124" s="104" customFormat="1" ht="18">
      <c r="A1" s="1" t="s">
        <v>0</v>
      </c>
      <c r="B1" s="101"/>
      <c r="C1" s="101"/>
      <c r="D1" s="102"/>
      <c r="E1" s="101"/>
      <c r="F1" s="102"/>
      <c r="G1" s="102"/>
      <c r="H1" s="102"/>
      <c r="I1" s="101"/>
      <c r="J1" s="101"/>
      <c r="K1" s="101"/>
      <c r="L1" s="101"/>
      <c r="M1" s="101"/>
      <c r="N1" s="101"/>
      <c r="O1" s="101"/>
      <c r="P1" s="101"/>
      <c r="Q1" s="101"/>
      <c r="R1" s="101"/>
      <c r="S1" s="101"/>
      <c r="T1" s="101"/>
      <c r="U1" s="101"/>
      <c r="V1" s="101"/>
      <c r="W1" s="101"/>
      <c r="X1" s="101"/>
      <c r="Y1" s="101"/>
      <c r="Z1" s="101"/>
      <c r="AA1" s="103" t="str">
        <f>A1</f>
        <v>Table No. X</v>
      </c>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t="str">
        <f>A1</f>
        <v>Table No. X</v>
      </c>
      <c r="BF1" s="103"/>
      <c r="BG1" s="103"/>
      <c r="BH1" s="103"/>
      <c r="BI1" s="103"/>
      <c r="BJ1" s="103"/>
      <c r="BK1" s="103"/>
      <c r="BL1" s="103"/>
      <c r="BM1" s="103"/>
      <c r="BN1" s="103"/>
      <c r="BO1" s="103"/>
      <c r="BP1" s="103"/>
      <c r="BQ1" s="103"/>
      <c r="BR1" s="103"/>
      <c r="BS1" s="103"/>
      <c r="BT1" s="103"/>
      <c r="BU1" s="103"/>
      <c r="BV1" s="103"/>
      <c r="BW1" s="101"/>
      <c r="BX1" s="101"/>
      <c r="BY1" s="101"/>
      <c r="BZ1" s="101"/>
      <c r="CA1" s="101"/>
      <c r="CB1" s="101"/>
      <c r="CC1" s="101"/>
      <c r="CD1" s="101"/>
      <c r="CE1" s="101"/>
      <c r="CF1" s="101"/>
      <c r="CG1" s="103" t="str">
        <f>A1</f>
        <v>Table No. X</v>
      </c>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H1" s="105" t="s">
        <v>2</v>
      </c>
      <c r="DI1" s="106"/>
    </row>
    <row r="2" spans="1:124" s="104" customFormat="1" ht="18">
      <c r="A2" s="103" t="str">
        <f>[1]Summary!A2</f>
        <v>Client Name</v>
      </c>
      <c r="B2" s="102"/>
      <c r="C2" s="101"/>
      <c r="D2" s="102"/>
      <c r="E2" s="101"/>
      <c r="F2" s="102"/>
      <c r="G2" s="102"/>
      <c r="H2" s="102"/>
      <c r="I2" s="101"/>
      <c r="J2" s="101"/>
      <c r="K2" s="101"/>
      <c r="L2" s="101"/>
      <c r="M2" s="101"/>
      <c r="N2" s="101"/>
      <c r="O2" s="101"/>
      <c r="P2" s="101"/>
      <c r="Q2" s="101"/>
      <c r="R2" s="101"/>
      <c r="S2" s="101"/>
      <c r="T2" s="101"/>
      <c r="U2" s="101"/>
      <c r="V2" s="101"/>
      <c r="W2" s="101"/>
      <c r="X2" s="101"/>
      <c r="Y2" s="101"/>
      <c r="Z2" s="101"/>
      <c r="AA2" s="103" t="str">
        <f>A2</f>
        <v>Client Name</v>
      </c>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t="str">
        <f>A2</f>
        <v>Client Name</v>
      </c>
      <c r="BF2" s="103"/>
      <c r="BG2" s="103"/>
      <c r="BH2" s="103"/>
      <c r="BI2" s="103"/>
      <c r="BJ2" s="103"/>
      <c r="BK2" s="103"/>
      <c r="BL2" s="103"/>
      <c r="BM2" s="103"/>
      <c r="BN2" s="103"/>
      <c r="BO2" s="103"/>
      <c r="BP2" s="103"/>
      <c r="BQ2" s="103"/>
      <c r="BR2" s="103"/>
      <c r="BS2" s="103"/>
      <c r="BT2" s="103"/>
      <c r="BU2" s="103"/>
      <c r="BV2" s="103"/>
      <c r="BW2" s="101"/>
      <c r="BX2" s="101"/>
      <c r="BY2" s="101"/>
      <c r="BZ2" s="101"/>
      <c r="CA2" s="101"/>
      <c r="CB2" s="101"/>
      <c r="CC2" s="101"/>
      <c r="CD2" s="101"/>
      <c r="CE2" s="101"/>
      <c r="CF2" s="101"/>
      <c r="CG2" s="103" t="str">
        <f>A2</f>
        <v>Client Name</v>
      </c>
      <c r="CH2" s="103"/>
      <c r="CI2" s="103"/>
      <c r="CJ2" s="103"/>
      <c r="CK2" s="103"/>
      <c r="CL2" s="103"/>
      <c r="CM2" s="103"/>
      <c r="CN2" s="103"/>
      <c r="CO2" s="103"/>
      <c r="CP2" s="103"/>
      <c r="CQ2" s="103"/>
      <c r="CR2" s="103"/>
      <c r="CS2" s="103"/>
      <c r="CT2" s="103"/>
      <c r="CU2" s="103"/>
      <c r="CV2" s="103"/>
      <c r="CW2" s="103"/>
      <c r="CX2" s="103"/>
      <c r="CY2" s="103"/>
      <c r="CZ2" s="103"/>
      <c r="DA2" s="103"/>
      <c r="DB2" s="103"/>
      <c r="DC2" s="103"/>
      <c r="DD2" s="103"/>
      <c r="DE2" s="103"/>
      <c r="DF2" s="103"/>
      <c r="DH2" s="107" t="s">
        <v>657</v>
      </c>
      <c r="DI2" s="107" t="s">
        <v>658</v>
      </c>
    </row>
    <row r="3" spans="1:124" s="104" customFormat="1" ht="18">
      <c r="A3" s="103" t="str">
        <f>[1]Summary!A3</f>
        <v>Client Facility</v>
      </c>
      <c r="B3" s="102"/>
      <c r="C3" s="101"/>
      <c r="D3" s="102"/>
      <c r="E3" s="101"/>
      <c r="F3" s="102"/>
      <c r="G3" s="102"/>
      <c r="H3" s="102"/>
      <c r="I3" s="101"/>
      <c r="J3" s="101"/>
      <c r="K3" s="101"/>
      <c r="L3" s="101"/>
      <c r="M3" s="101"/>
      <c r="N3" s="101"/>
      <c r="O3" s="101"/>
      <c r="P3" s="101"/>
      <c r="Q3" s="101"/>
      <c r="R3" s="101"/>
      <c r="S3" s="101"/>
      <c r="T3" s="101"/>
      <c r="U3" s="101"/>
      <c r="V3" s="101"/>
      <c r="W3" s="101"/>
      <c r="X3" s="101"/>
      <c r="Y3" s="101"/>
      <c r="Z3" s="101"/>
      <c r="AA3" s="103" t="str">
        <f>A3</f>
        <v>Client Facility</v>
      </c>
      <c r="AB3" s="103"/>
      <c r="AC3" s="103"/>
      <c r="AD3" s="103"/>
      <c r="AE3" s="103"/>
      <c r="AF3" s="103"/>
      <c r="AG3" s="103"/>
      <c r="AH3" s="103"/>
      <c r="AI3" s="103"/>
      <c r="AJ3" s="103"/>
      <c r="AK3" s="103"/>
      <c r="AL3" s="103"/>
      <c r="AM3" s="103"/>
      <c r="AN3" s="103"/>
      <c r="AO3" s="103"/>
      <c r="AP3" s="103"/>
      <c r="AQ3" s="103"/>
      <c r="AR3" s="103"/>
      <c r="AS3" s="103"/>
      <c r="AT3" s="103"/>
      <c r="AU3" s="103"/>
      <c r="AV3" s="103"/>
      <c r="AW3" s="103"/>
      <c r="AX3" s="103"/>
      <c r="AY3" s="103"/>
      <c r="AZ3" s="103"/>
      <c r="BA3" s="103"/>
      <c r="BB3" s="103"/>
      <c r="BC3" s="103"/>
      <c r="BD3" s="103"/>
      <c r="BE3" s="103" t="str">
        <f>A3</f>
        <v>Client Facility</v>
      </c>
      <c r="BF3" s="103"/>
      <c r="BG3" s="103"/>
      <c r="BH3" s="103"/>
      <c r="BI3" s="103"/>
      <c r="BJ3" s="103"/>
      <c r="BK3" s="103"/>
      <c r="BL3" s="103"/>
      <c r="BM3" s="103"/>
      <c r="BN3" s="103"/>
      <c r="BO3" s="103"/>
      <c r="BP3" s="103"/>
      <c r="BQ3" s="103"/>
      <c r="BR3" s="103"/>
      <c r="BS3" s="103"/>
      <c r="BT3" s="103"/>
      <c r="BU3" s="103"/>
      <c r="BV3" s="103"/>
      <c r="BW3" s="101"/>
      <c r="BX3" s="101"/>
      <c r="BY3" s="101"/>
      <c r="BZ3" s="101"/>
      <c r="CA3" s="101"/>
      <c r="CB3" s="101"/>
      <c r="CC3" s="101"/>
      <c r="CD3" s="101"/>
      <c r="CE3" s="101"/>
      <c r="CF3" s="101"/>
      <c r="CG3" s="103" t="str">
        <f>A3</f>
        <v>Client Facility</v>
      </c>
      <c r="CH3" s="103"/>
      <c r="CI3" s="103"/>
      <c r="CJ3" s="103"/>
      <c r="CK3" s="103"/>
      <c r="CL3" s="103"/>
      <c r="CM3" s="103"/>
      <c r="CN3" s="103"/>
      <c r="CO3" s="103"/>
      <c r="CP3" s="103"/>
      <c r="CQ3" s="103"/>
      <c r="CR3" s="103"/>
      <c r="CS3" s="103"/>
      <c r="CT3" s="103"/>
      <c r="CU3" s="103"/>
      <c r="CV3" s="103"/>
      <c r="CW3" s="103"/>
      <c r="CX3" s="103"/>
      <c r="CY3" s="103"/>
      <c r="CZ3" s="103"/>
      <c r="DA3" s="103"/>
      <c r="DB3" s="103"/>
      <c r="DC3" s="103"/>
      <c r="DD3" s="103"/>
      <c r="DE3" s="103"/>
      <c r="DF3" s="103"/>
      <c r="DH3" s="108" t="s">
        <v>659</v>
      </c>
      <c r="DI3" s="108" t="s">
        <v>660</v>
      </c>
    </row>
    <row r="4" spans="1:124" s="104" customFormat="1" ht="18">
      <c r="A4" s="1" t="s">
        <v>661</v>
      </c>
      <c r="B4" s="102"/>
      <c r="C4" s="101"/>
      <c r="D4" s="102"/>
      <c r="E4" s="101"/>
      <c r="F4" s="102"/>
      <c r="G4" s="102"/>
      <c r="H4" s="102"/>
      <c r="I4" s="101"/>
      <c r="J4" s="101"/>
      <c r="K4" s="101"/>
      <c r="L4" s="101"/>
      <c r="M4" s="101"/>
      <c r="N4" s="101"/>
      <c r="O4" s="101"/>
      <c r="P4" s="101"/>
      <c r="Q4" s="101"/>
      <c r="R4" s="101"/>
      <c r="S4" s="101"/>
      <c r="T4" s="101"/>
      <c r="U4" s="101"/>
      <c r="V4" s="101"/>
      <c r="W4" s="101"/>
      <c r="X4" s="101"/>
      <c r="Y4" s="101"/>
      <c r="Z4" s="101"/>
      <c r="AA4" s="103" t="str">
        <f>A4</f>
        <v>Mixture Data</v>
      </c>
      <c r="AB4" s="103"/>
      <c r="AC4" s="103"/>
      <c r="AD4" s="103"/>
      <c r="AE4" s="103"/>
      <c r="AF4" s="103"/>
      <c r="AG4" s="103"/>
      <c r="AH4" s="103"/>
      <c r="AI4" s="103"/>
      <c r="AJ4" s="103"/>
      <c r="AK4" s="103"/>
      <c r="AL4" s="103"/>
      <c r="AM4" s="103"/>
      <c r="AN4" s="103"/>
      <c r="AO4" s="103"/>
      <c r="AP4" s="103"/>
      <c r="AQ4" s="103"/>
      <c r="AR4" s="103"/>
      <c r="AS4" s="103"/>
      <c r="AT4" s="103"/>
      <c r="AU4" s="103"/>
      <c r="AV4" s="103"/>
      <c r="AW4" s="103"/>
      <c r="AX4" s="103"/>
      <c r="AY4" s="103"/>
      <c r="AZ4" s="103"/>
      <c r="BA4" s="103"/>
      <c r="BB4" s="103"/>
      <c r="BC4" s="103"/>
      <c r="BD4" s="103"/>
      <c r="BE4" s="103" t="str">
        <f>A4</f>
        <v>Mixture Data</v>
      </c>
      <c r="BF4" s="103"/>
      <c r="BG4" s="103"/>
      <c r="BH4" s="103"/>
      <c r="BI4" s="103"/>
      <c r="BJ4" s="103"/>
      <c r="BK4" s="103"/>
      <c r="BL4" s="103"/>
      <c r="BM4" s="103"/>
      <c r="BN4" s="103"/>
      <c r="BO4" s="103"/>
      <c r="BP4" s="103"/>
      <c r="BQ4" s="103"/>
      <c r="BR4" s="103"/>
      <c r="BS4" s="103"/>
      <c r="BT4" s="103"/>
      <c r="BU4" s="103"/>
      <c r="BV4" s="103"/>
      <c r="BW4" s="101"/>
      <c r="BX4" s="109"/>
      <c r="BY4" s="109"/>
      <c r="BZ4" s="109"/>
      <c r="CA4" s="109"/>
      <c r="CB4" s="109"/>
      <c r="CC4" s="109"/>
      <c r="CD4" s="109"/>
      <c r="CE4" s="109"/>
      <c r="CF4" s="109"/>
      <c r="CG4" s="103" t="str">
        <f>A4</f>
        <v>Mixture Data</v>
      </c>
      <c r="CH4" s="110"/>
      <c r="CI4" s="110"/>
      <c r="CJ4" s="110"/>
      <c r="CK4" s="103"/>
      <c r="CL4" s="103"/>
      <c r="CM4" s="103"/>
      <c r="CN4" s="103"/>
      <c r="CO4" s="103"/>
      <c r="CP4" s="103"/>
      <c r="CQ4" s="103"/>
      <c r="CR4" s="103"/>
      <c r="CS4" s="103"/>
      <c r="CT4" s="103"/>
      <c r="CU4" s="103"/>
      <c r="CV4" s="103"/>
      <c r="CW4" s="103"/>
      <c r="CX4" s="103"/>
      <c r="CY4" s="103"/>
      <c r="CZ4" s="103"/>
      <c r="DA4" s="103"/>
      <c r="DB4" s="103"/>
      <c r="DC4" s="103"/>
      <c r="DD4" s="103"/>
      <c r="DE4" s="103"/>
      <c r="DF4" s="103"/>
      <c r="DH4" s="111" t="s">
        <v>662</v>
      </c>
      <c r="DI4" s="111" t="s">
        <v>663</v>
      </c>
    </row>
    <row r="5" spans="1:124" s="104" customFormat="1" ht="18">
      <c r="A5" s="1"/>
      <c r="B5" s="102"/>
      <c r="C5" s="101"/>
      <c r="D5" s="102"/>
      <c r="E5" s="101"/>
      <c r="F5" s="102"/>
      <c r="G5" s="102"/>
      <c r="H5" s="102"/>
      <c r="I5" s="101"/>
      <c r="J5" s="101"/>
      <c r="K5" s="101"/>
      <c r="L5" s="101"/>
      <c r="M5" s="101"/>
      <c r="N5" s="101"/>
      <c r="O5" s="101"/>
      <c r="P5" s="101"/>
      <c r="Q5" s="101"/>
      <c r="R5" s="103"/>
      <c r="S5" s="103"/>
      <c r="T5" s="103"/>
      <c r="U5" s="103"/>
      <c r="V5" s="103"/>
      <c r="W5" s="103"/>
      <c r="X5" s="103"/>
      <c r="Y5" s="103"/>
      <c r="Z5" s="103"/>
      <c r="AA5" s="103"/>
      <c r="AB5" s="103"/>
      <c r="AC5" s="103"/>
      <c r="AD5" s="103"/>
      <c r="AE5" s="103"/>
      <c r="AF5" s="103"/>
      <c r="AG5" s="103"/>
      <c r="AH5" s="103"/>
      <c r="AI5" s="103"/>
      <c r="AJ5" s="103"/>
      <c r="AK5" s="103"/>
      <c r="AL5" s="103"/>
      <c r="AM5" s="103"/>
      <c r="AN5" s="103"/>
      <c r="AO5" s="103"/>
      <c r="AP5" s="103"/>
      <c r="AQ5" s="103"/>
      <c r="AR5" s="103"/>
      <c r="AS5" s="103"/>
      <c r="AT5" s="103"/>
      <c r="AU5" s="103"/>
      <c r="AV5" s="103"/>
      <c r="AW5" s="103"/>
      <c r="AX5" s="103"/>
      <c r="AY5" s="103"/>
      <c r="AZ5" s="103"/>
      <c r="BA5" s="103"/>
      <c r="BB5" s="103"/>
      <c r="BC5" s="103"/>
      <c r="BD5" s="103"/>
      <c r="BE5" s="103"/>
      <c r="BF5" s="103"/>
      <c r="BG5" s="103"/>
      <c r="BH5" s="103"/>
      <c r="BI5" s="103"/>
      <c r="BJ5" s="103"/>
      <c r="BK5" s="103"/>
      <c r="BL5" s="103"/>
      <c r="BM5" s="103"/>
      <c r="BO5" s="112"/>
      <c r="BP5" s="112"/>
      <c r="BQ5" s="112"/>
      <c r="BR5" s="112"/>
      <c r="BS5" s="112"/>
      <c r="BT5" s="112"/>
      <c r="BU5" s="112"/>
      <c r="BV5" s="112"/>
      <c r="BW5" s="112"/>
      <c r="BX5" s="112"/>
      <c r="BY5" s="112"/>
      <c r="BZ5" s="112"/>
      <c r="CA5" s="112"/>
      <c r="CB5" s="112"/>
      <c r="CC5" s="112"/>
      <c r="CD5" s="112"/>
      <c r="DH5" s="111" t="s">
        <v>664</v>
      </c>
      <c r="DI5" s="111" t="s">
        <v>665</v>
      </c>
    </row>
    <row r="6" spans="1:124" s="104" customFormat="1" ht="18">
      <c r="A6" s="1"/>
      <c r="B6" s="102"/>
      <c r="C6" s="14" t="s">
        <v>666</v>
      </c>
      <c r="D6" s="102"/>
      <c r="E6" s="101"/>
      <c r="F6" s="102"/>
      <c r="G6" s="102"/>
      <c r="H6" s="102"/>
      <c r="I6" s="101"/>
      <c r="J6" s="101"/>
      <c r="K6" s="101"/>
      <c r="L6" s="101"/>
      <c r="M6" s="101"/>
      <c r="N6" s="101"/>
      <c r="O6" s="101"/>
      <c r="P6" s="101"/>
      <c r="Q6" s="101"/>
      <c r="R6" s="101"/>
      <c r="S6" s="101"/>
      <c r="T6" s="101"/>
      <c r="U6" s="101"/>
      <c r="V6" s="101"/>
      <c r="W6" s="101"/>
      <c r="X6" s="101"/>
      <c r="Y6" s="101"/>
      <c r="Z6" s="103"/>
      <c r="AA6" s="103"/>
      <c r="AB6" s="103"/>
      <c r="AC6" s="103"/>
      <c r="AD6" s="103"/>
      <c r="AE6" s="103"/>
      <c r="AF6" s="103"/>
      <c r="AG6" s="103"/>
      <c r="AH6" s="103"/>
      <c r="AI6" s="103"/>
      <c r="AJ6" s="103"/>
      <c r="AK6" s="103"/>
      <c r="AL6" s="103"/>
      <c r="AM6" s="103"/>
      <c r="AN6" s="103"/>
      <c r="AO6" s="103"/>
      <c r="AP6" s="103"/>
      <c r="AQ6" s="103"/>
      <c r="AR6" s="103"/>
      <c r="AS6" s="103"/>
      <c r="AT6" s="103"/>
      <c r="AU6" s="103"/>
      <c r="AV6" s="103"/>
      <c r="AW6" s="103"/>
      <c r="AX6" s="103"/>
      <c r="AY6" s="103"/>
      <c r="AZ6" s="103"/>
      <c r="BA6" s="103"/>
      <c r="BB6" s="103"/>
      <c r="BC6" s="103"/>
      <c r="BD6" s="103"/>
      <c r="BE6" s="103"/>
      <c r="BF6" s="103"/>
      <c r="BG6" s="103"/>
      <c r="BH6" s="103"/>
      <c r="BI6" s="103"/>
      <c r="BJ6" s="103"/>
      <c r="BK6" s="103"/>
      <c r="BL6" s="103"/>
      <c r="BO6" s="112"/>
      <c r="BP6" s="112"/>
      <c r="BQ6" s="112"/>
      <c r="BR6" s="112"/>
      <c r="BS6" s="112"/>
      <c r="BT6" s="112"/>
      <c r="BU6" s="112"/>
      <c r="BV6" s="112"/>
      <c r="BW6" s="112"/>
      <c r="BX6" s="112"/>
      <c r="BY6" s="112"/>
      <c r="BZ6" s="112"/>
      <c r="CA6" s="112"/>
      <c r="CB6" s="112"/>
      <c r="CC6" s="112"/>
      <c r="DH6" s="111" t="s">
        <v>667</v>
      </c>
      <c r="DI6" s="111" t="s">
        <v>668</v>
      </c>
    </row>
    <row r="7" spans="1:124" s="104" customFormat="1" ht="18">
      <c r="A7" s="1"/>
      <c r="B7" s="102"/>
      <c r="C7" s="14"/>
      <c r="D7" s="102"/>
      <c r="E7" s="101"/>
      <c r="F7" s="102"/>
      <c r="G7" s="102"/>
      <c r="H7" s="102"/>
      <c r="I7" s="101"/>
      <c r="J7" s="101"/>
      <c r="K7" s="101"/>
      <c r="L7" s="101"/>
      <c r="M7" s="101"/>
      <c r="N7" s="101"/>
      <c r="O7" s="101"/>
      <c r="P7" s="101"/>
      <c r="Q7" s="101"/>
      <c r="R7" s="101"/>
      <c r="S7" s="101"/>
      <c r="T7" s="101"/>
      <c r="U7" s="101"/>
      <c r="V7" s="101"/>
      <c r="W7" s="101"/>
      <c r="X7" s="101"/>
      <c r="Y7" s="101"/>
      <c r="Z7" s="103"/>
      <c r="AA7" s="103"/>
      <c r="AB7" s="103"/>
      <c r="AC7" s="103"/>
      <c r="AD7" s="103"/>
      <c r="AE7" s="103"/>
      <c r="AF7" s="103"/>
      <c r="AG7" s="103"/>
      <c r="AH7" s="103"/>
      <c r="AI7" s="103"/>
      <c r="AJ7" s="103"/>
      <c r="AK7" s="103"/>
      <c r="AL7" s="103"/>
      <c r="AM7" s="103"/>
      <c r="AN7" s="103"/>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O7" s="112"/>
      <c r="BP7" s="112"/>
      <c r="BQ7" s="112"/>
      <c r="BR7" s="112"/>
      <c r="BS7" s="112"/>
      <c r="BT7" s="112"/>
      <c r="BU7" s="112"/>
      <c r="BV7" s="112"/>
      <c r="BW7" s="112"/>
      <c r="BX7" s="112"/>
      <c r="BY7" s="112"/>
      <c r="BZ7" s="112"/>
      <c r="CA7" s="112"/>
      <c r="CB7" s="112"/>
      <c r="CC7" s="112"/>
      <c r="DH7" s="17"/>
      <c r="DI7" s="106"/>
    </row>
    <row r="8" spans="1:124" s="17" customFormat="1" ht="17.5">
      <c r="A8" s="113"/>
      <c r="B8" s="114" t="s">
        <v>669</v>
      </c>
      <c r="C8" s="115">
        <v>10</v>
      </c>
      <c r="D8" s="116" t="s">
        <v>670</v>
      </c>
      <c r="F8" s="117"/>
      <c r="G8" s="117"/>
      <c r="H8" s="117"/>
      <c r="I8" s="117"/>
      <c r="J8" s="118"/>
      <c r="P8" s="118" t="s">
        <v>1</v>
      </c>
      <c r="Q8" s="118"/>
      <c r="R8" s="118"/>
      <c r="S8" s="118"/>
      <c r="T8" s="118"/>
      <c r="U8" s="118"/>
      <c r="V8" s="118"/>
      <c r="W8" s="118"/>
      <c r="X8" s="118"/>
      <c r="Y8" s="118"/>
      <c r="Z8" s="118"/>
      <c r="AA8" s="119" t="s">
        <v>671</v>
      </c>
      <c r="AB8" s="120"/>
      <c r="AC8" s="120"/>
      <c r="AD8" s="120"/>
      <c r="AE8" s="120"/>
      <c r="AF8" s="120"/>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2"/>
      <c r="BI8" s="122"/>
      <c r="BJ8" s="122"/>
      <c r="BK8" s="122"/>
      <c r="BL8" s="122"/>
      <c r="BM8" s="122"/>
      <c r="BN8" s="122"/>
      <c r="BO8" s="123" t="s">
        <v>672</v>
      </c>
      <c r="BP8" s="124"/>
      <c r="BQ8" s="124"/>
      <c r="BR8" s="124"/>
      <c r="BS8" s="124"/>
      <c r="BT8" s="112"/>
      <c r="BU8" s="112"/>
      <c r="BV8" s="112"/>
      <c r="BW8" s="112"/>
      <c r="BX8" s="122"/>
      <c r="BY8" s="122"/>
      <c r="BZ8" s="122"/>
      <c r="CA8" s="122"/>
      <c r="CB8" s="122"/>
      <c r="CC8" s="122"/>
      <c r="CD8" s="122"/>
      <c r="CE8" s="122"/>
      <c r="CF8" s="122"/>
      <c r="CI8" s="123" t="s">
        <v>672</v>
      </c>
      <c r="CJ8" s="124"/>
      <c r="CK8" s="124"/>
      <c r="CL8" s="124"/>
      <c r="CM8" s="124"/>
      <c r="CN8" s="104"/>
      <c r="CO8" s="104"/>
      <c r="CP8" s="104"/>
      <c r="CQ8" s="104"/>
      <c r="CR8" s="104"/>
      <c r="CS8" s="122"/>
      <c r="CT8" s="122"/>
      <c r="CU8" s="122"/>
      <c r="CV8" s="122"/>
      <c r="CW8" s="122"/>
      <c r="CX8" s="122"/>
      <c r="CY8" s="122"/>
      <c r="CZ8" s="122"/>
      <c r="DA8" s="122"/>
      <c r="DB8" s="122"/>
      <c r="DC8" s="122"/>
      <c r="DD8" s="125"/>
      <c r="DE8" s="125"/>
      <c r="DF8" s="125"/>
      <c r="DH8" s="11" t="s">
        <v>673</v>
      </c>
      <c r="DI8" s="106"/>
    </row>
    <row r="9" spans="1:124" s="17" customFormat="1" ht="17.5">
      <c r="A9" s="113"/>
      <c r="B9" s="114" t="s">
        <v>667</v>
      </c>
      <c r="C9" s="115">
        <v>80</v>
      </c>
      <c r="D9" s="126" t="s">
        <v>670</v>
      </c>
      <c r="E9" s="127"/>
      <c r="F9" s="128"/>
      <c r="G9" s="128"/>
      <c r="H9" s="128"/>
      <c r="I9" s="128"/>
      <c r="J9" s="128"/>
      <c r="K9" s="113"/>
      <c r="L9" s="129"/>
      <c r="M9" s="129"/>
      <c r="N9" s="129" t="s">
        <v>672</v>
      </c>
      <c r="O9" s="130">
        <f>R9-$C$8</f>
        <v>40</v>
      </c>
      <c r="P9" s="131" t="s">
        <v>670</v>
      </c>
      <c r="Q9" s="132"/>
      <c r="R9" s="130">
        <f>U9-$C$8</f>
        <v>50</v>
      </c>
      <c r="S9" s="131" t="s">
        <v>670</v>
      </c>
      <c r="T9" s="132"/>
      <c r="U9" s="130">
        <f>X9-$C$8</f>
        <v>60</v>
      </c>
      <c r="V9" s="131" t="s">
        <v>670</v>
      </c>
      <c r="W9" s="132"/>
      <c r="X9" s="130">
        <f>AA9-$C$8</f>
        <v>70</v>
      </c>
      <c r="Y9" s="131" t="s">
        <v>670</v>
      </c>
      <c r="Z9" s="132"/>
      <c r="AA9" s="130">
        <f>C9</f>
        <v>80</v>
      </c>
      <c r="AB9" s="131" t="s">
        <v>670</v>
      </c>
      <c r="AC9" s="133"/>
      <c r="AD9" s="133"/>
      <c r="AE9" s="133"/>
      <c r="AF9" s="132"/>
      <c r="AG9" s="130">
        <f>AA9+$C$8</f>
        <v>90</v>
      </c>
      <c r="AH9" s="131" t="s">
        <v>670</v>
      </c>
      <c r="AI9" s="132"/>
      <c r="AJ9" s="130">
        <f>AG9+$C$8</f>
        <v>100</v>
      </c>
      <c r="AK9" s="131" t="s">
        <v>670</v>
      </c>
      <c r="AL9" s="132"/>
      <c r="AM9" s="130">
        <f>AJ9+$C$8</f>
        <v>110</v>
      </c>
      <c r="AN9" s="131" t="s">
        <v>670</v>
      </c>
      <c r="AO9" s="132"/>
      <c r="AP9" s="130">
        <f>AM9+$C$8</f>
        <v>120</v>
      </c>
      <c r="AQ9" s="131" t="s">
        <v>670</v>
      </c>
      <c r="AR9" s="132"/>
      <c r="AS9" s="130">
        <f>AP9+$C$8</f>
        <v>130</v>
      </c>
      <c r="AT9" s="131" t="s">
        <v>670</v>
      </c>
      <c r="AU9" s="132"/>
      <c r="AV9" s="130">
        <f>AS9+$C$8</f>
        <v>140</v>
      </c>
      <c r="AW9" s="131" t="s">
        <v>670</v>
      </c>
      <c r="AX9" s="132"/>
      <c r="AY9" s="130">
        <f>AV9+$C$8</f>
        <v>150</v>
      </c>
      <c r="AZ9" s="131" t="s">
        <v>670</v>
      </c>
      <c r="BA9" s="132"/>
      <c r="BB9" s="130">
        <f>AY9+$C$8</f>
        <v>160</v>
      </c>
      <c r="BC9" s="131" t="s">
        <v>670</v>
      </c>
      <c r="BD9" s="132"/>
      <c r="BE9" s="130">
        <f>BB9+$C$8</f>
        <v>170</v>
      </c>
      <c r="BF9" s="131" t="s">
        <v>670</v>
      </c>
      <c r="BG9" s="132"/>
      <c r="BH9" s="130">
        <f>BE9+$C$8</f>
        <v>180</v>
      </c>
      <c r="BI9" s="131" t="s">
        <v>670</v>
      </c>
      <c r="BJ9" s="132"/>
      <c r="BK9" s="130">
        <f>BH9+$C$8</f>
        <v>190</v>
      </c>
      <c r="BL9" s="131" t="s">
        <v>670</v>
      </c>
      <c r="BM9" s="132"/>
      <c r="BN9" s="122"/>
      <c r="BO9" s="130">
        <f>O9</f>
        <v>40</v>
      </c>
      <c r="BP9" s="130">
        <f t="shared" ref="BP9:CD9" si="0">BO9+$C$8</f>
        <v>50</v>
      </c>
      <c r="BQ9" s="130">
        <f t="shared" si="0"/>
        <v>60</v>
      </c>
      <c r="BR9" s="130">
        <f t="shared" si="0"/>
        <v>70</v>
      </c>
      <c r="BS9" s="130">
        <f t="shared" si="0"/>
        <v>80</v>
      </c>
      <c r="BT9" s="130">
        <f t="shared" si="0"/>
        <v>90</v>
      </c>
      <c r="BU9" s="130">
        <f t="shared" si="0"/>
        <v>100</v>
      </c>
      <c r="BV9" s="130">
        <f t="shared" si="0"/>
        <v>110</v>
      </c>
      <c r="BW9" s="130">
        <f t="shared" si="0"/>
        <v>120</v>
      </c>
      <c r="BX9" s="130">
        <f t="shared" si="0"/>
        <v>130</v>
      </c>
      <c r="BY9" s="130">
        <f t="shared" si="0"/>
        <v>140</v>
      </c>
      <c r="BZ9" s="130">
        <f t="shared" si="0"/>
        <v>150</v>
      </c>
      <c r="CA9" s="130">
        <f t="shared" si="0"/>
        <v>160</v>
      </c>
      <c r="CB9" s="130">
        <f t="shared" si="0"/>
        <v>170</v>
      </c>
      <c r="CC9" s="130">
        <f t="shared" si="0"/>
        <v>180</v>
      </c>
      <c r="CD9" s="130">
        <f t="shared" si="0"/>
        <v>190</v>
      </c>
      <c r="CE9" s="134" t="s">
        <v>670</v>
      </c>
      <c r="CF9" s="122"/>
      <c r="CI9" s="130">
        <f>O9</f>
        <v>40</v>
      </c>
      <c r="CJ9" s="130">
        <f t="shared" ref="CJ9:CX9" si="1">CI9+$C$8</f>
        <v>50</v>
      </c>
      <c r="CK9" s="130">
        <f t="shared" si="1"/>
        <v>60</v>
      </c>
      <c r="CL9" s="130">
        <f t="shared" si="1"/>
        <v>70</v>
      </c>
      <c r="CM9" s="130">
        <f t="shared" si="1"/>
        <v>80</v>
      </c>
      <c r="CN9" s="130">
        <f t="shared" si="1"/>
        <v>90</v>
      </c>
      <c r="CO9" s="130">
        <f t="shared" si="1"/>
        <v>100</v>
      </c>
      <c r="CP9" s="130">
        <f t="shared" si="1"/>
        <v>110</v>
      </c>
      <c r="CQ9" s="130">
        <f t="shared" si="1"/>
        <v>120</v>
      </c>
      <c r="CR9" s="130">
        <f t="shared" si="1"/>
        <v>130</v>
      </c>
      <c r="CS9" s="130">
        <f t="shared" si="1"/>
        <v>140</v>
      </c>
      <c r="CT9" s="130">
        <f t="shared" si="1"/>
        <v>150</v>
      </c>
      <c r="CU9" s="130">
        <f t="shared" si="1"/>
        <v>160</v>
      </c>
      <c r="CV9" s="130">
        <f t="shared" si="1"/>
        <v>170</v>
      </c>
      <c r="CW9" s="130">
        <f t="shared" si="1"/>
        <v>180</v>
      </c>
      <c r="CX9" s="130">
        <f t="shared" si="1"/>
        <v>190</v>
      </c>
      <c r="CY9" s="134" t="s">
        <v>670</v>
      </c>
      <c r="CZ9" s="122"/>
      <c r="DA9" s="135" t="s">
        <v>674</v>
      </c>
      <c r="DB9" s="135"/>
      <c r="DC9" s="135"/>
      <c r="DD9" s="101"/>
      <c r="DE9" s="101"/>
      <c r="DF9" s="101"/>
      <c r="DH9" s="11" t="s">
        <v>675</v>
      </c>
      <c r="DI9" s="106"/>
    </row>
    <row r="10" spans="1:124" s="17" customFormat="1">
      <c r="A10" s="136"/>
      <c r="B10" s="137"/>
      <c r="C10" s="138" t="s">
        <v>1</v>
      </c>
      <c r="D10" s="119" t="s">
        <v>676</v>
      </c>
      <c r="E10" s="139"/>
      <c r="F10" s="140"/>
      <c r="G10" s="139"/>
      <c r="H10" s="139"/>
      <c r="I10" s="139"/>
      <c r="J10" s="141"/>
      <c r="K10" s="142" t="s">
        <v>655</v>
      </c>
      <c r="L10" s="143"/>
      <c r="M10" s="119"/>
      <c r="N10" s="119"/>
      <c r="O10" s="130">
        <f>O9+459.67</f>
        <v>499.67</v>
      </c>
      <c r="P10" s="131" t="s">
        <v>677</v>
      </c>
      <c r="Q10" s="144"/>
      <c r="R10" s="130">
        <f>R9+459.67</f>
        <v>509.67</v>
      </c>
      <c r="S10" s="131" t="s">
        <v>677</v>
      </c>
      <c r="T10" s="144"/>
      <c r="U10" s="130">
        <f>U9+459.67</f>
        <v>519.67000000000007</v>
      </c>
      <c r="V10" s="131" t="s">
        <v>677</v>
      </c>
      <c r="W10" s="144"/>
      <c r="X10" s="130">
        <f>X9+459.67</f>
        <v>529.67000000000007</v>
      </c>
      <c r="Y10" s="131" t="s">
        <v>677</v>
      </c>
      <c r="Z10" s="144"/>
      <c r="AA10" s="130">
        <f>AA9+459.67</f>
        <v>539.67000000000007</v>
      </c>
      <c r="AB10" s="131" t="s">
        <v>677</v>
      </c>
      <c r="AC10" s="145"/>
      <c r="AD10" s="131"/>
      <c r="AE10" s="131"/>
      <c r="AF10" s="146"/>
      <c r="AG10" s="130">
        <f>AG9+459.67</f>
        <v>549.67000000000007</v>
      </c>
      <c r="AH10" s="131" t="s">
        <v>677</v>
      </c>
      <c r="AI10" s="144"/>
      <c r="AJ10" s="130">
        <f>AJ9+459.67</f>
        <v>559.67000000000007</v>
      </c>
      <c r="AK10" s="131" t="s">
        <v>677</v>
      </c>
      <c r="AL10" s="144"/>
      <c r="AM10" s="130">
        <f>AM9+459.67</f>
        <v>569.67000000000007</v>
      </c>
      <c r="AN10" s="131" t="s">
        <v>677</v>
      </c>
      <c r="AO10" s="144"/>
      <c r="AP10" s="130">
        <f>AP9+459.67</f>
        <v>579.67000000000007</v>
      </c>
      <c r="AQ10" s="131" t="s">
        <v>677</v>
      </c>
      <c r="AR10" s="144"/>
      <c r="AS10" s="130">
        <f>AS9+459.67</f>
        <v>589.67000000000007</v>
      </c>
      <c r="AT10" s="131" t="s">
        <v>677</v>
      </c>
      <c r="AU10" s="144"/>
      <c r="AV10" s="130">
        <f>AV9+459.67</f>
        <v>599.67000000000007</v>
      </c>
      <c r="AW10" s="131" t="s">
        <v>677</v>
      </c>
      <c r="AX10" s="144"/>
      <c r="AY10" s="130">
        <f>AY9+459.67</f>
        <v>609.67000000000007</v>
      </c>
      <c r="AZ10" s="131" t="s">
        <v>677</v>
      </c>
      <c r="BA10" s="144"/>
      <c r="BB10" s="130">
        <f>BB9+459.67</f>
        <v>619.67000000000007</v>
      </c>
      <c r="BC10" s="131" t="s">
        <v>677</v>
      </c>
      <c r="BD10" s="144"/>
      <c r="BE10" s="130">
        <f>BE9+459.67</f>
        <v>629.67000000000007</v>
      </c>
      <c r="BF10" s="131" t="s">
        <v>677</v>
      </c>
      <c r="BG10" s="144"/>
      <c r="BH10" s="130">
        <f>BH9+459.67</f>
        <v>639.67000000000007</v>
      </c>
      <c r="BI10" s="131" t="s">
        <v>677</v>
      </c>
      <c r="BJ10" s="144"/>
      <c r="BK10" s="130">
        <f>BK9+459.67</f>
        <v>649.67000000000007</v>
      </c>
      <c r="BL10" s="131" t="s">
        <v>677</v>
      </c>
      <c r="BM10" s="144"/>
      <c r="BN10" s="122"/>
      <c r="BO10" s="130">
        <f t="shared" ref="BO10:CD10" si="2">BO9+459.67</f>
        <v>499.67</v>
      </c>
      <c r="BP10" s="130">
        <f t="shared" si="2"/>
        <v>509.67</v>
      </c>
      <c r="BQ10" s="130">
        <f t="shared" si="2"/>
        <v>519.67000000000007</v>
      </c>
      <c r="BR10" s="130">
        <f t="shared" si="2"/>
        <v>529.67000000000007</v>
      </c>
      <c r="BS10" s="130">
        <f t="shared" si="2"/>
        <v>539.67000000000007</v>
      </c>
      <c r="BT10" s="130">
        <f t="shared" si="2"/>
        <v>549.67000000000007</v>
      </c>
      <c r="BU10" s="130">
        <f t="shared" si="2"/>
        <v>559.67000000000007</v>
      </c>
      <c r="BV10" s="130">
        <f t="shared" si="2"/>
        <v>569.67000000000007</v>
      </c>
      <c r="BW10" s="130">
        <f t="shared" si="2"/>
        <v>579.67000000000007</v>
      </c>
      <c r="BX10" s="130">
        <f t="shared" si="2"/>
        <v>589.67000000000007</v>
      </c>
      <c r="BY10" s="130">
        <f t="shared" si="2"/>
        <v>599.67000000000007</v>
      </c>
      <c r="BZ10" s="130">
        <f t="shared" si="2"/>
        <v>609.67000000000007</v>
      </c>
      <c r="CA10" s="130">
        <f t="shared" si="2"/>
        <v>619.67000000000007</v>
      </c>
      <c r="CB10" s="130">
        <f t="shared" si="2"/>
        <v>629.67000000000007</v>
      </c>
      <c r="CC10" s="130">
        <f t="shared" si="2"/>
        <v>639.67000000000007</v>
      </c>
      <c r="CD10" s="130">
        <f t="shared" si="2"/>
        <v>649.67000000000007</v>
      </c>
      <c r="CE10" s="134" t="s">
        <v>677</v>
      </c>
      <c r="CF10" s="122"/>
      <c r="CG10" s="147"/>
      <c r="CH10" s="122"/>
      <c r="CI10" s="130">
        <f t="shared" ref="CI10:CX10" si="3">CI9+459.67</f>
        <v>499.67</v>
      </c>
      <c r="CJ10" s="130">
        <f t="shared" si="3"/>
        <v>509.67</v>
      </c>
      <c r="CK10" s="130">
        <f t="shared" si="3"/>
        <v>519.67000000000007</v>
      </c>
      <c r="CL10" s="130">
        <f t="shared" si="3"/>
        <v>529.67000000000007</v>
      </c>
      <c r="CM10" s="130">
        <f t="shared" si="3"/>
        <v>539.67000000000007</v>
      </c>
      <c r="CN10" s="130">
        <f t="shared" si="3"/>
        <v>549.67000000000007</v>
      </c>
      <c r="CO10" s="130">
        <f t="shared" si="3"/>
        <v>559.67000000000007</v>
      </c>
      <c r="CP10" s="130">
        <f t="shared" si="3"/>
        <v>569.67000000000007</v>
      </c>
      <c r="CQ10" s="130">
        <f t="shared" si="3"/>
        <v>579.67000000000007</v>
      </c>
      <c r="CR10" s="130">
        <f t="shared" si="3"/>
        <v>589.67000000000007</v>
      </c>
      <c r="CS10" s="130">
        <f t="shared" si="3"/>
        <v>599.67000000000007</v>
      </c>
      <c r="CT10" s="130">
        <f t="shared" si="3"/>
        <v>609.67000000000007</v>
      </c>
      <c r="CU10" s="130">
        <f t="shared" si="3"/>
        <v>619.67000000000007</v>
      </c>
      <c r="CV10" s="130">
        <f t="shared" si="3"/>
        <v>629.67000000000007</v>
      </c>
      <c r="CW10" s="130">
        <f t="shared" si="3"/>
        <v>639.67000000000007</v>
      </c>
      <c r="CX10" s="130">
        <f t="shared" si="3"/>
        <v>649.67000000000007</v>
      </c>
      <c r="CY10" s="134" t="s">
        <v>677</v>
      </c>
      <c r="CZ10" s="122"/>
      <c r="DA10" s="122"/>
      <c r="DB10" s="122"/>
      <c r="DC10" s="122"/>
      <c r="DD10" s="122"/>
      <c r="DE10" s="122"/>
      <c r="DF10" s="122"/>
      <c r="DH10" s="11" t="s">
        <v>678</v>
      </c>
      <c r="DI10" s="106"/>
    </row>
    <row r="11" spans="1:124" s="151" customFormat="1" ht="73">
      <c r="A11" s="86" t="s">
        <v>679</v>
      </c>
      <c r="B11" s="86" t="s">
        <v>680</v>
      </c>
      <c r="C11" s="86" t="s">
        <v>681</v>
      </c>
      <c r="D11" s="147" t="s">
        <v>61</v>
      </c>
      <c r="E11" s="147" t="s">
        <v>64</v>
      </c>
      <c r="F11" s="52" t="s">
        <v>647</v>
      </c>
      <c r="G11" s="87" t="s">
        <v>648</v>
      </c>
      <c r="H11" s="52" t="s">
        <v>73</v>
      </c>
      <c r="I11" s="52" t="s">
        <v>74</v>
      </c>
      <c r="J11" s="52" t="s">
        <v>75</v>
      </c>
      <c r="K11" s="148" t="s">
        <v>682</v>
      </c>
      <c r="L11" s="147" t="s">
        <v>683</v>
      </c>
      <c r="M11" s="147" t="s">
        <v>684</v>
      </c>
      <c r="N11" s="147" t="s">
        <v>685</v>
      </c>
      <c r="O11" s="147" t="s">
        <v>686</v>
      </c>
      <c r="P11" s="147" t="s">
        <v>687</v>
      </c>
      <c r="Q11" s="147" t="s">
        <v>688</v>
      </c>
      <c r="R11" s="147" t="s">
        <v>686</v>
      </c>
      <c r="S11" s="147" t="s">
        <v>687</v>
      </c>
      <c r="T11" s="147" t="s">
        <v>688</v>
      </c>
      <c r="U11" s="147" t="s">
        <v>686</v>
      </c>
      <c r="V11" s="147" t="s">
        <v>687</v>
      </c>
      <c r="W11" s="147" t="s">
        <v>688</v>
      </c>
      <c r="X11" s="147" t="s">
        <v>686</v>
      </c>
      <c r="Y11" s="147" t="s">
        <v>687</v>
      </c>
      <c r="Z11" s="147" t="s">
        <v>688</v>
      </c>
      <c r="AA11" s="147" t="s">
        <v>686</v>
      </c>
      <c r="AB11" s="147" t="s">
        <v>687</v>
      </c>
      <c r="AC11" s="147" t="s">
        <v>688</v>
      </c>
      <c r="AD11" s="147" t="s">
        <v>689</v>
      </c>
      <c r="AE11" s="147" t="s">
        <v>690</v>
      </c>
      <c r="AF11" s="147" t="s">
        <v>691</v>
      </c>
      <c r="AG11" s="147" t="s">
        <v>686</v>
      </c>
      <c r="AH11" s="147" t="s">
        <v>687</v>
      </c>
      <c r="AI11" s="147" t="s">
        <v>688</v>
      </c>
      <c r="AJ11" s="147" t="s">
        <v>686</v>
      </c>
      <c r="AK11" s="147" t="s">
        <v>687</v>
      </c>
      <c r="AL11" s="147" t="s">
        <v>688</v>
      </c>
      <c r="AM11" s="147" t="s">
        <v>686</v>
      </c>
      <c r="AN11" s="147" t="s">
        <v>687</v>
      </c>
      <c r="AO11" s="147" t="s">
        <v>688</v>
      </c>
      <c r="AP11" s="147" t="s">
        <v>686</v>
      </c>
      <c r="AQ11" s="147" t="s">
        <v>687</v>
      </c>
      <c r="AR11" s="147" t="s">
        <v>688</v>
      </c>
      <c r="AS11" s="147" t="s">
        <v>686</v>
      </c>
      <c r="AT11" s="147" t="s">
        <v>687</v>
      </c>
      <c r="AU11" s="147" t="s">
        <v>688</v>
      </c>
      <c r="AV11" s="147" t="s">
        <v>686</v>
      </c>
      <c r="AW11" s="147" t="s">
        <v>687</v>
      </c>
      <c r="AX11" s="147" t="s">
        <v>688</v>
      </c>
      <c r="AY11" s="147" t="s">
        <v>686</v>
      </c>
      <c r="AZ11" s="147" t="s">
        <v>687</v>
      </c>
      <c r="BA11" s="147" t="s">
        <v>688</v>
      </c>
      <c r="BB11" s="147" t="s">
        <v>686</v>
      </c>
      <c r="BC11" s="147" t="s">
        <v>687</v>
      </c>
      <c r="BD11" s="147" t="s">
        <v>688</v>
      </c>
      <c r="BE11" s="147" t="s">
        <v>686</v>
      </c>
      <c r="BF11" s="147" t="s">
        <v>687</v>
      </c>
      <c r="BG11" s="147" t="s">
        <v>688</v>
      </c>
      <c r="BH11" s="147" t="s">
        <v>686</v>
      </c>
      <c r="BI11" s="147" t="s">
        <v>687</v>
      </c>
      <c r="BJ11" s="147" t="s">
        <v>688</v>
      </c>
      <c r="BK11" s="147" t="s">
        <v>686</v>
      </c>
      <c r="BL11" s="147" t="s">
        <v>687</v>
      </c>
      <c r="BM11" s="147" t="s">
        <v>688</v>
      </c>
      <c r="BN11" s="149"/>
      <c r="BO11" s="147" t="s">
        <v>692</v>
      </c>
      <c r="BP11" s="147" t="s">
        <v>692</v>
      </c>
      <c r="BQ11" s="147" t="s">
        <v>692</v>
      </c>
      <c r="BR11" s="147" t="s">
        <v>692</v>
      </c>
      <c r="BS11" s="147" t="s">
        <v>692</v>
      </c>
      <c r="BT11" s="147" t="s">
        <v>692</v>
      </c>
      <c r="BU11" s="147" t="s">
        <v>692</v>
      </c>
      <c r="BV11" s="147" t="s">
        <v>692</v>
      </c>
      <c r="BW11" s="147" t="s">
        <v>692</v>
      </c>
      <c r="BX11" s="147" t="s">
        <v>692</v>
      </c>
      <c r="BY11" s="147" t="s">
        <v>692</v>
      </c>
      <c r="BZ11" s="147" t="s">
        <v>692</v>
      </c>
      <c r="CA11" s="147" t="s">
        <v>692</v>
      </c>
      <c r="CB11" s="147" t="s">
        <v>692</v>
      </c>
      <c r="CC11" s="147" t="s">
        <v>692</v>
      </c>
      <c r="CD11" s="147" t="s">
        <v>692</v>
      </c>
      <c r="CE11" s="150"/>
      <c r="CF11" s="122"/>
      <c r="CG11" s="147" t="s">
        <v>693</v>
      </c>
      <c r="CH11" s="149"/>
      <c r="CI11" s="147" t="s">
        <v>694</v>
      </c>
      <c r="CJ11" s="147" t="s">
        <v>694</v>
      </c>
      <c r="CK11" s="147" t="s">
        <v>694</v>
      </c>
      <c r="CL11" s="147" t="s">
        <v>694</v>
      </c>
      <c r="CM11" s="147" t="s">
        <v>694</v>
      </c>
      <c r="CN11" s="147" t="s">
        <v>694</v>
      </c>
      <c r="CO11" s="147" t="s">
        <v>694</v>
      </c>
      <c r="CP11" s="147" t="s">
        <v>694</v>
      </c>
      <c r="CQ11" s="147" t="s">
        <v>694</v>
      </c>
      <c r="CR11" s="147" t="s">
        <v>694</v>
      </c>
      <c r="CS11" s="147" t="s">
        <v>694</v>
      </c>
      <c r="CT11" s="147" t="s">
        <v>694</v>
      </c>
      <c r="CU11" s="147" t="s">
        <v>694</v>
      </c>
      <c r="CV11" s="147" t="s">
        <v>694</v>
      </c>
      <c r="CW11" s="147" t="s">
        <v>694</v>
      </c>
      <c r="CX11" s="147" t="s">
        <v>694</v>
      </c>
      <c r="CY11" s="150"/>
      <c r="CZ11" s="149"/>
      <c r="DA11" s="147" t="s">
        <v>695</v>
      </c>
      <c r="DB11" s="147" t="s">
        <v>696</v>
      </c>
      <c r="DC11" s="147" t="s">
        <v>697</v>
      </c>
      <c r="DD11" s="52" t="s">
        <v>649</v>
      </c>
      <c r="DE11" s="52" t="s">
        <v>650</v>
      </c>
      <c r="DF11" s="52" t="s">
        <v>651</v>
      </c>
      <c r="DH11" s="106"/>
      <c r="DI11" s="152"/>
    </row>
    <row r="12" spans="1:124" s="17" customFormat="1">
      <c r="A12" s="153" t="s">
        <v>653</v>
      </c>
      <c r="B12" s="154" t="s">
        <v>414</v>
      </c>
      <c r="C12" s="155">
        <v>5.9999999999999995E-4</v>
      </c>
      <c r="D12" s="156" t="str">
        <f>INDEX('Product Data'!$1:$1048576,MATCH($B12,'Product Data'!$A:$A,0),MATCH(D$11,'Product Data'!$23:$23,0))</f>
        <v>VOC</v>
      </c>
      <c r="E12" s="156" t="str">
        <f>INDEX('Product Data'!$1:$1048576,MATCH($B12,'Product Data'!$A:$A,0),MATCH(E$11,'Product Data'!$23:$23,0))</f>
        <v>Antoine's</v>
      </c>
      <c r="F12" s="156">
        <f>INDEX('Product Data'!$1:$1048576,MATCH($B12,'Product Data'!$A:$A,0),MATCH(F$11,'Product Data'!$23:$23,0))</f>
        <v>46.03</v>
      </c>
      <c r="G12" s="156">
        <f>INDEX('Product Data'!$1:$1048576,MATCH($B12,'Product Data'!$A:$A,0),MATCH(G$11,'Product Data'!$23:$23,0))</f>
        <v>10.181393</v>
      </c>
      <c r="H12" s="156">
        <f>INDEX('Product Data'!$1:$1048576,MATCH($B12,'Product Data'!$A:$A,0),MATCH(H$11,'Product Data'!$23:$23,0))</f>
        <v>7.5810000000000004</v>
      </c>
      <c r="I12" s="156">
        <f>INDEX('Product Data'!$1:$1048576,MATCH($B12,'Product Data'!$A:$A,0),MATCH(I$11,'Product Data'!$23:$23,0))</f>
        <v>1699.2</v>
      </c>
      <c r="J12" s="156">
        <f>INDEX('Product Data'!$1:$1048576,MATCH($B12,'Product Data'!$A:$A,0),MATCH(J$11,'Product Data'!$23:$23,0))</f>
        <v>260.7</v>
      </c>
      <c r="K12" s="156">
        <f>N12*F12</f>
        <v>3.9413586992618571E-2</v>
      </c>
      <c r="L12" s="156">
        <f>G12*N12</f>
        <v>8.7179061201724476E-3</v>
      </c>
      <c r="M12" s="157">
        <f>C12/F12</f>
        <v>1.3034977188789919E-5</v>
      </c>
      <c r="N12" s="158">
        <f>M12/SUMIF(A:A,A12,M:M)</f>
        <v>8.5625867896195018E-4</v>
      </c>
      <c r="O12" s="157">
        <f>IF($E12="Antoine's",10^($H12-($I12/(((O$10-491.69)*5/9)+$J12)))/760*14.7,IF($E12="Non-Volatile",0,(EXP($H12-($I12/O$10)))))</f>
        <v>0.28750993060533453</v>
      </c>
      <c r="P12" s="159">
        <f>$N12*O12</f>
        <v>2.4618287336856574E-4</v>
      </c>
      <c r="Q12" s="159">
        <f t="shared" ref="Q12:Q22" si="4">SUMIF($A:$A,$A12,P:P)</f>
        <v>0.23648465772368926</v>
      </c>
      <c r="R12" s="157">
        <f>IF($E12="Antoine's",10^($H12-($I12/(((R$10-491.69)*5/9)+$J12)))/760*14.7,IF($E12="Non-Volatile",0,(EXP($H12-($I12/R$10)))))</f>
        <v>0.38921234724174436</v>
      </c>
      <c r="S12" s="159">
        <f>$N12*R12</f>
        <v>3.3326645028489588E-4</v>
      </c>
      <c r="T12" s="159">
        <f t="shared" ref="T12:T22" si="5">SUMIF($A:$A,$A12,S:S)</f>
        <v>0.34140932969568116</v>
      </c>
      <c r="U12" s="157">
        <f>IF($E12="Antoine's",10^($H12-($I12/(((U$10-491.69)*5/9)+$J12)))/760*14.7,IF($E12="Non-Volatile",0,(EXP($H12-($I12/U$10)))))</f>
        <v>0.52051088309785254</v>
      </c>
      <c r="V12" s="159">
        <f>$N12*U12</f>
        <v>4.4569196114668531E-4</v>
      </c>
      <c r="W12" s="159">
        <f t="shared" ref="W12:W22" si="6">SUMIF($A:$A,$A12,V:V)</f>
        <v>0.48493992527512936</v>
      </c>
      <c r="X12" s="157">
        <f>IF($E12="Antoine's",10^($H12-($I12/(((X$10-491.69)*5/9)+$J12)))/760*14.7,IF($E12="Non-Volatile",0,(EXP($H12-($I12/X$10)))))</f>
        <v>0.68816941627197803</v>
      </c>
      <c r="Y12" s="159">
        <f>$N12*X12</f>
        <v>5.8925103527906033E-4</v>
      </c>
      <c r="Z12" s="159">
        <f t="shared" ref="Z12:Z22" si="7">SUMIF($A:$A,$A12,Y:Y)</f>
        <v>0.6784210457178228</v>
      </c>
      <c r="AA12" s="157">
        <f>IF($E12="Antoine's",10^($H12-($I12/(((AA$10-491.69)*5/9)+$J12)))/760*14.7,IF($E12="Non-Volatile",0,(EXP($H12-($I12/AA$10)))))</f>
        <v>0.9000610619514694</v>
      </c>
      <c r="AB12" s="159">
        <f>$N12*AA12</f>
        <v>7.706850958916552E-4</v>
      </c>
      <c r="AC12" s="159">
        <f t="shared" ref="AC12:AC22" si="8">SUMIF($A:$A,$A12,AB:AB)</f>
        <v>0.93568460656186203</v>
      </c>
      <c r="AD12" s="160">
        <f>IF(AC12=0,0,AB12/AC12)</f>
        <v>8.2365905187166497E-4</v>
      </c>
      <c r="AE12" s="159">
        <f>AD12*$F12</f>
        <v>3.7913026157652741E-2</v>
      </c>
      <c r="AF12" s="160">
        <f>IF(SUMIF($A:$A,$A12,AE:AE)=0,0,AE12/SUMIF($A:$A,$A12,AE:AE))</f>
        <v>7.3887091580552037E-4</v>
      </c>
      <c r="AG12" s="157">
        <f>IF($E12="Antoine's",10^($H12-($I12/(((AG$10-491.69)*5/9)+$J12)))/760*14.7,IF($E12="Non-Volatile",0,(EXP($H12-($I12/AG$10)))))</f>
        <v>1.1652696473835966</v>
      </c>
      <c r="AH12" s="159">
        <f>$N12*AG12</f>
        <v>9.9777224890313602E-4</v>
      </c>
      <c r="AI12" s="159">
        <f t="shared" ref="AI12:AI22" si="9">SUMIF($A:$A,$A12,AH:AH)</f>
        <v>1.2733966740842886</v>
      </c>
      <c r="AJ12" s="157">
        <f>IF($E12="Antoine's",10^($H12-($I12/(((AJ$10-491.69)*5/9)+$J12)))/760*14.7,IF($E12="Non-Volatile",0,(EXP($H12-($I12/AJ$10)))))</f>
        <v>1.4941895190344627</v>
      </c>
      <c r="AK12" s="159">
        <f>$N12*AJ12</f>
        <v>1.2794127436872409E-3</v>
      </c>
      <c r="AL12" s="159">
        <f t="shared" ref="AL12:AL22" si="10">SUMIF($A:$A,$A12,AK:AK)</f>
        <v>1.7114175871108526</v>
      </c>
      <c r="AM12" s="157">
        <f>IF($E12="Antoine's",10^($H12-($I12/(((AM$10-491.69)*5/9)+$J12)))/760*14.7,IF($E12="Non-Volatile",0,(EXP($H12-($I12/AM$10)))))</f>
        <v>1.8986224667264091</v>
      </c>
      <c r="AN12" s="159">
        <f>$N12*AM12</f>
        <v>1.6257119652066342E-3</v>
      </c>
      <c r="AO12" s="159">
        <f t="shared" ref="AO12:AO22" si="11">SUMIF($A:$A,$A12,AN:AN)</f>
        <v>2.273171216657238</v>
      </c>
      <c r="AP12" s="157">
        <f>IF($E12="Antoine's",10^($H12-($I12/(((AP$10-491.69)*5/9)+$J12)))/760*14.7,IF($E12="Non-Volatile",0,(EXP($H12-($I12/AP$10)))))</f>
        <v>2.3918706028011663</v>
      </c>
      <c r="AQ12" s="159">
        <f>$N12*AP12</f>
        <v>2.0480599626024501E-3</v>
      </c>
      <c r="AR12" s="159">
        <f t="shared" ref="AR12:AR22" si="12">SUMIF($A:$A,$A12,AQ:AQ)</f>
        <v>2.9860189699042881</v>
      </c>
      <c r="AS12" s="157">
        <f>IF($E12="Antoine's",10^($H12-($I12/(((AS$10-491.69)*5/9)+$J12)))/760*14.7,IF($E12="Non-Volatile",0,(EXP($H12-($I12/AS$10)))))</f>
        <v>2.9888241083597467</v>
      </c>
      <c r="AT12" s="159">
        <f>$N12*AS12</f>
        <v>2.5592065826737453E-3</v>
      </c>
      <c r="AU12" s="159">
        <f t="shared" ref="AU12:AU22" si="13">SUMIF($A:$A,$A12,AT:AT)</f>
        <v>3.8816340103045928</v>
      </c>
      <c r="AV12" s="157">
        <f>IF($E12="Antoine's",10^($H12-($I12/(((AV$10-491.69)*5/9)+$J12)))/760*14.7,IF($E12="Non-Volatile",0,(EXP($H12-($I12/AV$10)))))</f>
        <v>3.7060428498262308</v>
      </c>
      <c r="AW12" s="159">
        <f>$N12*AV12</f>
        <v>3.1733313547685897E-3</v>
      </c>
      <c r="AX12" s="159">
        <f t="shared" ref="AX12:AX22" si="14">SUMIF($A:$A,$A12,AW:AW)</f>
        <v>4.9963711384847524</v>
      </c>
      <c r="AY12" s="157">
        <f>IF($E12="Antoine's",10^($H12-($I12/(((AY$10-491.69)*5/9)+$J12)))/760*14.7,IF($E12="Non-Volatile",0,(EXP($H12-($I12/AY$10)))))</f>
        <v>4.5618309738246472</v>
      </c>
      <c r="AZ12" s="159">
        <f>$N12*AY12</f>
        <v>3.906107363294799E-3</v>
      </c>
      <c r="BA12" s="159">
        <f t="shared" ref="BA12:BA22" si="15">SUMIF($A:$A,$A12,AZ:AZ)</f>
        <v>6.371627851967145</v>
      </c>
      <c r="BB12" s="157">
        <f>IF($E12="Antoine's",10^($H12-($I12/(((BB$10-491.69)*5/9)+$J12)))/760*14.7,IF($E12="Non-Volatile",0,(EXP($H12-($I12/BB$10)))))</f>
        <v>5.5763037030498497</v>
      </c>
      <c r="BC12" s="159">
        <f>$N12*BB12</f>
        <v>4.7747584422640956E-3</v>
      </c>
      <c r="BD12" s="159">
        <f t="shared" ref="BD12:BD22" si="16">SUMIF($A:$A,$A12,BC:BC)</f>
        <v>8.0541922659091707</v>
      </c>
      <c r="BE12" s="157">
        <f>IF($E12="Antoine's",10^($H12-($I12/(((BE$10-491.69)*5/9)+$J12)))/760*14.7,IF($E12="Non-Volatile",0,(EXP($H12-($I12/BE$10)))))</f>
        <v>6.7714456770232125</v>
      </c>
      <c r="BF12" s="159">
        <f>$N12*BE12</f>
        <v>5.7981091300705039E-3</v>
      </c>
      <c r="BG12" s="159">
        <f t="shared" ref="BG12:BG22" si="17">SUMIF($A:$A,$A12,BF:BF)</f>
        <v>10.096573820533477</v>
      </c>
      <c r="BH12" s="157">
        <f>IF($E12="Antoine's",10^($H12-($I12/(((BH$10-491.69)*5/9)+$J12)))/760*14.7,IF($E12="Non-Volatile",0,(EXP($H12-($I12/BH$10)))))</f>
        <v>8.1711603061694671</v>
      </c>
      <c r="BI12" s="159">
        <f>$N12*BH12</f>
        <v>6.9966269293469923E-3</v>
      </c>
      <c r="BJ12" s="159">
        <f t="shared" ref="BJ12:BJ22" si="18">SUMIF($A:$A,$A12,BI:BI)</f>
        <v>12.557313011062877</v>
      </c>
      <c r="BK12" s="157">
        <f>IF($E12="Antoine's",10^($H12-($I12/(((BK$10-491.69)*5/9)+$J12)))/760*14.7,IF($E12="Non-Volatile",0,(EXP($H12-($I12/BK$10)))))</f>
        <v>9.8013097326627534</v>
      </c>
      <c r="BL12" s="159">
        <f>$N12*BK12</f>
        <v>8.3924565237867149E-3</v>
      </c>
      <c r="BM12" s="159">
        <f t="shared" ref="BM12:BM22" si="19">SUMIF($A:$A,$A12,BL:BL)</f>
        <v>15.501266739645429</v>
      </c>
      <c r="BN12" s="149"/>
      <c r="BO12" s="161">
        <f>LOG(Q12/14.7*760)</f>
        <v>1.087299228052218</v>
      </c>
      <c r="BP12" s="161">
        <f>LOG(T12/14.7*760)</f>
        <v>1.2467716424425235</v>
      </c>
      <c r="BQ12" s="161">
        <f>LOG(W12/14.7*760)</f>
        <v>1.3991841987380162</v>
      </c>
      <c r="BR12" s="161">
        <f>LOG(Z12/14.7*760)</f>
        <v>1.5449955695073152</v>
      </c>
      <c r="BS12" s="161">
        <f>LOG(AC12/14.7*760)</f>
        <v>1.6846257422619253</v>
      </c>
      <c r="BT12" s="161">
        <f>LOG(AI12/14.7*760)</f>
        <v>1.8184599687517158</v>
      </c>
      <c r="BU12" s="161">
        <f>LOG(AL12/14.7*760)</f>
        <v>1.9468522481670458</v>
      </c>
      <c r="BV12" s="161">
        <f>LOG(AO12/14.7*760)</f>
        <v>2.0701284058176457</v>
      </c>
      <c r="BW12" s="161">
        <f>LOG(AR12/14.7*760)</f>
        <v>2.188588819963345</v>
      </c>
      <c r="BX12" s="161">
        <f>LOG(AU12/14.7*760)</f>
        <v>2.3025108419599496</v>
      </c>
      <c r="BY12" s="161">
        <f>LOG(AX12/14.7*760)</f>
        <v>2.4121509485256101</v>
      </c>
      <c r="BZ12" s="161">
        <f>LOG(BA12/14.7*760)</f>
        <v>2.5177466595397764</v>
      </c>
      <c r="CA12" s="161">
        <f>LOG(BD12/14.7*760)</f>
        <v>2.6195182502024346</v>
      </c>
      <c r="CB12" s="161">
        <f>LOG(BG12/14.7*760)</f>
        <v>2.7176702824764085</v>
      </c>
      <c r="CC12" s="161">
        <f>LOG(BJ12/14.7*760)</f>
        <v>2.8123929774027689</v>
      </c>
      <c r="CD12" s="161">
        <f>LOG(BM12/14.7*760)</f>
        <v>2.9038634470293059</v>
      </c>
      <c r="CE12" s="162"/>
      <c r="CF12" s="162"/>
      <c r="CG12" s="134" t="str">
        <f>IF(A12=A11, "No", "Yes")</f>
        <v>Yes</v>
      </c>
      <c r="CH12" s="134" t="str">
        <f>IF(CG12="Yes", "x1 = 1 / T", "x2 = Log (VP) / T")</f>
        <v>x1 = 1 / T</v>
      </c>
      <c r="CI12" s="159">
        <f>IF($CG12="Yes", 1/((CI$9-32)*5/9), IF($CG11="Yes", BO12*CI11, ""))</f>
        <v>0.22499999999999998</v>
      </c>
      <c r="CJ12" s="159">
        <f t="shared" ref="CJ12:CX22" si="20">IF($CG12="Yes", 1/((CJ$9-32)*5/9), IF($CG11="Yes", BP12*CJ11, ""))</f>
        <v>0.1</v>
      </c>
      <c r="CK12" s="159">
        <f t="shared" si="20"/>
        <v>6.4285714285714293E-2</v>
      </c>
      <c r="CL12" s="159">
        <f t="shared" si="20"/>
        <v>4.736842105263158E-2</v>
      </c>
      <c r="CM12" s="159">
        <f t="shared" si="20"/>
        <v>3.7499999999999999E-2</v>
      </c>
      <c r="CN12" s="159">
        <f t="shared" si="20"/>
        <v>3.1034482758620689E-2</v>
      </c>
      <c r="CO12" s="159">
        <f t="shared" si="20"/>
        <v>2.6470588235294117E-2</v>
      </c>
      <c r="CP12" s="159">
        <f t="shared" si="20"/>
        <v>2.3076923076923075E-2</v>
      </c>
      <c r="CQ12" s="159">
        <f t="shared" si="20"/>
        <v>2.0454545454545454E-2</v>
      </c>
      <c r="CR12" s="159">
        <f t="shared" si="20"/>
        <v>1.8367346938775512E-2</v>
      </c>
      <c r="CS12" s="159">
        <f t="shared" si="20"/>
        <v>1.6666666666666666E-2</v>
      </c>
      <c r="CT12" s="159">
        <f t="shared" si="20"/>
        <v>1.5254237288135592E-2</v>
      </c>
      <c r="CU12" s="159">
        <f t="shared" si="20"/>
        <v>1.4062499999999999E-2</v>
      </c>
      <c r="CV12" s="159">
        <f t="shared" si="20"/>
        <v>1.3043478260869565E-2</v>
      </c>
      <c r="CW12" s="159">
        <f t="shared" si="20"/>
        <v>1.2162162162162161E-2</v>
      </c>
      <c r="CX12" s="159">
        <f t="shared" si="20"/>
        <v>1.1392405063291139E-2</v>
      </c>
      <c r="CY12" s="149"/>
      <c r="CZ12" s="149"/>
      <c r="DA12" s="163">
        <f t="array" ref="DA12:DC12">IF(CG12="Yes", LINEST(BO12:CD12,CI12:CX13,TRUE, TRUE), 0)</f>
        <v>-235.50168366207279</v>
      </c>
      <c r="DB12" s="163">
        <v>224.74105730852307</v>
      </c>
      <c r="DC12" s="163">
        <v>8.1342805843960964</v>
      </c>
      <c r="DD12" s="163">
        <f>IF(Q12&gt;0, DC12,"")</f>
        <v>8.1342805843960964</v>
      </c>
      <c r="DE12" s="163">
        <f>IF(Q12&gt;0, DD12*DF12-DB12, "")</f>
        <v>1690.8957156964671</v>
      </c>
      <c r="DF12" s="163">
        <f>IF(Q12&gt;0, -DA12, 0)</f>
        <v>235.50168366207279</v>
      </c>
      <c r="DG12" s="151"/>
      <c r="DH12" s="106"/>
      <c r="DI12" s="152"/>
      <c r="DJ12" s="151"/>
      <c r="DK12" s="151"/>
      <c r="DL12" s="151"/>
      <c r="DM12" s="151"/>
      <c r="DN12" s="151"/>
      <c r="DO12" s="151"/>
      <c r="DP12" s="151"/>
      <c r="DQ12" s="151"/>
      <c r="DR12" s="151"/>
      <c r="DS12" s="151"/>
      <c r="DT12" s="151"/>
    </row>
    <row r="13" spans="1:124" s="17" customFormat="1">
      <c r="A13" s="153" t="s">
        <v>653</v>
      </c>
      <c r="B13" s="154" t="s">
        <v>698</v>
      </c>
      <c r="C13" s="155">
        <v>2.5000000000000001E-3</v>
      </c>
      <c r="D13" s="156" t="str">
        <f>INDEX('Product Data'!$1:$1048576,MATCH($B13,'Product Data'!$A:$A,0),MATCH(D$11,'Product Data'!$23:$23,0))</f>
        <v>VOC</v>
      </c>
      <c r="E13" s="156" t="str">
        <f>INDEX('Product Data'!$1:$1048576,MATCH($B13,'Product Data'!$A:$A,0),MATCH(E$11,'Product Data'!$23:$23,0))</f>
        <v>Antoine's</v>
      </c>
      <c r="F13" s="156">
        <f>INDEX('Product Data'!$1:$1048576,MATCH($B13,'Product Data'!$A:$A,0),MATCH(F$11,'Product Data'!$23:$23,0))</f>
        <v>60.09</v>
      </c>
      <c r="G13" s="156">
        <f>INDEX('Product Data'!$1:$1048576,MATCH($B13,'Product Data'!$A:$A,0),MATCH(G$11,'Product Data'!$23:$23,0))</f>
        <v>6.5730000000000004</v>
      </c>
      <c r="H13" s="156">
        <f>INDEX('Product Data'!$1:$1048576,MATCH($B13,'Product Data'!$A:$A,0),MATCH(H$11,'Product Data'!$23:$23,0))</f>
        <v>8.1176999999999992</v>
      </c>
      <c r="I13" s="156">
        <f>INDEX('Product Data'!$1:$1048576,MATCH($B13,'Product Data'!$A:$A,0),MATCH(I$11,'Product Data'!$23:$23,0))</f>
        <v>1580.92</v>
      </c>
      <c r="J13" s="156">
        <f>INDEX('Product Data'!$1:$1048576,MATCH($B13,'Product Data'!$A:$A,0),MATCH(J$11,'Product Data'!$23:$23,0))</f>
        <v>219.61</v>
      </c>
      <c r="K13" s="156">
        <f t="shared" ref="K13:K22" si="21">N13*F13</f>
        <v>0.16422327913591073</v>
      </c>
      <c r="L13" s="156">
        <f t="shared" ref="L13:L22" si="22">G13*N13</f>
        <v>1.796371465735299E-2</v>
      </c>
      <c r="M13" s="157">
        <f t="shared" ref="M13:M22" si="23">C13/F13</f>
        <v>4.1604260276252289E-5</v>
      </c>
      <c r="N13" s="158">
        <f t="shared" ref="N13:N22" si="24">M13/SUMIF(A:A,A13,M:M)</f>
        <v>2.7329552194360245E-3</v>
      </c>
      <c r="O13" s="157">
        <f t="shared" ref="O13:O22" si="25">IF($E13="Antoine's",10^($H13-($I13/(((O$10-491.69)*5/9)+$J13)))/760*14.7,IF($E13="Non-Volatile",0,(EXP($H13-($I13/O$10)))))</f>
        <v>0.22278719815024675</v>
      </c>
      <c r="P13" s="159">
        <f t="shared" ref="P13:P22" si="26">$N13*O13</f>
        <v>6.0886743600824472E-4</v>
      </c>
      <c r="Q13" s="159">
        <f t="shared" si="4"/>
        <v>0.23648465772368926</v>
      </c>
      <c r="R13" s="157">
        <f t="shared" ref="R13:R22" si="27">IF($E13="Antoine's",10^($H13-($I13/(((R$10-491.69)*5/9)+$J13)))/760*14.7,IF($E13="Non-Volatile",0,(EXP($H13-($I13/R$10)))))</f>
        <v>0.33008846735092362</v>
      </c>
      <c r="S13" s="159">
        <f t="shared" ref="S13:S22" si="28">$N13*R13</f>
        <v>9.0211699972234452E-4</v>
      </c>
      <c r="T13" s="159">
        <f t="shared" si="5"/>
        <v>0.34140932969568116</v>
      </c>
      <c r="U13" s="157">
        <f t="shared" ref="U13:U22" si="29">IF($E13="Antoine's",10^($H13-($I13/(((U$10-491.69)*5/9)+$J13)))/760*14.7,IF($E13="Non-Volatile",0,(EXP($H13-($I13/U$10)))))</f>
        <v>0.48006821642668662</v>
      </c>
      <c r="V13" s="159">
        <f t="shared" ref="V13:V22" si="30">$N13*U13</f>
        <v>1.3120049377686562E-3</v>
      </c>
      <c r="W13" s="159">
        <f t="shared" si="6"/>
        <v>0.48493992527512936</v>
      </c>
      <c r="X13" s="157">
        <f t="shared" ref="X13:X22" si="31">IF($E13="Antoine's",10^($H13-($I13/(((X$10-491.69)*5/9)+$J13)))/760*14.7,IF($E13="Non-Volatile",0,(EXP($H13-($I13/X$10)))))</f>
        <v>0.68622515096755088</v>
      </c>
      <c r="Y13" s="159">
        <f t="shared" ref="Y13:Y22" si="32">$N13*X13</f>
        <v>1.8754226080450421E-3</v>
      </c>
      <c r="Z13" s="159">
        <f t="shared" si="7"/>
        <v>0.6784210457178228</v>
      </c>
      <c r="AA13" s="157">
        <f t="shared" ref="AA13:AA22" si="33">IF($E13="Antoine's",10^($H13-($I13/(((AA$10-491.69)*5/9)+$J13)))/760*14.7,IF($E13="Non-Volatile",0,(EXP($H13-($I13/AA$10)))))</f>
        <v>0.96522724060608611</v>
      </c>
      <c r="AB13" s="159">
        <f t="shared" ref="AB13:AB22" si="34">$N13*AA13</f>
        <v>2.6379228251562346E-3</v>
      </c>
      <c r="AC13" s="159">
        <f t="shared" si="8"/>
        <v>0.93568460656186203</v>
      </c>
      <c r="AD13" s="160">
        <f t="shared" ref="AD13:AD22" si="35">IF(AC13=0,0,AB13/AC13)</f>
        <v>2.8192435855594364E-3</v>
      </c>
      <c r="AE13" s="159">
        <f t="shared" ref="AE13:AE22" si="36">AD13*$F13</f>
        <v>0.16940834705626653</v>
      </c>
      <c r="AF13" s="160">
        <f t="shared" ref="AF13:AF22" si="37">IF(SUMIF($A:$A,$A13,AE:AE)=0,0,AE13/SUMIF($A:$A,$A13,AE:AE))</f>
        <v>3.301527554515649E-3</v>
      </c>
      <c r="AG13" s="157">
        <f t="shared" ref="AG13:AG22" si="38">IF($E13="Antoine's",10^($H13-($I13/(((AG$10-491.69)*5/9)+$J13)))/760*14.7,IF($E13="Non-Volatile",0,(EXP($H13-($I13/AG$10)))))</f>
        <v>1.3373808816271875</v>
      </c>
      <c r="AH13" s="159">
        <f t="shared" ref="AH13:AH22" si="39">$N13*AG13</f>
        <v>3.6550020608169739E-3</v>
      </c>
      <c r="AI13" s="159">
        <f t="shared" si="9"/>
        <v>1.2733966740842886</v>
      </c>
      <c r="AJ13" s="157">
        <f t="shared" ref="AJ13:AJ22" si="40">IF($E13="Antoine's",10^($H13-($I13/(((AJ$10-491.69)*5/9)+$J13)))/760*14.7,IF($E13="Non-Volatile",0,(EXP($H13-($I13/AJ$10)))))</f>
        <v>1.8271179662778581</v>
      </c>
      <c r="AK13" s="159">
        <f t="shared" ref="AK13:AK22" si="41">$N13*AJ13</f>
        <v>4.9934315824644061E-3</v>
      </c>
      <c r="AL13" s="159">
        <f t="shared" si="10"/>
        <v>1.7114175871108526</v>
      </c>
      <c r="AM13" s="157">
        <f t="shared" ref="AM13:AM22" si="42">IF($E13="Antoine's",10^($H13-($I13/(((AM$10-491.69)*5/9)+$J13)))/760*14.7,IF($E13="Non-Volatile",0,(EXP($H13-($I13/AM$10)))))</f>
        <v>2.4634942854595336</v>
      </c>
      <c r="AN13" s="159">
        <f t="shared" ref="AN13:AN22" si="43">$N13*AM13</f>
        <v>6.7326195654974523E-3</v>
      </c>
      <c r="AO13" s="159">
        <f t="shared" si="11"/>
        <v>2.273171216657238</v>
      </c>
      <c r="AP13" s="157">
        <f t="shared" ref="AP13:AP22" si="44">IF($E13="Antoine's",10^($H13-($I13/(((AP$10-491.69)*5/9)+$J13)))/760*14.7,IF($E13="Non-Volatile",0,(EXP($H13-($I13/AP$10)))))</f>
        <v>3.2806923262487886</v>
      </c>
      <c r="AQ13" s="159">
        <f t="shared" ref="AQ13:AQ22" si="45">$N13*AP13</f>
        <v>8.9659852163853394E-3</v>
      </c>
      <c r="AR13" s="159">
        <f t="shared" si="12"/>
        <v>2.9860189699042881</v>
      </c>
      <c r="AS13" s="157">
        <f t="shared" ref="AS13:AS22" si="46">IF($E13="Antoine's",10^($H13-($I13/(((AS$10-491.69)*5/9)+$J13)))/760*14.7,IF($E13="Non-Volatile",0,(EXP($H13-($I13/AS$10)))))</f>
        <v>4.3185213604296511</v>
      </c>
      <c r="AT13" s="159">
        <f t="shared" ref="AT13:AT22" si="47">$N13*AS13</f>
        <v>1.1802325492232176E-2</v>
      </c>
      <c r="AU13" s="159">
        <f t="shared" si="13"/>
        <v>3.8816340103045928</v>
      </c>
      <c r="AV13" s="157">
        <f t="shared" ref="AV13:AV22" si="48">IF($E13="Antoine's",10^($H13-($I13/(((AV$10-491.69)*5/9)+$J13)))/760*14.7,IF($E13="Non-Volatile",0,(EXP($H13-($I13/AV$10)))))</f>
        <v>5.6229077457683614</v>
      </c>
      <c r="AW13" s="159">
        <f t="shared" ref="AW13:AW22" si="49">$N13*AV13</f>
        <v>1.5367155072204894E-2</v>
      </c>
      <c r="AX13" s="159">
        <f t="shared" si="14"/>
        <v>4.9963711384847524</v>
      </c>
      <c r="AY13" s="157">
        <f t="shared" ref="AY13:AY22" si="50">IF($E13="Antoine's",10^($H13-($I13/(((AY$10-491.69)*5/9)+$J13)))/760*14.7,IF($E13="Non-Volatile",0,(EXP($H13-($I13/AY$10)))))</f>
        <v>7.2463685623593603</v>
      </c>
      <c r="AZ13" s="159">
        <f t="shared" ref="AZ13:AZ22" si="51">$N13*AY13</f>
        <v>1.9804000784457133E-2</v>
      </c>
      <c r="BA13" s="159">
        <f t="shared" si="15"/>
        <v>6.371627851967145</v>
      </c>
      <c r="BB13" s="157">
        <f t="shared" ref="BB13:BB22" si="52">IF($E13="Antoine's",10^($H13-($I13/(((BB$10-491.69)*5/9)+$J13)))/760*14.7,IF($E13="Non-Volatile",0,(EXP($H13-($I13/BB$10)))))</f>
        <v>9.248462061419465</v>
      </c>
      <c r="BC13" s="159">
        <f t="shared" ref="BC13:BC22" si="53">$N13*BB13</f>
        <v>2.5275632662512381E-2</v>
      </c>
      <c r="BD13" s="159">
        <f t="shared" si="16"/>
        <v>8.0541922659091707</v>
      </c>
      <c r="BE13" s="157">
        <f t="shared" ref="BE13:BE22" si="54">IF($E13="Antoine's",10^($H13-($I13/(((BE$10-491.69)*5/9)+$J13)))/760*14.7,IF($E13="Non-Volatile",0,(EXP($H13-($I13/BE$10)))))</f>
        <v>11.696208889642225</v>
      </c>
      <c r="BF13" s="159">
        <f t="shared" ref="BF13:BF22" si="55">$N13*BE13</f>
        <v>3.1965215132561745E-2</v>
      </c>
      <c r="BG13" s="159">
        <f t="shared" si="17"/>
        <v>10.096573820533477</v>
      </c>
      <c r="BH13" s="157">
        <f t="shared" ref="BH13:BH22" si="56">IF($E13="Antoine's",10^($H13-($I13/(((BH$10-491.69)*5/9)+$J13)))/760*14.7,IF($E13="Non-Volatile",0,(EXP($H13-($I13/BH$10)))))</f>
        <v>14.664478643242242</v>
      </c>
      <c r="BI13" s="159">
        <f t="shared" ref="BI13:BI22" si="57">$N13*BH13</f>
        <v>4.0077363448356995E-2</v>
      </c>
      <c r="BJ13" s="159">
        <f t="shared" si="18"/>
        <v>12.557313011062877</v>
      </c>
      <c r="BK13" s="157">
        <f t="shared" ref="BK13:BK22" si="58">IF($E13="Antoine's",10^($H13-($I13/(((BK$10-491.69)*5/9)+$J13)))/760*14.7,IF($E13="Non-Volatile",0,(EXP($H13-($I13/BK$10)))))</f>
        <v>18.23633697639174</v>
      </c>
      <c r="BL13" s="159">
        <f t="shared" ref="BL13:BL22" si="59">$N13*BK13</f>
        <v>4.9839092323023977E-2</v>
      </c>
      <c r="BM13" s="159">
        <f t="shared" si="19"/>
        <v>15.501266739645429</v>
      </c>
      <c r="BN13" s="149"/>
      <c r="BO13" s="161">
        <f t="shared" ref="BO13:BO22" si="60">LOG(Q13/14.7*760)</f>
        <v>1.087299228052218</v>
      </c>
      <c r="BP13" s="161">
        <f t="shared" ref="BP13:BP22" si="61">LOG(T13/14.7*760)</f>
        <v>1.2467716424425235</v>
      </c>
      <c r="BQ13" s="161">
        <f t="shared" ref="BQ13:BQ22" si="62">LOG(W13/14.7*760)</f>
        <v>1.3991841987380162</v>
      </c>
      <c r="BR13" s="161">
        <f t="shared" ref="BR13:BR22" si="63">LOG(Z13/14.7*760)</f>
        <v>1.5449955695073152</v>
      </c>
      <c r="BS13" s="161">
        <f t="shared" ref="BS13:BS22" si="64">LOG(AC13/14.7*760)</f>
        <v>1.6846257422619253</v>
      </c>
      <c r="BT13" s="161">
        <f t="shared" ref="BT13:BT22" si="65">LOG(AI13/14.7*760)</f>
        <v>1.8184599687517158</v>
      </c>
      <c r="BU13" s="161">
        <f t="shared" ref="BU13:BU22" si="66">LOG(AL13/14.7*760)</f>
        <v>1.9468522481670458</v>
      </c>
      <c r="BV13" s="161">
        <f t="shared" ref="BV13:BV22" si="67">LOG(AO13/14.7*760)</f>
        <v>2.0701284058176457</v>
      </c>
      <c r="BW13" s="161">
        <f t="shared" ref="BW13:BW22" si="68">LOG(AR13/14.7*760)</f>
        <v>2.188588819963345</v>
      </c>
      <c r="BX13" s="161">
        <f t="shared" ref="BX13:BX22" si="69">LOG(AU13/14.7*760)</f>
        <v>2.3025108419599496</v>
      </c>
      <c r="BY13" s="161">
        <f t="shared" ref="BY13:BY22" si="70">LOG(AX13/14.7*760)</f>
        <v>2.4121509485256101</v>
      </c>
      <c r="BZ13" s="161">
        <f t="shared" ref="BZ13:BZ22" si="71">LOG(BA13/14.7*760)</f>
        <v>2.5177466595397764</v>
      </c>
      <c r="CA13" s="161">
        <f t="shared" ref="CA13:CA22" si="72">LOG(BD13/14.7*760)</f>
        <v>2.6195182502024346</v>
      </c>
      <c r="CB13" s="161">
        <f t="shared" ref="CB13:CB22" si="73">LOG(BG13/14.7*760)</f>
        <v>2.7176702824764085</v>
      </c>
      <c r="CC13" s="161">
        <f t="shared" ref="CC13:CC22" si="74">LOG(BJ13/14.7*760)</f>
        <v>2.8123929774027689</v>
      </c>
      <c r="CD13" s="161">
        <f t="shared" ref="CD13:CD22" si="75">LOG(BM13/14.7*760)</f>
        <v>2.9038634470293059</v>
      </c>
      <c r="CE13" s="162"/>
      <c r="CF13" s="162"/>
      <c r="CG13" s="134" t="str">
        <f t="shared" ref="CG13:CG22" si="76">IF(A13=A12, "No", "Yes")</f>
        <v>No</v>
      </c>
      <c r="CH13" s="134" t="str">
        <f t="shared" ref="CH13:CH22" si="77">IF(CG13="Yes", "x1 = 1 / T", "x2 = Log (VP) / T")</f>
        <v>x2 = Log (VP) / T</v>
      </c>
      <c r="CI13" s="159">
        <f t="shared" ref="CI13:CI22" si="78">IF($CG13="Yes", 1/((CI$9-32)*5/9), IF($CG12="Yes", BO13*CI12, ""))</f>
        <v>0.24464232631174904</v>
      </c>
      <c r="CJ13" s="159">
        <f t="shared" si="20"/>
        <v>0.12467716424425235</v>
      </c>
      <c r="CK13" s="159">
        <f t="shared" si="20"/>
        <v>8.9947555633158205E-2</v>
      </c>
      <c r="CL13" s="159">
        <f t="shared" si="20"/>
        <v>7.3184000660872828E-2</v>
      </c>
      <c r="CM13" s="159">
        <f t="shared" si="20"/>
        <v>6.3173465334822196E-2</v>
      </c>
      <c r="CN13" s="159">
        <f t="shared" si="20"/>
        <v>5.6434964547467041E-2</v>
      </c>
      <c r="CO13" s="159">
        <f t="shared" si="20"/>
        <v>5.1534324216186506E-2</v>
      </c>
      <c r="CP13" s="159">
        <f t="shared" si="20"/>
        <v>4.7772193980407204E-2</v>
      </c>
      <c r="CQ13" s="159">
        <f t="shared" si="20"/>
        <v>4.4766589499250241E-2</v>
      </c>
      <c r="CR13" s="159">
        <f t="shared" si="20"/>
        <v>4.2291015464570508E-2</v>
      </c>
      <c r="CS13" s="159">
        <f t="shared" si="20"/>
        <v>4.0202515808760164E-2</v>
      </c>
      <c r="CT13" s="159">
        <f t="shared" si="20"/>
        <v>3.8406304976030488E-2</v>
      </c>
      <c r="CU13" s="159">
        <f t="shared" si="20"/>
        <v>3.6836975393471735E-2</v>
      </c>
      <c r="CV13" s="159">
        <f t="shared" si="20"/>
        <v>3.5447873249692285E-2</v>
      </c>
      <c r="CW13" s="159">
        <f t="shared" si="20"/>
        <v>3.420477945489854E-2</v>
      </c>
      <c r="CX13" s="159">
        <f t="shared" si="20"/>
        <v>3.3081988637042724E-2</v>
      </c>
      <c r="CY13" s="149"/>
      <c r="CZ13" s="149"/>
      <c r="DA13" s="163">
        <f t="array" ref="DA13:DC13">IF(CG13="Yes", LINEST(BO13:CD13,CI13:CX14,TRUE, TRUE), 0)</f>
        <v>0</v>
      </c>
      <c r="DB13" s="163">
        <v>0</v>
      </c>
      <c r="DC13" s="163">
        <v>0</v>
      </c>
      <c r="DD13" s="163">
        <f t="shared" ref="DD13:DD22" si="79">IF(Q13&gt;0, DC13,"")</f>
        <v>0</v>
      </c>
      <c r="DE13" s="163">
        <f t="shared" ref="DE13:DE22" si="80">IF(Q13&gt;0, DD13*DF13-DB13, "")</f>
        <v>0</v>
      </c>
      <c r="DF13" s="163">
        <f t="shared" ref="DF13:DF22" si="81">IF(Q13&gt;0, -DA13, 0)</f>
        <v>0</v>
      </c>
      <c r="DG13" s="151"/>
      <c r="DH13" s="106"/>
      <c r="DI13" s="152"/>
      <c r="DJ13" s="151"/>
      <c r="DK13" s="151"/>
      <c r="DL13" s="151"/>
      <c r="DM13" s="151"/>
      <c r="DN13" s="151"/>
      <c r="DO13" s="151"/>
      <c r="DP13" s="151"/>
      <c r="DQ13" s="151"/>
      <c r="DR13" s="151"/>
      <c r="DS13" s="151"/>
      <c r="DT13" s="151"/>
    </row>
    <row r="14" spans="1:124" s="17" customFormat="1">
      <c r="A14" s="153" t="s">
        <v>653</v>
      </c>
      <c r="B14" s="154" t="s">
        <v>383</v>
      </c>
      <c r="C14" s="155">
        <v>0.47010000000000002</v>
      </c>
      <c r="D14" s="156" t="str">
        <f>INDEX('Product Data'!$1:$1048576,MATCH($B14,'Product Data'!$A:$A,0),MATCH(D$11,'Product Data'!$23:$23,0))</f>
        <v>VOC</v>
      </c>
      <c r="E14" s="156" t="str">
        <f>INDEX('Product Data'!$1:$1048576,MATCH($B14,'Product Data'!$A:$A,0),MATCH(E$11,'Product Data'!$23:$23,0))</f>
        <v>Antoine's</v>
      </c>
      <c r="F14" s="156">
        <f>INDEX('Product Data'!$1:$1048576,MATCH($B14,'Product Data'!$A:$A,0),MATCH(F$11,'Product Data'!$23:$23,0))</f>
        <v>46.07</v>
      </c>
      <c r="G14" s="156">
        <f>INDEX('Product Data'!$1:$1048576,MATCH($B14,'Product Data'!$A:$A,0),MATCH(G$11,'Product Data'!$23:$23,0))</f>
        <v>6.61</v>
      </c>
      <c r="H14" s="156">
        <f>INDEX('Product Data'!$1:$1048576,MATCH($B14,'Product Data'!$A:$A,0),MATCH(H$11,'Product Data'!$23:$23,0))</f>
        <v>8.3209999999999997</v>
      </c>
      <c r="I14" s="156">
        <f>INDEX('Product Data'!$1:$1048576,MATCH($B14,'Product Data'!$A:$A,0),MATCH(I$11,'Product Data'!$23:$23,0))</f>
        <v>1718.21</v>
      </c>
      <c r="J14" s="156">
        <f>INDEX('Product Data'!$1:$1048576,MATCH($B14,'Product Data'!$A:$A,0),MATCH(J$11,'Product Data'!$23:$23,0))</f>
        <v>237.52</v>
      </c>
      <c r="K14" s="156">
        <f t="shared" si="21"/>
        <v>30.880545408716653</v>
      </c>
      <c r="L14" s="156">
        <f t="shared" si="22"/>
        <v>4.4306578066337545</v>
      </c>
      <c r="M14" s="157">
        <f t="shared" si="23"/>
        <v>1.0204037334490993E-2</v>
      </c>
      <c r="N14" s="158">
        <f t="shared" si="24"/>
        <v>0.67029618859814744</v>
      </c>
      <c r="O14" s="157">
        <f t="shared" si="25"/>
        <v>0.32069560054018997</v>
      </c>
      <c r="P14" s="159">
        <f t="shared" si="26"/>
        <v>0.21496103874228334</v>
      </c>
      <c r="Q14" s="159">
        <f t="shared" si="4"/>
        <v>0.23648465772368926</v>
      </c>
      <c r="R14" s="157">
        <f t="shared" si="27"/>
        <v>0.46290347022446293</v>
      </c>
      <c r="S14" s="159">
        <f t="shared" si="28"/>
        <v>0.31028243178031351</v>
      </c>
      <c r="T14" s="159">
        <f t="shared" si="5"/>
        <v>0.34140932969568116</v>
      </c>
      <c r="U14" s="157">
        <f t="shared" si="29"/>
        <v>0.65749026538328281</v>
      </c>
      <c r="V14" s="159">
        <f t="shared" si="30"/>
        <v>0.44071321892679893</v>
      </c>
      <c r="W14" s="159">
        <f t="shared" si="6"/>
        <v>0.48493992527512936</v>
      </c>
      <c r="X14" s="157">
        <f t="shared" si="31"/>
        <v>0.91990015584212315</v>
      </c>
      <c r="Y14" s="159">
        <f t="shared" si="32"/>
        <v>0.61660556835181701</v>
      </c>
      <c r="Z14" s="159">
        <f t="shared" si="7"/>
        <v>0.6784210457178228</v>
      </c>
      <c r="AA14" s="157">
        <f t="shared" si="33"/>
        <v>1.268988281255077</v>
      </c>
      <c r="AB14" s="159">
        <f t="shared" si="34"/>
        <v>0.85059800830099208</v>
      </c>
      <c r="AC14" s="159">
        <f t="shared" si="8"/>
        <v>0.93568460656186203</v>
      </c>
      <c r="AD14" s="160">
        <f t="shared" si="35"/>
        <v>0.90906487328725283</v>
      </c>
      <c r="AE14" s="159">
        <f t="shared" si="36"/>
        <v>41.88061871234374</v>
      </c>
      <c r="AF14" s="160">
        <f t="shared" si="37"/>
        <v>0.81619364737111899</v>
      </c>
      <c r="AG14" s="157">
        <f t="shared" si="38"/>
        <v>1.7275042776780423</v>
      </c>
      <c r="AH14" s="159">
        <f t="shared" si="39"/>
        <v>1.1579395331145874</v>
      </c>
      <c r="AI14" s="159">
        <f t="shared" si="9"/>
        <v>1.2733966740842886</v>
      </c>
      <c r="AJ14" s="157">
        <f t="shared" si="40"/>
        <v>2.3225961459966666</v>
      </c>
      <c r="AK14" s="159">
        <f t="shared" si="41"/>
        <v>1.5568273443143121</v>
      </c>
      <c r="AL14" s="159">
        <f t="shared" si="10"/>
        <v>1.7114175871108526</v>
      </c>
      <c r="AM14" s="157">
        <f t="shared" si="42"/>
        <v>3.0863288423878577</v>
      </c>
      <c r="AN14" s="159">
        <f t="shared" si="43"/>
        <v>2.0687544598131136</v>
      </c>
      <c r="AO14" s="159">
        <f t="shared" si="11"/>
        <v>2.273171216657238</v>
      </c>
      <c r="AP14" s="157">
        <f t="shared" si="44"/>
        <v>4.0562115759540278</v>
      </c>
      <c r="AQ14" s="159">
        <f t="shared" si="45"/>
        <v>2.7188631595096697</v>
      </c>
      <c r="AR14" s="159">
        <f t="shared" si="12"/>
        <v>2.9860189699042881</v>
      </c>
      <c r="AS14" s="157">
        <f t="shared" si="46"/>
        <v>5.2757275561850614</v>
      </c>
      <c r="AT14" s="159">
        <f t="shared" si="47"/>
        <v>3.5363000729930656</v>
      </c>
      <c r="AU14" s="159">
        <f t="shared" si="13"/>
        <v>3.8816340103045928</v>
      </c>
      <c r="AV14" s="157">
        <f t="shared" si="48"/>
        <v>6.794859840188618</v>
      </c>
      <c r="AW14" s="159">
        <f t="shared" si="49"/>
        <v>4.5545686529370482</v>
      </c>
      <c r="AX14" s="159">
        <f t="shared" si="14"/>
        <v>4.9963711384847524</v>
      </c>
      <c r="AY14" s="157">
        <f t="shared" si="50"/>
        <v>8.670606978913332</v>
      </c>
      <c r="AZ14" s="159">
        <f t="shared" si="51"/>
        <v>5.8118748107981038</v>
      </c>
      <c r="BA14" s="159">
        <f t="shared" si="15"/>
        <v>6.371627851967145</v>
      </c>
      <c r="BB14" s="157">
        <f t="shared" si="52"/>
        <v>10.967482341138526</v>
      </c>
      <c r="BC14" s="159">
        <f t="shared" si="53"/>
        <v>7.351461611782641</v>
      </c>
      <c r="BD14" s="159">
        <f t="shared" si="16"/>
        <v>8.0541922659091707</v>
      </c>
      <c r="BE14" s="157">
        <f t="shared" si="54"/>
        <v>13.757991289153971</v>
      </c>
      <c r="BF14" s="159">
        <f t="shared" si="55"/>
        <v>9.2219291238864187</v>
      </c>
      <c r="BG14" s="159">
        <f t="shared" si="17"/>
        <v>10.096573820533477</v>
      </c>
      <c r="BH14" s="157">
        <f t="shared" si="56"/>
        <v>17.123080774194356</v>
      </c>
      <c r="BI14" s="159">
        <f t="shared" si="57"/>
        <v>11.477535780000693</v>
      </c>
      <c r="BJ14" s="159">
        <f t="shared" si="18"/>
        <v>12.557313011062877</v>
      </c>
      <c r="BK14" s="157">
        <f t="shared" si="58"/>
        <v>21.152556395162254</v>
      </c>
      <c r="BL14" s="159">
        <f t="shared" si="59"/>
        <v>14.178477930784627</v>
      </c>
      <c r="BM14" s="159">
        <f t="shared" si="19"/>
        <v>15.501266739645429</v>
      </c>
      <c r="BN14" s="164"/>
      <c r="BO14" s="161">
        <f t="shared" si="60"/>
        <v>1.087299228052218</v>
      </c>
      <c r="BP14" s="161">
        <f t="shared" si="61"/>
        <v>1.2467716424425235</v>
      </c>
      <c r="BQ14" s="161">
        <f t="shared" si="62"/>
        <v>1.3991841987380162</v>
      </c>
      <c r="BR14" s="161">
        <f t="shared" si="63"/>
        <v>1.5449955695073152</v>
      </c>
      <c r="BS14" s="161">
        <f t="shared" si="64"/>
        <v>1.6846257422619253</v>
      </c>
      <c r="BT14" s="161">
        <f t="shared" si="65"/>
        <v>1.8184599687517158</v>
      </c>
      <c r="BU14" s="161">
        <f t="shared" si="66"/>
        <v>1.9468522481670458</v>
      </c>
      <c r="BV14" s="161">
        <f t="shared" si="67"/>
        <v>2.0701284058176457</v>
      </c>
      <c r="BW14" s="161">
        <f t="shared" si="68"/>
        <v>2.188588819963345</v>
      </c>
      <c r="BX14" s="161">
        <f t="shared" si="69"/>
        <v>2.3025108419599496</v>
      </c>
      <c r="BY14" s="161">
        <f t="shared" si="70"/>
        <v>2.4121509485256101</v>
      </c>
      <c r="BZ14" s="161">
        <f t="shared" si="71"/>
        <v>2.5177466595397764</v>
      </c>
      <c r="CA14" s="161">
        <f t="shared" si="72"/>
        <v>2.6195182502024346</v>
      </c>
      <c r="CB14" s="161">
        <f t="shared" si="73"/>
        <v>2.7176702824764085</v>
      </c>
      <c r="CC14" s="161">
        <f t="shared" si="74"/>
        <v>2.8123929774027689</v>
      </c>
      <c r="CD14" s="161">
        <f t="shared" si="75"/>
        <v>2.9038634470293059</v>
      </c>
      <c r="CE14" s="165"/>
      <c r="CF14" s="165"/>
      <c r="CG14" s="134" t="str">
        <f t="shared" si="76"/>
        <v>No</v>
      </c>
      <c r="CH14" s="134" t="str">
        <f t="shared" si="77"/>
        <v>x2 = Log (VP) / T</v>
      </c>
      <c r="CI14" s="159" t="str">
        <f t="shared" si="78"/>
        <v/>
      </c>
      <c r="CJ14" s="159" t="str">
        <f t="shared" si="20"/>
        <v/>
      </c>
      <c r="CK14" s="159" t="str">
        <f t="shared" si="20"/>
        <v/>
      </c>
      <c r="CL14" s="159" t="str">
        <f t="shared" si="20"/>
        <v/>
      </c>
      <c r="CM14" s="159" t="str">
        <f t="shared" si="20"/>
        <v/>
      </c>
      <c r="CN14" s="159" t="str">
        <f t="shared" si="20"/>
        <v/>
      </c>
      <c r="CO14" s="159" t="str">
        <f t="shared" si="20"/>
        <v/>
      </c>
      <c r="CP14" s="159" t="str">
        <f t="shared" si="20"/>
        <v/>
      </c>
      <c r="CQ14" s="159" t="str">
        <f t="shared" si="20"/>
        <v/>
      </c>
      <c r="CR14" s="159" t="str">
        <f t="shared" si="20"/>
        <v/>
      </c>
      <c r="CS14" s="159" t="str">
        <f t="shared" si="20"/>
        <v/>
      </c>
      <c r="CT14" s="159" t="str">
        <f t="shared" si="20"/>
        <v/>
      </c>
      <c r="CU14" s="159" t="str">
        <f t="shared" si="20"/>
        <v/>
      </c>
      <c r="CV14" s="159" t="str">
        <f t="shared" si="20"/>
        <v/>
      </c>
      <c r="CW14" s="159" t="str">
        <f t="shared" si="20"/>
        <v/>
      </c>
      <c r="CX14" s="159" t="str">
        <f t="shared" si="20"/>
        <v/>
      </c>
      <c r="CY14" s="151"/>
      <c r="CZ14" s="151"/>
      <c r="DA14" s="163">
        <f t="array" ref="DA14:DC14">IF(CG14="Yes", LINEST(BO14:CD14,CI14:CX15,TRUE, TRUE), 0)</f>
        <v>0</v>
      </c>
      <c r="DB14" s="163">
        <v>0</v>
      </c>
      <c r="DC14" s="163">
        <v>0</v>
      </c>
      <c r="DD14" s="163">
        <f t="shared" si="79"/>
        <v>0</v>
      </c>
      <c r="DE14" s="163">
        <f t="shared" si="80"/>
        <v>0</v>
      </c>
      <c r="DF14" s="163">
        <f t="shared" si="81"/>
        <v>0</v>
      </c>
      <c r="DG14" s="151"/>
      <c r="DH14" s="152"/>
      <c r="DI14" s="152"/>
      <c r="DJ14" s="151"/>
      <c r="DK14" s="151"/>
      <c r="DL14" s="151"/>
      <c r="DM14" s="151"/>
      <c r="DN14" s="151"/>
      <c r="DO14" s="151"/>
      <c r="DP14" s="151"/>
      <c r="DQ14" s="151"/>
      <c r="DR14" s="151"/>
      <c r="DS14" s="151"/>
      <c r="DT14" s="151"/>
    </row>
    <row r="15" spans="1:124" s="17" customFormat="1">
      <c r="A15" s="153" t="s">
        <v>653</v>
      </c>
      <c r="B15" s="154" t="s">
        <v>495</v>
      </c>
      <c r="C15" s="155">
        <v>1E-4</v>
      </c>
      <c r="D15" s="156" t="str">
        <f>INDEX('Product Data'!$1:$1048576,MATCH($B15,'Product Data'!$A:$A,0),MATCH(D$11,'Product Data'!$23:$23,0))</f>
        <v>VOC HAP</v>
      </c>
      <c r="E15" s="156" t="str">
        <f>INDEX('Product Data'!$1:$1048576,MATCH($B15,'Product Data'!$A:$A,0),MATCH(E$11,'Product Data'!$23:$23,0))</f>
        <v>Antoine's</v>
      </c>
      <c r="F15" s="156">
        <f>INDEX('Product Data'!$1:$1048576,MATCH($B15,'Product Data'!$A:$A,0),MATCH(F$11,'Product Data'!$23:$23,0))</f>
        <v>32.04</v>
      </c>
      <c r="G15" s="156">
        <f>INDEX('Product Data'!$1:$1048576,MATCH($B15,'Product Data'!$A:$A,0),MATCH(G$11,'Product Data'!$23:$23,0))</f>
        <v>6.63</v>
      </c>
      <c r="H15" s="156">
        <f>INDEX('Product Data'!$1:$1048576,MATCH($B15,'Product Data'!$A:$A,0),MATCH(H$11,'Product Data'!$23:$23,0))</f>
        <v>7.8970000000000002</v>
      </c>
      <c r="I15" s="156">
        <f>INDEX('Product Data'!$1:$1048576,MATCH($B15,'Product Data'!$A:$A,0),MATCH(I$11,'Product Data'!$23:$23,0))</f>
        <v>1474.08</v>
      </c>
      <c r="J15" s="156">
        <f>INDEX('Product Data'!$1:$1048576,MATCH($B15,'Product Data'!$A:$A,0),MATCH(J$11,'Product Data'!$23:$23,0))</f>
        <v>229.13</v>
      </c>
      <c r="K15" s="156">
        <f t="shared" si="21"/>
        <v>6.5689311654364294E-3</v>
      </c>
      <c r="L15" s="156">
        <f t="shared" si="22"/>
        <v>1.3593012992148415E-3</v>
      </c>
      <c r="M15" s="157">
        <f t="shared" si="23"/>
        <v>3.1210986267166047E-6</v>
      </c>
      <c r="N15" s="158">
        <f t="shared" si="24"/>
        <v>2.0502282039439542E-4</v>
      </c>
      <c r="O15" s="157">
        <f>IF($E15="Antoine's",10^($H15-($I15/(((O$10-491.69)*5/9)+$J15)))/760*14.7,IF($E15="Non-Volatile",0,(EXP($H15-($I15/O$10)))))</f>
        <v>0.74514215224188007</v>
      </c>
      <c r="P15" s="159">
        <f t="shared" si="26"/>
        <v>1.5277114564738023E-4</v>
      </c>
      <c r="Q15" s="159">
        <f t="shared" si="4"/>
        <v>0.23648465772368926</v>
      </c>
      <c r="R15" s="157">
        <f>IF($E15="Antoine's",10^($H15-($I15/(((R$10-491.69)*5/9)+$J15)))/760*14.7,IF($E15="Non-Volatile",0,(EXP($H15-($I15/R$10)))))</f>
        <v>1.044411273818918</v>
      </c>
      <c r="S15" s="159">
        <f t="shared" si="28"/>
        <v>2.1412814501005776E-4</v>
      </c>
      <c r="T15" s="159">
        <f t="shared" si="5"/>
        <v>0.34140932969568116</v>
      </c>
      <c r="U15" s="157">
        <f>IF($E15="Antoine's",10^($H15-($I15/(((U$10-491.69)*5/9)+$J15)))/760*14.7,IF($E15="Non-Volatile",0,(EXP($H15-($I15/U$10)))))</f>
        <v>1.4416011689865253</v>
      </c>
      <c r="V15" s="159">
        <f t="shared" si="30"/>
        <v>2.9556113754947486E-4</v>
      </c>
      <c r="W15" s="159">
        <f t="shared" si="6"/>
        <v>0.48493992527512936</v>
      </c>
      <c r="X15" s="157">
        <f>IF($E15="Antoine's",10^($H15-($I15/(((X$10-491.69)*5/9)+$J15)))/760*14.7,IF($E15="Non-Volatile",0,(EXP($H15-($I15/X$10)))))</f>
        <v>1.9615680124997792</v>
      </c>
      <c r="Y15" s="159">
        <f t="shared" si="32"/>
        <v>4.0216620631813339E-4</v>
      </c>
      <c r="Z15" s="159">
        <f t="shared" si="7"/>
        <v>0.6784210457178228</v>
      </c>
      <c r="AA15" s="157">
        <f>IF($E15="Antoine's",10^($H15-($I15/(((AA$10-491.69)*5/9)+$J15)))/760*14.7,IF($E15="Non-Volatile",0,(EXP($H15-($I15/AA$10)))))</f>
        <v>2.6336088276674237</v>
      </c>
      <c r="AB15" s="159">
        <f t="shared" si="34"/>
        <v>5.3994990966395253E-4</v>
      </c>
      <c r="AC15" s="159">
        <f t="shared" si="8"/>
        <v>0.93568460656186203</v>
      </c>
      <c r="AD15" s="160">
        <f>IF(AC15=0,0,AB15/AC15)</f>
        <v>5.7706400840340662E-4</v>
      </c>
      <c r="AE15" s="159">
        <f t="shared" si="36"/>
        <v>1.8489130829245148E-2</v>
      </c>
      <c r="AF15" s="160">
        <f t="shared" si="37"/>
        <v>3.603268431131276E-4</v>
      </c>
      <c r="AG15" s="157">
        <f>IF($E15="Antoine's",10^($H15-($I15/(((AG$10-491.69)*5/9)+$J15)))/760*14.7,IF($E15="Non-Volatile",0,(EXP($H15-($I15/AG$10)))))</f>
        <v>3.4918804612719061</v>
      </c>
      <c r="AH15" s="159">
        <f t="shared" si="39"/>
        <v>7.1591518065004865E-4</v>
      </c>
      <c r="AI15" s="159">
        <f t="shared" si="9"/>
        <v>1.2733966740842886</v>
      </c>
      <c r="AJ15" s="157">
        <f>IF($E15="Antoine's",10^($H15-($I15/(((AJ$10-491.69)*5/9)+$J15)))/760*14.7,IF($E15="Non-Volatile",0,(EXP($H15-($I15/AJ$10)))))</f>
        <v>4.5758034493125859</v>
      </c>
      <c r="AK15" s="159">
        <f t="shared" si="41"/>
        <v>9.3814412874846937E-4</v>
      </c>
      <c r="AL15" s="159">
        <f t="shared" si="10"/>
        <v>1.7114175871108526</v>
      </c>
      <c r="AM15" s="157">
        <f>IF($E15="Antoine's",10^($H15-($I15/(((AM$10-491.69)*5/9)+$J15)))/760*14.7,IF($E15="Non-Volatile",0,(EXP($H15-($I15/AM$10)))))</f>
        <v>5.9304443813046657</v>
      </c>
      <c r="AN15" s="159">
        <f t="shared" si="43"/>
        <v>1.215876433247178E-3</v>
      </c>
      <c r="AO15" s="159">
        <f t="shared" si="11"/>
        <v>2.273171216657238</v>
      </c>
      <c r="AP15" s="157">
        <f>IF($E15="Antoine's",10^($H15-($I15/(((AP$10-491.69)*5/9)+$J15)))/760*14.7,IF($E15="Non-Volatile",0,(EXP($H15-($I15/AP$10)))))</f>
        <v>7.6068708872420201</v>
      </c>
      <c r="AQ15" s="159">
        <f t="shared" si="45"/>
        <v>1.559582123678376E-3</v>
      </c>
      <c r="AR15" s="159">
        <f t="shared" si="12"/>
        <v>2.9860189699042881</v>
      </c>
      <c r="AS15" s="157">
        <f>IF($E15="Antoine's",10^($H15-($I15/(((AS$10-491.69)*5/9)+$J15)))/760*14.7,IF($E15="Non-Volatile",0,(EXP($H15-($I15/AS$10)))))</f>
        <v>9.6624740040602539</v>
      </c>
      <c r="AT15" s="159">
        <f t="shared" si="47"/>
        <v>1.9810276722999603E-3</v>
      </c>
      <c r="AU15" s="159">
        <f t="shared" si="13"/>
        <v>3.8816340103045928</v>
      </c>
      <c r="AV15" s="157">
        <f>IF($E15="Antoine's",10^($H15-($I15/(((AV$10-491.69)*5/9)+$J15)))/760*14.7,IF($E15="Non-Volatile",0,(EXP($H15-($I15/AV$10)))))</f>
        <v>12.161253396479504</v>
      </c>
      <c r="AW15" s="159">
        <f t="shared" si="49"/>
        <v>2.4933344708771487E-3</v>
      </c>
      <c r="AX15" s="159">
        <f t="shared" si="14"/>
        <v>4.9963711384847524</v>
      </c>
      <c r="AY15" s="157">
        <f>IF($E15="Antoine's",10^($H15-($I15/(((AY$10-491.69)*5/9)+$J15)))/760*14.7,IF($E15="Non-Volatile",0,(EXP($H15-($I15/AY$10)))))</f>
        <v>15.174061680564472</v>
      </c>
      <c r="AZ15" s="159">
        <f t="shared" si="51"/>
        <v>3.1110289225878478E-3</v>
      </c>
      <c r="BA15" s="159">
        <f t="shared" si="15"/>
        <v>6.371627851967145</v>
      </c>
      <c r="BB15" s="157">
        <f>IF($E15="Antoine's",10^($H15-($I15/(((BB$10-491.69)*5/9)+$J15)))/760*14.7,IF($E15="Non-Volatile",0,(EXP($H15-($I15/BB$10)))))</f>
        <v>18.778804899544671</v>
      </c>
      <c r="BC15" s="159">
        <f t="shared" si="53"/>
        <v>3.8500835441407396E-3</v>
      </c>
      <c r="BD15" s="159">
        <f t="shared" si="16"/>
        <v>8.0541922659091707</v>
      </c>
      <c r="BE15" s="157">
        <f>IF($E15="Antoine's",10^($H15-($I15/(((BE$10-491.69)*5/9)+$J15)))/760*14.7,IF($E15="Non-Volatile",0,(EXP($H15-($I15/BE$10)))))</f>
        <v>23.060597005708583</v>
      </c>
      <c r="BF15" s="159">
        <f t="shared" si="55"/>
        <v>4.7279486380889238E-3</v>
      </c>
      <c r="BG15" s="159">
        <f t="shared" si="17"/>
        <v>10.096573820533477</v>
      </c>
      <c r="BH15" s="157">
        <f>IF($E15="Antoine's",10^($H15-($I15/(((BH$10-491.69)*5/9)+$J15)))/760*14.7,IF($E15="Non-Volatile",0,(EXP($H15-($I15/BH$10)))))</f>
        <v>28.111866988282834</v>
      </c>
      <c r="BI15" s="159">
        <f t="shared" si="57"/>
        <v>5.7635742564898455E-3</v>
      </c>
      <c r="BJ15" s="159">
        <f t="shared" si="18"/>
        <v>12.557313011062877</v>
      </c>
      <c r="BK15" s="157">
        <f>IF($E15="Antoine's",10^($H15-($I15/(((BK$10-491.69)*5/9)+$J15)))/760*14.7,IF($E15="Non-Volatile",0,(EXP($H15-($I15/BK$10)))))</f>
        <v>34.032418037537973</v>
      </c>
      <c r="BL15" s="159">
        <f t="shared" si="59"/>
        <v>6.9774223308971305E-3</v>
      </c>
      <c r="BM15" s="159">
        <f t="shared" si="19"/>
        <v>15.501266739645429</v>
      </c>
      <c r="BN15" s="164"/>
      <c r="BO15" s="161">
        <f t="shared" si="60"/>
        <v>1.087299228052218</v>
      </c>
      <c r="BP15" s="161">
        <f t="shared" si="61"/>
        <v>1.2467716424425235</v>
      </c>
      <c r="BQ15" s="161">
        <f t="shared" si="62"/>
        <v>1.3991841987380162</v>
      </c>
      <c r="BR15" s="161">
        <f t="shared" si="63"/>
        <v>1.5449955695073152</v>
      </c>
      <c r="BS15" s="161">
        <f t="shared" si="64"/>
        <v>1.6846257422619253</v>
      </c>
      <c r="BT15" s="161">
        <f t="shared" si="65"/>
        <v>1.8184599687517158</v>
      </c>
      <c r="BU15" s="161">
        <f t="shared" si="66"/>
        <v>1.9468522481670458</v>
      </c>
      <c r="BV15" s="161">
        <f t="shared" si="67"/>
        <v>2.0701284058176457</v>
      </c>
      <c r="BW15" s="161">
        <f t="shared" si="68"/>
        <v>2.188588819963345</v>
      </c>
      <c r="BX15" s="161">
        <f t="shared" si="69"/>
        <v>2.3025108419599496</v>
      </c>
      <c r="BY15" s="161">
        <f t="shared" si="70"/>
        <v>2.4121509485256101</v>
      </c>
      <c r="BZ15" s="161">
        <f t="shared" si="71"/>
        <v>2.5177466595397764</v>
      </c>
      <c r="CA15" s="161">
        <f t="shared" si="72"/>
        <v>2.6195182502024346</v>
      </c>
      <c r="CB15" s="161">
        <f t="shared" si="73"/>
        <v>2.7176702824764085</v>
      </c>
      <c r="CC15" s="161">
        <f t="shared" si="74"/>
        <v>2.8123929774027689</v>
      </c>
      <c r="CD15" s="161">
        <f t="shared" si="75"/>
        <v>2.9038634470293059</v>
      </c>
      <c r="CE15" s="165"/>
      <c r="CF15" s="165"/>
      <c r="CG15" s="134" t="str">
        <f t="shared" si="76"/>
        <v>No</v>
      </c>
      <c r="CH15" s="134" t="str">
        <f t="shared" si="77"/>
        <v>x2 = Log (VP) / T</v>
      </c>
      <c r="CI15" s="159" t="str">
        <f t="shared" si="78"/>
        <v/>
      </c>
      <c r="CJ15" s="159" t="str">
        <f t="shared" si="20"/>
        <v/>
      </c>
      <c r="CK15" s="159" t="str">
        <f t="shared" si="20"/>
        <v/>
      </c>
      <c r="CL15" s="159" t="str">
        <f t="shared" si="20"/>
        <v/>
      </c>
      <c r="CM15" s="159" t="str">
        <f t="shared" si="20"/>
        <v/>
      </c>
      <c r="CN15" s="159" t="str">
        <f t="shared" si="20"/>
        <v/>
      </c>
      <c r="CO15" s="159" t="str">
        <f t="shared" si="20"/>
        <v/>
      </c>
      <c r="CP15" s="159" t="str">
        <f t="shared" si="20"/>
        <v/>
      </c>
      <c r="CQ15" s="159" t="str">
        <f t="shared" si="20"/>
        <v/>
      </c>
      <c r="CR15" s="159" t="str">
        <f t="shared" si="20"/>
        <v/>
      </c>
      <c r="CS15" s="159" t="str">
        <f t="shared" si="20"/>
        <v/>
      </c>
      <c r="CT15" s="159" t="str">
        <f t="shared" si="20"/>
        <v/>
      </c>
      <c r="CU15" s="159" t="str">
        <f t="shared" si="20"/>
        <v/>
      </c>
      <c r="CV15" s="159" t="str">
        <f t="shared" si="20"/>
        <v/>
      </c>
      <c r="CW15" s="159" t="str">
        <f t="shared" si="20"/>
        <v/>
      </c>
      <c r="CX15" s="159" t="str">
        <f t="shared" si="20"/>
        <v/>
      </c>
      <c r="CY15" s="151"/>
      <c r="CZ15" s="151"/>
      <c r="DA15" s="163">
        <f t="array" ref="DA15:DC15">IF(CG15="Yes", LINEST(BO15:CD15,CI15:CX16,TRUE, TRUE), 0)</f>
        <v>0</v>
      </c>
      <c r="DB15" s="163">
        <v>0</v>
      </c>
      <c r="DC15" s="163">
        <v>0</v>
      </c>
      <c r="DD15" s="163">
        <f t="shared" si="79"/>
        <v>0</v>
      </c>
      <c r="DE15" s="163">
        <f t="shared" si="80"/>
        <v>0</v>
      </c>
      <c r="DF15" s="163">
        <f t="shared" si="81"/>
        <v>0</v>
      </c>
      <c r="DG15" s="151"/>
      <c r="DH15" s="152"/>
      <c r="DI15" s="152"/>
      <c r="DJ15" s="151"/>
      <c r="DK15" s="151"/>
      <c r="DL15" s="151"/>
      <c r="DM15" s="151"/>
      <c r="DN15" s="151"/>
      <c r="DO15" s="151"/>
      <c r="DP15" s="151"/>
      <c r="DQ15" s="151"/>
      <c r="DR15" s="151"/>
      <c r="DS15" s="151"/>
      <c r="DT15" s="151"/>
    </row>
    <row r="16" spans="1:124" s="17" customFormat="1">
      <c r="A16" s="153" t="s">
        <v>653</v>
      </c>
      <c r="B16" s="154" t="s">
        <v>638</v>
      </c>
      <c r="C16" s="155">
        <v>0.52669999999999995</v>
      </c>
      <c r="D16" s="156" t="str">
        <f>INDEX('Product Data'!$1:$1048576,MATCH($B16,'Product Data'!$A:$A,0),MATCH(D$11,'Product Data'!$23:$23,0))</f>
        <v>VOC HAP</v>
      </c>
      <c r="E16" s="156" t="str">
        <f>INDEX('Product Data'!$1:$1048576,MATCH($B16,'Product Data'!$A:$A,0),MATCH(E$11,'Product Data'!$23:$23,0))</f>
        <v>Antoine's</v>
      </c>
      <c r="F16" s="156">
        <f>INDEX('Product Data'!$1:$1048576,MATCH($B16,'Product Data'!$A:$A,0),MATCH(F$11,'Product Data'!$23:$23,0))</f>
        <v>106.16</v>
      </c>
      <c r="G16" s="156">
        <f>INDEX('Product Data'!$1:$1048576,MATCH($B16,'Product Data'!$A:$A,0),MATCH(G$11,'Product Data'!$23:$23,0))</f>
        <v>7.1770480000000001</v>
      </c>
      <c r="H16" s="156">
        <f>INDEX('Product Data'!$1:$1048576,MATCH($B16,'Product Data'!$A:$A,0),MATCH(H$11,'Product Data'!$23:$23,0))</f>
        <v>7.0090000000000003</v>
      </c>
      <c r="I16" s="156">
        <f>INDEX('Product Data'!$1:$1048576,MATCH($B16,'Product Data'!$A:$A,0),MATCH(I$11,'Product Data'!$23:$23,0))</f>
        <v>1426.2660000000001</v>
      </c>
      <c r="J16" s="156">
        <f>INDEX('Product Data'!$1:$1048576,MATCH($B16,'Product Data'!$A:$A,0),MATCH(J$11,'Product Data'!$23:$23,0))</f>
        <v>215.11</v>
      </c>
      <c r="K16" s="156">
        <f t="shared" si="21"/>
        <v>34.598560448353666</v>
      </c>
      <c r="L16" s="156">
        <f t="shared" si="22"/>
        <v>2.3390686611599074</v>
      </c>
      <c r="M16" s="157">
        <f t="shared" si="23"/>
        <v>4.961379050489826E-3</v>
      </c>
      <c r="N16" s="158">
        <f t="shared" si="24"/>
        <v>0.32590957468306014</v>
      </c>
      <c r="O16" s="157">
        <f t="shared" ref="O16:O25" si="82">IF($E16="Antoine's",10^($H16-($I16/(((O$10-491.69)*5/9)+$J16)))/760*14.7,IF($E16="Non-Volatile",0,(EXP($H16-($I16/O$10)))))</f>
        <v>6.2949355036079915E-2</v>
      </c>
      <c r="P16" s="159">
        <f>$N16*O16</f>
        <v>2.0515797526381756E-2</v>
      </c>
      <c r="Q16" s="159">
        <f t="shared" si="4"/>
        <v>0.23648465772368926</v>
      </c>
      <c r="R16" s="157">
        <f t="shared" ref="R16:R25" si="83">IF($E16="Antoine's",10^($H16-($I16/(((R$10-491.69)*5/9)+$J16)))/760*14.7,IF($E16="Non-Volatile",0,(EXP($H16-($I16/R$10)))))</f>
        <v>9.1060185480009229E-2</v>
      </c>
      <c r="S16" s="159">
        <f>$N16*R16</f>
        <v>2.9677386320350378E-2</v>
      </c>
      <c r="T16" s="159">
        <f t="shared" si="5"/>
        <v>0.34140932969568116</v>
      </c>
      <c r="U16" s="157">
        <f t="shared" ref="U16:U25" si="84">IF($E16="Antoine's",10^($H16-($I16/(((U$10-491.69)*5/9)+$J16)))/760*14.7,IF($E16="Non-Volatile",0,(EXP($H16-($I16/U$10)))))</f>
        <v>0.1294022992508837</v>
      </c>
      <c r="V16" s="159">
        <f>$N16*U16</f>
        <v>4.2173448311865577E-2</v>
      </c>
      <c r="W16" s="159">
        <f t="shared" si="6"/>
        <v>0.48493992527512936</v>
      </c>
      <c r="X16" s="157">
        <f t="shared" ref="X16:X25" si="85">IF($E16="Antoine's",10^($H16-($I16/(((X$10-491.69)*5/9)+$J16)))/760*14.7,IF($E16="Non-Volatile",0,(EXP($H16-($I16/X$10)))))</f>
        <v>0.18087421203777085</v>
      </c>
      <c r="Y16" s="159">
        <f>$N16*X16</f>
        <v>5.8948637516363533E-2</v>
      </c>
      <c r="Z16" s="159">
        <f t="shared" si="7"/>
        <v>0.6784210457178228</v>
      </c>
      <c r="AA16" s="157">
        <f t="shared" ref="AA16:AA25" si="86">IF($E16="Antoine's",10^($H16-($I16/(((AA$10-491.69)*5/9)+$J16)))/760*14.7,IF($E16="Non-Volatile",0,(EXP($H16-($I16/AA$10)))))</f>
        <v>0.24895875031920417</v>
      </c>
      <c r="AB16" s="159">
        <f>$N16*AA16</f>
        <v>8.1138040430158001E-2</v>
      </c>
      <c r="AC16" s="159">
        <f t="shared" si="8"/>
        <v>0.93568460656186203</v>
      </c>
      <c r="AD16" s="160">
        <f t="shared" ref="AD16:AD25" si="87">IF(AC16=0,0,AB16/AC16)</f>
        <v>8.67151600669126E-2</v>
      </c>
      <c r="AE16" s="159">
        <f t="shared" si="36"/>
        <v>9.2056813927034415</v>
      </c>
      <c r="AF16" s="160">
        <f t="shared" si="37"/>
        <v>0.17940562731544671</v>
      </c>
      <c r="AG16" s="157">
        <f t="shared" ref="AG16:AG25" si="88">IF($E16="Antoine's",10^($H16-($I16/(((AG$10-491.69)*5/9)+$J16)))/760*14.7,IF($E16="Non-Volatile",0,(EXP($H16-($I16/AG$10)))))</f>
        <v>0.3377883315836599</v>
      </c>
      <c r="AH16" s="159">
        <f>$N16*AG16</f>
        <v>0.11008845147933109</v>
      </c>
      <c r="AI16" s="159">
        <f t="shared" si="9"/>
        <v>1.2733966740842886</v>
      </c>
      <c r="AJ16" s="157">
        <f t="shared" ref="AJ16:AJ25" si="89">IF($E16="Antoine's",10^($H16-($I16/(((AJ$10-491.69)*5/9)+$J16)))/760*14.7,IF($E16="Non-Volatile",0,(EXP($H16-($I16/AJ$10)))))</f>
        <v>0.45220903523611877</v>
      </c>
      <c r="AK16" s="159">
        <f>$N16*AJ16</f>
        <v>0.14737925434164043</v>
      </c>
      <c r="AL16" s="159">
        <f t="shared" si="10"/>
        <v>1.7114175871108526</v>
      </c>
      <c r="AM16" s="157">
        <f t="shared" ref="AM16:AM25" si="90">IF($E16="Antoine's",10^($H16-($I16/(((AM$10-491.69)*5/9)+$J16)))/760*14.7,IF($E16="Non-Volatile",0,(EXP($H16-($I16/AM$10)))))</f>
        <v>0.59784235878818004</v>
      </c>
      <c r="AN16" s="159">
        <f>$N16*AM16</f>
        <v>0.19484254888017319</v>
      </c>
      <c r="AO16" s="159">
        <f t="shared" si="11"/>
        <v>2.273171216657238</v>
      </c>
      <c r="AP16" s="157">
        <f t="shared" ref="AP16:AP25" si="91">IF($E16="Antoine's",10^($H16-($I16/(((AP$10-491.69)*5/9)+$J16)))/760*14.7,IF($E16="Non-Volatile",0,(EXP($H16-($I16/AP$10)))))</f>
        <v>0.78114361426640344</v>
      </c>
      <c r="AQ16" s="159">
        <f>$N16*AP16</f>
        <v>0.25458218309195196</v>
      </c>
      <c r="AR16" s="159">
        <f t="shared" si="12"/>
        <v>2.9860189699042881</v>
      </c>
      <c r="AS16" s="157">
        <f t="shared" ref="AS16:AS25" si="92">IF($E16="Antoine's",10^($H16-($I16/(((AS$10-491.69)*5/9)+$J16)))/760*14.7,IF($E16="Non-Volatile",0,(EXP($H16-($I16/AS$10)))))</f>
        <v>1.0094560059619544</v>
      </c>
      <c r="AT16" s="159">
        <f>$N16*AS16</f>
        <v>0.32899137756432117</v>
      </c>
      <c r="AU16" s="159">
        <f t="shared" si="13"/>
        <v>3.8816340103045928</v>
      </c>
      <c r="AV16" s="157">
        <f t="shared" ref="AV16:AV25" si="93">IF($E16="Antoine's",10^($H16-($I16/(((AV$10-491.69)*5/9)+$J16)))/760*14.7,IF($E16="Non-Volatile",0,(EXP($H16-($I16/AV$10)))))</f>
        <v>1.2910595371708298</v>
      </c>
      <c r="AW16" s="159">
        <f>$N16*AV16</f>
        <v>0.42076866464985363</v>
      </c>
      <c r="AX16" s="159">
        <f t="shared" si="14"/>
        <v>4.9963711384847524</v>
      </c>
      <c r="AY16" s="157">
        <f t="shared" ref="AY16:AY25" si="94">IF($E16="Antoine's",10^($H16-($I16/(((AY$10-491.69)*5/9)+$J16)))/760*14.7,IF($E16="Non-Volatile",0,(EXP($H16-($I16/AY$10)))))</f>
        <v>1.6352140148596948</v>
      </c>
      <c r="AZ16" s="159">
        <f>$N16*AY16</f>
        <v>0.53293190409870228</v>
      </c>
      <c r="BA16" s="159">
        <f t="shared" si="15"/>
        <v>6.371627851967145</v>
      </c>
      <c r="BB16" s="157">
        <f t="shared" ref="BB16:BB25" si="95">IF($E16="Antoine's",10^($H16-($I16/(((BB$10-491.69)*5/9)+$J16)))/760*14.7,IF($E16="Non-Volatile",0,(EXP($H16-($I16/BB$10)))))</f>
        <v>2.0521955518736621</v>
      </c>
      <c r="BC16" s="159">
        <f>$N16*BB16</f>
        <v>0.66883017947761314</v>
      </c>
      <c r="BD16" s="159">
        <f t="shared" si="16"/>
        <v>8.0541922659091707</v>
      </c>
      <c r="BE16" s="157">
        <f t="shared" ref="BE16:BE25" si="96">IF($E16="Antoine's",10^($H16-($I16/(((BE$10-491.69)*5/9)+$J16)))/760*14.7,IF($E16="Non-Volatile",0,(EXP($H16-($I16/BE$10)))))</f>
        <v>2.5533261014365318</v>
      </c>
      <c r="BF16" s="159">
        <f>$N16*BE16</f>
        <v>0.83215342374633616</v>
      </c>
      <c r="BG16" s="159">
        <f t="shared" si="17"/>
        <v>10.096573820533477</v>
      </c>
      <c r="BH16" s="157">
        <f t="shared" ref="BH16:BH25" si="97">IF($E16="Antoine's",10^($H16-($I16/(((BH$10-491.69)*5/9)+$J16)))/760*14.7,IF($E16="Non-Volatile",0,(EXP($H16-($I16/BH$10)))))</f>
        <v>3.1509956939027259</v>
      </c>
      <c r="BI16" s="159">
        <f>$N16*BH16</f>
        <v>1.0269396664279913</v>
      </c>
      <c r="BJ16" s="159">
        <f t="shared" si="18"/>
        <v>12.557313011062877</v>
      </c>
      <c r="BK16" s="157">
        <f t="shared" ref="BK16:BK25" si="98">IF($E16="Antoine's",10^($H16-($I16/(((BK$10-491.69)*5/9)+$J16)))/760*14.7,IF($E16="Non-Volatile",0,(EXP($H16-($I16/BK$10)))))</f>
        <v>3.8586771772693798</v>
      </c>
      <c r="BL16" s="159">
        <f>$N16*BK16</f>
        <v>1.2575798376830947</v>
      </c>
      <c r="BM16" s="159">
        <f t="shared" si="19"/>
        <v>15.501266739645429</v>
      </c>
      <c r="BN16" s="164"/>
      <c r="BO16" s="161">
        <f t="shared" si="60"/>
        <v>1.087299228052218</v>
      </c>
      <c r="BP16" s="161">
        <f t="shared" si="61"/>
        <v>1.2467716424425235</v>
      </c>
      <c r="BQ16" s="161">
        <f t="shared" si="62"/>
        <v>1.3991841987380162</v>
      </c>
      <c r="BR16" s="161">
        <f t="shared" si="63"/>
        <v>1.5449955695073152</v>
      </c>
      <c r="BS16" s="161">
        <f t="shared" si="64"/>
        <v>1.6846257422619253</v>
      </c>
      <c r="BT16" s="161">
        <f t="shared" si="65"/>
        <v>1.8184599687517158</v>
      </c>
      <c r="BU16" s="161">
        <f t="shared" si="66"/>
        <v>1.9468522481670458</v>
      </c>
      <c r="BV16" s="161">
        <f t="shared" si="67"/>
        <v>2.0701284058176457</v>
      </c>
      <c r="BW16" s="161">
        <f t="shared" si="68"/>
        <v>2.188588819963345</v>
      </c>
      <c r="BX16" s="161">
        <f t="shared" si="69"/>
        <v>2.3025108419599496</v>
      </c>
      <c r="BY16" s="161">
        <f t="shared" si="70"/>
        <v>2.4121509485256101</v>
      </c>
      <c r="BZ16" s="161">
        <f t="shared" si="71"/>
        <v>2.5177466595397764</v>
      </c>
      <c r="CA16" s="161">
        <f t="shared" si="72"/>
        <v>2.6195182502024346</v>
      </c>
      <c r="CB16" s="161">
        <f t="shared" si="73"/>
        <v>2.7176702824764085</v>
      </c>
      <c r="CC16" s="161">
        <f t="shared" si="74"/>
        <v>2.8123929774027689</v>
      </c>
      <c r="CD16" s="161">
        <f t="shared" si="75"/>
        <v>2.9038634470293059</v>
      </c>
      <c r="CE16" s="165"/>
      <c r="CF16" s="165"/>
      <c r="CG16" s="134" t="str">
        <f t="shared" si="76"/>
        <v>No</v>
      </c>
      <c r="CH16" s="134" t="str">
        <f t="shared" si="77"/>
        <v>x2 = Log (VP) / T</v>
      </c>
      <c r="CI16" s="159" t="str">
        <f t="shared" si="78"/>
        <v/>
      </c>
      <c r="CJ16" s="159" t="str">
        <f t="shared" si="20"/>
        <v/>
      </c>
      <c r="CK16" s="159" t="str">
        <f t="shared" si="20"/>
        <v/>
      </c>
      <c r="CL16" s="159" t="str">
        <f t="shared" si="20"/>
        <v/>
      </c>
      <c r="CM16" s="159" t="str">
        <f t="shared" si="20"/>
        <v/>
      </c>
      <c r="CN16" s="159" t="str">
        <f t="shared" si="20"/>
        <v/>
      </c>
      <c r="CO16" s="159" t="str">
        <f t="shared" si="20"/>
        <v/>
      </c>
      <c r="CP16" s="159" t="str">
        <f t="shared" si="20"/>
        <v/>
      </c>
      <c r="CQ16" s="159" t="str">
        <f t="shared" si="20"/>
        <v/>
      </c>
      <c r="CR16" s="159" t="str">
        <f t="shared" si="20"/>
        <v/>
      </c>
      <c r="CS16" s="159" t="str">
        <f t="shared" si="20"/>
        <v/>
      </c>
      <c r="CT16" s="159" t="str">
        <f t="shared" si="20"/>
        <v/>
      </c>
      <c r="CU16" s="159" t="str">
        <f t="shared" si="20"/>
        <v/>
      </c>
      <c r="CV16" s="159" t="str">
        <f t="shared" si="20"/>
        <v/>
      </c>
      <c r="CW16" s="159" t="str">
        <f t="shared" si="20"/>
        <v/>
      </c>
      <c r="CX16" s="159" t="str">
        <f t="shared" si="20"/>
        <v/>
      </c>
      <c r="CY16" s="151"/>
      <c r="CZ16" s="151"/>
      <c r="DA16" s="163">
        <f t="array" ref="DA16:DC16">IF(CG16="Yes", LINEST(BO16:CD16,CI16:CX17,TRUE, TRUE), 0)</f>
        <v>0</v>
      </c>
      <c r="DB16" s="163">
        <v>0</v>
      </c>
      <c r="DC16" s="163">
        <v>0</v>
      </c>
      <c r="DD16" s="163">
        <f t="shared" si="79"/>
        <v>0</v>
      </c>
      <c r="DE16" s="163">
        <f t="shared" si="80"/>
        <v>0</v>
      </c>
      <c r="DF16" s="163">
        <f t="shared" si="81"/>
        <v>0</v>
      </c>
      <c r="DG16" s="151"/>
      <c r="DH16" s="152"/>
      <c r="DI16" s="152"/>
      <c r="DJ16" s="151"/>
      <c r="DK16" s="151"/>
      <c r="DL16" s="151"/>
      <c r="DM16" s="151"/>
      <c r="DN16" s="151"/>
      <c r="DO16" s="151"/>
      <c r="DP16" s="151"/>
      <c r="DQ16" s="151"/>
      <c r="DR16" s="151"/>
      <c r="DS16" s="151"/>
      <c r="DT16" s="151"/>
    </row>
    <row r="17" spans="1:124" s="17" customFormat="1">
      <c r="A17" s="153" t="s">
        <v>656</v>
      </c>
      <c r="B17" s="154" t="s">
        <v>610</v>
      </c>
      <c r="C17" s="155">
        <v>0.2</v>
      </c>
      <c r="D17" s="156" t="str">
        <f>INDEX('Product Data'!$1:$1048576,MATCH($B17,'Product Data'!$A:$A,0),MATCH(D$11,'Product Data'!$23:$23,0))</f>
        <v>VOC HAP</v>
      </c>
      <c r="E17" s="156" t="str">
        <f>INDEX('Product Data'!$1:$1048576,MATCH($B17,'Product Data'!$A:$A,0),MATCH(E$11,'Product Data'!$23:$23,0))</f>
        <v>Antoine's</v>
      </c>
      <c r="F17" s="156">
        <f>INDEX('Product Data'!$1:$1048576,MATCH($B17,'Product Data'!$A:$A,0),MATCH(F$11,'Product Data'!$23:$23,0))</f>
        <v>92.14</v>
      </c>
      <c r="G17" s="156">
        <f>INDEX('Product Data'!$1:$1048576,MATCH($B17,'Product Data'!$A:$A,0),MATCH(G$11,'Product Data'!$23:$23,0))</f>
        <v>7.2605019999999998</v>
      </c>
      <c r="H17" s="156">
        <f>INDEX('Product Data'!$1:$1048576,MATCH($B17,'Product Data'!$A:$A,0),MATCH(H$11,'Product Data'!$23:$23,0))</f>
        <v>6.9539999999999997</v>
      </c>
      <c r="I17" s="156">
        <f>INDEX('Product Data'!$1:$1048576,MATCH($B17,'Product Data'!$A:$A,0),MATCH(I$11,'Product Data'!$23:$23,0))</f>
        <v>1344.8</v>
      </c>
      <c r="J17" s="156">
        <f>INDEX('Product Data'!$1:$1048576,MATCH($B17,'Product Data'!$A:$A,0),MATCH(J$11,'Product Data'!$23:$23,0))</f>
        <v>219.48</v>
      </c>
      <c r="K17" s="156">
        <f t="shared" si="21"/>
        <v>11.746385162449416</v>
      </c>
      <c r="L17" s="156">
        <f t="shared" si="22"/>
        <v>0.92559857786774802</v>
      </c>
      <c r="M17" s="157">
        <f t="shared" si="23"/>
        <v>2.1706099413935317E-3</v>
      </c>
      <c r="N17" s="158">
        <f t="shared" si="24"/>
        <v>0.12748410204525087</v>
      </c>
      <c r="O17" s="157">
        <f t="shared" si="82"/>
        <v>0.1716360868585611</v>
      </c>
      <c r="P17" s="159">
        <f t="shared" ref="P17:P26" si="99">$N17*O17</f>
        <v>2.1880872411724345E-2</v>
      </c>
      <c r="Q17" s="159">
        <f t="shared" si="4"/>
        <v>0.93640828693305633</v>
      </c>
      <c r="R17" s="157">
        <f t="shared" si="83"/>
        <v>0.23989119236559067</v>
      </c>
      <c r="S17" s="159">
        <f t="shared" ref="S17:S26" si="100">$N17*R17</f>
        <v>3.0582313247291867E-2</v>
      </c>
      <c r="T17" s="159">
        <f t="shared" si="5"/>
        <v>1.209797869892703</v>
      </c>
      <c r="U17" s="157">
        <f t="shared" si="84"/>
        <v>0.33002416645345112</v>
      </c>
      <c r="V17" s="159">
        <f t="shared" ref="V17:V26" si="101">$N17*U17</f>
        <v>4.2072834513550622E-2</v>
      </c>
      <c r="W17" s="159">
        <f t="shared" si="6"/>
        <v>1.5504128906781522</v>
      </c>
      <c r="X17" s="157">
        <f t="shared" si="85"/>
        <v>0.44738266466255944</v>
      </c>
      <c r="Y17" s="159">
        <f t="shared" ref="Y17:Y26" si="102">$N17*X17</f>
        <v>5.7034177275117982E-2</v>
      </c>
      <c r="Z17" s="159">
        <f t="shared" si="7"/>
        <v>1.9719368404543436</v>
      </c>
      <c r="AA17" s="157">
        <f t="shared" si="86"/>
        <v>0.59820186470694514</v>
      </c>
      <c r="AB17" s="159">
        <f t="shared" ref="AB17:AB26" si="103">$N17*AA17</f>
        <v>7.6261227563959547E-2</v>
      </c>
      <c r="AC17" s="159">
        <f t="shared" si="8"/>
        <v>2.490258910065986</v>
      </c>
      <c r="AD17" s="160">
        <f t="shared" si="87"/>
        <v>3.0623814759060054E-2</v>
      </c>
      <c r="AE17" s="159">
        <f>AD17*$F17</f>
        <v>2.8216782918997931</v>
      </c>
      <c r="AF17" s="160">
        <f t="shared" si="37"/>
        <v>2.5211045296803621E-2</v>
      </c>
      <c r="AG17" s="157">
        <f t="shared" si="88"/>
        <v>0.78967166687579748</v>
      </c>
      <c r="AH17" s="159">
        <f t="shared" ref="AH17:AH26" si="104">$N17*AG17</f>
        <v>0.10067058336223753</v>
      </c>
      <c r="AI17" s="159">
        <f t="shared" si="9"/>
        <v>3.1237149094818184</v>
      </c>
      <c r="AJ17" s="157">
        <f t="shared" si="89"/>
        <v>1.0299980283320063</v>
      </c>
      <c r="AK17" s="159">
        <f t="shared" ref="AK17:AK26" si="105">$N17*AJ17</f>
        <v>0.1313083737502847</v>
      </c>
      <c r="AL17" s="159">
        <f t="shared" si="10"/>
        <v>3.8933332603601829</v>
      </c>
      <c r="AM17" s="157">
        <f t="shared" si="90"/>
        <v>1.3284573674284414</v>
      </c>
      <c r="AN17" s="159">
        <f t="shared" ref="AN17:AN26" si="106">$N17*AM17</f>
        <v>0.16935719459201276</v>
      </c>
      <c r="AO17" s="159">
        <f t="shared" si="11"/>
        <v>4.8230828868859472</v>
      </c>
      <c r="AP17" s="157">
        <f t="shared" si="91"/>
        <v>1.6954431520655315</v>
      </c>
      <c r="AQ17" s="159">
        <f t="shared" ref="AQ17:AQ26" si="107">$N17*AP17</f>
        <v>0.21614204780984403</v>
      </c>
      <c r="AR17" s="159">
        <f t="shared" si="12"/>
        <v>5.9401196959263798</v>
      </c>
      <c r="AS17" s="157">
        <f t="shared" si="92"/>
        <v>2.1425039743094341</v>
      </c>
      <c r="AT17" s="159">
        <f t="shared" ref="AT17:AT26" si="108">$N17*AS17</f>
        <v>0.27313519529321945</v>
      </c>
      <c r="AU17" s="159">
        <f t="shared" si="13"/>
        <v>7.2750282953808387</v>
      </c>
      <c r="AV17" s="157">
        <f t="shared" si="93"/>
        <v>2.6823726045998662</v>
      </c>
      <c r="AW17" s="159">
        <f t="shared" ref="AW17:AW26" si="109">$N17*AV17</f>
        <v>0.34195986284819468</v>
      </c>
      <c r="AX17" s="159">
        <f t="shared" si="14"/>
        <v>8.8620556446770138</v>
      </c>
      <c r="AY17" s="157">
        <f t="shared" si="94"/>
        <v>3.3289857065533401</v>
      </c>
      <c r="AZ17" s="159">
        <f t="shared" ref="AZ17:AZ26" si="110">$N17*AY17</f>
        <v>0.42439275352142758</v>
      </c>
      <c r="BA17" s="159">
        <f t="shared" si="15"/>
        <v>10.739333455998111</v>
      </c>
      <c r="BB17" s="157">
        <f t="shared" si="95"/>
        <v>4.0974940723899058</v>
      </c>
      <c r="BC17" s="159">
        <f t="shared" ref="BC17:BC26" si="111">$N17*BB17</f>
        <v>0.52236535245436533</v>
      </c>
      <c r="BD17" s="159">
        <f t="shared" si="16"/>
        <v>12.949086359125044</v>
      </c>
      <c r="BE17" s="157">
        <f t="shared" si="96"/>
        <v>5.0042634052980066</v>
      </c>
      <c r="BF17" s="159">
        <f t="shared" ref="BF17:BF26" si="112">$N17*BE17</f>
        <v>0.63796402662232576</v>
      </c>
      <c r="BG17" s="159">
        <f t="shared" si="17"/>
        <v>15.53782309545101</v>
      </c>
      <c r="BH17" s="157">
        <f t="shared" si="97"/>
        <v>6.0668658256127124</v>
      </c>
      <c r="BI17" s="159">
        <f t="shared" ref="BI17:BI26" si="113">$N17*BH17</f>
        <v>0.7734289420072562</v>
      </c>
      <c r="BJ17" s="159">
        <f t="shared" si="18"/>
        <v>18.556508305784476</v>
      </c>
      <c r="BK17" s="157">
        <f t="shared" si="98"/>
        <v>7.3040624105310101</v>
      </c>
      <c r="BL17" s="159">
        <f t="shared" ref="BL17:BL26" si="114">$N17*BK17</f>
        <v>0.93115183768901633</v>
      </c>
      <c r="BM17" s="159">
        <f t="shared" si="19"/>
        <v>22.060712809921949</v>
      </c>
      <c r="BN17" s="164"/>
      <c r="BO17" s="161">
        <f t="shared" si="60"/>
        <v>1.6849615059503815</v>
      </c>
      <c r="BP17" s="161">
        <f t="shared" si="61"/>
        <v>1.7962090730365152</v>
      </c>
      <c r="BQ17" s="161">
        <f t="shared" si="62"/>
        <v>1.9039436281314082</v>
      </c>
      <c r="BR17" s="161">
        <f t="shared" si="63"/>
        <v>2.0083892582587857</v>
      </c>
      <c r="BS17" s="161">
        <f t="shared" si="64"/>
        <v>2.1097407601976097</v>
      </c>
      <c r="BT17" s="161">
        <f t="shared" si="65"/>
        <v>2.2081676480103756</v>
      </c>
      <c r="BU17" s="161">
        <f t="shared" si="66"/>
        <v>2.3038178374493068</v>
      </c>
      <c r="BV17" s="161">
        <f t="shared" si="67"/>
        <v>2.3968209830679901</v>
      </c>
      <c r="BW17" s="161">
        <f t="shared" si="68"/>
        <v>2.4872914538196316</v>
      </c>
      <c r="BX17" s="161">
        <f t="shared" si="69"/>
        <v>2.5753309443319847</v>
      </c>
      <c r="BY17" s="161">
        <f t="shared" si="70"/>
        <v>2.6610307301634717</v>
      </c>
      <c r="BZ17" s="161">
        <f t="shared" si="71"/>
        <v>2.7444735849515474</v>
      </c>
      <c r="CA17" s="161">
        <f t="shared" si="72"/>
        <v>2.8257353847770585</v>
      </c>
      <c r="CB17" s="161">
        <f t="shared" si="73"/>
        <v>2.9048864300503836</v>
      </c>
      <c r="CC17" s="161">
        <f t="shared" si="74"/>
        <v>2.9819925178750153</v>
      </c>
      <c r="CD17" s="161">
        <f t="shared" si="75"/>
        <v>3.0571157984751554</v>
      </c>
      <c r="CE17" s="165"/>
      <c r="CF17" s="165"/>
      <c r="CG17" s="134" t="str">
        <f t="shared" si="76"/>
        <v>Yes</v>
      </c>
      <c r="CH17" s="134" t="str">
        <f t="shared" si="77"/>
        <v>x1 = 1 / T</v>
      </c>
      <c r="CI17" s="159">
        <f t="shared" si="78"/>
        <v>0.22499999999999998</v>
      </c>
      <c r="CJ17" s="159">
        <f t="shared" si="20"/>
        <v>0.1</v>
      </c>
      <c r="CK17" s="159">
        <f t="shared" si="20"/>
        <v>6.4285714285714293E-2</v>
      </c>
      <c r="CL17" s="159">
        <f t="shared" si="20"/>
        <v>4.736842105263158E-2</v>
      </c>
      <c r="CM17" s="159">
        <f t="shared" si="20"/>
        <v>3.7499999999999999E-2</v>
      </c>
      <c r="CN17" s="159">
        <f t="shared" si="20"/>
        <v>3.1034482758620689E-2</v>
      </c>
      <c r="CO17" s="159">
        <f t="shared" si="20"/>
        <v>2.6470588235294117E-2</v>
      </c>
      <c r="CP17" s="159">
        <f t="shared" si="20"/>
        <v>2.3076923076923075E-2</v>
      </c>
      <c r="CQ17" s="159">
        <f t="shared" si="20"/>
        <v>2.0454545454545454E-2</v>
      </c>
      <c r="CR17" s="159">
        <f t="shared" si="20"/>
        <v>1.8367346938775512E-2</v>
      </c>
      <c r="CS17" s="159">
        <f t="shared" si="20"/>
        <v>1.6666666666666666E-2</v>
      </c>
      <c r="CT17" s="159">
        <f t="shared" si="20"/>
        <v>1.5254237288135592E-2</v>
      </c>
      <c r="CU17" s="159">
        <f t="shared" si="20"/>
        <v>1.4062499999999999E-2</v>
      </c>
      <c r="CV17" s="159">
        <f t="shared" si="20"/>
        <v>1.3043478260869565E-2</v>
      </c>
      <c r="CW17" s="159">
        <f t="shared" si="20"/>
        <v>1.2162162162162161E-2</v>
      </c>
      <c r="CX17" s="159">
        <f t="shared" si="20"/>
        <v>1.1392405063291139E-2</v>
      </c>
      <c r="CY17" s="151"/>
      <c r="CZ17" s="151"/>
      <c r="DA17" s="163">
        <f t="array" ref="DA17:DC17">IF(CG17="Yes", LINEST(BO17:CD17,CI17:CX18,TRUE, TRUE), 0)</f>
        <v>-352.19438606821001</v>
      </c>
      <c r="DB17" s="163">
        <v>561.25444506289421</v>
      </c>
      <c r="DC17" s="163">
        <v>8.9275175590100275</v>
      </c>
      <c r="DD17" s="163">
        <f t="shared" si="79"/>
        <v>8.9275175590100275</v>
      </c>
      <c r="DE17" s="163">
        <f t="shared" si="80"/>
        <v>2582.9671207458073</v>
      </c>
      <c r="DF17" s="163">
        <f t="shared" si="81"/>
        <v>352.19438606821001</v>
      </c>
      <c r="DG17" s="151"/>
      <c r="DH17" s="152"/>
      <c r="DI17" s="152"/>
      <c r="DJ17" s="151"/>
      <c r="DK17" s="151"/>
      <c r="DL17" s="151"/>
      <c r="DM17" s="151"/>
      <c r="DN17" s="151"/>
      <c r="DO17" s="151"/>
      <c r="DP17" s="151"/>
      <c r="DQ17" s="151"/>
      <c r="DR17" s="151"/>
      <c r="DS17" s="151"/>
      <c r="DT17" s="151"/>
    </row>
    <row r="18" spans="1:124" s="17" customFormat="1">
      <c r="A18" s="153" t="s">
        <v>656</v>
      </c>
      <c r="B18" s="154" t="s">
        <v>414</v>
      </c>
      <c r="C18" s="155">
        <v>0.2</v>
      </c>
      <c r="D18" s="156" t="str">
        <f>INDEX('Product Data'!$1:$1048576,MATCH($B18,'Product Data'!$A:$A,0),MATCH(D$11,'Product Data'!$23:$23,0))</f>
        <v>VOC</v>
      </c>
      <c r="E18" s="156" t="str">
        <f>INDEX('Product Data'!$1:$1048576,MATCH($B18,'Product Data'!$A:$A,0),MATCH(E$11,'Product Data'!$23:$23,0))</f>
        <v>Antoine's</v>
      </c>
      <c r="F18" s="156">
        <f>INDEX('Product Data'!$1:$1048576,MATCH($B18,'Product Data'!$A:$A,0),MATCH(F$11,'Product Data'!$23:$23,0))</f>
        <v>46.03</v>
      </c>
      <c r="G18" s="156">
        <f>INDEX('Product Data'!$1:$1048576,MATCH($B18,'Product Data'!$A:$A,0),MATCH(G$11,'Product Data'!$23:$23,0))</f>
        <v>10.181393</v>
      </c>
      <c r="H18" s="156">
        <f>INDEX('Product Data'!$1:$1048576,MATCH($B18,'Product Data'!$A:$A,0),MATCH(H$11,'Product Data'!$23:$23,0))</f>
        <v>7.5810000000000004</v>
      </c>
      <c r="I18" s="156">
        <f>INDEX('Product Data'!$1:$1048576,MATCH($B18,'Product Data'!$A:$A,0),MATCH(I$11,'Product Data'!$23:$23,0))</f>
        <v>1699.2</v>
      </c>
      <c r="J18" s="156">
        <f>INDEX('Product Data'!$1:$1048576,MATCH($B18,'Product Data'!$A:$A,0),MATCH(J$11,'Product Data'!$23:$23,0))</f>
        <v>260.7</v>
      </c>
      <c r="K18" s="156">
        <f t="shared" si="21"/>
        <v>11.746385162449416</v>
      </c>
      <c r="L18" s="156">
        <f t="shared" si="22"/>
        <v>2.5981873488652254</v>
      </c>
      <c r="M18" s="157">
        <f t="shared" si="23"/>
        <v>4.3449923962633067E-3</v>
      </c>
      <c r="N18" s="158">
        <f t="shared" si="24"/>
        <v>0.25518977107211416</v>
      </c>
      <c r="O18" s="157">
        <f t="shared" si="82"/>
        <v>0.28750993060533453</v>
      </c>
      <c r="P18" s="159">
        <f t="shared" si="99"/>
        <v>7.336959337213475E-2</v>
      </c>
      <c r="Q18" s="159">
        <f t="shared" si="4"/>
        <v>0.93640828693305633</v>
      </c>
      <c r="R18" s="157">
        <f t="shared" si="83"/>
        <v>0.38921234724174436</v>
      </c>
      <c r="S18" s="159">
        <f t="shared" si="100"/>
        <v>9.9323009791060943E-2</v>
      </c>
      <c r="T18" s="159">
        <f t="shared" si="5"/>
        <v>1.209797869892703</v>
      </c>
      <c r="U18" s="157">
        <f t="shared" si="84"/>
        <v>0.52051088309785254</v>
      </c>
      <c r="V18" s="159">
        <f t="shared" si="101"/>
        <v>0.13282905309828497</v>
      </c>
      <c r="W18" s="159">
        <f t="shared" si="6"/>
        <v>1.5504128906781522</v>
      </c>
      <c r="X18" s="157">
        <f t="shared" si="85"/>
        <v>0.68816941627197803</v>
      </c>
      <c r="Y18" s="159">
        <f t="shared" si="102"/>
        <v>0.17561379579727651</v>
      </c>
      <c r="Z18" s="159">
        <f t="shared" si="7"/>
        <v>1.9719368404543436</v>
      </c>
      <c r="AA18" s="157">
        <f t="shared" si="86"/>
        <v>0.9000610619514694</v>
      </c>
      <c r="AB18" s="159">
        <f t="shared" si="103"/>
        <v>0.22968637635031944</v>
      </c>
      <c r="AC18" s="159">
        <f t="shared" si="8"/>
        <v>2.490258910065986</v>
      </c>
      <c r="AD18" s="160">
        <f t="shared" si="87"/>
        <v>9.2233934159172748E-2</v>
      </c>
      <c r="AE18" s="159">
        <f t="shared" ref="AE18:AE27" si="115">AD18*$F18</f>
        <v>4.2455279893467219</v>
      </c>
      <c r="AF18" s="160">
        <f t="shared" si="37"/>
        <v>3.7932814224616411E-2</v>
      </c>
      <c r="AG18" s="157">
        <f t="shared" si="88"/>
        <v>1.1652696473835966</v>
      </c>
      <c r="AH18" s="159">
        <f t="shared" si="104"/>
        <v>0.29736489455310322</v>
      </c>
      <c r="AI18" s="159">
        <f t="shared" si="9"/>
        <v>3.1237149094818184</v>
      </c>
      <c r="AJ18" s="157">
        <f t="shared" si="89"/>
        <v>1.4941895190344627</v>
      </c>
      <c r="AK18" s="159">
        <f t="shared" si="105"/>
        <v>0.38130188130075693</v>
      </c>
      <c r="AL18" s="159">
        <f t="shared" si="10"/>
        <v>3.8933332603601829</v>
      </c>
      <c r="AM18" s="157">
        <f t="shared" si="90"/>
        <v>1.8986224667264091</v>
      </c>
      <c r="AN18" s="159">
        <f t="shared" si="106"/>
        <v>0.48450903263628503</v>
      </c>
      <c r="AO18" s="159">
        <f t="shared" si="11"/>
        <v>4.8230828868859472</v>
      </c>
      <c r="AP18" s="157">
        <f t="shared" si="91"/>
        <v>2.3918706028011663</v>
      </c>
      <c r="AQ18" s="159">
        <f t="shared" si="107"/>
        <v>0.61038091156294927</v>
      </c>
      <c r="AR18" s="159">
        <f t="shared" si="12"/>
        <v>5.9401196959263798</v>
      </c>
      <c r="AS18" s="157">
        <f t="shared" si="92"/>
        <v>2.9888241083597467</v>
      </c>
      <c r="AT18" s="159">
        <f t="shared" si="108"/>
        <v>0.76271733998713942</v>
      </c>
      <c r="AU18" s="159">
        <f t="shared" si="13"/>
        <v>7.2750282953808387</v>
      </c>
      <c r="AV18" s="157">
        <f t="shared" si="93"/>
        <v>3.7060428498262308</v>
      </c>
      <c r="AW18" s="159">
        <f t="shared" si="109"/>
        <v>0.94574422643060141</v>
      </c>
      <c r="AX18" s="159">
        <f t="shared" si="14"/>
        <v>8.8620556446770138</v>
      </c>
      <c r="AY18" s="157">
        <f t="shared" si="94"/>
        <v>4.5618309738246472</v>
      </c>
      <c r="AZ18" s="159">
        <f t="shared" si="110"/>
        <v>1.1641326018799913</v>
      </c>
      <c r="BA18" s="159">
        <f t="shared" si="15"/>
        <v>10.739333455998111</v>
      </c>
      <c r="BB18" s="157">
        <f t="shared" si="95"/>
        <v>5.5763037030498497</v>
      </c>
      <c r="BC18" s="159">
        <f t="shared" si="111"/>
        <v>1.4230156654098736</v>
      </c>
      <c r="BD18" s="159">
        <f t="shared" si="16"/>
        <v>12.949086359125044</v>
      </c>
      <c r="BE18" s="157">
        <f t="shared" si="96"/>
        <v>6.7714456770232125</v>
      </c>
      <c r="BF18" s="159">
        <f t="shared" si="112"/>
        <v>1.7280036721468106</v>
      </c>
      <c r="BG18" s="159">
        <f t="shared" si="17"/>
        <v>15.53782309545101</v>
      </c>
      <c r="BH18" s="157">
        <f t="shared" si="97"/>
        <v>8.1711603061694671</v>
      </c>
      <c r="BI18" s="159">
        <f t="shared" si="113"/>
        <v>2.0851965279249325</v>
      </c>
      <c r="BJ18" s="159">
        <f t="shared" si="18"/>
        <v>18.556508305784476</v>
      </c>
      <c r="BK18" s="157">
        <f t="shared" si="98"/>
        <v>9.8013097326627534</v>
      </c>
      <c r="BL18" s="159">
        <f t="shared" si="114"/>
        <v>2.5011939868850925</v>
      </c>
      <c r="BM18" s="159">
        <f t="shared" si="19"/>
        <v>22.060712809921949</v>
      </c>
      <c r="BN18" s="164"/>
      <c r="BO18" s="161">
        <f t="shared" si="60"/>
        <v>1.6849615059503815</v>
      </c>
      <c r="BP18" s="161">
        <f t="shared" si="61"/>
        <v>1.7962090730365152</v>
      </c>
      <c r="BQ18" s="161">
        <f t="shared" si="62"/>
        <v>1.9039436281314082</v>
      </c>
      <c r="BR18" s="161">
        <f t="shared" si="63"/>
        <v>2.0083892582587857</v>
      </c>
      <c r="BS18" s="161">
        <f t="shared" si="64"/>
        <v>2.1097407601976097</v>
      </c>
      <c r="BT18" s="161">
        <f t="shared" si="65"/>
        <v>2.2081676480103756</v>
      </c>
      <c r="BU18" s="161">
        <f t="shared" si="66"/>
        <v>2.3038178374493068</v>
      </c>
      <c r="BV18" s="161">
        <f t="shared" si="67"/>
        <v>2.3968209830679901</v>
      </c>
      <c r="BW18" s="161">
        <f t="shared" si="68"/>
        <v>2.4872914538196316</v>
      </c>
      <c r="BX18" s="161">
        <f t="shared" si="69"/>
        <v>2.5753309443319847</v>
      </c>
      <c r="BY18" s="161">
        <f t="shared" si="70"/>
        <v>2.6610307301634717</v>
      </c>
      <c r="BZ18" s="161">
        <f t="shared" si="71"/>
        <v>2.7444735849515474</v>
      </c>
      <c r="CA18" s="161">
        <f t="shared" si="72"/>
        <v>2.8257353847770585</v>
      </c>
      <c r="CB18" s="161">
        <f t="shared" si="73"/>
        <v>2.9048864300503836</v>
      </c>
      <c r="CC18" s="161">
        <f t="shared" si="74"/>
        <v>2.9819925178750153</v>
      </c>
      <c r="CD18" s="161">
        <f t="shared" si="75"/>
        <v>3.0571157984751554</v>
      </c>
      <c r="CE18" s="165"/>
      <c r="CF18" s="165"/>
      <c r="CG18" s="134" t="str">
        <f t="shared" si="76"/>
        <v>No</v>
      </c>
      <c r="CH18" s="134" t="str">
        <f t="shared" si="77"/>
        <v>x2 = Log (VP) / T</v>
      </c>
      <c r="CI18" s="159">
        <f t="shared" si="78"/>
        <v>0.37911633883883583</v>
      </c>
      <c r="CJ18" s="159">
        <f t="shared" si="20"/>
        <v>0.17962090730365154</v>
      </c>
      <c r="CK18" s="159">
        <f t="shared" si="20"/>
        <v>0.12239637609416197</v>
      </c>
      <c r="CL18" s="159">
        <f t="shared" si="20"/>
        <v>9.5134228022784581E-2</v>
      </c>
      <c r="CM18" s="159">
        <f t="shared" si="20"/>
        <v>7.9115278507410361E-2</v>
      </c>
      <c r="CN18" s="159">
        <f t="shared" si="20"/>
        <v>6.8529340800321997E-2</v>
      </c>
      <c r="CO18" s="159">
        <f t="shared" si="20"/>
        <v>6.0983413344246354E-2</v>
      </c>
      <c r="CP18" s="159">
        <f t="shared" si="20"/>
        <v>5.5311253455415148E-2</v>
      </c>
      <c r="CQ18" s="159">
        <f t="shared" si="20"/>
        <v>5.0876416100856102E-2</v>
      </c>
      <c r="CR18" s="159">
        <f t="shared" si="20"/>
        <v>4.7301996936709931E-2</v>
      </c>
      <c r="CS18" s="159">
        <f t="shared" si="20"/>
        <v>4.4350512169391197E-2</v>
      </c>
      <c r="CT18" s="159">
        <f t="shared" si="20"/>
        <v>4.1864851295871058E-2</v>
      </c>
      <c r="CU18" s="159">
        <f t="shared" si="20"/>
        <v>3.9736903848427381E-2</v>
      </c>
      <c r="CV18" s="159">
        <f t="shared" si="20"/>
        <v>3.7889823000657179E-2</v>
      </c>
      <c r="CW18" s="159">
        <f t="shared" si="20"/>
        <v>3.6267476568750186E-2</v>
      </c>
      <c r="CX18" s="159">
        <f t="shared" si="20"/>
        <v>3.4827901501615695E-2</v>
      </c>
      <c r="CY18" s="151"/>
      <c r="CZ18" s="151"/>
      <c r="DA18" s="163">
        <f t="array" ref="DA18:DC18">IF(CG18="Yes", LINEST(BO18:CD18,CI18:CX19,TRUE, TRUE), 0)</f>
        <v>0</v>
      </c>
      <c r="DB18" s="163">
        <v>0</v>
      </c>
      <c r="DC18" s="163">
        <v>0</v>
      </c>
      <c r="DD18" s="163">
        <f t="shared" si="79"/>
        <v>0</v>
      </c>
      <c r="DE18" s="163">
        <f t="shared" si="80"/>
        <v>0</v>
      </c>
      <c r="DF18" s="163">
        <f t="shared" si="81"/>
        <v>0</v>
      </c>
      <c r="DG18" s="151"/>
      <c r="DH18" s="152"/>
      <c r="DI18" s="152"/>
      <c r="DJ18" s="151"/>
      <c r="DK18" s="151"/>
      <c r="DL18" s="151"/>
      <c r="DM18" s="151"/>
      <c r="DN18" s="151"/>
      <c r="DO18" s="151"/>
      <c r="DP18" s="151"/>
      <c r="DQ18" s="151"/>
      <c r="DR18" s="151"/>
      <c r="DS18" s="151"/>
      <c r="DT18" s="151"/>
    </row>
    <row r="19" spans="1:124" s="17" customFormat="1">
      <c r="A19" s="153" t="s">
        <v>656</v>
      </c>
      <c r="B19" s="154" t="s">
        <v>484</v>
      </c>
      <c r="C19" s="155">
        <v>0.47</v>
      </c>
      <c r="D19" s="156" t="str">
        <f>INDEX('Product Data'!$1:$1048576,MATCH($B19,'Product Data'!$A:$A,0),MATCH(D$11,'Product Data'!$23:$23,0))</f>
        <v>VOC</v>
      </c>
      <c r="E19" s="156" t="str">
        <f>INDEX('Product Data'!$1:$1048576,MATCH($B19,'Product Data'!$A:$A,0),MATCH(E$11,'Product Data'!$23:$23,0))</f>
        <v>Antoine's</v>
      </c>
      <c r="F19" s="156">
        <f>INDEX('Product Data'!$1:$1048576,MATCH($B19,'Product Data'!$A:$A,0),MATCH(F$11,'Product Data'!$23:$23,0))</f>
        <v>60.09</v>
      </c>
      <c r="G19" s="156">
        <f>INDEX('Product Data'!$1:$1048576,MATCH($B19,'Product Data'!$A:$A,0),MATCH(G$11,'Product Data'!$23:$23,0))</f>
        <v>6.5730000000000004</v>
      </c>
      <c r="H19" s="156">
        <f>INDEX('Product Data'!$1:$1048576,MATCH($B19,'Product Data'!$A:$A,0),MATCH(H$11,'Product Data'!$23:$23,0))</f>
        <v>8.1176999999999992</v>
      </c>
      <c r="I19" s="156">
        <f>INDEX('Product Data'!$1:$1048576,MATCH($B19,'Product Data'!$A:$A,0),MATCH(I$11,'Product Data'!$23:$23,0))</f>
        <v>1580.92</v>
      </c>
      <c r="J19" s="156">
        <f>INDEX('Product Data'!$1:$1048576,MATCH($B19,'Product Data'!$A:$A,0),MATCH(J$11,'Product Data'!$23:$23,0))</f>
        <v>219.61</v>
      </c>
      <c r="K19" s="156">
        <f t="shared" si="21"/>
        <v>27.604005131756121</v>
      </c>
      <c r="L19" s="156">
        <f t="shared" si="22"/>
        <v>3.0194895278920453</v>
      </c>
      <c r="M19" s="157">
        <f t="shared" si="23"/>
        <v>7.8216009319354296E-3</v>
      </c>
      <c r="N19" s="158">
        <f t="shared" si="24"/>
        <v>0.4593776856674342</v>
      </c>
      <c r="O19" s="157">
        <f t="shared" si="82"/>
        <v>0.22278719815024675</v>
      </c>
      <c r="P19" s="159">
        <f t="shared" si="99"/>
        <v>0.10234346748259243</v>
      </c>
      <c r="Q19" s="159">
        <f t="shared" si="4"/>
        <v>0.93640828693305633</v>
      </c>
      <c r="R19" s="157">
        <f t="shared" si="83"/>
        <v>0.33008846735092362</v>
      </c>
      <c r="S19" s="159">
        <f t="shared" si="100"/>
        <v>0.1516352761971777</v>
      </c>
      <c r="T19" s="159">
        <f t="shared" si="5"/>
        <v>1.209797869892703</v>
      </c>
      <c r="U19" s="157">
        <f t="shared" si="84"/>
        <v>0.48006821642668662</v>
      </c>
      <c r="V19" s="159">
        <f t="shared" si="101"/>
        <v>0.22053262622458422</v>
      </c>
      <c r="W19" s="159">
        <f t="shared" si="6"/>
        <v>1.5504128906781522</v>
      </c>
      <c r="X19" s="157">
        <f t="shared" si="85"/>
        <v>0.68622515096755088</v>
      </c>
      <c r="Y19" s="159">
        <f t="shared" si="102"/>
        <v>0.31523652169825916</v>
      </c>
      <c r="Z19" s="159">
        <f t="shared" si="7"/>
        <v>1.9719368404543436</v>
      </c>
      <c r="AA19" s="157">
        <f t="shared" si="86"/>
        <v>0.96522724060608611</v>
      </c>
      <c r="AB19" s="159">
        <f t="shared" si="103"/>
        <v>0.44340385593278753</v>
      </c>
      <c r="AC19" s="159">
        <f t="shared" si="8"/>
        <v>2.490258910065986</v>
      </c>
      <c r="AD19" s="160">
        <f t="shared" si="87"/>
        <v>0.17805532354105236</v>
      </c>
      <c r="AE19" s="159">
        <f t="shared" si="115"/>
        <v>10.699344391581837</v>
      </c>
      <c r="AF19" s="160">
        <f t="shared" si="37"/>
        <v>9.5596176529627874E-2</v>
      </c>
      <c r="AG19" s="157">
        <f t="shared" si="88"/>
        <v>1.3373808816271875</v>
      </c>
      <c r="AH19" s="159">
        <f t="shared" si="104"/>
        <v>0.61436293425777011</v>
      </c>
      <c r="AI19" s="159">
        <f t="shared" si="9"/>
        <v>3.1237149094818184</v>
      </c>
      <c r="AJ19" s="157">
        <f t="shared" si="89"/>
        <v>1.8271179662778581</v>
      </c>
      <c r="AK19" s="159">
        <f t="shared" si="105"/>
        <v>0.83933722279011147</v>
      </c>
      <c r="AL19" s="159">
        <f t="shared" si="10"/>
        <v>3.8933332603601829</v>
      </c>
      <c r="AM19" s="157">
        <f t="shared" si="90"/>
        <v>2.4634942854595336</v>
      </c>
      <c r="AN19" s="159">
        <f t="shared" si="106"/>
        <v>1.1316743035093502</v>
      </c>
      <c r="AO19" s="159">
        <f t="shared" si="11"/>
        <v>4.8230828868859472</v>
      </c>
      <c r="AP19" s="157">
        <f t="shared" si="91"/>
        <v>3.2806923262487886</v>
      </c>
      <c r="AQ19" s="159">
        <f t="shared" si="107"/>
        <v>1.5070768482190795</v>
      </c>
      <c r="AR19" s="159">
        <f t="shared" si="12"/>
        <v>5.9401196959263798</v>
      </c>
      <c r="AS19" s="157">
        <f t="shared" si="92"/>
        <v>4.3185213604296511</v>
      </c>
      <c r="AT19" s="159">
        <f t="shared" si="108"/>
        <v>1.9838323480595526</v>
      </c>
      <c r="AU19" s="159">
        <f t="shared" si="13"/>
        <v>7.2750282953808387</v>
      </c>
      <c r="AV19" s="157">
        <f t="shared" si="93"/>
        <v>5.6229077457683614</v>
      </c>
      <c r="AW19" s="159">
        <f t="shared" si="109"/>
        <v>2.5830383469725593</v>
      </c>
      <c r="AX19" s="159">
        <f t="shared" si="14"/>
        <v>8.8620556446770138</v>
      </c>
      <c r="AY19" s="157">
        <f t="shared" si="94"/>
        <v>7.2463685623593603</v>
      </c>
      <c r="AZ19" s="159">
        <f t="shared" si="110"/>
        <v>3.3288200196698954</v>
      </c>
      <c r="BA19" s="159">
        <f t="shared" si="15"/>
        <v>10.739333455998111</v>
      </c>
      <c r="BB19" s="157">
        <f t="shared" si="95"/>
        <v>9.248462061419465</v>
      </c>
      <c r="BC19" s="159">
        <f t="shared" si="111"/>
        <v>4.248537097757942</v>
      </c>
      <c r="BD19" s="159">
        <f t="shared" si="16"/>
        <v>12.949086359125044</v>
      </c>
      <c r="BE19" s="157">
        <f t="shared" si="96"/>
        <v>11.696208889642225</v>
      </c>
      <c r="BF19" s="159">
        <f t="shared" si="112"/>
        <v>5.3729773708067157</v>
      </c>
      <c r="BG19" s="159">
        <f t="shared" si="17"/>
        <v>15.53782309545101</v>
      </c>
      <c r="BH19" s="157">
        <f t="shared" si="97"/>
        <v>14.664478643242242</v>
      </c>
      <c r="BI19" s="159">
        <f t="shared" si="113"/>
        <v>6.736534260652137</v>
      </c>
      <c r="BJ19" s="159">
        <f t="shared" si="18"/>
        <v>18.556508305784476</v>
      </c>
      <c r="BK19" s="157">
        <f t="shared" si="98"/>
        <v>18.23633697639174</v>
      </c>
      <c r="BL19" s="159">
        <f t="shared" si="114"/>
        <v>8.3773662752662919</v>
      </c>
      <c r="BM19" s="159">
        <f t="shared" si="19"/>
        <v>22.060712809921949</v>
      </c>
      <c r="BN19" s="164"/>
      <c r="BO19" s="161">
        <f t="shared" si="60"/>
        <v>1.6849615059503815</v>
      </c>
      <c r="BP19" s="161">
        <f t="shared" si="61"/>
        <v>1.7962090730365152</v>
      </c>
      <c r="BQ19" s="161">
        <f t="shared" si="62"/>
        <v>1.9039436281314082</v>
      </c>
      <c r="BR19" s="161">
        <f t="shared" si="63"/>
        <v>2.0083892582587857</v>
      </c>
      <c r="BS19" s="161">
        <f t="shared" si="64"/>
        <v>2.1097407601976097</v>
      </c>
      <c r="BT19" s="161">
        <f t="shared" si="65"/>
        <v>2.2081676480103756</v>
      </c>
      <c r="BU19" s="161">
        <f t="shared" si="66"/>
        <v>2.3038178374493068</v>
      </c>
      <c r="BV19" s="161">
        <f t="shared" si="67"/>
        <v>2.3968209830679901</v>
      </c>
      <c r="BW19" s="161">
        <f t="shared" si="68"/>
        <v>2.4872914538196316</v>
      </c>
      <c r="BX19" s="161">
        <f t="shared" si="69"/>
        <v>2.5753309443319847</v>
      </c>
      <c r="BY19" s="161">
        <f t="shared" si="70"/>
        <v>2.6610307301634717</v>
      </c>
      <c r="BZ19" s="161">
        <f t="shared" si="71"/>
        <v>2.7444735849515474</v>
      </c>
      <c r="CA19" s="161">
        <f t="shared" si="72"/>
        <v>2.8257353847770585</v>
      </c>
      <c r="CB19" s="161">
        <f t="shared" si="73"/>
        <v>2.9048864300503836</v>
      </c>
      <c r="CC19" s="161">
        <f t="shared" si="74"/>
        <v>2.9819925178750153</v>
      </c>
      <c r="CD19" s="161">
        <f t="shared" si="75"/>
        <v>3.0571157984751554</v>
      </c>
      <c r="CE19" s="165"/>
      <c r="CF19" s="165"/>
      <c r="CG19" s="134" t="str">
        <f t="shared" si="76"/>
        <v>No</v>
      </c>
      <c r="CH19" s="134" t="str">
        <f t="shared" si="77"/>
        <v>x2 = Log (VP) / T</v>
      </c>
      <c r="CI19" s="159" t="str">
        <f t="shared" si="78"/>
        <v/>
      </c>
      <c r="CJ19" s="159" t="str">
        <f t="shared" si="20"/>
        <v/>
      </c>
      <c r="CK19" s="159" t="str">
        <f t="shared" si="20"/>
        <v/>
      </c>
      <c r="CL19" s="159" t="str">
        <f t="shared" si="20"/>
        <v/>
      </c>
      <c r="CM19" s="159" t="str">
        <f t="shared" si="20"/>
        <v/>
      </c>
      <c r="CN19" s="159" t="str">
        <f t="shared" si="20"/>
        <v/>
      </c>
      <c r="CO19" s="159" t="str">
        <f t="shared" si="20"/>
        <v/>
      </c>
      <c r="CP19" s="159" t="str">
        <f t="shared" si="20"/>
        <v/>
      </c>
      <c r="CQ19" s="159" t="str">
        <f t="shared" si="20"/>
        <v/>
      </c>
      <c r="CR19" s="159" t="str">
        <f t="shared" si="20"/>
        <v/>
      </c>
      <c r="CS19" s="159" t="str">
        <f t="shared" si="20"/>
        <v/>
      </c>
      <c r="CT19" s="159" t="str">
        <f t="shared" si="20"/>
        <v/>
      </c>
      <c r="CU19" s="159" t="str">
        <f t="shared" si="20"/>
        <v/>
      </c>
      <c r="CV19" s="159" t="str">
        <f t="shared" si="20"/>
        <v/>
      </c>
      <c r="CW19" s="159" t="str">
        <f t="shared" si="20"/>
        <v/>
      </c>
      <c r="CX19" s="159" t="str">
        <f t="shared" si="20"/>
        <v/>
      </c>
      <c r="CY19" s="151"/>
      <c r="CZ19" s="151"/>
      <c r="DA19" s="163">
        <f t="array" ref="DA19:DC19">IF(CG19="Yes", LINEST(BO19:CD19,CI19:CX20,TRUE, TRUE), 0)</f>
        <v>0</v>
      </c>
      <c r="DB19" s="163">
        <v>0</v>
      </c>
      <c r="DC19" s="163">
        <v>0</v>
      </c>
      <c r="DD19" s="163">
        <f t="shared" si="79"/>
        <v>0</v>
      </c>
      <c r="DE19" s="163">
        <f t="shared" si="80"/>
        <v>0</v>
      </c>
      <c r="DF19" s="163">
        <f t="shared" si="81"/>
        <v>0</v>
      </c>
      <c r="DG19" s="151"/>
      <c r="DH19" s="152"/>
      <c r="DI19" s="152"/>
      <c r="DJ19" s="151"/>
      <c r="DK19" s="151"/>
      <c r="DL19" s="151"/>
      <c r="DM19" s="151"/>
      <c r="DN19" s="151"/>
      <c r="DO19" s="151"/>
      <c r="DP19" s="151"/>
      <c r="DQ19" s="151"/>
      <c r="DR19" s="151"/>
      <c r="DS19" s="151"/>
      <c r="DT19" s="151"/>
    </row>
    <row r="20" spans="1:124" s="17" customFormat="1">
      <c r="A20" s="153" t="s">
        <v>656</v>
      </c>
      <c r="B20" s="154" t="s">
        <v>256</v>
      </c>
      <c r="C20" s="155">
        <v>0.05</v>
      </c>
      <c r="D20" s="156" t="str">
        <f>INDEX('Product Data'!$1:$1048576,MATCH($B20,'Product Data'!$A:$A,0),MATCH(D$11,'Product Data'!$23:$23,0))</f>
        <v>VOC HAP</v>
      </c>
      <c r="E20" s="156" t="str">
        <f>INDEX('Product Data'!$1:$1048576,MATCH($B20,'Product Data'!$A:$A,0),MATCH(E$11,'Product Data'!$23:$23,0))</f>
        <v>Antoine's</v>
      </c>
      <c r="F20" s="156">
        <f>INDEX('Product Data'!$1:$1048576,MATCH($B20,'Product Data'!$A:$A,0),MATCH(F$11,'Product Data'!$23:$23,0))</f>
        <v>78.11</v>
      </c>
      <c r="G20" s="156">
        <f>INDEX('Product Data'!$1:$1048576,MATCH($B20,'Product Data'!$A:$A,0),MATCH(G$11,'Product Data'!$23:$23,0))</f>
        <v>7.3650000000000002</v>
      </c>
      <c r="H20" s="156">
        <f>INDEX('Product Data'!$1:$1048576,MATCH($B20,'Product Data'!$A:$A,0),MATCH(H$11,'Product Data'!$23:$23,0))</f>
        <v>6.9050000000000002</v>
      </c>
      <c r="I20" s="156">
        <f>INDEX('Product Data'!$1:$1048576,MATCH($B20,'Product Data'!$A:$A,0),MATCH(I$11,'Product Data'!$23:$23,0))</f>
        <v>1211.0329999999999</v>
      </c>
      <c r="J20" s="156">
        <f>INDEX('Product Data'!$1:$1048576,MATCH($B20,'Product Data'!$A:$A,0),MATCH(J$11,'Product Data'!$23:$23,0))</f>
        <v>220.79</v>
      </c>
      <c r="K20" s="156">
        <f t="shared" si="21"/>
        <v>2.9365962906123539</v>
      </c>
      <c r="L20" s="156">
        <f t="shared" si="22"/>
        <v>0.27689196876661104</v>
      </c>
      <c r="M20" s="157">
        <f t="shared" si="23"/>
        <v>6.401229035974908E-4</v>
      </c>
      <c r="N20" s="158">
        <f t="shared" si="24"/>
        <v>3.7595650884808013E-2</v>
      </c>
      <c r="O20" s="157">
        <f t="shared" si="82"/>
        <v>0.65233706513894585</v>
      </c>
      <c r="P20" s="159">
        <f t="shared" si="99"/>
        <v>2.4525036560184073E-2</v>
      </c>
      <c r="Q20" s="159">
        <f t="shared" si="4"/>
        <v>0.93640828693305633</v>
      </c>
      <c r="R20" s="157">
        <f t="shared" si="83"/>
        <v>0.87884785515777897</v>
      </c>
      <c r="S20" s="159">
        <f t="shared" si="100"/>
        <v>3.304085714337418E-2</v>
      </c>
      <c r="T20" s="159">
        <f t="shared" si="5"/>
        <v>1.209797869892703</v>
      </c>
      <c r="U20" s="157">
        <f t="shared" si="84"/>
        <v>1.1675345033107609</v>
      </c>
      <c r="V20" s="159">
        <f t="shared" si="101"/>
        <v>4.3894219582439095E-2</v>
      </c>
      <c r="W20" s="159">
        <f t="shared" si="6"/>
        <v>1.5504128906781522</v>
      </c>
      <c r="X20" s="157">
        <f t="shared" si="85"/>
        <v>1.5309444950279518</v>
      </c>
      <c r="Y20" s="159">
        <f t="shared" si="102"/>
        <v>5.7556854759089573E-2</v>
      </c>
      <c r="Z20" s="159">
        <f t="shared" si="7"/>
        <v>1.9719368404543436</v>
      </c>
      <c r="AA20" s="157">
        <f t="shared" si="86"/>
        <v>1.9831908746838736</v>
      </c>
      <c r="AB20" s="159">
        <f t="shared" si="103"/>
        <v>7.4559351762551948E-2</v>
      </c>
      <c r="AC20" s="159">
        <f t="shared" si="8"/>
        <v>2.490258910065986</v>
      </c>
      <c r="AD20" s="160">
        <f t="shared" si="87"/>
        <v>2.9940401562734014E-2</v>
      </c>
      <c r="AE20" s="159">
        <f t="shared" si="115"/>
        <v>2.3386447660651539</v>
      </c>
      <c r="AF20" s="160">
        <f t="shared" si="37"/>
        <v>2.0895252056074985E-2</v>
      </c>
      <c r="AG20" s="157">
        <f t="shared" si="88"/>
        <v>2.5399961871626178</v>
      </c>
      <c r="AH20" s="159">
        <f t="shared" si="104"/>
        <v>9.5492809901309247E-2</v>
      </c>
      <c r="AI20" s="159">
        <f t="shared" si="9"/>
        <v>3.1237149094818184</v>
      </c>
      <c r="AJ20" s="157">
        <f t="shared" si="89"/>
        <v>3.2187207766379236</v>
      </c>
      <c r="AK20" s="159">
        <f t="shared" si="105"/>
        <v>0.12100990261415749</v>
      </c>
      <c r="AL20" s="159">
        <f t="shared" si="10"/>
        <v>3.8933332603601829</v>
      </c>
      <c r="AM20" s="157">
        <f t="shared" si="90"/>
        <v>4.0383752127700365</v>
      </c>
      <c r="AN20" s="159">
        <f t="shared" si="106"/>
        <v>0.15182534464116457</v>
      </c>
      <c r="AO20" s="159">
        <f t="shared" si="11"/>
        <v>4.8230828868859472</v>
      </c>
      <c r="AP20" s="157">
        <f t="shared" si="91"/>
        <v>5.0196169528216146</v>
      </c>
      <c r="AQ20" s="159">
        <f t="shared" si="107"/>
        <v>0.18871576653374522</v>
      </c>
      <c r="AR20" s="159">
        <f t="shared" si="12"/>
        <v>5.9401196959263798</v>
      </c>
      <c r="AS20" s="157">
        <f t="shared" si="92"/>
        <v>6.1847316494803799</v>
      </c>
      <c r="AT20" s="159">
        <f t="shared" si="108"/>
        <v>0.23251901191008717</v>
      </c>
      <c r="AU20" s="159">
        <f t="shared" si="13"/>
        <v>7.2750282953808387</v>
      </c>
      <c r="AV20" s="157">
        <f t="shared" si="93"/>
        <v>7.5575997739861664</v>
      </c>
      <c r="AW20" s="159">
        <f t="shared" si="109"/>
        <v>0.28413288262988784</v>
      </c>
      <c r="AX20" s="159">
        <f t="shared" si="14"/>
        <v>8.8620556446770138</v>
      </c>
      <c r="AY20" s="157">
        <f t="shared" si="94"/>
        <v>9.1636494404196647</v>
      </c>
      <c r="AZ20" s="159">
        <f t="shared" si="110"/>
        <v>0.34451336519278403</v>
      </c>
      <c r="BA20" s="159">
        <f t="shared" si="15"/>
        <v>10.739333455998111</v>
      </c>
      <c r="BB20" s="157">
        <f t="shared" si="95"/>
        <v>11.029796489618068</v>
      </c>
      <c r="BC20" s="159">
        <f t="shared" si="111"/>
        <v>0.41467237815416186</v>
      </c>
      <c r="BD20" s="159">
        <f t="shared" si="16"/>
        <v>12.949086359125044</v>
      </c>
      <c r="BE20" s="157">
        <f t="shared" si="96"/>
        <v>13.184373021593615</v>
      </c>
      <c r="BF20" s="159">
        <f t="shared" si="112"/>
        <v>0.49567508525491488</v>
      </c>
      <c r="BG20" s="159">
        <f t="shared" si="17"/>
        <v>15.53782309545101</v>
      </c>
      <c r="BH20" s="157">
        <f t="shared" si="97"/>
        <v>15.657045656172816</v>
      </c>
      <c r="BI20" s="159">
        <f t="shared" si="113"/>
        <v>0.58863682237697301</v>
      </c>
      <c r="BJ20" s="159">
        <f t="shared" si="18"/>
        <v>18.556508305784476</v>
      </c>
      <c r="BK20" s="157">
        <f t="shared" si="98"/>
        <v>18.478724856280472</v>
      </c>
      <c r="BL20" s="159">
        <f t="shared" si="114"/>
        <v>0.69471968849314469</v>
      </c>
      <c r="BM20" s="159">
        <f t="shared" si="19"/>
        <v>22.060712809921949</v>
      </c>
      <c r="BN20" s="164"/>
      <c r="BO20" s="161">
        <f t="shared" si="60"/>
        <v>1.6849615059503815</v>
      </c>
      <c r="BP20" s="161">
        <f t="shared" si="61"/>
        <v>1.7962090730365152</v>
      </c>
      <c r="BQ20" s="161">
        <f t="shared" si="62"/>
        <v>1.9039436281314082</v>
      </c>
      <c r="BR20" s="161">
        <f t="shared" si="63"/>
        <v>2.0083892582587857</v>
      </c>
      <c r="BS20" s="161">
        <f t="shared" si="64"/>
        <v>2.1097407601976097</v>
      </c>
      <c r="BT20" s="161">
        <f t="shared" si="65"/>
        <v>2.2081676480103756</v>
      </c>
      <c r="BU20" s="161">
        <f t="shared" si="66"/>
        <v>2.3038178374493068</v>
      </c>
      <c r="BV20" s="161">
        <f t="shared" si="67"/>
        <v>2.3968209830679901</v>
      </c>
      <c r="BW20" s="161">
        <f t="shared" si="68"/>
        <v>2.4872914538196316</v>
      </c>
      <c r="BX20" s="161">
        <f t="shared" si="69"/>
        <v>2.5753309443319847</v>
      </c>
      <c r="BY20" s="161">
        <f t="shared" si="70"/>
        <v>2.6610307301634717</v>
      </c>
      <c r="BZ20" s="161">
        <f t="shared" si="71"/>
        <v>2.7444735849515474</v>
      </c>
      <c r="CA20" s="161">
        <f t="shared" si="72"/>
        <v>2.8257353847770585</v>
      </c>
      <c r="CB20" s="161">
        <f t="shared" si="73"/>
        <v>2.9048864300503836</v>
      </c>
      <c r="CC20" s="161">
        <f t="shared" si="74"/>
        <v>2.9819925178750153</v>
      </c>
      <c r="CD20" s="161">
        <f t="shared" si="75"/>
        <v>3.0571157984751554</v>
      </c>
      <c r="CE20" s="165"/>
      <c r="CF20" s="165"/>
      <c r="CG20" s="134" t="str">
        <f t="shared" si="76"/>
        <v>No</v>
      </c>
      <c r="CH20" s="134" t="str">
        <f t="shared" si="77"/>
        <v>x2 = Log (VP) / T</v>
      </c>
      <c r="CI20" s="159" t="str">
        <f t="shared" si="78"/>
        <v/>
      </c>
      <c r="CJ20" s="159" t="str">
        <f t="shared" si="20"/>
        <v/>
      </c>
      <c r="CK20" s="159" t="str">
        <f t="shared" si="20"/>
        <v/>
      </c>
      <c r="CL20" s="159" t="str">
        <f t="shared" si="20"/>
        <v/>
      </c>
      <c r="CM20" s="159" t="str">
        <f t="shared" si="20"/>
        <v/>
      </c>
      <c r="CN20" s="159" t="str">
        <f t="shared" si="20"/>
        <v/>
      </c>
      <c r="CO20" s="159" t="str">
        <f t="shared" si="20"/>
        <v/>
      </c>
      <c r="CP20" s="159" t="str">
        <f t="shared" si="20"/>
        <v/>
      </c>
      <c r="CQ20" s="159" t="str">
        <f t="shared" si="20"/>
        <v/>
      </c>
      <c r="CR20" s="159" t="str">
        <f t="shared" si="20"/>
        <v/>
      </c>
      <c r="CS20" s="159" t="str">
        <f t="shared" si="20"/>
        <v/>
      </c>
      <c r="CT20" s="159" t="str">
        <f t="shared" si="20"/>
        <v/>
      </c>
      <c r="CU20" s="159" t="str">
        <f t="shared" si="20"/>
        <v/>
      </c>
      <c r="CV20" s="159" t="str">
        <f t="shared" si="20"/>
        <v/>
      </c>
      <c r="CW20" s="159" t="str">
        <f t="shared" si="20"/>
        <v/>
      </c>
      <c r="CX20" s="159" t="str">
        <f t="shared" si="20"/>
        <v/>
      </c>
      <c r="CY20" s="151"/>
      <c r="CZ20" s="151"/>
      <c r="DA20" s="163">
        <f t="array" ref="DA20:DC20">IF(CG20="Yes", LINEST(BO20:CD20,CI20:CX21,TRUE, TRUE), 0)</f>
        <v>0</v>
      </c>
      <c r="DB20" s="163">
        <v>0</v>
      </c>
      <c r="DC20" s="163">
        <v>0</v>
      </c>
      <c r="DD20" s="163">
        <f t="shared" si="79"/>
        <v>0</v>
      </c>
      <c r="DE20" s="163">
        <f t="shared" si="80"/>
        <v>0</v>
      </c>
      <c r="DF20" s="163">
        <f t="shared" si="81"/>
        <v>0</v>
      </c>
      <c r="DG20" s="151"/>
      <c r="DH20" s="152"/>
      <c r="DI20" s="152"/>
      <c r="DJ20" s="151"/>
      <c r="DK20" s="151"/>
      <c r="DL20" s="151"/>
      <c r="DM20" s="151"/>
      <c r="DN20" s="151"/>
      <c r="DO20" s="151"/>
      <c r="DP20" s="151"/>
      <c r="DQ20" s="151"/>
      <c r="DR20" s="151"/>
      <c r="DS20" s="151"/>
      <c r="DT20" s="151"/>
    </row>
    <row r="21" spans="1:124" s="17" customFormat="1">
      <c r="A21" s="153" t="s">
        <v>656</v>
      </c>
      <c r="B21" s="154" t="s">
        <v>616</v>
      </c>
      <c r="C21" s="155">
        <v>0.05</v>
      </c>
      <c r="D21" s="156" t="str">
        <f>INDEX('Product Data'!$1:$1048576,MATCH($B21,'Product Data'!$A:$A,0),MATCH(D$11,'Product Data'!$23:$23,0))</f>
        <v>VOC Exempt HAP</v>
      </c>
      <c r="E21" s="156" t="str">
        <f>INDEX('Product Data'!$1:$1048576,MATCH($B21,'Product Data'!$A:$A,0),MATCH(E$11,'Product Data'!$23:$23,0))</f>
        <v>Antoine's</v>
      </c>
      <c r="F21" s="156">
        <f>INDEX('Product Data'!$1:$1048576,MATCH($B21,'Product Data'!$A:$A,0),MATCH(F$11,'Product Data'!$23:$23,0))</f>
        <v>133.41999999999999</v>
      </c>
      <c r="G21" s="156">
        <f>INDEX('Product Data'!$1:$1048576,MATCH($B21,'Product Data'!$A:$A,0),MATCH(G$11,'Product Data'!$23:$23,0))</f>
        <v>11.215999999999999</v>
      </c>
      <c r="H21" s="156">
        <f>INDEX('Product Data'!$1:$1048576,MATCH($B21,'Product Data'!$A:$A,0),MATCH(H$11,'Product Data'!$23:$23,0))</f>
        <v>8.6430000000000007</v>
      </c>
      <c r="I21" s="156">
        <f>INDEX('Product Data'!$1:$1048576,MATCH($B21,'Product Data'!$A:$A,0),MATCH(I$11,'Product Data'!$23:$23,0))</f>
        <v>2136.6</v>
      </c>
      <c r="J21" s="156">
        <f>INDEX('Product Data'!$1:$1048576,MATCH($B21,'Product Data'!$A:$A,0),MATCH(J$11,'Product Data'!$23:$23,0))</f>
        <v>302.8</v>
      </c>
      <c r="K21" s="156">
        <f t="shared" si="21"/>
        <v>2.9365962906123539</v>
      </c>
      <c r="L21" s="156">
        <f t="shared" si="22"/>
        <v>0.24686601705522532</v>
      </c>
      <c r="M21" s="157">
        <f t="shared" si="23"/>
        <v>3.7475640833458258E-4</v>
      </c>
      <c r="N21" s="158">
        <f t="shared" si="24"/>
        <v>2.2010165571970875E-2</v>
      </c>
      <c r="O21" s="157">
        <f t="shared" si="82"/>
        <v>0.94445269426210876</v>
      </c>
      <c r="P21" s="159">
        <f t="shared" si="99"/>
        <v>2.0787560175603001E-2</v>
      </c>
      <c r="Q21" s="159">
        <f t="shared" si="4"/>
        <v>0.93640828693305633</v>
      </c>
      <c r="R21" s="157">
        <f t="shared" si="83"/>
        <v>1.2551581271197358</v>
      </c>
      <c r="S21" s="159">
        <f t="shared" si="100"/>
        <v>2.7626238196910253E-2</v>
      </c>
      <c r="T21" s="159">
        <f t="shared" si="5"/>
        <v>1.209797869892703</v>
      </c>
      <c r="U21" s="157">
        <f t="shared" si="84"/>
        <v>1.6516025451220644</v>
      </c>
      <c r="V21" s="159">
        <f t="shared" si="101"/>
        <v>3.6352045477225134E-2</v>
      </c>
      <c r="W21" s="159">
        <f t="shared" si="6"/>
        <v>1.5504128906781522</v>
      </c>
      <c r="X21" s="157">
        <f t="shared" si="85"/>
        <v>2.1528974694596883</v>
      </c>
      <c r="Y21" s="159">
        <f t="shared" si="102"/>
        <v>4.7385629762284852E-2</v>
      </c>
      <c r="Z21" s="159">
        <f t="shared" si="7"/>
        <v>1.9719368404543436</v>
      </c>
      <c r="AA21" s="157">
        <f t="shared" si="86"/>
        <v>2.7813697400871695</v>
      </c>
      <c r="AB21" s="159">
        <f t="shared" si="103"/>
        <v>6.1218408496188197E-2</v>
      </c>
      <c r="AC21" s="159">
        <f t="shared" si="8"/>
        <v>2.490258910065986</v>
      </c>
      <c r="AD21" s="160">
        <f t="shared" si="87"/>
        <v>2.4583150068747693E-2</v>
      </c>
      <c r="AE21" s="159">
        <f t="shared" si="115"/>
        <v>3.2798838821723169</v>
      </c>
      <c r="AF21" s="160">
        <f t="shared" si="37"/>
        <v>2.9305006654755435E-2</v>
      </c>
      <c r="AG21" s="157">
        <f t="shared" si="88"/>
        <v>3.5629097941351189</v>
      </c>
      <c r="AH21" s="159">
        <f t="shared" si="104"/>
        <v>7.8420234486910628E-2</v>
      </c>
      <c r="AI21" s="159">
        <f t="shared" si="9"/>
        <v>3.1237149094818184</v>
      </c>
      <c r="AJ21" s="157">
        <f t="shared" si="89"/>
        <v>4.5273304829610899</v>
      </c>
      <c r="AK21" s="159">
        <f t="shared" si="105"/>
        <v>9.9647293529004449E-2</v>
      </c>
      <c r="AL21" s="159">
        <f t="shared" si="10"/>
        <v>3.8933332603601829</v>
      </c>
      <c r="AM21" s="157">
        <f t="shared" si="90"/>
        <v>5.7087338063081585</v>
      </c>
      <c r="AN21" s="159">
        <f t="shared" si="106"/>
        <v>0.12565017628315009</v>
      </c>
      <c r="AO21" s="159">
        <f t="shared" si="11"/>
        <v>4.8230828868859472</v>
      </c>
      <c r="AP21" s="157">
        <f t="shared" si="91"/>
        <v>7.1458828046205527</v>
      </c>
      <c r="AQ21" s="159">
        <f t="shared" si="107"/>
        <v>0.15728206368759798</v>
      </c>
      <c r="AR21" s="159">
        <f t="shared" si="12"/>
        <v>5.9401196959263798</v>
      </c>
      <c r="AS21" s="157">
        <f t="shared" si="92"/>
        <v>8.8825757584160616</v>
      </c>
      <c r="AT21" s="159">
        <f t="shared" si="108"/>
        <v>0.19550696314831228</v>
      </c>
      <c r="AU21" s="159">
        <f t="shared" si="13"/>
        <v>7.2750282953808387</v>
      </c>
      <c r="AV21" s="157">
        <f t="shared" si="93"/>
        <v>10.968019796118654</v>
      </c>
      <c r="AW21" s="159">
        <f t="shared" si="109"/>
        <v>0.24140793170922581</v>
      </c>
      <c r="AX21" s="159">
        <f t="shared" si="14"/>
        <v>8.8620556446770138</v>
      </c>
      <c r="AY21" s="157">
        <f t="shared" si="94"/>
        <v>13.457201007306987</v>
      </c>
      <c r="AZ21" s="159">
        <f t="shared" si="110"/>
        <v>0.29619522230612</v>
      </c>
      <c r="BA21" s="159">
        <f t="shared" si="15"/>
        <v>10.739333455998111</v>
      </c>
      <c r="BB21" s="157">
        <f t="shared" si="95"/>
        <v>16.411248194506467</v>
      </c>
      <c r="BC21" s="159">
        <f t="shared" si="111"/>
        <v>0.3612142900037954</v>
      </c>
      <c r="BD21" s="159">
        <f t="shared" si="16"/>
        <v>12.949086359125044</v>
      </c>
      <c r="BE21" s="157">
        <f t="shared" si="96"/>
        <v>19.897787470347154</v>
      </c>
      <c r="BF21" s="159">
        <f t="shared" si="112"/>
        <v>0.43795359673822837</v>
      </c>
      <c r="BG21" s="159">
        <f t="shared" si="17"/>
        <v>15.53782309545101</v>
      </c>
      <c r="BH21" s="157">
        <f t="shared" si="97"/>
        <v>23.991285014523804</v>
      </c>
      <c r="BI21" s="159">
        <f t="shared" si="113"/>
        <v>0.52805215545401263</v>
      </c>
      <c r="BJ21" s="159">
        <f t="shared" si="18"/>
        <v>18.556508305784476</v>
      </c>
      <c r="BK21" s="157">
        <f t="shared" si="98"/>
        <v>28.773375442564451</v>
      </c>
      <c r="BL21" s="159">
        <f t="shared" si="114"/>
        <v>0.63330675755532428</v>
      </c>
      <c r="BM21" s="159">
        <f t="shared" si="19"/>
        <v>22.060712809921949</v>
      </c>
      <c r="BN21" s="164"/>
      <c r="BO21" s="161">
        <f t="shared" si="60"/>
        <v>1.6849615059503815</v>
      </c>
      <c r="BP21" s="161">
        <f t="shared" si="61"/>
        <v>1.7962090730365152</v>
      </c>
      <c r="BQ21" s="161">
        <f t="shared" si="62"/>
        <v>1.9039436281314082</v>
      </c>
      <c r="BR21" s="161">
        <f t="shared" si="63"/>
        <v>2.0083892582587857</v>
      </c>
      <c r="BS21" s="161">
        <f t="shared" si="64"/>
        <v>2.1097407601976097</v>
      </c>
      <c r="BT21" s="161">
        <f t="shared" si="65"/>
        <v>2.2081676480103756</v>
      </c>
      <c r="BU21" s="161">
        <f t="shared" si="66"/>
        <v>2.3038178374493068</v>
      </c>
      <c r="BV21" s="161">
        <f t="shared" si="67"/>
        <v>2.3968209830679901</v>
      </c>
      <c r="BW21" s="161">
        <f t="shared" si="68"/>
        <v>2.4872914538196316</v>
      </c>
      <c r="BX21" s="161">
        <f t="shared" si="69"/>
        <v>2.5753309443319847</v>
      </c>
      <c r="BY21" s="161">
        <f t="shared" si="70"/>
        <v>2.6610307301634717</v>
      </c>
      <c r="BZ21" s="161">
        <f t="shared" si="71"/>
        <v>2.7444735849515474</v>
      </c>
      <c r="CA21" s="161">
        <f t="shared" si="72"/>
        <v>2.8257353847770585</v>
      </c>
      <c r="CB21" s="161">
        <f t="shared" si="73"/>
        <v>2.9048864300503836</v>
      </c>
      <c r="CC21" s="161">
        <f t="shared" si="74"/>
        <v>2.9819925178750153</v>
      </c>
      <c r="CD21" s="161">
        <f t="shared" si="75"/>
        <v>3.0571157984751554</v>
      </c>
      <c r="CE21" s="165"/>
      <c r="CF21" s="165"/>
      <c r="CG21" s="134" t="str">
        <f t="shared" si="76"/>
        <v>No</v>
      </c>
      <c r="CH21" s="134" t="str">
        <f t="shared" si="77"/>
        <v>x2 = Log (VP) / T</v>
      </c>
      <c r="CI21" s="159" t="str">
        <f t="shared" si="78"/>
        <v/>
      </c>
      <c r="CJ21" s="159" t="str">
        <f t="shared" si="20"/>
        <v/>
      </c>
      <c r="CK21" s="159" t="str">
        <f t="shared" si="20"/>
        <v/>
      </c>
      <c r="CL21" s="159" t="str">
        <f t="shared" si="20"/>
        <v/>
      </c>
      <c r="CM21" s="159" t="str">
        <f t="shared" si="20"/>
        <v/>
      </c>
      <c r="CN21" s="159" t="str">
        <f t="shared" si="20"/>
        <v/>
      </c>
      <c r="CO21" s="159" t="str">
        <f t="shared" si="20"/>
        <v/>
      </c>
      <c r="CP21" s="159" t="str">
        <f t="shared" si="20"/>
        <v/>
      </c>
      <c r="CQ21" s="159" t="str">
        <f t="shared" si="20"/>
        <v/>
      </c>
      <c r="CR21" s="159" t="str">
        <f t="shared" si="20"/>
        <v/>
      </c>
      <c r="CS21" s="159" t="str">
        <f t="shared" si="20"/>
        <v/>
      </c>
      <c r="CT21" s="159" t="str">
        <f t="shared" si="20"/>
        <v/>
      </c>
      <c r="CU21" s="159" t="str">
        <f t="shared" si="20"/>
        <v/>
      </c>
      <c r="CV21" s="159" t="str">
        <f t="shared" si="20"/>
        <v/>
      </c>
      <c r="CW21" s="159" t="str">
        <f t="shared" si="20"/>
        <v/>
      </c>
      <c r="CX21" s="159" t="str">
        <f t="shared" si="20"/>
        <v/>
      </c>
      <c r="CY21" s="151"/>
      <c r="CZ21" s="151"/>
      <c r="DA21" s="163">
        <f t="array" ref="DA21:DC21">IF(CG21="Yes", LINEST(BO21:CD21,CI21:CX22,TRUE, TRUE), 0)</f>
        <v>0</v>
      </c>
      <c r="DB21" s="163">
        <v>0</v>
      </c>
      <c r="DC21" s="163">
        <v>0</v>
      </c>
      <c r="DD21" s="163">
        <f t="shared" si="79"/>
        <v>0</v>
      </c>
      <c r="DE21" s="163">
        <f t="shared" si="80"/>
        <v>0</v>
      </c>
      <c r="DF21" s="163">
        <f t="shared" si="81"/>
        <v>0</v>
      </c>
      <c r="DG21" s="151"/>
      <c r="DH21" s="152"/>
      <c r="DI21" s="152"/>
      <c r="DJ21" s="151"/>
      <c r="DK21" s="151"/>
      <c r="DL21" s="151"/>
      <c r="DM21" s="151"/>
      <c r="DN21" s="151"/>
      <c r="DO21" s="151"/>
      <c r="DP21" s="151"/>
      <c r="DQ21" s="151"/>
      <c r="DR21" s="151"/>
      <c r="DS21" s="151"/>
      <c r="DT21" s="151"/>
    </row>
    <row r="22" spans="1:124" s="17" customFormat="1">
      <c r="A22" s="153" t="s">
        <v>656</v>
      </c>
      <c r="B22" s="154" t="s">
        <v>621</v>
      </c>
      <c r="C22" s="155">
        <v>0.23</v>
      </c>
      <c r="D22" s="156" t="str">
        <f>INDEX('Product Data'!$1:$1048576,MATCH($B22,'Product Data'!$A:$A,0),MATCH(D$11,'Product Data'!$23:$23,0))</f>
        <v>VOC Exempt</v>
      </c>
      <c r="E22" s="156" t="str">
        <f>INDEX('Product Data'!$1:$1048576,MATCH($B22,'Product Data'!$A:$A,0),MATCH(E$11,'Product Data'!$23:$23,0))</f>
        <v>Antoine's</v>
      </c>
      <c r="F22" s="156">
        <f>INDEX('Product Data'!$1:$1048576,MATCH($B22,'Product Data'!$A:$A,0),MATCH(F$11,'Product Data'!$23:$23,0))</f>
        <v>137.36000000000001</v>
      </c>
      <c r="G22" s="156">
        <f>INDEX('Product Data'!$1:$1048576,MATCH($B22,'Product Data'!$A:$A,0),MATCH(G$11,'Product Data'!$23:$23,0))</f>
        <v>12.468033999999999</v>
      </c>
      <c r="H22" s="156">
        <f>INDEX('Product Data'!$1:$1048576,MATCH($B22,'Product Data'!$A:$A,0),MATCH(H$11,'Product Data'!$23:$23,0))</f>
        <v>6.8840000000000003</v>
      </c>
      <c r="I22" s="156">
        <f>INDEX('Product Data'!$1:$1048576,MATCH($B22,'Product Data'!$A:$A,0),MATCH(I$11,'Product Data'!$23:$23,0))</f>
        <v>1043.0039999999999</v>
      </c>
      <c r="J22" s="156">
        <f>INDEX('Product Data'!$1:$1048576,MATCH($B22,'Product Data'!$A:$A,0),MATCH(J$11,'Product Data'!$23:$23,0))</f>
        <v>236.88</v>
      </c>
      <c r="K22" s="156">
        <f t="shared" si="21"/>
        <v>13.508342936816828</v>
      </c>
      <c r="L22" s="156">
        <f t="shared" si="22"/>
        <v>1.2261391891372455</v>
      </c>
      <c r="M22" s="157">
        <f t="shared" si="23"/>
        <v>1.6744321490972625E-3</v>
      </c>
      <c r="N22" s="158">
        <f t="shared" si="24"/>
        <v>9.8342624758421857E-2</v>
      </c>
      <c r="O22" s="157">
        <f t="shared" si="82"/>
        <v>7.0518939130860216</v>
      </c>
      <c r="P22" s="159">
        <f t="shared" si="99"/>
        <v>0.69350175693081773</v>
      </c>
      <c r="Q22" s="159">
        <f t="shared" si="4"/>
        <v>0.93640828693305633</v>
      </c>
      <c r="R22" s="157">
        <f t="shared" si="83"/>
        <v>8.8221173417744208</v>
      </c>
      <c r="S22" s="159">
        <f t="shared" si="100"/>
        <v>0.86759017531688798</v>
      </c>
      <c r="T22" s="159">
        <f t="shared" si="5"/>
        <v>1.209797869892703</v>
      </c>
      <c r="U22" s="157">
        <f t="shared" si="84"/>
        <v>10.928446484137902</v>
      </c>
      <c r="V22" s="159">
        <f t="shared" si="101"/>
        <v>1.0747321117820683</v>
      </c>
      <c r="W22" s="159">
        <f t="shared" si="6"/>
        <v>1.5504128906781522</v>
      </c>
      <c r="X22" s="157">
        <f t="shared" si="85"/>
        <v>13.41340913365595</v>
      </c>
      <c r="Y22" s="159">
        <f t="shared" si="102"/>
        <v>1.3191098611623155</v>
      </c>
      <c r="Z22" s="159">
        <f t="shared" si="7"/>
        <v>1.9719368404543436</v>
      </c>
      <c r="AA22" s="157">
        <f t="shared" si="86"/>
        <v>16.321810546578067</v>
      </c>
      <c r="AB22" s="159">
        <f t="shared" si="103"/>
        <v>1.6051296899601792</v>
      </c>
      <c r="AC22" s="159">
        <f t="shared" si="8"/>
        <v>2.490258910065986</v>
      </c>
      <c r="AD22" s="160">
        <f t="shared" si="87"/>
        <v>0.64456337590923307</v>
      </c>
      <c r="AE22" s="159">
        <f t="shared" si="115"/>
        <v>88.537225314892268</v>
      </c>
      <c r="AF22" s="160">
        <f t="shared" si="37"/>
        <v>0.79105970523812175</v>
      </c>
      <c r="AG22" s="157">
        <f t="shared" si="88"/>
        <v>19.700546509509063</v>
      </c>
      <c r="AH22" s="159">
        <f t="shared" si="104"/>
        <v>1.9374034529204873</v>
      </c>
      <c r="AI22" s="159">
        <f t="shared" si="9"/>
        <v>3.1237149094818184</v>
      </c>
      <c r="AJ22" s="157">
        <f t="shared" si="89"/>
        <v>23.598399901128584</v>
      </c>
      <c r="AK22" s="159">
        <f t="shared" si="105"/>
        <v>2.3207285863758678</v>
      </c>
      <c r="AL22" s="159">
        <f t="shared" si="10"/>
        <v>3.8933332603601829</v>
      </c>
      <c r="AM22" s="157">
        <f t="shared" si="90"/>
        <v>28.065824376805836</v>
      </c>
      <c r="AN22" s="159">
        <f t="shared" si="106"/>
        <v>2.7600668352239852</v>
      </c>
      <c r="AO22" s="159">
        <f t="shared" si="11"/>
        <v>4.8230828868859472</v>
      </c>
      <c r="AP22" s="157">
        <f t="shared" si="91"/>
        <v>33.154718679947983</v>
      </c>
      <c r="AQ22" s="159">
        <f t="shared" si="107"/>
        <v>3.260522058113164</v>
      </c>
      <c r="AR22" s="159">
        <f t="shared" si="12"/>
        <v>5.9401196959263798</v>
      </c>
      <c r="AS22" s="157">
        <f t="shared" si="92"/>
        <v>38.918194896509156</v>
      </c>
      <c r="AT22" s="159">
        <f t="shared" si="108"/>
        <v>3.8273174369825287</v>
      </c>
      <c r="AU22" s="159">
        <f t="shared" si="13"/>
        <v>7.2750282953808387</v>
      </c>
      <c r="AV22" s="157">
        <f t="shared" si="93"/>
        <v>45.410343735045629</v>
      </c>
      <c r="AW22" s="159">
        <f t="shared" si="109"/>
        <v>4.465772394086545</v>
      </c>
      <c r="AX22" s="159">
        <f t="shared" si="14"/>
        <v>8.8620556446770138</v>
      </c>
      <c r="AY22" s="157">
        <f t="shared" si="94"/>
        <v>52.685999648226584</v>
      </c>
      <c r="AZ22" s="159">
        <f t="shared" si="110"/>
        <v>5.1812794934278932</v>
      </c>
      <c r="BA22" s="159">
        <f t="shared" si="15"/>
        <v>10.739333455998111</v>
      </c>
      <c r="BB22" s="157">
        <f t="shared" si="95"/>
        <v>60.800508325184317</v>
      </c>
      <c r="BC22" s="159">
        <f t="shared" si="111"/>
        <v>5.9792815753449053</v>
      </c>
      <c r="BD22" s="159">
        <f t="shared" si="16"/>
        <v>12.949086359125044</v>
      </c>
      <c r="BE22" s="157">
        <f t="shared" si="96"/>
        <v>69.809498788002301</v>
      </c>
      <c r="BF22" s="159">
        <f t="shared" si="112"/>
        <v>6.8652493438820157</v>
      </c>
      <c r="BG22" s="159">
        <f t="shared" si="17"/>
        <v>15.53782309545101</v>
      </c>
      <c r="BH22" s="157">
        <f t="shared" si="97"/>
        <v>79.768662028693328</v>
      </c>
      <c r="BI22" s="159">
        <f t="shared" si="113"/>
        <v>7.8446595973691622</v>
      </c>
      <c r="BJ22" s="159">
        <f t="shared" si="18"/>
        <v>18.556508305784476</v>
      </c>
      <c r="BK22" s="157">
        <f t="shared" si="98"/>
        <v>90.733537832169105</v>
      </c>
      <c r="BL22" s="159">
        <f t="shared" si="114"/>
        <v>8.9229742640330798</v>
      </c>
      <c r="BM22" s="159">
        <f t="shared" si="19"/>
        <v>22.060712809921949</v>
      </c>
      <c r="BN22" s="164"/>
      <c r="BO22" s="161">
        <f t="shared" si="60"/>
        <v>1.6849615059503815</v>
      </c>
      <c r="BP22" s="161">
        <f t="shared" si="61"/>
        <v>1.7962090730365152</v>
      </c>
      <c r="BQ22" s="161">
        <f t="shared" si="62"/>
        <v>1.9039436281314082</v>
      </c>
      <c r="BR22" s="161">
        <f t="shared" si="63"/>
        <v>2.0083892582587857</v>
      </c>
      <c r="BS22" s="161">
        <f t="shared" si="64"/>
        <v>2.1097407601976097</v>
      </c>
      <c r="BT22" s="161">
        <f t="shared" si="65"/>
        <v>2.2081676480103756</v>
      </c>
      <c r="BU22" s="161">
        <f t="shared" si="66"/>
        <v>2.3038178374493068</v>
      </c>
      <c r="BV22" s="161">
        <f t="shared" si="67"/>
        <v>2.3968209830679901</v>
      </c>
      <c r="BW22" s="161">
        <f t="shared" si="68"/>
        <v>2.4872914538196316</v>
      </c>
      <c r="BX22" s="161">
        <f t="shared" si="69"/>
        <v>2.5753309443319847</v>
      </c>
      <c r="BY22" s="161">
        <f t="shared" si="70"/>
        <v>2.6610307301634717</v>
      </c>
      <c r="BZ22" s="161">
        <f t="shared" si="71"/>
        <v>2.7444735849515474</v>
      </c>
      <c r="CA22" s="161">
        <f t="shared" si="72"/>
        <v>2.8257353847770585</v>
      </c>
      <c r="CB22" s="161">
        <f t="shared" si="73"/>
        <v>2.9048864300503836</v>
      </c>
      <c r="CC22" s="161">
        <f t="shared" si="74"/>
        <v>2.9819925178750153</v>
      </c>
      <c r="CD22" s="161">
        <f t="shared" si="75"/>
        <v>3.0571157984751554</v>
      </c>
      <c r="CE22" s="165"/>
      <c r="CF22" s="165"/>
      <c r="CG22" s="134" t="str">
        <f t="shared" si="76"/>
        <v>No</v>
      </c>
      <c r="CH22" s="134" t="str">
        <f t="shared" si="77"/>
        <v>x2 = Log (VP) / T</v>
      </c>
      <c r="CI22" s="159" t="str">
        <f t="shared" si="78"/>
        <v/>
      </c>
      <c r="CJ22" s="159" t="str">
        <f t="shared" si="20"/>
        <v/>
      </c>
      <c r="CK22" s="159" t="str">
        <f t="shared" si="20"/>
        <v/>
      </c>
      <c r="CL22" s="159" t="str">
        <f t="shared" si="20"/>
        <v/>
      </c>
      <c r="CM22" s="159" t="str">
        <f t="shared" si="20"/>
        <v/>
      </c>
      <c r="CN22" s="159" t="str">
        <f t="shared" si="20"/>
        <v/>
      </c>
      <c r="CO22" s="159" t="str">
        <f t="shared" si="20"/>
        <v/>
      </c>
      <c r="CP22" s="159" t="str">
        <f t="shared" si="20"/>
        <v/>
      </c>
      <c r="CQ22" s="159" t="str">
        <f t="shared" si="20"/>
        <v/>
      </c>
      <c r="CR22" s="159" t="str">
        <f t="shared" si="20"/>
        <v/>
      </c>
      <c r="CS22" s="159" t="str">
        <f t="shared" si="20"/>
        <v/>
      </c>
      <c r="CT22" s="159" t="str">
        <f t="shared" si="20"/>
        <v/>
      </c>
      <c r="CU22" s="159" t="str">
        <f t="shared" si="20"/>
        <v/>
      </c>
      <c r="CV22" s="159" t="str">
        <f t="shared" si="20"/>
        <v/>
      </c>
      <c r="CW22" s="159" t="str">
        <f t="shared" si="20"/>
        <v/>
      </c>
      <c r="CX22" s="159" t="str">
        <f t="shared" si="20"/>
        <v/>
      </c>
      <c r="CY22" s="151"/>
      <c r="CZ22" s="151"/>
      <c r="DA22" s="163">
        <f t="array" ref="DA22:DC22">IF(CG22="Yes", LINEST(BO22:CD22,CI22:CX22,TRUE, TRUE), 0)</f>
        <v>0</v>
      </c>
      <c r="DB22" s="163">
        <v>0</v>
      </c>
      <c r="DC22" s="163">
        <v>0</v>
      </c>
      <c r="DD22" s="163">
        <f t="shared" si="79"/>
        <v>0</v>
      </c>
      <c r="DE22" s="163">
        <f t="shared" si="80"/>
        <v>0</v>
      </c>
      <c r="DF22" s="163">
        <f t="shared" si="81"/>
        <v>0</v>
      </c>
      <c r="DG22" s="151"/>
      <c r="DH22" s="152"/>
      <c r="DI22" s="152"/>
      <c r="DJ22" s="151"/>
      <c r="DK22" s="151"/>
      <c r="DL22" s="151"/>
      <c r="DM22" s="151"/>
      <c r="DN22" s="151"/>
      <c r="DO22" s="151"/>
      <c r="DP22" s="151"/>
      <c r="DQ22" s="151"/>
      <c r="DR22" s="151"/>
      <c r="DS22" s="151"/>
      <c r="DT22" s="151"/>
    </row>
    <row r="23" spans="1:124" s="17" customFormat="1">
      <c r="A23" s="153"/>
      <c r="B23" s="154"/>
      <c r="C23" s="155"/>
      <c r="D23" s="156"/>
      <c r="E23" s="156"/>
      <c r="F23" s="156"/>
      <c r="G23" s="156"/>
      <c r="H23" s="156"/>
      <c r="I23" s="156"/>
      <c r="J23" s="156"/>
      <c r="K23" s="156"/>
      <c r="L23" s="156"/>
      <c r="M23" s="157"/>
      <c r="N23" s="158"/>
      <c r="O23" s="157"/>
      <c r="P23" s="159"/>
      <c r="Q23" s="159"/>
      <c r="R23" s="157"/>
      <c r="S23" s="159"/>
      <c r="T23" s="159"/>
      <c r="U23" s="157"/>
      <c r="V23" s="159"/>
      <c r="W23" s="159"/>
      <c r="X23" s="157"/>
      <c r="Y23" s="159"/>
      <c r="Z23" s="159"/>
      <c r="AA23" s="157"/>
      <c r="AB23" s="159"/>
      <c r="AC23" s="159"/>
      <c r="AD23" s="160"/>
      <c r="AE23" s="159"/>
      <c r="AF23" s="160"/>
      <c r="AG23" s="157"/>
      <c r="AH23" s="159"/>
      <c r="AI23" s="159"/>
      <c r="AJ23" s="157"/>
      <c r="AK23" s="159"/>
      <c r="AL23" s="159"/>
      <c r="AM23" s="157"/>
      <c r="AN23" s="159"/>
      <c r="AO23" s="159"/>
      <c r="AP23" s="157"/>
      <c r="AQ23" s="159"/>
      <c r="AR23" s="159"/>
      <c r="AS23" s="157"/>
      <c r="AT23" s="159"/>
      <c r="AU23" s="159"/>
      <c r="AV23" s="157"/>
      <c r="AW23" s="159"/>
      <c r="AX23" s="159"/>
      <c r="AY23" s="157"/>
      <c r="AZ23" s="159"/>
      <c r="BA23" s="159"/>
      <c r="BB23" s="157"/>
      <c r="BC23" s="159"/>
      <c r="BD23" s="159"/>
      <c r="BE23" s="157"/>
      <c r="BF23" s="159"/>
      <c r="BG23" s="159"/>
      <c r="BH23" s="157"/>
      <c r="BI23" s="159"/>
      <c r="BJ23" s="159"/>
      <c r="BK23" s="157"/>
      <c r="BL23" s="159"/>
      <c r="BM23" s="159"/>
      <c r="BN23" s="164"/>
      <c r="BO23" s="161"/>
      <c r="BP23" s="161"/>
      <c r="BQ23" s="161"/>
      <c r="BR23" s="161"/>
      <c r="BS23" s="161"/>
      <c r="BT23" s="161"/>
      <c r="BU23" s="161"/>
      <c r="BV23" s="161"/>
      <c r="BW23" s="161"/>
      <c r="BX23" s="161"/>
      <c r="BY23" s="161"/>
      <c r="BZ23" s="161"/>
      <c r="CA23" s="161"/>
      <c r="CB23" s="161"/>
      <c r="CC23" s="161"/>
      <c r="CD23" s="161"/>
      <c r="CE23" s="165"/>
      <c r="CF23" s="165"/>
      <c r="CG23" s="134"/>
      <c r="CH23" s="134"/>
      <c r="CI23" s="159"/>
      <c r="CJ23" s="159"/>
      <c r="CK23" s="159"/>
      <c r="CL23" s="159"/>
      <c r="CM23" s="159"/>
      <c r="CN23" s="159"/>
      <c r="CO23" s="159"/>
      <c r="CP23" s="159"/>
      <c r="CQ23" s="159"/>
      <c r="CR23" s="159"/>
      <c r="CS23" s="159"/>
      <c r="CT23" s="159"/>
      <c r="CU23" s="159"/>
      <c r="CV23" s="159"/>
      <c r="CW23" s="159"/>
      <c r="CX23" s="159"/>
      <c r="CY23" s="151"/>
      <c r="CZ23" s="151"/>
      <c r="DA23" s="163"/>
      <c r="DB23" s="163"/>
      <c r="DC23" s="163"/>
      <c r="DD23" s="163"/>
      <c r="DE23" s="163"/>
      <c r="DF23" s="163"/>
      <c r="DG23" s="151"/>
      <c r="DH23" s="152"/>
      <c r="DI23" s="152"/>
      <c r="DJ23" s="151"/>
      <c r="DK23" s="151"/>
      <c r="DL23" s="151"/>
      <c r="DM23" s="151"/>
      <c r="DN23" s="151"/>
      <c r="DO23" s="151"/>
      <c r="DP23" s="151"/>
      <c r="DQ23" s="151"/>
      <c r="DR23" s="151"/>
      <c r="DS23" s="151"/>
      <c r="DT23" s="151"/>
    </row>
    <row r="24" spans="1:124" s="17" customFormat="1">
      <c r="A24" s="153"/>
      <c r="B24" s="154"/>
      <c r="C24" s="155"/>
      <c r="D24" s="156"/>
      <c r="E24" s="156"/>
      <c r="F24" s="156"/>
      <c r="G24" s="156"/>
      <c r="H24" s="156"/>
      <c r="I24" s="156"/>
      <c r="J24" s="156"/>
      <c r="K24" s="156"/>
      <c r="L24" s="156"/>
      <c r="M24" s="157"/>
      <c r="N24" s="158"/>
      <c r="O24" s="157"/>
      <c r="P24" s="159"/>
      <c r="Q24" s="159"/>
      <c r="R24" s="157"/>
      <c r="S24" s="159"/>
      <c r="T24" s="159"/>
      <c r="U24" s="157"/>
      <c r="V24" s="159"/>
      <c r="W24" s="159"/>
      <c r="X24" s="157"/>
      <c r="Y24" s="159"/>
      <c r="Z24" s="159"/>
      <c r="AA24" s="157"/>
      <c r="AB24" s="159"/>
      <c r="AC24" s="159"/>
      <c r="AD24" s="160"/>
      <c r="AE24" s="159"/>
      <c r="AF24" s="160"/>
      <c r="AG24" s="157"/>
      <c r="AH24" s="159"/>
      <c r="AI24" s="159"/>
      <c r="AJ24" s="157"/>
      <c r="AK24" s="159"/>
      <c r="AL24" s="159"/>
      <c r="AM24" s="157"/>
      <c r="AN24" s="159"/>
      <c r="AO24" s="159"/>
      <c r="AP24" s="157"/>
      <c r="AQ24" s="159"/>
      <c r="AR24" s="159"/>
      <c r="AS24" s="157"/>
      <c r="AT24" s="159"/>
      <c r="AU24" s="159"/>
      <c r="AV24" s="157"/>
      <c r="AW24" s="159"/>
      <c r="AX24" s="159"/>
      <c r="AY24" s="157"/>
      <c r="AZ24" s="159"/>
      <c r="BA24" s="159"/>
      <c r="BB24" s="157"/>
      <c r="BC24" s="159"/>
      <c r="BD24" s="159"/>
      <c r="BE24" s="157"/>
      <c r="BF24" s="159"/>
      <c r="BG24" s="159"/>
      <c r="BH24" s="157"/>
      <c r="BI24" s="159"/>
      <c r="BJ24" s="159"/>
      <c r="BK24" s="157"/>
      <c r="BL24" s="159"/>
      <c r="BM24" s="159"/>
      <c r="BN24" s="164"/>
      <c r="BO24" s="161"/>
      <c r="BP24" s="161"/>
      <c r="BQ24" s="161"/>
      <c r="BR24" s="161"/>
      <c r="BS24" s="161"/>
      <c r="BT24" s="161"/>
      <c r="BU24" s="161"/>
      <c r="BV24" s="161"/>
      <c r="BW24" s="161"/>
      <c r="BX24" s="161"/>
      <c r="BY24" s="161"/>
      <c r="BZ24" s="161"/>
      <c r="CA24" s="161"/>
      <c r="CB24" s="161"/>
      <c r="CC24" s="161"/>
      <c r="CD24" s="161"/>
      <c r="CE24" s="165"/>
      <c r="CF24" s="165"/>
      <c r="CG24" s="134"/>
      <c r="CH24" s="134"/>
      <c r="CI24" s="159"/>
      <c r="CJ24" s="159"/>
      <c r="CK24" s="159"/>
      <c r="CL24" s="159"/>
      <c r="CM24" s="159"/>
      <c r="CN24" s="159"/>
      <c r="CO24" s="159"/>
      <c r="CP24" s="159"/>
      <c r="CQ24" s="159"/>
      <c r="CR24" s="159"/>
      <c r="CS24" s="159"/>
      <c r="CT24" s="159"/>
      <c r="CU24" s="159"/>
      <c r="CV24" s="159"/>
      <c r="CW24" s="159"/>
      <c r="CX24" s="159"/>
      <c r="CY24" s="151"/>
      <c r="CZ24" s="151"/>
      <c r="DA24" s="163"/>
      <c r="DB24" s="163"/>
      <c r="DC24" s="163"/>
      <c r="DD24" s="163"/>
      <c r="DE24" s="163"/>
      <c r="DF24" s="163"/>
      <c r="DG24" s="151"/>
      <c r="DH24" s="152"/>
      <c r="DI24" s="152"/>
      <c r="DJ24" s="151"/>
      <c r="DK24" s="151"/>
      <c r="DL24" s="151"/>
      <c r="DM24" s="151"/>
      <c r="DN24" s="151"/>
      <c r="DO24" s="151"/>
      <c r="DP24" s="151"/>
      <c r="DQ24" s="151"/>
      <c r="DR24" s="151"/>
      <c r="DS24" s="151"/>
      <c r="DT24" s="151"/>
    </row>
    <row r="25" spans="1:124" s="17" customFormat="1">
      <c r="A25" s="153"/>
      <c r="B25" s="154"/>
      <c r="C25" s="155"/>
      <c r="D25" s="156"/>
      <c r="E25" s="156"/>
      <c r="F25" s="156"/>
      <c r="G25" s="156"/>
      <c r="H25" s="156"/>
      <c r="I25" s="156"/>
      <c r="J25" s="156"/>
      <c r="K25" s="156"/>
      <c r="L25" s="156"/>
      <c r="M25" s="157"/>
      <c r="N25" s="158"/>
      <c r="O25" s="157"/>
      <c r="P25" s="159"/>
      <c r="Q25" s="159"/>
      <c r="R25" s="157"/>
      <c r="S25" s="159"/>
      <c r="T25" s="159"/>
      <c r="U25" s="157"/>
      <c r="V25" s="159"/>
      <c r="W25" s="159"/>
      <c r="X25" s="157"/>
      <c r="Y25" s="159"/>
      <c r="Z25" s="159"/>
      <c r="AA25" s="157"/>
      <c r="AB25" s="159"/>
      <c r="AC25" s="159"/>
      <c r="AD25" s="160"/>
      <c r="AE25" s="159"/>
      <c r="AF25" s="160"/>
      <c r="AG25" s="157"/>
      <c r="AH25" s="159"/>
      <c r="AI25" s="159"/>
      <c r="AJ25" s="157"/>
      <c r="AK25" s="159"/>
      <c r="AL25" s="159"/>
      <c r="AM25" s="157"/>
      <c r="AN25" s="159"/>
      <c r="AO25" s="159"/>
      <c r="AP25" s="157"/>
      <c r="AQ25" s="159"/>
      <c r="AR25" s="159"/>
      <c r="AS25" s="157"/>
      <c r="AT25" s="159"/>
      <c r="AU25" s="159"/>
      <c r="AV25" s="157"/>
      <c r="AW25" s="159"/>
      <c r="AX25" s="159"/>
      <c r="AY25" s="157"/>
      <c r="AZ25" s="159"/>
      <c r="BA25" s="159"/>
      <c r="BB25" s="157"/>
      <c r="BC25" s="159"/>
      <c r="BD25" s="159"/>
      <c r="BE25" s="157"/>
      <c r="BF25" s="159"/>
      <c r="BG25" s="159"/>
      <c r="BH25" s="157"/>
      <c r="BI25" s="159"/>
      <c r="BJ25" s="159"/>
      <c r="BK25" s="157"/>
      <c r="BL25" s="159"/>
      <c r="BM25" s="159"/>
      <c r="BN25" s="164"/>
      <c r="BO25" s="161"/>
      <c r="BP25" s="161"/>
      <c r="BQ25" s="161"/>
      <c r="BR25" s="161"/>
      <c r="BS25" s="161"/>
      <c r="BT25" s="161"/>
      <c r="BU25" s="161"/>
      <c r="BV25" s="161"/>
      <c r="BW25" s="161"/>
      <c r="BX25" s="161"/>
      <c r="BY25" s="161"/>
      <c r="BZ25" s="161"/>
      <c r="CA25" s="161"/>
      <c r="CB25" s="161"/>
      <c r="CC25" s="161"/>
      <c r="CD25" s="161"/>
      <c r="CE25" s="165"/>
      <c r="CF25" s="165"/>
      <c r="CG25" s="134"/>
      <c r="CH25" s="134"/>
      <c r="CI25" s="159"/>
      <c r="CJ25" s="159"/>
      <c r="CK25" s="159"/>
      <c r="CL25" s="159"/>
      <c r="CM25" s="159"/>
      <c r="CN25" s="159"/>
      <c r="CO25" s="159"/>
      <c r="CP25" s="159"/>
      <c r="CQ25" s="159"/>
      <c r="CR25" s="159"/>
      <c r="CS25" s="159"/>
      <c r="CT25" s="159"/>
      <c r="CU25" s="159"/>
      <c r="CV25" s="159"/>
      <c r="CW25" s="159"/>
      <c r="CX25" s="159"/>
      <c r="CY25" s="151"/>
      <c r="CZ25" s="151"/>
      <c r="DA25" s="163"/>
      <c r="DB25" s="163"/>
      <c r="DC25" s="163"/>
      <c r="DD25" s="163"/>
      <c r="DE25" s="163"/>
      <c r="DF25" s="163"/>
      <c r="DG25" s="151"/>
      <c r="DH25" s="152"/>
      <c r="DI25" s="152"/>
      <c r="DJ25" s="151"/>
      <c r="DK25" s="151"/>
      <c r="DL25" s="151"/>
      <c r="DM25" s="151"/>
      <c r="DN25" s="151"/>
      <c r="DO25" s="151"/>
      <c r="DP25" s="151"/>
      <c r="DQ25" s="151"/>
      <c r="DR25" s="151"/>
      <c r="DS25" s="151"/>
      <c r="DT25" s="151"/>
    </row>
    <row r="26" spans="1:124" s="17" customFormat="1">
      <c r="A26" s="153"/>
      <c r="B26" s="154"/>
      <c r="C26" s="155"/>
      <c r="D26" s="156"/>
      <c r="E26" s="156"/>
      <c r="F26" s="156"/>
      <c r="G26" s="156"/>
      <c r="H26" s="156"/>
      <c r="I26" s="156"/>
      <c r="J26" s="156"/>
      <c r="K26" s="156"/>
      <c r="L26" s="156"/>
      <c r="M26" s="157"/>
      <c r="N26" s="158"/>
      <c r="O26" s="157"/>
      <c r="P26" s="159"/>
      <c r="Q26" s="159"/>
      <c r="R26" s="157"/>
      <c r="S26" s="159"/>
      <c r="T26" s="159"/>
      <c r="U26" s="157"/>
      <c r="V26" s="159"/>
      <c r="W26" s="159"/>
      <c r="X26" s="157"/>
      <c r="Y26" s="159"/>
      <c r="Z26" s="159"/>
      <c r="AA26" s="157"/>
      <c r="AB26" s="159"/>
      <c r="AC26" s="159"/>
      <c r="AD26" s="160"/>
      <c r="AE26" s="159"/>
      <c r="AF26" s="160"/>
      <c r="AG26" s="157"/>
      <c r="AH26" s="159"/>
      <c r="AI26" s="159"/>
      <c r="AJ26" s="157"/>
      <c r="AK26" s="159"/>
      <c r="AL26" s="159"/>
      <c r="AM26" s="157"/>
      <c r="AN26" s="159"/>
      <c r="AO26" s="159"/>
      <c r="AP26" s="157"/>
      <c r="AQ26" s="159"/>
      <c r="AR26" s="159"/>
      <c r="AS26" s="157"/>
      <c r="AT26" s="159"/>
      <c r="AU26" s="159"/>
      <c r="AV26" s="157"/>
      <c r="AW26" s="159"/>
      <c r="AX26" s="159"/>
      <c r="AY26" s="157"/>
      <c r="AZ26" s="159"/>
      <c r="BA26" s="159"/>
      <c r="BB26" s="157"/>
      <c r="BC26" s="159"/>
      <c r="BD26" s="159"/>
      <c r="BE26" s="157"/>
      <c r="BF26" s="159"/>
      <c r="BG26" s="159"/>
      <c r="BH26" s="157"/>
      <c r="BI26" s="159"/>
      <c r="BJ26" s="159"/>
      <c r="BK26" s="157"/>
      <c r="BL26" s="159"/>
      <c r="BM26" s="159"/>
      <c r="BN26" s="164"/>
      <c r="BO26" s="161"/>
      <c r="BP26" s="161"/>
      <c r="BQ26" s="161"/>
      <c r="BR26" s="161"/>
      <c r="BS26" s="161"/>
      <c r="BT26" s="161"/>
      <c r="BU26" s="161"/>
      <c r="BV26" s="161"/>
      <c r="BW26" s="161"/>
      <c r="BX26" s="161"/>
      <c r="BY26" s="161"/>
      <c r="BZ26" s="161"/>
      <c r="CA26" s="161"/>
      <c r="CB26" s="161"/>
      <c r="CC26" s="161"/>
      <c r="CD26" s="161"/>
      <c r="CE26" s="165"/>
      <c r="CF26" s="165"/>
      <c r="CG26" s="134"/>
      <c r="CH26" s="134"/>
      <c r="CI26" s="159"/>
      <c r="CJ26" s="159"/>
      <c r="CK26" s="159"/>
      <c r="CL26" s="159"/>
      <c r="CM26" s="159"/>
      <c r="CN26" s="159"/>
      <c r="CO26" s="159"/>
      <c r="CP26" s="159"/>
      <c r="CQ26" s="159"/>
      <c r="CR26" s="159"/>
      <c r="CS26" s="159"/>
      <c r="CT26" s="159"/>
      <c r="CU26" s="159"/>
      <c r="CV26" s="159"/>
      <c r="CW26" s="159"/>
      <c r="CX26" s="159"/>
      <c r="CY26" s="151"/>
      <c r="CZ26" s="151"/>
      <c r="DA26" s="163"/>
      <c r="DB26" s="163"/>
      <c r="DC26" s="163"/>
      <c r="DD26" s="163"/>
      <c r="DE26" s="163"/>
      <c r="DF26" s="163"/>
      <c r="DG26" s="151"/>
      <c r="DH26" s="152"/>
      <c r="DI26" s="152"/>
      <c r="DJ26" s="151"/>
      <c r="DK26" s="151"/>
      <c r="DL26" s="151"/>
      <c r="DM26" s="151"/>
      <c r="DN26" s="151"/>
      <c r="DO26" s="151"/>
      <c r="DP26" s="151"/>
      <c r="DQ26" s="151"/>
      <c r="DR26" s="151"/>
      <c r="DS26" s="151"/>
      <c r="DT26" s="151"/>
    </row>
    <row r="27" spans="1:124" s="17" customFormat="1">
      <c r="A27" s="153"/>
      <c r="B27" s="154"/>
      <c r="C27" s="155"/>
      <c r="D27" s="156"/>
      <c r="E27" s="156"/>
      <c r="F27" s="156"/>
      <c r="G27" s="156"/>
      <c r="H27" s="156"/>
      <c r="I27" s="156"/>
      <c r="J27" s="156"/>
      <c r="K27" s="156"/>
      <c r="L27" s="156"/>
      <c r="M27" s="157"/>
      <c r="N27" s="158"/>
      <c r="O27" s="157"/>
      <c r="P27" s="159"/>
      <c r="Q27" s="159"/>
      <c r="R27" s="157"/>
      <c r="S27" s="159"/>
      <c r="T27" s="159"/>
      <c r="U27" s="157"/>
      <c r="V27" s="159"/>
      <c r="W27" s="159"/>
      <c r="X27" s="157"/>
      <c r="Y27" s="159"/>
      <c r="Z27" s="159"/>
      <c r="AA27" s="157"/>
      <c r="AB27" s="159"/>
      <c r="AC27" s="159"/>
      <c r="AD27" s="160"/>
      <c r="AE27" s="159"/>
      <c r="AF27" s="160"/>
      <c r="AG27" s="157"/>
      <c r="AH27" s="159"/>
      <c r="AI27" s="159"/>
      <c r="AJ27" s="157"/>
      <c r="AK27" s="159"/>
      <c r="AL27" s="159"/>
      <c r="AM27" s="157"/>
      <c r="AN27" s="159"/>
      <c r="AO27" s="159"/>
      <c r="AP27" s="157"/>
      <c r="AQ27" s="159"/>
      <c r="AR27" s="159"/>
      <c r="AS27" s="157"/>
      <c r="AT27" s="159"/>
      <c r="AU27" s="159"/>
      <c r="AV27" s="157"/>
      <c r="AW27" s="159"/>
      <c r="AX27" s="159"/>
      <c r="AY27" s="157"/>
      <c r="AZ27" s="159"/>
      <c r="BA27" s="159"/>
      <c r="BB27" s="157"/>
      <c r="BC27" s="159"/>
      <c r="BD27" s="159"/>
      <c r="BE27" s="157"/>
      <c r="BF27" s="159"/>
      <c r="BG27" s="159"/>
      <c r="BH27" s="157"/>
      <c r="BI27" s="159"/>
      <c r="BJ27" s="159"/>
      <c r="BK27" s="157"/>
      <c r="BL27" s="159"/>
      <c r="BM27" s="159"/>
      <c r="BN27" s="164"/>
      <c r="BO27" s="161"/>
      <c r="BP27" s="161"/>
      <c r="BQ27" s="161"/>
      <c r="BR27" s="161"/>
      <c r="BS27" s="161"/>
      <c r="BT27" s="161"/>
      <c r="BU27" s="161"/>
      <c r="BV27" s="161"/>
      <c r="BW27" s="161"/>
      <c r="BX27" s="161"/>
      <c r="BY27" s="161"/>
      <c r="BZ27" s="161"/>
      <c r="CA27" s="161"/>
      <c r="CB27" s="161"/>
      <c r="CC27" s="161"/>
      <c r="CD27" s="161"/>
      <c r="CE27" s="165"/>
      <c r="CF27" s="165"/>
      <c r="CG27" s="134"/>
      <c r="CH27" s="134"/>
      <c r="CI27" s="159"/>
      <c r="CJ27" s="159"/>
      <c r="CK27" s="159"/>
      <c r="CL27" s="159"/>
      <c r="CM27" s="159"/>
      <c r="CN27" s="159"/>
      <c r="CO27" s="159"/>
      <c r="CP27" s="159"/>
      <c r="CQ27" s="159"/>
      <c r="CR27" s="159"/>
      <c r="CS27" s="159"/>
      <c r="CT27" s="159"/>
      <c r="CU27" s="159"/>
      <c r="CV27" s="159"/>
      <c r="CW27" s="159"/>
      <c r="CX27" s="159"/>
      <c r="CY27" s="151"/>
      <c r="CZ27" s="151"/>
      <c r="DA27" s="163"/>
      <c r="DB27" s="163"/>
      <c r="DC27" s="163"/>
      <c r="DD27" s="163"/>
      <c r="DE27" s="163"/>
      <c r="DF27" s="163"/>
      <c r="DG27" s="151"/>
      <c r="DH27" s="152"/>
      <c r="DI27" s="152"/>
      <c r="DJ27" s="151"/>
      <c r="DK27" s="151"/>
      <c r="DL27" s="151"/>
      <c r="DM27" s="151"/>
      <c r="DN27" s="151"/>
      <c r="DO27" s="151"/>
      <c r="DP27" s="151"/>
      <c r="DQ27" s="151"/>
      <c r="DR27" s="151"/>
      <c r="DS27" s="151"/>
      <c r="DT27" s="151"/>
    </row>
    <row r="28" spans="1:124" s="17" customFormat="1">
      <c r="A28" s="153"/>
      <c r="B28" s="154"/>
      <c r="C28" s="155"/>
      <c r="D28" s="156"/>
      <c r="E28" s="156"/>
      <c r="F28" s="156"/>
      <c r="G28" s="156"/>
      <c r="H28" s="156"/>
      <c r="I28" s="156"/>
      <c r="J28" s="156"/>
      <c r="K28" s="156"/>
      <c r="L28" s="156"/>
      <c r="M28" s="157"/>
      <c r="N28" s="158"/>
      <c r="O28" s="157"/>
      <c r="P28" s="159"/>
      <c r="Q28" s="159"/>
      <c r="R28" s="157"/>
      <c r="S28" s="159"/>
      <c r="T28" s="159"/>
      <c r="U28" s="157"/>
      <c r="V28" s="159"/>
      <c r="W28" s="159"/>
      <c r="X28" s="157"/>
      <c r="Y28" s="159"/>
      <c r="Z28" s="159"/>
      <c r="AA28" s="157"/>
      <c r="AB28" s="159"/>
      <c r="AC28" s="159"/>
      <c r="AD28" s="160"/>
      <c r="AE28" s="159"/>
      <c r="AF28" s="160"/>
      <c r="AG28" s="157"/>
      <c r="AH28" s="159"/>
      <c r="AI28" s="159"/>
      <c r="AJ28" s="157"/>
      <c r="AK28" s="159"/>
      <c r="AL28" s="159"/>
      <c r="AM28" s="157"/>
      <c r="AN28" s="159"/>
      <c r="AO28" s="159"/>
      <c r="AP28" s="157"/>
      <c r="AQ28" s="159"/>
      <c r="AR28" s="159"/>
      <c r="AS28" s="157"/>
      <c r="AT28" s="159"/>
      <c r="AU28" s="159"/>
      <c r="AV28" s="157"/>
      <c r="AW28" s="159"/>
      <c r="AX28" s="159"/>
      <c r="AY28" s="157"/>
      <c r="AZ28" s="159"/>
      <c r="BA28" s="159"/>
      <c r="BB28" s="157"/>
      <c r="BC28" s="159"/>
      <c r="BD28" s="159"/>
      <c r="BE28" s="157"/>
      <c r="BF28" s="159"/>
      <c r="BG28" s="159"/>
      <c r="BH28" s="157"/>
      <c r="BI28" s="159"/>
      <c r="BJ28" s="159"/>
      <c r="BK28" s="157"/>
      <c r="BL28" s="159"/>
      <c r="BM28" s="159"/>
      <c r="BN28" s="164"/>
      <c r="BO28" s="161"/>
      <c r="BP28" s="161"/>
      <c r="BQ28" s="161"/>
      <c r="BR28" s="161"/>
      <c r="BS28" s="161"/>
      <c r="BT28" s="161"/>
      <c r="BU28" s="161"/>
      <c r="BV28" s="161"/>
      <c r="BW28" s="161"/>
      <c r="BX28" s="161"/>
      <c r="BY28" s="161"/>
      <c r="BZ28" s="161"/>
      <c r="CA28" s="161"/>
      <c r="CB28" s="161"/>
      <c r="CC28" s="161"/>
      <c r="CD28" s="161"/>
      <c r="CE28" s="165"/>
      <c r="CF28" s="165"/>
      <c r="CG28" s="134"/>
      <c r="CH28" s="134"/>
      <c r="CI28" s="159"/>
      <c r="CJ28" s="159"/>
      <c r="CK28" s="159"/>
      <c r="CL28" s="159"/>
      <c r="CM28" s="159"/>
      <c r="CN28" s="159"/>
      <c r="CO28" s="159"/>
      <c r="CP28" s="159"/>
      <c r="CQ28" s="159"/>
      <c r="CR28" s="159"/>
      <c r="CS28" s="159"/>
      <c r="CT28" s="159"/>
      <c r="CU28" s="159"/>
      <c r="CV28" s="159"/>
      <c r="CW28" s="159"/>
      <c r="CX28" s="159"/>
      <c r="CY28" s="151"/>
      <c r="CZ28" s="151"/>
      <c r="DA28" s="163"/>
      <c r="DB28" s="163"/>
      <c r="DC28" s="163"/>
      <c r="DD28" s="163"/>
      <c r="DE28" s="163"/>
      <c r="DF28" s="163"/>
      <c r="DG28" s="151"/>
      <c r="DH28" s="152"/>
      <c r="DI28" s="152"/>
      <c r="DJ28" s="151"/>
      <c r="DK28" s="151"/>
      <c r="DL28" s="151"/>
      <c r="DM28" s="151"/>
      <c r="DN28" s="151"/>
      <c r="DO28" s="151"/>
      <c r="DP28" s="151"/>
      <c r="DQ28" s="151"/>
      <c r="DR28" s="151"/>
      <c r="DS28" s="151"/>
      <c r="DT28" s="151"/>
    </row>
    <row r="29" spans="1:124" s="17" customFormat="1">
      <c r="A29" s="153"/>
      <c r="B29" s="154"/>
      <c r="C29" s="155"/>
      <c r="D29" s="156"/>
      <c r="E29" s="156"/>
      <c r="F29" s="156"/>
      <c r="G29" s="156"/>
      <c r="H29" s="156"/>
      <c r="I29" s="156"/>
      <c r="J29" s="156"/>
      <c r="K29" s="156"/>
      <c r="L29" s="156"/>
      <c r="M29" s="157"/>
      <c r="N29" s="158"/>
      <c r="O29" s="157"/>
      <c r="P29" s="159"/>
      <c r="Q29" s="159"/>
      <c r="R29" s="157"/>
      <c r="S29" s="159"/>
      <c r="T29" s="159"/>
      <c r="U29" s="157"/>
      <c r="V29" s="159"/>
      <c r="W29" s="159"/>
      <c r="X29" s="157"/>
      <c r="Y29" s="159"/>
      <c r="Z29" s="159"/>
      <c r="AA29" s="157"/>
      <c r="AB29" s="159"/>
      <c r="AC29" s="159"/>
      <c r="AD29" s="160"/>
      <c r="AE29" s="159"/>
      <c r="AF29" s="160"/>
      <c r="AG29" s="157"/>
      <c r="AH29" s="159"/>
      <c r="AI29" s="159"/>
      <c r="AJ29" s="157"/>
      <c r="AK29" s="159"/>
      <c r="AL29" s="159"/>
      <c r="AM29" s="157"/>
      <c r="AN29" s="159"/>
      <c r="AO29" s="159"/>
      <c r="AP29" s="157"/>
      <c r="AQ29" s="159"/>
      <c r="AR29" s="159"/>
      <c r="AS29" s="157"/>
      <c r="AT29" s="159"/>
      <c r="AU29" s="159"/>
      <c r="AV29" s="157"/>
      <c r="AW29" s="159"/>
      <c r="AX29" s="159"/>
      <c r="AY29" s="157"/>
      <c r="AZ29" s="159"/>
      <c r="BA29" s="159"/>
      <c r="BB29" s="157"/>
      <c r="BC29" s="159"/>
      <c r="BD29" s="159"/>
      <c r="BE29" s="157"/>
      <c r="BF29" s="159"/>
      <c r="BG29" s="159"/>
      <c r="BH29" s="157"/>
      <c r="BI29" s="159"/>
      <c r="BJ29" s="159"/>
      <c r="BK29" s="157"/>
      <c r="BL29" s="159"/>
      <c r="BM29" s="159"/>
      <c r="BN29" s="164"/>
      <c r="BO29" s="161"/>
      <c r="BP29" s="161"/>
      <c r="BQ29" s="161"/>
      <c r="BR29" s="161"/>
      <c r="BS29" s="161"/>
      <c r="BT29" s="161"/>
      <c r="BU29" s="161"/>
      <c r="BV29" s="161"/>
      <c r="BW29" s="161"/>
      <c r="BX29" s="161"/>
      <c r="BY29" s="161"/>
      <c r="BZ29" s="161"/>
      <c r="CA29" s="161"/>
      <c r="CB29" s="161"/>
      <c r="CC29" s="161"/>
      <c r="CD29" s="161"/>
      <c r="CE29" s="165"/>
      <c r="CF29" s="165"/>
      <c r="CG29" s="134"/>
      <c r="CH29" s="134"/>
      <c r="CI29" s="159"/>
      <c r="CJ29" s="159"/>
      <c r="CK29" s="159"/>
      <c r="CL29" s="159"/>
      <c r="CM29" s="159"/>
      <c r="CN29" s="159"/>
      <c r="CO29" s="159"/>
      <c r="CP29" s="159"/>
      <c r="CQ29" s="159"/>
      <c r="CR29" s="159"/>
      <c r="CS29" s="159"/>
      <c r="CT29" s="159"/>
      <c r="CU29" s="159"/>
      <c r="CV29" s="159"/>
      <c r="CW29" s="159"/>
      <c r="CX29" s="159"/>
      <c r="CY29" s="151"/>
      <c r="CZ29" s="151"/>
      <c r="DA29" s="163"/>
      <c r="DB29" s="163"/>
      <c r="DC29" s="163"/>
      <c r="DD29" s="163"/>
      <c r="DE29" s="163"/>
      <c r="DF29" s="163"/>
      <c r="DG29" s="151"/>
      <c r="DH29" s="152"/>
      <c r="DI29" s="152"/>
      <c r="DJ29" s="151"/>
      <c r="DK29" s="151"/>
      <c r="DL29" s="151"/>
      <c r="DM29" s="151"/>
      <c r="DN29" s="151"/>
      <c r="DO29" s="151"/>
      <c r="DP29" s="151"/>
      <c r="DQ29" s="151"/>
      <c r="DR29" s="151"/>
      <c r="DS29" s="151"/>
      <c r="DT29" s="151"/>
    </row>
  </sheetData>
  <conditionalFormatting sqref="DA12:DF29">
    <cfRule type="expression" dxfId="17" priority="1">
      <formula>DA12=0</formula>
    </cfRule>
  </conditionalFormatting>
  <printOptions horizontalCentered="1"/>
  <pageMargins left="0.25" right="0.25" top="0.75" bottom="0.75" header="0.3" footer="0.3"/>
  <pageSetup scale="37" fitToWidth="2" orientation="landscape" r:id="rId1"/>
  <headerFooter>
    <oddFooter>&amp;L&amp;F&amp;CPage &amp;P of &amp;N&amp;R&amp;D</oddFooter>
  </headerFooter>
  <colBreaks count="3" manualBreakCount="3">
    <brk id="26" max="21" man="1"/>
    <brk id="56" max="21" man="1"/>
    <brk id="84" max="21" man="1"/>
  </colBreaks>
  <extLst>
    <ext xmlns:x14="http://schemas.microsoft.com/office/spreadsheetml/2009/9/main" uri="{CCE6A557-97BC-4b89-ADB6-D9C93CAAB3DF}">
      <x14:dataValidations xmlns:xm="http://schemas.microsoft.com/office/excel/2006/main" count="2">
        <x14:dataValidation type="list" allowBlank="1" showInputMessage="1" showErrorMessage="1" xr:uid="{73C10EA3-F869-4455-BC25-BF65C62C7980}">
          <x14:formula1>
            <xm:f>OFFSET('Product Data'!$A$23,1,0,MATCH("*",'Product Data'!$A:$A,-1)-ROW('Product Data'!$A$23),1)</xm:f>
          </x14:formula1>
          <xm:sqref>B12:B29</xm:sqref>
        </x14:dataValidation>
        <x14:dataValidation type="list" allowBlank="1" showInputMessage="1" showErrorMessage="1" xr:uid="{CFE35234-CE01-44FD-ABD6-C1102C362915}">
          <x14:formula1>
            <xm:f>'Product Data'!$A:$A</xm:f>
          </x14:formula1>
          <xm:sqref>A12:A29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4B89-8E78-4A74-874A-5A05496124ED}">
  <sheetPr codeName="Sheet3"/>
  <dimension ref="A1:Z32"/>
  <sheetViews>
    <sheetView workbookViewId="0">
      <selection sqref="A1:XFD1048576"/>
    </sheetView>
  </sheetViews>
  <sheetFormatPr defaultColWidth="9.08984375" defaultRowHeight="14"/>
  <cols>
    <col min="1" max="1" width="20.08984375" style="17" bestFit="1" customWidth="1"/>
    <col min="2" max="2" width="23.36328125" style="17" customWidth="1"/>
    <col min="3" max="4" width="9.90625" style="17" bestFit="1" customWidth="1"/>
    <col min="5" max="5" width="14.6328125" style="168" bestFit="1" customWidth="1"/>
    <col min="6" max="6" width="14.6328125" style="17" bestFit="1" customWidth="1"/>
    <col min="7" max="7" width="14.54296875" style="17" bestFit="1" customWidth="1"/>
    <col min="8" max="8" width="9.453125" style="17" bestFit="1" customWidth="1"/>
    <col min="9" max="9" width="13.6328125" style="17" bestFit="1" customWidth="1"/>
    <col min="10" max="10" width="9.08984375" style="17"/>
    <col min="11" max="11" width="32.08984375" style="17" bestFit="1" customWidth="1"/>
    <col min="12" max="16384" width="9.08984375" style="17"/>
  </cols>
  <sheetData>
    <row r="1" spans="1:26" s="104" customFormat="1" ht="18">
      <c r="A1" s="1" t="s">
        <v>0</v>
      </c>
      <c r="B1" s="1"/>
      <c r="C1" s="101"/>
      <c r="D1" s="101"/>
      <c r="E1" s="101"/>
      <c r="F1" s="101"/>
      <c r="G1" s="101"/>
      <c r="H1" s="101"/>
      <c r="I1" s="166"/>
      <c r="K1" s="4" t="s">
        <v>2</v>
      </c>
      <c r="L1" s="17"/>
      <c r="M1" s="17"/>
    </row>
    <row r="2" spans="1:26" s="104" customFormat="1" ht="18">
      <c r="A2" s="9" t="str">
        <f>[1]Summary!A2</f>
        <v>Client Name</v>
      </c>
      <c r="B2" s="1"/>
      <c r="C2" s="101"/>
      <c r="D2" s="101"/>
      <c r="E2" s="101"/>
      <c r="F2" s="101"/>
      <c r="G2" s="101"/>
      <c r="H2" s="101"/>
      <c r="I2" s="166"/>
      <c r="K2" s="13" t="s">
        <v>699</v>
      </c>
      <c r="L2" s="17"/>
      <c r="M2" s="17"/>
    </row>
    <row r="3" spans="1:26" s="104" customFormat="1" ht="18">
      <c r="A3" s="9" t="str">
        <f>[1]Summary!A3</f>
        <v>Client Facility</v>
      </c>
      <c r="B3" s="1"/>
      <c r="C3" s="101"/>
      <c r="D3" s="101"/>
      <c r="E3" s="101"/>
      <c r="F3" s="101"/>
      <c r="G3" s="101"/>
      <c r="H3" s="101"/>
      <c r="I3" s="166"/>
      <c r="K3" s="167" t="s">
        <v>700</v>
      </c>
      <c r="L3" s="17"/>
      <c r="M3" s="17"/>
    </row>
    <row r="4" spans="1:26" s="104" customFormat="1" ht="18">
      <c r="A4" s="1" t="s">
        <v>701</v>
      </c>
      <c r="B4" s="1"/>
      <c r="C4" s="101"/>
      <c r="D4" s="101"/>
      <c r="E4" s="101"/>
      <c r="F4" s="101"/>
      <c r="G4" s="101"/>
      <c r="H4" s="101"/>
      <c r="I4" s="166"/>
      <c r="K4" s="17"/>
      <c r="L4" s="17"/>
      <c r="M4" s="17"/>
    </row>
    <row r="5" spans="1:26" ht="17.5">
      <c r="I5" s="169"/>
      <c r="N5" s="104"/>
      <c r="O5" s="104"/>
      <c r="P5" s="104"/>
      <c r="Q5" s="104"/>
      <c r="R5" s="104"/>
      <c r="S5" s="104"/>
      <c r="T5" s="104"/>
      <c r="U5" s="104"/>
      <c r="V5" s="104"/>
      <c r="W5" s="170"/>
      <c r="X5" s="170"/>
    </row>
    <row r="6" spans="1:26" ht="17.5">
      <c r="A6" s="171"/>
      <c r="I6" s="169"/>
      <c r="K6" s="4"/>
      <c r="N6" s="104"/>
      <c r="O6" s="104"/>
      <c r="P6" s="104"/>
      <c r="Q6" s="104"/>
      <c r="R6" s="104"/>
      <c r="S6" s="104"/>
      <c r="T6" s="104"/>
      <c r="U6" s="104"/>
      <c r="V6" s="104"/>
      <c r="Y6" s="170"/>
      <c r="Z6" s="170"/>
    </row>
    <row r="7" spans="1:26" ht="17.5">
      <c r="I7" s="169"/>
      <c r="K7" s="172"/>
      <c r="N7" s="104"/>
      <c r="O7" s="104"/>
      <c r="P7" s="104"/>
      <c r="Q7" s="104"/>
      <c r="R7" s="104"/>
      <c r="S7" s="104"/>
      <c r="T7" s="104"/>
      <c r="U7" s="104"/>
      <c r="V7" s="104"/>
    </row>
    <row r="8" spans="1:26" s="170" customFormat="1" ht="17.5">
      <c r="A8" s="173" t="s">
        <v>702</v>
      </c>
      <c r="B8" s="173" t="s">
        <v>703</v>
      </c>
      <c r="C8" s="17"/>
      <c r="D8" s="17"/>
      <c r="E8" s="168"/>
      <c r="F8" s="17"/>
      <c r="G8" s="17"/>
      <c r="H8" s="17"/>
      <c r="I8" s="169"/>
      <c r="J8" s="17"/>
      <c r="K8" s="35"/>
      <c r="L8" s="17"/>
      <c r="M8" s="17"/>
      <c r="N8" s="104"/>
      <c r="O8" s="104"/>
      <c r="P8" s="104"/>
      <c r="Q8" s="104"/>
      <c r="R8" s="104"/>
      <c r="S8" s="104"/>
      <c r="T8" s="104"/>
      <c r="U8" s="104"/>
      <c r="V8" s="104"/>
      <c r="W8" s="17"/>
      <c r="X8" s="17"/>
      <c r="Y8" s="17"/>
      <c r="Z8" s="17"/>
    </row>
    <row r="9" spans="1:26" ht="17.5">
      <c r="A9" s="174"/>
      <c r="B9" s="174"/>
      <c r="C9" s="175"/>
      <c r="D9" s="175"/>
      <c r="E9" s="175"/>
      <c r="F9" s="175"/>
      <c r="G9" s="175"/>
      <c r="H9" s="175"/>
      <c r="I9" s="175"/>
      <c r="K9" s="176"/>
      <c r="N9" s="104"/>
      <c r="O9" s="104"/>
      <c r="P9" s="104"/>
      <c r="Q9" s="104"/>
      <c r="R9" s="104"/>
      <c r="S9" s="104"/>
      <c r="T9" s="104"/>
      <c r="U9" s="104"/>
      <c r="V9" s="104"/>
    </row>
    <row r="10" spans="1:26" ht="73">
      <c r="A10" s="177" t="s">
        <v>704</v>
      </c>
      <c r="B10" s="178" t="s">
        <v>705</v>
      </c>
      <c r="C10" s="178" t="s">
        <v>706</v>
      </c>
      <c r="D10" s="85" t="s">
        <v>707</v>
      </c>
      <c r="E10" s="177" t="s">
        <v>708</v>
      </c>
      <c r="F10" s="177" t="s">
        <v>709</v>
      </c>
      <c r="G10" s="177" t="s">
        <v>710</v>
      </c>
      <c r="H10" s="177" t="s">
        <v>711</v>
      </c>
      <c r="I10" s="179" t="s">
        <v>712</v>
      </c>
      <c r="N10" s="104"/>
      <c r="O10" s="104"/>
      <c r="P10" s="104"/>
      <c r="Q10" s="104"/>
      <c r="R10" s="104"/>
      <c r="S10" s="104"/>
      <c r="T10" s="104"/>
      <c r="U10" s="104"/>
      <c r="V10" s="104"/>
    </row>
    <row r="11" spans="1:26" ht="17.5">
      <c r="A11" s="180" t="str">
        <f>$B$8</f>
        <v>Dallas, TX</v>
      </c>
      <c r="B11" s="181" t="s">
        <v>713</v>
      </c>
      <c r="C11" s="181">
        <v>31</v>
      </c>
      <c r="D11" s="181">
        <v>1</v>
      </c>
      <c r="E11" s="182">
        <f>SUMIFS('Reference Tables'!$C$24:$C$836, 'Reference Tables'!$A$24:$A$836, $A11, 'Reference Tables'!$B$24:$B$836, $D11)</f>
        <v>33.9</v>
      </c>
      <c r="F11" s="182">
        <f>SUMIFS('Reference Tables'!$D$24:$D$836, 'Reference Tables'!$A$24:$A$836, $A11, 'Reference Tables'!$B$24:$B$836, $D11)</f>
        <v>54</v>
      </c>
      <c r="G11" s="183">
        <f>SUMIFS('Reference Tables'!$E$24:$E$836, 'Reference Tables'!$A$24:$A$836, $A11, 'Reference Tables'!$B$24:$B$836, $D11)</f>
        <v>822</v>
      </c>
      <c r="H11" s="182">
        <f>SUMIFS('Reference Tables'!$F$24:$F$836, 'Reference Tables'!$A$24:$A$836, $A11, 'Reference Tables'!$B$24:$B$836, $D11)</f>
        <v>10.8</v>
      </c>
      <c r="I11" s="184">
        <f>SUMIFS('Reference Tables'!$G$24:$G$836, 'Reference Tables'!$A$24:$A$836, $A11, 'Reference Tables'!$B$24:$B$836, $D11)</f>
        <v>14.44</v>
      </c>
      <c r="N11" s="104"/>
      <c r="O11" s="104"/>
      <c r="P11" s="104"/>
      <c r="Q11" s="104"/>
      <c r="R11" s="104"/>
      <c r="S11" s="104"/>
      <c r="T11" s="104"/>
      <c r="U11" s="104"/>
      <c r="V11" s="104"/>
    </row>
    <row r="12" spans="1:26" ht="17.5">
      <c r="A12" s="180" t="str">
        <f t="shared" ref="A12:A23" si="0">$B$8</f>
        <v>Dallas, TX</v>
      </c>
      <c r="B12" s="181" t="s">
        <v>714</v>
      </c>
      <c r="C12" s="185">
        <v>29</v>
      </c>
      <c r="D12" s="181">
        <v>2</v>
      </c>
      <c r="E12" s="182">
        <f>SUMIFS('Reference Tables'!$C$24:$C$836, 'Reference Tables'!$A$24:$A$836, $A12, 'Reference Tables'!$B$24:$B$836, $D12)</f>
        <v>37.799999999999997</v>
      </c>
      <c r="F12" s="182">
        <f>SUMIFS('Reference Tables'!$D$24:$D$836, 'Reference Tables'!$A$24:$A$836, $A12, 'Reference Tables'!$B$24:$B$836, $D12)</f>
        <v>59.1</v>
      </c>
      <c r="G12" s="183">
        <f>SUMIFS('Reference Tables'!$E$24:$E$836, 'Reference Tables'!$A$24:$A$836, $A12, 'Reference Tables'!$B$24:$B$836, $D12)</f>
        <v>1071</v>
      </c>
      <c r="H12" s="182">
        <f>SUMIFS('Reference Tables'!$F$24:$F$836, 'Reference Tables'!$A$24:$A$836, $A12, 'Reference Tables'!$B$24:$B$836, $D12)</f>
        <v>10.8</v>
      </c>
      <c r="I12" s="184">
        <f>SUMIFS('Reference Tables'!$G$24:$G$836, 'Reference Tables'!$A$24:$A$836, $A12, 'Reference Tables'!$B$24:$B$836, $D12)</f>
        <v>14.44</v>
      </c>
      <c r="N12" s="104"/>
      <c r="O12" s="104"/>
      <c r="P12" s="104"/>
      <c r="Q12" s="104"/>
      <c r="R12" s="104"/>
      <c r="S12" s="104"/>
      <c r="T12" s="104"/>
      <c r="U12" s="104"/>
      <c r="V12" s="104"/>
    </row>
    <row r="13" spans="1:26" ht="17.5">
      <c r="A13" s="180" t="str">
        <f t="shared" si="0"/>
        <v>Dallas, TX</v>
      </c>
      <c r="B13" s="181" t="s">
        <v>715</v>
      </c>
      <c r="C13" s="181">
        <v>31</v>
      </c>
      <c r="D13" s="181">
        <v>3</v>
      </c>
      <c r="E13" s="182">
        <f>SUMIFS('Reference Tables'!$C$24:$C$836, 'Reference Tables'!$A$24:$A$836, $A13, 'Reference Tables'!$B$24:$B$836, $D13)</f>
        <v>44.9</v>
      </c>
      <c r="F13" s="182">
        <f>SUMIFS('Reference Tables'!$D$24:$D$836, 'Reference Tables'!$A$24:$A$836, $A13, 'Reference Tables'!$B$24:$B$836, $D13)</f>
        <v>67.2</v>
      </c>
      <c r="G13" s="183">
        <f>SUMIFS('Reference Tables'!$E$24:$E$836, 'Reference Tables'!$A$24:$A$836, $A13, 'Reference Tables'!$B$24:$B$836, $D13)</f>
        <v>1422</v>
      </c>
      <c r="H13" s="182">
        <f>SUMIFS('Reference Tables'!$F$24:$F$836, 'Reference Tables'!$A$24:$A$836, $A13, 'Reference Tables'!$B$24:$B$836, $D13)</f>
        <v>10.8</v>
      </c>
      <c r="I13" s="184">
        <f>SUMIFS('Reference Tables'!$G$24:$G$836, 'Reference Tables'!$A$24:$A$836, $A13, 'Reference Tables'!$B$24:$B$836, $D13)</f>
        <v>14.44</v>
      </c>
      <c r="N13" s="104"/>
      <c r="O13" s="104"/>
      <c r="P13" s="104"/>
      <c r="Q13" s="104"/>
      <c r="R13" s="104"/>
      <c r="S13" s="104"/>
      <c r="T13" s="104"/>
      <c r="U13" s="104"/>
      <c r="V13" s="104"/>
    </row>
    <row r="14" spans="1:26" ht="17.5">
      <c r="A14" s="180" t="str">
        <f t="shared" si="0"/>
        <v>Dallas, TX</v>
      </c>
      <c r="B14" s="181" t="s">
        <v>716</v>
      </c>
      <c r="C14" s="181">
        <v>30</v>
      </c>
      <c r="D14" s="181">
        <v>4</v>
      </c>
      <c r="E14" s="182">
        <f>SUMIFS('Reference Tables'!$C$24:$C$836, 'Reference Tables'!$A$24:$A$836, $A14, 'Reference Tables'!$B$24:$B$836, $D14)</f>
        <v>55</v>
      </c>
      <c r="F14" s="182">
        <f>SUMIFS('Reference Tables'!$D$24:$D$836, 'Reference Tables'!$A$24:$A$836, $A14, 'Reference Tables'!$B$24:$B$836, $D14)</f>
        <v>76.8</v>
      </c>
      <c r="G14" s="183">
        <f>SUMIFS('Reference Tables'!$E$24:$E$836, 'Reference Tables'!$A$24:$A$836, $A14, 'Reference Tables'!$B$24:$B$836, $D14)</f>
        <v>1627</v>
      </c>
      <c r="H14" s="182">
        <f>SUMIFS('Reference Tables'!$F$24:$F$836, 'Reference Tables'!$A$24:$A$836, $A14, 'Reference Tables'!$B$24:$B$836, $D14)</f>
        <v>10.8</v>
      </c>
      <c r="I14" s="184">
        <f>SUMIFS('Reference Tables'!$G$24:$G$836, 'Reference Tables'!$A$24:$A$836, $A14, 'Reference Tables'!$B$24:$B$836, $D14)</f>
        <v>14.44</v>
      </c>
      <c r="N14" s="104"/>
      <c r="O14" s="104"/>
      <c r="P14" s="104"/>
      <c r="Q14" s="104"/>
      <c r="R14" s="104"/>
      <c r="S14" s="104"/>
      <c r="T14" s="104"/>
      <c r="U14" s="104"/>
      <c r="V14" s="104"/>
    </row>
    <row r="15" spans="1:26" ht="17.5">
      <c r="A15" s="180" t="str">
        <f t="shared" si="0"/>
        <v>Dallas, TX</v>
      </c>
      <c r="B15" s="181" t="s">
        <v>717</v>
      </c>
      <c r="C15" s="181">
        <v>31</v>
      </c>
      <c r="D15" s="181">
        <v>5</v>
      </c>
      <c r="E15" s="182">
        <f>SUMIFS('Reference Tables'!$C$24:$C$836, 'Reference Tables'!$A$24:$A$836, $A15, 'Reference Tables'!$B$24:$B$836, $D15)</f>
        <v>62.9</v>
      </c>
      <c r="F15" s="182">
        <f>SUMIFS('Reference Tables'!$D$24:$D$836, 'Reference Tables'!$A$24:$A$836, $A15, 'Reference Tables'!$B$24:$B$836, $D15)</f>
        <v>84.4</v>
      </c>
      <c r="G15" s="183">
        <f>SUMIFS('Reference Tables'!$E$24:$E$836, 'Reference Tables'!$A$24:$A$836, $A15, 'Reference Tables'!$B$24:$B$836, $D15)</f>
        <v>1889</v>
      </c>
      <c r="H15" s="182">
        <f>SUMIFS('Reference Tables'!$F$24:$F$836, 'Reference Tables'!$A$24:$A$836, $A15, 'Reference Tables'!$B$24:$B$836, $D15)</f>
        <v>10.8</v>
      </c>
      <c r="I15" s="184">
        <f>SUMIFS('Reference Tables'!$G$24:$G$836, 'Reference Tables'!$A$24:$A$836, $A15, 'Reference Tables'!$B$24:$B$836, $D15)</f>
        <v>14.44</v>
      </c>
      <c r="N15" s="104"/>
      <c r="O15" s="104"/>
      <c r="P15" s="104"/>
      <c r="Q15" s="104"/>
      <c r="R15" s="104"/>
      <c r="S15" s="104"/>
      <c r="T15" s="104"/>
      <c r="U15" s="104"/>
      <c r="V15" s="104"/>
    </row>
    <row r="16" spans="1:26" ht="17.5">
      <c r="A16" s="180" t="str">
        <f t="shared" si="0"/>
        <v>Dallas, TX</v>
      </c>
      <c r="B16" s="181" t="s">
        <v>718</v>
      </c>
      <c r="C16" s="181">
        <v>30</v>
      </c>
      <c r="D16" s="181">
        <v>6</v>
      </c>
      <c r="E16" s="182">
        <f>SUMIFS('Reference Tables'!$C$24:$C$836, 'Reference Tables'!$A$24:$A$836, $A16, 'Reference Tables'!$B$24:$B$836, $D16)</f>
        <v>70.8</v>
      </c>
      <c r="F16" s="182">
        <f>SUMIFS('Reference Tables'!$D$24:$D$836, 'Reference Tables'!$A$24:$A$836, $A16, 'Reference Tables'!$B$24:$B$836, $D16)</f>
        <v>93.2</v>
      </c>
      <c r="G16" s="183">
        <f>SUMIFS('Reference Tables'!$E$24:$E$836, 'Reference Tables'!$A$24:$A$836, $A16, 'Reference Tables'!$B$24:$B$836, $D16)</f>
        <v>2135</v>
      </c>
      <c r="H16" s="182">
        <f>SUMIFS('Reference Tables'!$F$24:$F$836, 'Reference Tables'!$A$24:$A$836, $A16, 'Reference Tables'!$B$24:$B$836, $D16)</f>
        <v>10.8</v>
      </c>
      <c r="I16" s="184">
        <f>SUMIFS('Reference Tables'!$G$24:$G$836, 'Reference Tables'!$A$24:$A$836, $A16, 'Reference Tables'!$B$24:$B$836, $D16)</f>
        <v>14.44</v>
      </c>
      <c r="N16" s="104"/>
      <c r="O16" s="104"/>
      <c r="P16" s="104"/>
      <c r="Q16" s="104"/>
      <c r="R16" s="104"/>
      <c r="S16" s="104"/>
      <c r="T16" s="104"/>
      <c r="U16" s="104"/>
      <c r="V16" s="104"/>
    </row>
    <row r="17" spans="1:22" ht="17.5">
      <c r="A17" s="180" t="str">
        <f t="shared" si="0"/>
        <v>Dallas, TX</v>
      </c>
      <c r="B17" s="181" t="s">
        <v>719</v>
      </c>
      <c r="C17" s="181">
        <v>31</v>
      </c>
      <c r="D17" s="181">
        <v>7</v>
      </c>
      <c r="E17" s="182">
        <f>SUMIFS('Reference Tables'!$C$24:$C$836, 'Reference Tables'!$A$24:$A$836, $A17, 'Reference Tables'!$B$24:$B$836, $D17)</f>
        <v>74.7</v>
      </c>
      <c r="F17" s="182">
        <f>SUMIFS('Reference Tables'!$D$24:$D$836, 'Reference Tables'!$A$24:$A$836, $A17, 'Reference Tables'!$B$24:$B$836, $D17)</f>
        <v>97.8</v>
      </c>
      <c r="G17" s="183">
        <f>SUMIFS('Reference Tables'!$E$24:$E$836, 'Reference Tables'!$A$24:$A$836, $A17, 'Reference Tables'!$B$24:$B$836, $D17)</f>
        <v>2122</v>
      </c>
      <c r="H17" s="182">
        <f>SUMIFS('Reference Tables'!$F$24:$F$836, 'Reference Tables'!$A$24:$A$836, $A17, 'Reference Tables'!$B$24:$B$836, $D17)</f>
        <v>10.8</v>
      </c>
      <c r="I17" s="184">
        <f>SUMIFS('Reference Tables'!$G$24:$G$836, 'Reference Tables'!$A$24:$A$836, $A17, 'Reference Tables'!$B$24:$B$836, $D17)</f>
        <v>14.44</v>
      </c>
      <c r="N17" s="104"/>
      <c r="O17" s="104"/>
      <c r="P17" s="104"/>
      <c r="Q17" s="104"/>
      <c r="R17" s="104"/>
      <c r="S17" s="104"/>
      <c r="T17" s="104"/>
      <c r="U17" s="104"/>
      <c r="V17" s="104"/>
    </row>
    <row r="18" spans="1:22" ht="17.5">
      <c r="A18" s="180" t="str">
        <f t="shared" si="0"/>
        <v>Dallas, TX</v>
      </c>
      <c r="B18" s="181" t="s">
        <v>720</v>
      </c>
      <c r="C18" s="181">
        <v>31</v>
      </c>
      <c r="D18" s="181">
        <v>8</v>
      </c>
      <c r="E18" s="182">
        <f>SUMIFS('Reference Tables'!$C$24:$C$836, 'Reference Tables'!$A$24:$A$836, $A18, 'Reference Tables'!$B$24:$B$836, $D18)</f>
        <v>73.7</v>
      </c>
      <c r="F18" s="182">
        <f>SUMIFS('Reference Tables'!$D$24:$D$836, 'Reference Tables'!$A$24:$A$836, $A18, 'Reference Tables'!$B$24:$B$836, $D18)</f>
        <v>97.3</v>
      </c>
      <c r="G18" s="183">
        <f>SUMIFS('Reference Tables'!$E$24:$E$836, 'Reference Tables'!$A$24:$A$836, $A18, 'Reference Tables'!$B$24:$B$836, $D18)</f>
        <v>1950</v>
      </c>
      <c r="H18" s="182">
        <f>SUMIFS('Reference Tables'!$F$24:$F$836, 'Reference Tables'!$A$24:$A$836, $A18, 'Reference Tables'!$B$24:$B$836, $D18)</f>
        <v>10.8</v>
      </c>
      <c r="I18" s="184">
        <f>SUMIFS('Reference Tables'!$G$24:$G$836, 'Reference Tables'!$A$24:$A$836, $A18, 'Reference Tables'!$B$24:$B$836, $D18)</f>
        <v>14.44</v>
      </c>
      <c r="N18" s="104"/>
      <c r="O18" s="104"/>
      <c r="P18" s="104"/>
      <c r="Q18" s="104"/>
      <c r="R18" s="104"/>
      <c r="S18" s="104"/>
      <c r="T18" s="104"/>
      <c r="U18" s="104"/>
      <c r="V18" s="104"/>
    </row>
    <row r="19" spans="1:22" ht="17.5">
      <c r="A19" s="180" t="str">
        <f t="shared" si="0"/>
        <v>Dallas, TX</v>
      </c>
      <c r="B19" s="181" t="s">
        <v>721</v>
      </c>
      <c r="C19" s="181">
        <v>30</v>
      </c>
      <c r="D19" s="181">
        <v>9</v>
      </c>
      <c r="E19" s="182">
        <f>SUMIFS('Reference Tables'!$C$24:$C$836, 'Reference Tables'!$A$24:$A$836, $A19, 'Reference Tables'!$B$24:$B$836, $D19)</f>
        <v>67.5</v>
      </c>
      <c r="F19" s="182">
        <f>SUMIFS('Reference Tables'!$D$24:$D$836, 'Reference Tables'!$A$24:$A$836, $A19, 'Reference Tables'!$B$24:$B$836, $D19)</f>
        <v>89.7</v>
      </c>
      <c r="G19" s="183">
        <f>SUMIFS('Reference Tables'!$E$24:$E$836, 'Reference Tables'!$A$24:$A$836, $A19, 'Reference Tables'!$B$24:$B$836, $D19)</f>
        <v>1587</v>
      </c>
      <c r="H19" s="182">
        <f>SUMIFS('Reference Tables'!$F$24:$F$836, 'Reference Tables'!$A$24:$A$836, $A19, 'Reference Tables'!$B$24:$B$836, $D19)</f>
        <v>10.8</v>
      </c>
      <c r="I19" s="184">
        <f>SUMIFS('Reference Tables'!$G$24:$G$836, 'Reference Tables'!$A$24:$A$836, $A19, 'Reference Tables'!$B$24:$B$836, $D19)</f>
        <v>14.44</v>
      </c>
      <c r="N19" s="104"/>
      <c r="O19" s="104"/>
      <c r="P19" s="104"/>
      <c r="Q19" s="104"/>
      <c r="R19" s="104"/>
      <c r="S19" s="104"/>
      <c r="T19" s="104"/>
      <c r="U19" s="104"/>
      <c r="V19" s="104"/>
    </row>
    <row r="20" spans="1:22" ht="17.5">
      <c r="A20" s="180" t="str">
        <f t="shared" si="0"/>
        <v>Dallas, TX</v>
      </c>
      <c r="B20" s="181" t="s">
        <v>722</v>
      </c>
      <c r="C20" s="181">
        <v>31</v>
      </c>
      <c r="D20" s="181">
        <v>10</v>
      </c>
      <c r="E20" s="182">
        <f>SUMIFS('Reference Tables'!$C$24:$C$836, 'Reference Tables'!$A$24:$A$836, $A20, 'Reference Tables'!$B$24:$B$836, $D20)</f>
        <v>56.3</v>
      </c>
      <c r="F20" s="182">
        <f>SUMIFS('Reference Tables'!$D$24:$D$836, 'Reference Tables'!$A$24:$A$836, $A20, 'Reference Tables'!$B$24:$B$836, $D20)</f>
        <v>79.5</v>
      </c>
      <c r="G20" s="183">
        <f>SUMIFS('Reference Tables'!$E$24:$E$836, 'Reference Tables'!$A$24:$A$836, $A20, 'Reference Tables'!$B$24:$B$836, $D20)</f>
        <v>1276</v>
      </c>
      <c r="H20" s="182">
        <f>SUMIFS('Reference Tables'!$F$24:$F$836, 'Reference Tables'!$A$24:$A$836, $A20, 'Reference Tables'!$B$24:$B$836, $D20)</f>
        <v>10.8</v>
      </c>
      <c r="I20" s="184">
        <f>SUMIFS('Reference Tables'!$G$24:$G$836, 'Reference Tables'!$A$24:$A$836, $A20, 'Reference Tables'!$B$24:$B$836, $D20)</f>
        <v>14.44</v>
      </c>
      <c r="N20" s="104"/>
      <c r="O20" s="104"/>
      <c r="P20" s="104"/>
      <c r="Q20" s="104"/>
      <c r="R20" s="104"/>
      <c r="S20" s="104"/>
      <c r="T20" s="104"/>
      <c r="U20" s="104"/>
      <c r="V20" s="104"/>
    </row>
    <row r="21" spans="1:22" ht="17.5">
      <c r="A21" s="180" t="str">
        <f t="shared" si="0"/>
        <v>Dallas, TX</v>
      </c>
      <c r="B21" s="181" t="s">
        <v>723</v>
      </c>
      <c r="C21" s="181">
        <v>30</v>
      </c>
      <c r="D21" s="181">
        <v>11</v>
      </c>
      <c r="E21" s="182">
        <f>SUMIFS('Reference Tables'!$C$24:$C$836, 'Reference Tables'!$A$24:$A$836, $A21, 'Reference Tables'!$B$24:$B$836, $D21)</f>
        <v>44.9</v>
      </c>
      <c r="F21" s="182">
        <f>SUMIFS('Reference Tables'!$D$24:$D$836, 'Reference Tables'!$A$24:$A$836, $A21, 'Reference Tables'!$B$24:$B$836, $D21)</f>
        <v>66.2</v>
      </c>
      <c r="G21" s="183">
        <f>SUMIFS('Reference Tables'!$E$24:$E$836, 'Reference Tables'!$A$24:$A$836, $A21, 'Reference Tables'!$B$24:$B$836, $D21)</f>
        <v>936</v>
      </c>
      <c r="H21" s="182">
        <f>SUMIFS('Reference Tables'!$F$24:$F$836, 'Reference Tables'!$A$24:$A$836, $A21, 'Reference Tables'!$B$24:$B$836, $D21)</f>
        <v>10.8</v>
      </c>
      <c r="I21" s="184">
        <f>SUMIFS('Reference Tables'!$G$24:$G$836, 'Reference Tables'!$A$24:$A$836, $A21, 'Reference Tables'!$B$24:$B$836, $D21)</f>
        <v>14.44</v>
      </c>
      <c r="N21" s="104"/>
      <c r="O21" s="104"/>
      <c r="P21" s="104"/>
      <c r="Q21" s="104"/>
      <c r="R21" s="104"/>
      <c r="S21" s="104"/>
      <c r="T21" s="104"/>
      <c r="U21" s="104"/>
      <c r="V21" s="104"/>
    </row>
    <row r="22" spans="1:22" ht="17.5">
      <c r="A22" s="180" t="str">
        <f t="shared" si="0"/>
        <v>Dallas, TX</v>
      </c>
      <c r="B22" s="181" t="s">
        <v>724</v>
      </c>
      <c r="C22" s="181">
        <v>31</v>
      </c>
      <c r="D22" s="181">
        <v>12</v>
      </c>
      <c r="E22" s="182">
        <f>SUMIFS('Reference Tables'!$C$24:$C$836, 'Reference Tables'!$A$24:$A$836, $A22, 'Reference Tables'!$B$24:$B$836, $D22)</f>
        <v>37.4</v>
      </c>
      <c r="F22" s="182">
        <f>SUMIFS('Reference Tables'!$D$24:$D$836, 'Reference Tables'!$A$24:$A$836, $A22, 'Reference Tables'!$B$24:$B$836, $D22)</f>
        <v>58.1</v>
      </c>
      <c r="G22" s="183">
        <f>SUMIFS('Reference Tables'!$E$24:$E$836, 'Reference Tables'!$A$24:$A$836, $A22, 'Reference Tables'!$B$24:$B$836, $D22)</f>
        <v>780</v>
      </c>
      <c r="H22" s="182">
        <f>SUMIFS('Reference Tables'!$F$24:$F$836, 'Reference Tables'!$A$24:$A$836, $A22, 'Reference Tables'!$B$24:$B$836, $D22)</f>
        <v>10.8</v>
      </c>
      <c r="I22" s="184">
        <f>SUMIFS('Reference Tables'!$G$24:$G$836, 'Reference Tables'!$A$24:$A$836, $A22, 'Reference Tables'!$B$24:$B$836, $D22)</f>
        <v>14.44</v>
      </c>
      <c r="V22" s="104"/>
    </row>
    <row r="23" spans="1:22" ht="17.5">
      <c r="A23" s="180" t="str">
        <f t="shared" si="0"/>
        <v>Dallas, TX</v>
      </c>
      <c r="B23" s="181" t="s">
        <v>725</v>
      </c>
      <c r="C23" s="181">
        <v>365</v>
      </c>
      <c r="D23" s="181" t="s">
        <v>726</v>
      </c>
      <c r="E23" s="182">
        <f>SUMIFS('Reference Tables'!$C$24:$C$836, 'Reference Tables'!$A$24:$A$836, $A23, 'Reference Tables'!$B$24:$B$836, $D23)</f>
        <v>54.983333333333327</v>
      </c>
      <c r="F23" s="182">
        <f>SUMIFS('Reference Tables'!$D$24:$D$836, 'Reference Tables'!$A$24:$A$836, $A23, 'Reference Tables'!$B$24:$B$836, $D23)</f>
        <v>76.941666666666677</v>
      </c>
      <c r="G23" s="183">
        <f>SUMIFS('Reference Tables'!$E$24:$E$836, 'Reference Tables'!$A$24:$A$836, $A23, 'Reference Tables'!$B$24:$B$836, $D23)</f>
        <v>1468.0833333333333</v>
      </c>
      <c r="H23" s="182">
        <f>SUMIFS('Reference Tables'!$F$24:$F$836, 'Reference Tables'!$A$24:$A$836, $A23, 'Reference Tables'!$B$24:$B$836, $D23)</f>
        <v>10.799999999999999</v>
      </c>
      <c r="I23" s="184">
        <f>SUMIFS('Reference Tables'!$G$24:$G$836, 'Reference Tables'!$A$24:$A$836, $A23, 'Reference Tables'!$B$24:$B$836, $D23)</f>
        <v>14.44</v>
      </c>
      <c r="K23" s="186"/>
      <c r="L23" s="186"/>
      <c r="V23" s="104"/>
    </row>
    <row r="24" spans="1:22" ht="17.5">
      <c r="A24" s="187"/>
      <c r="B24" s="187"/>
      <c r="C24" s="187"/>
      <c r="D24" s="181" t="s">
        <v>727</v>
      </c>
      <c r="E24" s="182">
        <f>MAX(E11:E22)</f>
        <v>74.7</v>
      </c>
      <c r="F24" s="182">
        <f>MAX(F11:F22)</f>
        <v>97.8</v>
      </c>
      <c r="G24" s="183">
        <f>MAX(G11:G22)</f>
        <v>2135</v>
      </c>
      <c r="H24" s="182">
        <f>MAX(H11:H22)</f>
        <v>10.8</v>
      </c>
      <c r="I24" s="182">
        <f>MAX(I11:I22)</f>
        <v>14.44</v>
      </c>
      <c r="K24" s="186"/>
      <c r="L24" s="186"/>
      <c r="V24" s="104"/>
    </row>
    <row r="25" spans="1:22" ht="18" customHeight="1">
      <c r="A25" s="187"/>
      <c r="B25" s="187"/>
      <c r="C25" s="187"/>
      <c r="D25" s="181" t="s">
        <v>728</v>
      </c>
      <c r="E25" s="188">
        <v>95</v>
      </c>
      <c r="F25" s="188">
        <v>95</v>
      </c>
      <c r="G25" s="183">
        <f>MAX(G11:G23)</f>
        <v>2135</v>
      </c>
      <c r="H25" s="182">
        <f>MAX(H11:H23)</f>
        <v>10.8</v>
      </c>
      <c r="I25" s="182">
        <f>MAX(I11:I23)</f>
        <v>14.44</v>
      </c>
      <c r="K25" s="186"/>
      <c r="L25" s="186"/>
      <c r="V25" s="170"/>
    </row>
    <row r="26" spans="1:22">
      <c r="I26" s="169"/>
      <c r="K26" s="186"/>
      <c r="L26" s="186"/>
    </row>
    <row r="27" spans="1:22">
      <c r="I27" s="169"/>
      <c r="K27" s="186"/>
      <c r="L27" s="186"/>
    </row>
    <row r="28" spans="1:22">
      <c r="I28" s="169"/>
      <c r="K28" s="186"/>
      <c r="L28" s="186"/>
    </row>
    <row r="29" spans="1:22">
      <c r="I29" s="169"/>
      <c r="K29" s="186"/>
      <c r="L29" s="186"/>
    </row>
    <row r="30" spans="1:22">
      <c r="I30" s="169"/>
    </row>
    <row r="31" spans="1:22">
      <c r="I31" s="169"/>
    </row>
    <row r="32" spans="1:22">
      <c r="I32" s="169"/>
    </row>
  </sheetData>
  <printOptions horizontalCentered="1"/>
  <pageMargins left="0.5" right="0.5" top="0.5" bottom="0.5" header="0.5" footer="0.5"/>
  <pageSetup scale="75" orientation="landscape" r:id="rId1"/>
  <headerFooter alignWithMargins="0">
    <oddFooter>&amp;L&amp;F&amp;CPage &amp;P of &amp;N&amp;R&amp;D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D6BD8EA8-36B2-4525-841B-2194F613D07A}">
          <x14:formula1>
            <xm:f>'Reference Tables'!$I$24:$I$85</xm:f>
          </x14:formula1>
          <xm:sqref>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2C660-B908-48D9-B995-46201EE76435}">
  <sheetPr codeName="Sheet7">
    <pageSetUpPr autoPageBreaks="0"/>
  </sheetPr>
  <dimension ref="A1:BG399"/>
  <sheetViews>
    <sheetView workbookViewId="0">
      <selection sqref="A1:XFD1048576"/>
    </sheetView>
  </sheetViews>
  <sheetFormatPr defaultColWidth="9.08984375" defaultRowHeight="14"/>
  <cols>
    <col min="1" max="1" width="12.90625" style="258" customWidth="1"/>
    <col min="2" max="2" width="8.36328125" style="270" customWidth="1"/>
    <col min="3" max="3" width="10.36328125" style="17" bestFit="1" customWidth="1"/>
    <col min="4" max="4" width="11.54296875" style="17" customWidth="1"/>
    <col min="5" max="5" width="11.453125" style="17" customWidth="1"/>
    <col min="6" max="6" width="20.453125" style="169" bestFit="1" customWidth="1"/>
    <col min="7" max="7" width="10.90625" style="17" bestFit="1" customWidth="1"/>
    <col min="8" max="8" width="14.36328125" style="168" customWidth="1"/>
    <col min="9" max="9" width="11.54296875" style="17" customWidth="1"/>
    <col min="10" max="10" width="13.08984375" style="17" customWidth="1"/>
    <col min="11" max="11" width="7" style="168" bestFit="1" customWidth="1"/>
    <col min="12" max="12" width="10" style="17" customWidth="1"/>
    <col min="13" max="13" width="8.453125" style="17" customWidth="1"/>
    <col min="14" max="14" width="12.54296875" style="17" customWidth="1"/>
    <col min="15" max="15" width="12.36328125" style="17" customWidth="1"/>
    <col min="16" max="16" width="10.90625" style="17" customWidth="1"/>
    <col min="17" max="17" width="12.36328125" style="17" customWidth="1"/>
    <col min="18" max="18" width="15.36328125" style="17" customWidth="1"/>
    <col min="19" max="19" width="12.6328125" style="17" customWidth="1"/>
    <col min="20" max="20" width="14.6328125" style="168" bestFit="1" customWidth="1"/>
    <col min="21" max="21" width="18.453125" style="168" bestFit="1" customWidth="1"/>
    <col min="22" max="22" width="13.90625" style="17" customWidth="1"/>
    <col min="23" max="23" width="15" style="17" customWidth="1"/>
    <col min="24" max="24" width="14.36328125" style="17" bestFit="1" customWidth="1"/>
    <col min="25" max="25" width="17" style="258" bestFit="1" customWidth="1"/>
    <col min="26" max="26" width="15.08984375" style="17" bestFit="1" customWidth="1"/>
    <col min="27" max="27" width="15.08984375" style="17" customWidth="1"/>
    <col min="28" max="28" width="10.08984375" style="17" bestFit="1" customWidth="1"/>
    <col min="29" max="29" width="12.36328125" style="17" bestFit="1" customWidth="1"/>
    <col min="30" max="30" width="12.36328125" style="17" customWidth="1"/>
    <col min="31" max="31" width="16.90625" style="257" customWidth="1"/>
    <col min="32" max="32" width="17.90625" style="17" customWidth="1"/>
    <col min="33" max="33" width="14.36328125" style="257" customWidth="1"/>
    <col min="34" max="34" width="14.54296875" style="257" customWidth="1"/>
    <col min="35" max="35" width="26.90625" style="17" bestFit="1" customWidth="1"/>
    <col min="36" max="36" width="11.08984375" style="17" customWidth="1"/>
    <col min="37" max="37" width="39.36328125" style="13" customWidth="1"/>
    <col min="38" max="38" width="124.08984375" style="17" customWidth="1"/>
    <col min="39" max="39" width="51.6328125" style="17" customWidth="1"/>
    <col min="40" max="40" width="19.453125" style="17" customWidth="1"/>
    <col min="41" max="41" width="24.6328125" style="17" customWidth="1"/>
    <col min="42" max="42" width="11.54296875" style="17" bestFit="1" customWidth="1"/>
    <col min="43" max="43" width="8.08984375" style="17" bestFit="1" customWidth="1"/>
    <col min="44" max="44" width="5.08984375" style="17" bestFit="1" customWidth="1"/>
    <col min="45" max="45" width="17.36328125" style="17" bestFit="1" customWidth="1"/>
    <col min="46" max="46" width="14.453125" style="17" customWidth="1"/>
    <col min="47" max="47" width="16.54296875" style="17" customWidth="1"/>
    <col min="48" max="16384" width="9.08984375" style="17"/>
  </cols>
  <sheetData>
    <row r="1" spans="1:49" s="104" customFormat="1" ht="18" customHeight="1">
      <c r="A1" s="1" t="s">
        <v>0</v>
      </c>
      <c r="B1" s="101"/>
      <c r="C1" s="101"/>
      <c r="D1" s="101"/>
      <c r="E1" s="101"/>
      <c r="F1" s="101"/>
      <c r="G1" s="101"/>
      <c r="H1" s="101"/>
      <c r="I1" s="101"/>
      <c r="J1" s="101"/>
      <c r="K1" s="101"/>
      <c r="L1" s="101"/>
      <c r="M1" s="101"/>
      <c r="N1" s="101"/>
      <c r="O1" s="101"/>
      <c r="P1" s="101"/>
      <c r="Q1" s="101"/>
      <c r="R1" s="101"/>
      <c r="S1" s="101"/>
      <c r="T1" s="103" t="str">
        <f>A1</f>
        <v>Table No. X</v>
      </c>
      <c r="U1" s="101"/>
      <c r="V1" s="101"/>
      <c r="W1" s="189"/>
      <c r="X1" s="101"/>
      <c r="Y1" s="190"/>
      <c r="Z1" s="189"/>
      <c r="AA1" s="189"/>
      <c r="AB1" s="189"/>
      <c r="AC1" s="101"/>
      <c r="AD1" s="101"/>
      <c r="AE1" s="189"/>
      <c r="AF1" s="101"/>
      <c r="AG1" s="101"/>
      <c r="AH1" s="1"/>
      <c r="AI1" s="191"/>
      <c r="AK1" s="4" t="s">
        <v>2</v>
      </c>
      <c r="AL1" s="13"/>
      <c r="AM1" s="13"/>
      <c r="AN1" s="35"/>
      <c r="AO1" s="176"/>
      <c r="AP1" s="192"/>
      <c r="AQ1" s="192"/>
      <c r="AR1" s="192"/>
      <c r="AS1" s="192"/>
      <c r="AT1" s="192"/>
      <c r="AU1" s="192"/>
      <c r="AV1" s="192"/>
      <c r="AW1" s="17"/>
    </row>
    <row r="2" spans="1:49" s="104" customFormat="1" ht="18" customHeight="1">
      <c r="A2" s="9" t="str">
        <f>[1]Summary!A2</f>
        <v>Client Name</v>
      </c>
      <c r="B2" s="101"/>
      <c r="C2" s="101"/>
      <c r="D2" s="101"/>
      <c r="E2" s="101"/>
      <c r="F2" s="101"/>
      <c r="G2" s="101"/>
      <c r="H2" s="101"/>
      <c r="I2" s="101"/>
      <c r="J2" s="101"/>
      <c r="K2" s="101"/>
      <c r="L2" s="101"/>
      <c r="M2" s="101"/>
      <c r="N2" s="101"/>
      <c r="O2" s="101"/>
      <c r="P2" s="101"/>
      <c r="Q2" s="101"/>
      <c r="R2" s="101"/>
      <c r="S2" s="193"/>
      <c r="T2" s="103" t="str">
        <f>A2</f>
        <v>Client Name</v>
      </c>
      <c r="U2" s="101"/>
      <c r="V2" s="101"/>
      <c r="W2" s="189"/>
      <c r="X2" s="101"/>
      <c r="Y2" s="190"/>
      <c r="Z2" s="189"/>
      <c r="AA2" s="189"/>
      <c r="AB2" s="189"/>
      <c r="AC2" s="101"/>
      <c r="AD2" s="101"/>
      <c r="AE2" s="189"/>
      <c r="AF2" s="101"/>
      <c r="AG2" s="101"/>
      <c r="AH2" s="194"/>
      <c r="AI2" s="195"/>
      <c r="AK2" s="172" t="s">
        <v>729</v>
      </c>
      <c r="AL2" s="13"/>
      <c r="AM2" s="13"/>
      <c r="AN2" s="176"/>
      <c r="AO2" s="176"/>
      <c r="AP2" s="192"/>
      <c r="AQ2" s="192"/>
      <c r="AR2" s="192"/>
      <c r="AS2" s="192"/>
      <c r="AT2" s="192"/>
      <c r="AU2" s="192"/>
      <c r="AV2" s="192"/>
      <c r="AW2" s="17"/>
    </row>
    <row r="3" spans="1:49" s="104" customFormat="1" ht="18" customHeight="1">
      <c r="A3" s="9" t="str">
        <f>[1]Summary!A3</f>
        <v>Client Facility</v>
      </c>
      <c r="B3" s="101"/>
      <c r="C3" s="101"/>
      <c r="D3" s="101"/>
      <c r="E3" s="101"/>
      <c r="F3" s="101"/>
      <c r="G3" s="101"/>
      <c r="H3" s="101"/>
      <c r="I3" s="101"/>
      <c r="J3" s="101"/>
      <c r="K3" s="101"/>
      <c r="L3" s="101"/>
      <c r="M3" s="101"/>
      <c r="N3" s="101"/>
      <c r="O3" s="101"/>
      <c r="P3" s="101"/>
      <c r="Q3" s="101"/>
      <c r="R3" s="101"/>
      <c r="S3" s="101"/>
      <c r="T3" s="103" t="str">
        <f>A3</f>
        <v>Client Facility</v>
      </c>
      <c r="U3" s="101"/>
      <c r="V3" s="101"/>
      <c r="W3" s="101"/>
      <c r="X3" s="101"/>
      <c r="Y3" s="101"/>
      <c r="Z3" s="190"/>
      <c r="AA3" s="190"/>
      <c r="AB3" s="101"/>
      <c r="AC3" s="189"/>
      <c r="AD3" s="189"/>
      <c r="AE3" s="101"/>
      <c r="AF3" s="189"/>
      <c r="AG3" s="189"/>
      <c r="AH3" s="194"/>
      <c r="AI3" s="195"/>
      <c r="AK3" s="13" t="s">
        <v>730</v>
      </c>
      <c r="AL3" s="13" t="s">
        <v>731</v>
      </c>
      <c r="AM3" s="196"/>
      <c r="AN3" s="196"/>
      <c r="AO3" s="192"/>
      <c r="AP3" s="192"/>
      <c r="AQ3" s="192"/>
      <c r="AR3" s="192"/>
      <c r="AS3" s="192"/>
      <c r="AT3" s="192"/>
      <c r="AU3" s="192"/>
      <c r="AV3" s="192"/>
    </row>
    <row r="4" spans="1:49" s="104" customFormat="1" ht="18" customHeight="1">
      <c r="A4" s="1" t="s">
        <v>732</v>
      </c>
      <c r="B4" s="101"/>
      <c r="C4" s="101"/>
      <c r="D4" s="101"/>
      <c r="E4" s="101"/>
      <c r="F4" s="101"/>
      <c r="G4" s="101"/>
      <c r="H4" s="101"/>
      <c r="I4" s="101"/>
      <c r="J4" s="101"/>
      <c r="K4" s="101"/>
      <c r="L4" s="101"/>
      <c r="M4" s="101"/>
      <c r="N4" s="101"/>
      <c r="O4" s="101"/>
      <c r="P4" s="101"/>
      <c r="Q4" s="101"/>
      <c r="R4" s="101"/>
      <c r="S4" s="101"/>
      <c r="T4" s="103" t="str">
        <f>A4</f>
        <v>Tank Data</v>
      </c>
      <c r="U4" s="101"/>
      <c r="V4" s="101"/>
      <c r="W4" s="101"/>
      <c r="X4" s="101"/>
      <c r="Y4" s="101"/>
      <c r="Z4" s="190"/>
      <c r="AA4" s="190"/>
      <c r="AB4" s="101"/>
      <c r="AC4" s="189"/>
      <c r="AD4" s="189"/>
      <c r="AE4" s="101"/>
      <c r="AF4" s="189"/>
      <c r="AG4" s="189"/>
      <c r="AH4" s="194"/>
      <c r="AI4" s="195"/>
      <c r="AK4" s="13" t="s">
        <v>733</v>
      </c>
      <c r="AL4" s="13" t="s">
        <v>734</v>
      </c>
      <c r="AM4" s="196"/>
      <c r="AN4" s="196"/>
      <c r="AO4" s="192"/>
      <c r="AP4" s="197"/>
      <c r="AQ4" s="192"/>
      <c r="AR4" s="192"/>
      <c r="AS4" s="192"/>
      <c r="AT4" s="192"/>
      <c r="AU4" s="192"/>
      <c r="AV4" s="192"/>
    </row>
    <row r="5" spans="1:49" s="104" customFormat="1" ht="18" customHeight="1">
      <c r="A5" s="1"/>
      <c r="B5" s="101"/>
      <c r="C5" s="101"/>
      <c r="D5" s="101"/>
      <c r="E5" s="101"/>
      <c r="F5" s="198"/>
      <c r="G5" s="101"/>
      <c r="H5" s="101"/>
      <c r="I5" s="101"/>
      <c r="J5" s="101"/>
      <c r="K5" s="101"/>
      <c r="L5" s="101"/>
      <c r="M5" s="101"/>
      <c r="N5" s="101"/>
      <c r="O5" s="101"/>
      <c r="P5" s="101"/>
      <c r="Q5" s="101"/>
      <c r="R5" s="101"/>
      <c r="S5" s="101"/>
      <c r="T5" s="103"/>
      <c r="U5" s="101"/>
      <c r="V5" s="101"/>
      <c r="W5" s="101"/>
      <c r="X5" s="101"/>
      <c r="Y5" s="101"/>
      <c r="Z5" s="190"/>
      <c r="AA5" s="190"/>
      <c r="AB5" s="101"/>
      <c r="AC5" s="189"/>
      <c r="AD5" s="189"/>
      <c r="AE5" s="101"/>
      <c r="AF5" s="189"/>
      <c r="AG5" s="189"/>
      <c r="AH5" s="194"/>
      <c r="AI5" s="195"/>
      <c r="AK5" s="13"/>
      <c r="AL5" s="13" t="s">
        <v>735</v>
      </c>
      <c r="AM5" s="196"/>
      <c r="AN5" s="196"/>
      <c r="AO5" s="192"/>
      <c r="AP5" s="199"/>
      <c r="AQ5" s="192"/>
      <c r="AR5" s="192"/>
      <c r="AS5" s="200"/>
      <c r="AT5" s="200"/>
      <c r="AU5" s="192"/>
    </row>
    <row r="6" spans="1:49" s="170" customFormat="1">
      <c r="B6" s="201"/>
      <c r="C6" s="14" t="s">
        <v>10</v>
      </c>
      <c r="D6" s="201"/>
      <c r="E6" s="201"/>
      <c r="F6" s="202"/>
      <c r="G6" s="201"/>
      <c r="H6" s="202"/>
      <c r="I6" s="201"/>
      <c r="J6" s="201"/>
      <c r="K6" s="201"/>
      <c r="L6" s="202"/>
      <c r="M6" s="201"/>
      <c r="N6" s="201"/>
      <c r="O6" s="201"/>
      <c r="P6" s="203"/>
      <c r="Q6" s="201"/>
      <c r="R6" s="201"/>
      <c r="S6" s="201"/>
      <c r="T6" s="201"/>
      <c r="U6" s="201"/>
      <c r="V6" s="201"/>
      <c r="W6" s="201"/>
      <c r="X6" s="201"/>
      <c r="Y6" s="201"/>
      <c r="Z6" s="204"/>
      <c r="AA6" s="204"/>
      <c r="AB6" s="201"/>
      <c r="AC6" s="205"/>
      <c r="AD6" s="205"/>
      <c r="AE6" s="205"/>
      <c r="AF6" s="205"/>
      <c r="AG6" s="206"/>
      <c r="AH6" s="206"/>
      <c r="AI6" s="207"/>
      <c r="AJ6" s="207"/>
      <c r="AK6" s="13"/>
      <c r="AL6" s="13" t="s">
        <v>736</v>
      </c>
      <c r="AM6" s="208"/>
      <c r="AN6" s="208"/>
      <c r="AO6" s="192"/>
      <c r="AP6" s="192"/>
      <c r="AQ6" s="192"/>
      <c r="AR6" s="192"/>
      <c r="AS6" s="192"/>
      <c r="AT6" s="192"/>
      <c r="AU6" s="192"/>
      <c r="AV6" s="192"/>
    </row>
    <row r="7" spans="1:49" s="170" customFormat="1" ht="20.25" customHeight="1">
      <c r="A7" s="14"/>
      <c r="B7" s="201"/>
      <c r="C7" s="201"/>
      <c r="D7" s="201"/>
      <c r="E7" s="201"/>
      <c r="F7" s="202"/>
      <c r="G7" s="201"/>
      <c r="H7" s="202"/>
      <c r="I7" s="201"/>
      <c r="J7" s="201"/>
      <c r="K7" s="201"/>
      <c r="L7" s="202"/>
      <c r="M7" s="201"/>
      <c r="N7" s="201"/>
      <c r="O7" s="201"/>
      <c r="P7" s="209"/>
      <c r="Q7" s="209"/>
      <c r="R7" s="209"/>
      <c r="S7" s="209"/>
      <c r="T7" s="201"/>
      <c r="U7" s="201"/>
      <c r="V7" s="201"/>
      <c r="W7" s="201"/>
      <c r="X7" s="201"/>
      <c r="Y7" s="201"/>
      <c r="Z7" s="204"/>
      <c r="AA7" s="204"/>
      <c r="AB7" s="201"/>
      <c r="AC7" s="205"/>
      <c r="AD7" s="205"/>
      <c r="AE7" s="13"/>
      <c r="AF7" s="13"/>
      <c r="AG7" s="13"/>
      <c r="AH7" s="13"/>
      <c r="AI7" s="207"/>
      <c r="AJ7" s="207"/>
      <c r="AK7" s="13"/>
      <c r="AL7" s="13" t="s">
        <v>737</v>
      </c>
      <c r="AM7" s="208"/>
      <c r="AN7" s="208"/>
      <c r="AO7" s="192"/>
      <c r="AP7" s="192"/>
      <c r="AQ7" s="192"/>
      <c r="AR7" s="192"/>
      <c r="AS7" s="192"/>
      <c r="AT7" s="192"/>
      <c r="AU7" s="192"/>
      <c r="AV7" s="192"/>
    </row>
    <row r="8" spans="1:49" s="170" customFormat="1" ht="29.25" customHeight="1">
      <c r="A8" s="38" t="s">
        <v>738</v>
      </c>
      <c r="B8" s="210"/>
      <c r="C8" s="210"/>
      <c r="D8" s="210"/>
      <c r="E8" s="210"/>
      <c r="F8" s="211"/>
      <c r="G8" s="211"/>
      <c r="H8" s="212" t="s">
        <v>739</v>
      </c>
      <c r="I8" s="213" t="s">
        <v>740</v>
      </c>
      <c r="J8" s="214"/>
      <c r="K8" s="211"/>
      <c r="L8" s="213"/>
      <c r="M8" s="211"/>
      <c r="N8" s="211"/>
      <c r="O8" s="214"/>
      <c r="P8" s="215" t="s">
        <v>741</v>
      </c>
      <c r="Q8" s="211"/>
      <c r="R8" s="215"/>
      <c r="S8" s="38"/>
      <c r="T8" s="213" t="s">
        <v>742</v>
      </c>
      <c r="U8" s="216"/>
      <c r="V8" s="216"/>
      <c r="W8" s="211"/>
      <c r="X8" s="217"/>
      <c r="Y8" s="216"/>
      <c r="Z8" s="211"/>
      <c r="AA8" s="211"/>
      <c r="AB8" s="211"/>
      <c r="AC8" s="214"/>
      <c r="AD8" s="214"/>
      <c r="AE8" s="218" t="s">
        <v>743</v>
      </c>
      <c r="AF8" s="219"/>
      <c r="AG8" s="220"/>
      <c r="AH8" s="214"/>
      <c r="AI8" s="215" t="s">
        <v>744</v>
      </c>
      <c r="AJ8" s="207"/>
      <c r="AK8" s="13"/>
      <c r="AL8" s="13" t="s">
        <v>745</v>
      </c>
      <c r="AM8" s="208"/>
      <c r="AN8" s="221"/>
      <c r="AO8" s="222"/>
      <c r="AP8" s="223"/>
      <c r="AQ8" s="223"/>
      <c r="AR8" s="223"/>
      <c r="AS8" s="223"/>
      <c r="AT8" s="223"/>
      <c r="AU8" s="223"/>
    </row>
    <row r="9" spans="1:49" s="170" customFormat="1" ht="139.5" customHeight="1">
      <c r="A9" s="85" t="s">
        <v>746</v>
      </c>
      <c r="B9" s="224" t="s">
        <v>747</v>
      </c>
      <c r="C9" s="85" t="s">
        <v>748</v>
      </c>
      <c r="D9" s="225" t="s">
        <v>749</v>
      </c>
      <c r="E9" s="225" t="s">
        <v>750</v>
      </c>
      <c r="F9" s="225" t="s">
        <v>751</v>
      </c>
      <c r="G9" s="225" t="s">
        <v>752</v>
      </c>
      <c r="H9" s="226" t="s">
        <v>753</v>
      </c>
      <c r="I9" s="225" t="s">
        <v>754</v>
      </c>
      <c r="J9" s="85" t="s">
        <v>755</v>
      </c>
      <c r="K9" s="225" t="s">
        <v>756</v>
      </c>
      <c r="L9" s="225" t="s">
        <v>757</v>
      </c>
      <c r="M9" s="85" t="s">
        <v>758</v>
      </c>
      <c r="N9" s="225" t="s">
        <v>759</v>
      </c>
      <c r="O9" s="225" t="s">
        <v>760</v>
      </c>
      <c r="P9" s="227" t="s">
        <v>761</v>
      </c>
      <c r="Q9" s="226" t="s">
        <v>762</v>
      </c>
      <c r="R9" s="227" t="s">
        <v>763</v>
      </c>
      <c r="S9" s="227" t="s">
        <v>764</v>
      </c>
      <c r="T9" s="225" t="s">
        <v>765</v>
      </c>
      <c r="U9" s="225" t="s">
        <v>766</v>
      </c>
      <c r="V9" s="86" t="s">
        <v>767</v>
      </c>
      <c r="W9" s="228" t="s">
        <v>768</v>
      </c>
      <c r="X9" s="86" t="s">
        <v>769</v>
      </c>
      <c r="Y9" s="86" t="s">
        <v>770</v>
      </c>
      <c r="Z9" s="86" t="s">
        <v>771</v>
      </c>
      <c r="AA9" s="86" t="s">
        <v>772</v>
      </c>
      <c r="AB9" s="86" t="s">
        <v>773</v>
      </c>
      <c r="AC9" s="86" t="s">
        <v>774</v>
      </c>
      <c r="AD9" s="225" t="s">
        <v>775</v>
      </c>
      <c r="AE9" s="147" t="s">
        <v>776</v>
      </c>
      <c r="AF9" s="147" t="s">
        <v>777</v>
      </c>
      <c r="AG9" s="147" t="s">
        <v>778</v>
      </c>
      <c r="AH9" s="147" t="s">
        <v>779</v>
      </c>
      <c r="AI9" s="85" t="s">
        <v>780</v>
      </c>
      <c r="AJ9" s="229"/>
      <c r="AK9" s="13"/>
      <c r="AL9" s="13" t="s">
        <v>781</v>
      </c>
      <c r="AM9" s="208"/>
      <c r="AN9" s="230" t="s">
        <v>782</v>
      </c>
      <c r="AO9" s="85" t="s">
        <v>783</v>
      </c>
      <c r="AP9" s="85" t="s">
        <v>784</v>
      </c>
      <c r="AQ9" s="85" t="s">
        <v>785</v>
      </c>
      <c r="AR9" s="231" t="s">
        <v>786</v>
      </c>
      <c r="AS9" s="231" t="s">
        <v>787</v>
      </c>
      <c r="AT9" s="85" t="s">
        <v>788</v>
      </c>
      <c r="AU9" s="225" t="s">
        <v>789</v>
      </c>
    </row>
    <row r="10" spans="1:49" s="170" customFormat="1" ht="30">
      <c r="A10" s="85"/>
      <c r="B10" s="224"/>
      <c r="C10" s="85"/>
      <c r="D10" s="232"/>
      <c r="E10" s="225"/>
      <c r="F10" s="225"/>
      <c r="G10" s="225"/>
      <c r="H10" s="233" t="s">
        <v>790</v>
      </c>
      <c r="I10" s="225"/>
      <c r="J10" s="85"/>
      <c r="K10" s="225"/>
      <c r="L10" s="225"/>
      <c r="M10" s="85"/>
      <c r="N10" s="225"/>
      <c r="O10" s="225"/>
      <c r="P10" s="234" t="s">
        <v>791</v>
      </c>
      <c r="Q10" s="233" t="s">
        <v>792</v>
      </c>
      <c r="R10" s="235" t="s">
        <v>793</v>
      </c>
      <c r="S10" s="235" t="s">
        <v>794</v>
      </c>
      <c r="T10" s="225"/>
      <c r="U10" s="225"/>
      <c r="V10" s="86"/>
      <c r="W10" s="228"/>
      <c r="X10" s="86"/>
      <c r="Y10" s="86"/>
      <c r="Z10" s="86"/>
      <c r="AA10" s="86"/>
      <c r="AB10" s="86"/>
      <c r="AC10" s="86"/>
      <c r="AD10" s="225"/>
      <c r="AE10" s="233" t="s">
        <v>795</v>
      </c>
      <c r="AF10" s="233" t="s">
        <v>795</v>
      </c>
      <c r="AG10" s="233" t="s">
        <v>795</v>
      </c>
      <c r="AH10" s="233" t="s">
        <v>796</v>
      </c>
      <c r="AI10" s="85"/>
      <c r="AJ10" s="229"/>
      <c r="AK10" s="13" t="s">
        <v>797</v>
      </c>
      <c r="AL10" s="13" t="s">
        <v>798</v>
      </c>
      <c r="AM10" s="208"/>
      <c r="AN10" s="231"/>
      <c r="AO10" s="231"/>
      <c r="AP10" s="236"/>
      <c r="AQ10" s="236"/>
      <c r="AR10" s="236"/>
      <c r="AS10" s="236"/>
      <c r="AT10" s="236"/>
      <c r="AU10" s="237"/>
    </row>
    <row r="11" spans="1:49" s="250" customFormat="1" ht="14.25" customHeight="1">
      <c r="A11" s="238" t="s">
        <v>799</v>
      </c>
      <c r="B11" s="239" t="s">
        <v>800</v>
      </c>
      <c r="C11" s="240">
        <v>5000</v>
      </c>
      <c r="D11" s="241">
        <v>500</v>
      </c>
      <c r="E11" s="242"/>
      <c r="F11" s="243" t="s">
        <v>801</v>
      </c>
      <c r="G11" s="185" t="s">
        <v>802</v>
      </c>
      <c r="H11" s="244">
        <f>IF(G11="Good", SUMIFS('Reference Tables'!$B$8:$B$20,'Reference Tables'!$A$8:$A$20, F11), SUMIFS('Reference Tables'!$C$8:$C$20,'Reference Tables'!$A$8:$A$20, F11))</f>
        <v>0.17</v>
      </c>
      <c r="I11" s="245">
        <v>20</v>
      </c>
      <c r="J11" s="245">
        <v>20</v>
      </c>
      <c r="K11" s="245" t="s">
        <v>803</v>
      </c>
      <c r="L11" s="245"/>
      <c r="M11" s="245"/>
      <c r="N11" s="246">
        <v>0.03</v>
      </c>
      <c r="O11" s="246">
        <v>-0.03</v>
      </c>
      <c r="P11" s="247">
        <f t="shared" ref="P11:P23" si="0">IF(B11="HFR", L11/2, IF(B11="VFR", J11/2, 0))</f>
        <v>10</v>
      </c>
      <c r="Q11" s="247">
        <f t="shared" ref="Q11:Q23" si="1">((M11*L11)/(PI()/4))^0.5</f>
        <v>0</v>
      </c>
      <c r="R11" s="247">
        <f t="shared" ref="R11:R23" si="2">IF(K11="Cone",(0.0625*($I11/2)/3),IF(K11="Dome",0.137*I11/2,0))</f>
        <v>0.20833333333333334</v>
      </c>
      <c r="S11" s="247">
        <f>IF(B11="HFR", (PI()/4*L11/2), J11-P11+R11)</f>
        <v>10.208333333333334</v>
      </c>
      <c r="T11" s="246"/>
      <c r="U11" s="246"/>
      <c r="V11" s="246"/>
      <c r="W11" s="246"/>
      <c r="X11" s="246"/>
      <c r="Y11" s="246"/>
      <c r="Z11" s="246"/>
      <c r="AA11" s="246"/>
      <c r="AB11" s="246"/>
      <c r="AC11" s="246"/>
      <c r="AD11" s="248"/>
      <c r="AE11" s="247">
        <f>SUMIFS('Reference Tables'!$D$840:$D$851, 'Reference Tables'!$A$840:$A$851, V11, 'Reference Tables'!$B$840:$B$851, Y11, 'Reference Tables'!$C$840:$C$851, Z11)</f>
        <v>0</v>
      </c>
      <c r="AF11" s="247">
        <f>SUMIFS('Reference Tables'!$E$840:$E$851, 'Reference Tables'!$A$840:$A$851, V11, 'Reference Tables'!$B$840:$B$851, Y11, 'Reference Tables'!$C$840:$C$851, Z11)</f>
        <v>0</v>
      </c>
      <c r="AG11" s="247">
        <f>SUMIFS('Reference Tables'!$F$840:$F$851, 'Reference Tables'!$A$840:$A$851, V11, 'Reference Tables'!$B$840:$B$851, Y11, 'Reference Tables'!$C$840:$C$851, Z11)</f>
        <v>0</v>
      </c>
      <c r="AH11" s="247">
        <f>IF(OR(AA11="Yes", B11="DEFR", B11="EFR"),0, SUMIFS('Reference Tables'!$C$862:$C$876, 'Reference Tables'!$A$862:$A$876,"&lt;"&amp;T11, 'Reference Tables'!$B$862:$B$876,"&gt;="&amp;T11))</f>
        <v>0</v>
      </c>
      <c r="AI11" s="249"/>
      <c r="AK11" s="13" t="s">
        <v>804</v>
      </c>
      <c r="AL11" s="13" t="s">
        <v>805</v>
      </c>
      <c r="AM11" s="251"/>
      <c r="AN11" s="252" t="str">
        <f>IF($A11="","",$A11)</f>
        <v>Test VFR</v>
      </c>
      <c r="AO11" s="253" t="s">
        <v>806</v>
      </c>
      <c r="AP11" s="253" t="s">
        <v>807</v>
      </c>
      <c r="AQ11" s="253" t="s">
        <v>808</v>
      </c>
      <c r="AR11" s="253" t="s">
        <v>809</v>
      </c>
      <c r="AS11" s="253" t="s">
        <v>810</v>
      </c>
      <c r="AT11" s="253">
        <v>12345</v>
      </c>
      <c r="AU11" s="253" t="s">
        <v>811</v>
      </c>
    </row>
    <row r="12" spans="1:49" s="250" customFormat="1" ht="14.25" customHeight="1">
      <c r="A12" s="238"/>
      <c r="B12" s="239"/>
      <c r="C12" s="240"/>
      <c r="D12" s="241"/>
      <c r="E12" s="242"/>
      <c r="F12" s="243"/>
      <c r="G12" s="185"/>
      <c r="H12" s="244">
        <f>IF(G12="Good", SUMIFS('Reference Tables'!$B$8:$B$20,'Reference Tables'!$A$8:$A$20, F12), SUMIFS('Reference Tables'!$C$8:$C$20,'Reference Tables'!$A$8:$A$20, F12))</f>
        <v>0</v>
      </c>
      <c r="I12" s="245"/>
      <c r="J12" s="245"/>
      <c r="K12" s="245"/>
      <c r="L12" s="245"/>
      <c r="M12" s="245"/>
      <c r="N12" s="246"/>
      <c r="O12" s="246"/>
      <c r="P12" s="247">
        <f t="shared" si="0"/>
        <v>0</v>
      </c>
      <c r="Q12" s="247">
        <f t="shared" si="1"/>
        <v>0</v>
      </c>
      <c r="R12" s="247">
        <f t="shared" si="2"/>
        <v>0</v>
      </c>
      <c r="S12" s="247">
        <f>IF(B12="HFR", (PI()/4*L12/2), J12-P12+R12)</f>
        <v>0</v>
      </c>
      <c r="T12" s="246"/>
      <c r="U12" s="246"/>
      <c r="V12" s="246"/>
      <c r="W12" s="246"/>
      <c r="X12" s="246"/>
      <c r="Y12" s="246"/>
      <c r="Z12" s="246"/>
      <c r="AA12" s="246"/>
      <c r="AB12" s="246"/>
      <c r="AC12" s="246"/>
      <c r="AD12" s="248"/>
      <c r="AE12" s="247">
        <f>SUMIFS('Reference Tables'!$D$840:$D$851, 'Reference Tables'!$A$840:$A$851, V12, 'Reference Tables'!$B$840:$B$851, Y12, 'Reference Tables'!$C$840:$C$851, Z12)</f>
        <v>0</v>
      </c>
      <c r="AF12" s="247">
        <f>SUMIFS('Reference Tables'!$E$840:$E$851, 'Reference Tables'!$A$840:$A$851, V12, 'Reference Tables'!$B$840:$B$851, Y12, 'Reference Tables'!$C$840:$C$851, Z12)</f>
        <v>0</v>
      </c>
      <c r="AG12" s="247">
        <f>SUMIFS('Reference Tables'!$F$840:$F$851, 'Reference Tables'!$A$840:$A$851, V12, 'Reference Tables'!$B$840:$B$851, Y12, 'Reference Tables'!$C$840:$C$851, Z12)</f>
        <v>0</v>
      </c>
      <c r="AH12" s="247">
        <f>IF(OR(AA12="Yes", B12="DEFR", B12="EFR"),0, SUMIFS('Reference Tables'!$C$862:$C$876, 'Reference Tables'!$A$862:$A$876,"&lt;"&amp;T12, 'Reference Tables'!$B$862:$B$876,"&gt;="&amp;T12))</f>
        <v>0</v>
      </c>
      <c r="AI12" s="249"/>
      <c r="AK12" s="13" t="s">
        <v>812</v>
      </c>
      <c r="AL12" s="13" t="s">
        <v>813</v>
      </c>
      <c r="AM12" s="251"/>
      <c r="AN12" s="252" t="str">
        <f>IF($A12="","",$A12)</f>
        <v/>
      </c>
      <c r="AO12" s="253" t="s">
        <v>806</v>
      </c>
      <c r="AP12" s="253" t="s">
        <v>814</v>
      </c>
      <c r="AQ12" s="253" t="s">
        <v>815</v>
      </c>
      <c r="AR12" s="253" t="s">
        <v>809</v>
      </c>
      <c r="AS12" s="253" t="s">
        <v>816</v>
      </c>
      <c r="AT12" s="253">
        <v>65431</v>
      </c>
      <c r="AU12" s="253" t="s">
        <v>817</v>
      </c>
    </row>
    <row r="13" spans="1:49" s="250" customFormat="1" ht="14.25" customHeight="1">
      <c r="A13" s="238"/>
      <c r="B13" s="239"/>
      <c r="C13" s="240"/>
      <c r="D13" s="241"/>
      <c r="E13" s="242"/>
      <c r="F13" s="243"/>
      <c r="G13" s="185"/>
      <c r="H13" s="244">
        <f>IF(G13="Good", SUMIFS('Reference Tables'!$B$8:$B$20,'Reference Tables'!$A$8:$A$20, F13), SUMIFS('Reference Tables'!$C$8:$C$20,'Reference Tables'!$A$8:$A$20, F13))</f>
        <v>0</v>
      </c>
      <c r="I13" s="245"/>
      <c r="J13" s="245"/>
      <c r="K13" s="245"/>
      <c r="L13" s="245"/>
      <c r="M13" s="245"/>
      <c r="N13" s="246"/>
      <c r="O13" s="246"/>
      <c r="P13" s="247">
        <f t="shared" si="0"/>
        <v>0</v>
      </c>
      <c r="Q13" s="247">
        <f t="shared" si="1"/>
        <v>0</v>
      </c>
      <c r="R13" s="247">
        <f t="shared" si="2"/>
        <v>0</v>
      </c>
      <c r="S13" s="247">
        <f t="shared" ref="S13:S23" si="3">IF(B13="HFR", (PI()/4*L13/2), J13-P13+R13)</f>
        <v>0</v>
      </c>
      <c r="T13" s="246"/>
      <c r="U13" s="246"/>
      <c r="V13" s="246"/>
      <c r="W13" s="246"/>
      <c r="X13" s="246"/>
      <c r="Y13" s="246"/>
      <c r="Z13" s="246"/>
      <c r="AA13" s="246"/>
      <c r="AB13" s="246"/>
      <c r="AC13" s="246"/>
      <c r="AD13" s="248"/>
      <c r="AE13" s="247">
        <f>SUMIFS('Reference Tables'!$D$840:$D$851, 'Reference Tables'!$A$840:$A$851, V13, 'Reference Tables'!$B$840:$B$851, Y13, 'Reference Tables'!$C$840:$C$851, Z13)</f>
        <v>0</v>
      </c>
      <c r="AF13" s="247">
        <f>SUMIFS('Reference Tables'!$E$840:$E$851, 'Reference Tables'!$A$840:$A$851, V13, 'Reference Tables'!$B$840:$B$851, Y13, 'Reference Tables'!$C$840:$C$851, Z13)</f>
        <v>0</v>
      </c>
      <c r="AG13" s="247">
        <f>SUMIFS('Reference Tables'!$F$840:$F$851, 'Reference Tables'!$A$840:$A$851, V13, 'Reference Tables'!$B$840:$B$851, Y13, 'Reference Tables'!$C$840:$C$851, Z13)</f>
        <v>0</v>
      </c>
      <c r="AH13" s="247">
        <f>IF(OR(AA13="Yes", B13="DEFR", B13="EFR"),0, SUMIFS('Reference Tables'!$C$862:$C$876, 'Reference Tables'!$A$862:$A$876,"&lt;"&amp;T13, 'Reference Tables'!$B$862:$B$876,"&gt;="&amp;T13))</f>
        <v>0</v>
      </c>
      <c r="AI13" s="249"/>
      <c r="AK13" s="13" t="s">
        <v>818</v>
      </c>
      <c r="AL13" s="13" t="s">
        <v>819</v>
      </c>
      <c r="AM13" s="251"/>
      <c r="AN13" s="252" t="str">
        <f>IF($A13="","",$A13)</f>
        <v/>
      </c>
      <c r="AO13" s="253"/>
      <c r="AP13" s="253"/>
      <c r="AQ13" s="253"/>
      <c r="AR13" s="253"/>
      <c r="AS13" s="253"/>
      <c r="AT13" s="253"/>
      <c r="AU13" s="253"/>
    </row>
    <row r="14" spans="1:49" s="250" customFormat="1" ht="14.25" customHeight="1">
      <c r="A14" s="238"/>
      <c r="B14" s="239"/>
      <c r="C14" s="240"/>
      <c r="D14" s="241"/>
      <c r="E14" s="242"/>
      <c r="F14" s="243"/>
      <c r="G14" s="185"/>
      <c r="H14" s="244">
        <f>IF(G14="Good", SUMIFS('Reference Tables'!$B$8:$B$20,'Reference Tables'!$A$8:$A$20, F14), SUMIFS('Reference Tables'!$C$8:$C$20,'Reference Tables'!$A$8:$A$20, F14))</f>
        <v>0</v>
      </c>
      <c r="I14" s="245"/>
      <c r="J14" s="245"/>
      <c r="K14" s="245"/>
      <c r="L14" s="245"/>
      <c r="M14" s="245"/>
      <c r="N14" s="246"/>
      <c r="O14" s="246"/>
      <c r="P14" s="247">
        <f t="shared" si="0"/>
        <v>0</v>
      </c>
      <c r="Q14" s="247">
        <f t="shared" si="1"/>
        <v>0</v>
      </c>
      <c r="R14" s="247">
        <f t="shared" si="2"/>
        <v>0</v>
      </c>
      <c r="S14" s="247">
        <f t="shared" si="3"/>
        <v>0</v>
      </c>
      <c r="T14" s="246"/>
      <c r="U14" s="246"/>
      <c r="V14" s="246"/>
      <c r="W14" s="246"/>
      <c r="X14" s="246"/>
      <c r="Y14" s="246"/>
      <c r="Z14" s="246"/>
      <c r="AA14" s="246"/>
      <c r="AB14" s="246"/>
      <c r="AC14" s="246"/>
      <c r="AD14" s="248"/>
      <c r="AE14" s="247">
        <f>SUMIFS('Reference Tables'!$D$840:$D$851, 'Reference Tables'!$A$840:$A$851, V14, 'Reference Tables'!$B$840:$B$851, Y14, 'Reference Tables'!$C$840:$C$851, Z14)</f>
        <v>0</v>
      </c>
      <c r="AF14" s="247">
        <f>SUMIFS('Reference Tables'!$E$840:$E$851, 'Reference Tables'!$A$840:$A$851, V14, 'Reference Tables'!$B$840:$B$851, Y14, 'Reference Tables'!$C$840:$C$851, Z14)</f>
        <v>0</v>
      </c>
      <c r="AG14" s="247">
        <f>SUMIFS('Reference Tables'!$F$840:$F$851, 'Reference Tables'!$A$840:$A$851, V14, 'Reference Tables'!$B$840:$B$851, Y14, 'Reference Tables'!$C$840:$C$851, Z14)</f>
        <v>0</v>
      </c>
      <c r="AH14" s="247">
        <f>IF(OR(AA14="Yes", B14="DEFR", B14="EFR"),0, SUMIFS('Reference Tables'!$C$862:$C$876, 'Reference Tables'!$A$862:$A$876,"&lt;"&amp;T14, 'Reference Tables'!$B$862:$B$876,"&gt;="&amp;T14))</f>
        <v>0</v>
      </c>
      <c r="AI14" s="249"/>
      <c r="AK14" s="13" t="s">
        <v>820</v>
      </c>
      <c r="AL14" s="13" t="s">
        <v>821</v>
      </c>
      <c r="AM14" s="251"/>
      <c r="AN14" s="252" t="str">
        <f t="shared" ref="AN14:AN23" si="4">IF($A14="","",$A14)</f>
        <v/>
      </c>
      <c r="AO14" s="253" t="s">
        <v>806</v>
      </c>
      <c r="AP14" s="253" t="s">
        <v>822</v>
      </c>
      <c r="AQ14" s="253" t="s">
        <v>823</v>
      </c>
      <c r="AR14" s="253" t="s">
        <v>809</v>
      </c>
      <c r="AS14" s="253" t="s">
        <v>824</v>
      </c>
      <c r="AT14" s="253">
        <v>654654</v>
      </c>
      <c r="AU14" s="253"/>
    </row>
    <row r="15" spans="1:49" s="250" customFormat="1" ht="14.25" customHeight="1">
      <c r="A15" s="238"/>
      <c r="B15" s="239"/>
      <c r="C15" s="240"/>
      <c r="D15" s="241"/>
      <c r="E15" s="242"/>
      <c r="F15" s="243"/>
      <c r="G15" s="185"/>
      <c r="H15" s="244">
        <f>IF(G15="Good", SUMIFS('Reference Tables'!$B$8:$B$20,'Reference Tables'!$A$8:$A$20, F15), SUMIFS('Reference Tables'!$C$8:$C$20,'Reference Tables'!$A$8:$A$20, F15))</f>
        <v>0</v>
      </c>
      <c r="I15" s="245"/>
      <c r="J15" s="245"/>
      <c r="K15" s="245"/>
      <c r="L15" s="245"/>
      <c r="M15" s="245"/>
      <c r="N15" s="246"/>
      <c r="O15" s="246"/>
      <c r="P15" s="247">
        <f t="shared" si="0"/>
        <v>0</v>
      </c>
      <c r="Q15" s="247">
        <f t="shared" si="1"/>
        <v>0</v>
      </c>
      <c r="R15" s="247">
        <f t="shared" si="2"/>
        <v>0</v>
      </c>
      <c r="S15" s="247">
        <f t="shared" si="3"/>
        <v>0</v>
      </c>
      <c r="T15" s="246"/>
      <c r="U15" s="246"/>
      <c r="V15" s="246"/>
      <c r="W15" s="246"/>
      <c r="X15" s="246"/>
      <c r="Y15" s="246"/>
      <c r="Z15" s="246"/>
      <c r="AA15" s="246"/>
      <c r="AB15" s="246"/>
      <c r="AC15" s="246"/>
      <c r="AD15" s="248"/>
      <c r="AE15" s="247">
        <f>SUMIFS('Reference Tables'!$D$840:$D$851, 'Reference Tables'!$A$840:$A$851, V15, 'Reference Tables'!$B$840:$B$851, Y15, 'Reference Tables'!$C$840:$C$851, Z15)</f>
        <v>0</v>
      </c>
      <c r="AF15" s="247">
        <f>SUMIFS('Reference Tables'!$E$840:$E$851, 'Reference Tables'!$A$840:$A$851, V15, 'Reference Tables'!$B$840:$B$851, Y15, 'Reference Tables'!$C$840:$C$851, Z15)</f>
        <v>0</v>
      </c>
      <c r="AG15" s="247">
        <f>SUMIFS('Reference Tables'!$F$840:$F$851, 'Reference Tables'!$A$840:$A$851, V15, 'Reference Tables'!$B$840:$B$851, Y15, 'Reference Tables'!$C$840:$C$851, Z15)</f>
        <v>0</v>
      </c>
      <c r="AH15" s="247">
        <f>IF(OR(AA15="Yes", B15="DEFR", B15="EFR"),0, SUMIFS('Reference Tables'!$C$862:$C$876, 'Reference Tables'!$A$862:$A$876,"&lt;"&amp;T15, 'Reference Tables'!$B$862:$B$876,"&gt;="&amp;T15))</f>
        <v>0</v>
      </c>
      <c r="AI15" s="249"/>
      <c r="AK15" s="13"/>
      <c r="AL15" s="13"/>
      <c r="AM15" s="251"/>
      <c r="AN15" s="252" t="str">
        <f t="shared" si="4"/>
        <v/>
      </c>
      <c r="AO15" s="253"/>
      <c r="AP15" s="253"/>
      <c r="AQ15" s="253"/>
      <c r="AR15" s="253"/>
      <c r="AS15" s="253"/>
      <c r="AT15" s="253"/>
      <c r="AU15" s="253"/>
    </row>
    <row r="16" spans="1:49" s="250" customFormat="1" ht="14.25" customHeight="1">
      <c r="A16" s="238"/>
      <c r="B16" s="239"/>
      <c r="C16" s="240"/>
      <c r="D16" s="241"/>
      <c r="E16" s="242"/>
      <c r="F16" s="243"/>
      <c r="G16" s="185"/>
      <c r="H16" s="244">
        <f>IF(G16="Good", SUMIFS('Reference Tables'!$B$8:$B$20,'Reference Tables'!$A$8:$A$20, F16), SUMIFS('Reference Tables'!$C$8:$C$20,'Reference Tables'!$A$8:$A$20, F16))</f>
        <v>0</v>
      </c>
      <c r="I16" s="245"/>
      <c r="J16" s="245"/>
      <c r="K16" s="245"/>
      <c r="L16" s="245"/>
      <c r="M16" s="245"/>
      <c r="N16" s="246"/>
      <c r="O16" s="246"/>
      <c r="P16" s="247">
        <f t="shared" si="0"/>
        <v>0</v>
      </c>
      <c r="Q16" s="247">
        <f t="shared" si="1"/>
        <v>0</v>
      </c>
      <c r="R16" s="247">
        <f t="shared" si="2"/>
        <v>0</v>
      </c>
      <c r="S16" s="247">
        <f t="shared" si="3"/>
        <v>0</v>
      </c>
      <c r="T16" s="246"/>
      <c r="U16" s="246"/>
      <c r="V16" s="246"/>
      <c r="W16" s="246"/>
      <c r="X16" s="246"/>
      <c r="Y16" s="246"/>
      <c r="Z16" s="246"/>
      <c r="AA16" s="246"/>
      <c r="AB16" s="246"/>
      <c r="AC16" s="246"/>
      <c r="AD16" s="248"/>
      <c r="AE16" s="247">
        <f>SUMIFS('Reference Tables'!$D$840:$D$851, 'Reference Tables'!$A$840:$A$851, V16, 'Reference Tables'!$B$840:$B$851, Y16, 'Reference Tables'!$C$840:$C$851, Z16)</f>
        <v>0</v>
      </c>
      <c r="AF16" s="247">
        <f>SUMIFS('Reference Tables'!$E$840:$E$851, 'Reference Tables'!$A$840:$A$851, V16, 'Reference Tables'!$B$840:$B$851, Y16, 'Reference Tables'!$C$840:$C$851, Z16)</f>
        <v>0</v>
      </c>
      <c r="AG16" s="247">
        <f>SUMIFS('Reference Tables'!$F$840:$F$851, 'Reference Tables'!$A$840:$A$851, V16, 'Reference Tables'!$B$840:$B$851, Y16, 'Reference Tables'!$C$840:$C$851, Z16)</f>
        <v>0</v>
      </c>
      <c r="AH16" s="247">
        <f>IF(OR(AA16="Yes", B16="DEFR", B16="EFR"),0, SUMIFS('Reference Tables'!$C$862:$C$876, 'Reference Tables'!$A$862:$A$876,"&lt;"&amp;T16, 'Reference Tables'!$B$862:$B$876,"&gt;="&amp;T16))</f>
        <v>0</v>
      </c>
      <c r="AI16" s="249"/>
      <c r="AK16" s="172" t="s">
        <v>825</v>
      </c>
      <c r="AL16" s="13"/>
      <c r="AM16" s="251"/>
      <c r="AN16" s="252" t="str">
        <f t="shared" si="4"/>
        <v/>
      </c>
      <c r="AO16" s="253"/>
      <c r="AP16" s="253"/>
      <c r="AQ16" s="253"/>
      <c r="AR16" s="253"/>
      <c r="AS16" s="253"/>
      <c r="AT16" s="253"/>
      <c r="AU16" s="253"/>
    </row>
    <row r="17" spans="1:59" ht="14.25" customHeight="1">
      <c r="A17" s="238"/>
      <c r="B17" s="239"/>
      <c r="C17" s="240"/>
      <c r="D17" s="241"/>
      <c r="E17" s="242"/>
      <c r="F17" s="243"/>
      <c r="G17" s="185"/>
      <c r="H17" s="244">
        <f>IF(G17="Good", SUMIFS('Reference Tables'!$B$8:$B$20,'Reference Tables'!$A$8:$A$20, F17), SUMIFS('Reference Tables'!$C$8:$C$20,'Reference Tables'!$A$8:$A$20, F17))</f>
        <v>0</v>
      </c>
      <c r="I17" s="245"/>
      <c r="J17" s="245"/>
      <c r="K17" s="245"/>
      <c r="L17" s="245"/>
      <c r="M17" s="245"/>
      <c r="N17" s="246"/>
      <c r="O17" s="246"/>
      <c r="P17" s="247">
        <f t="shared" si="0"/>
        <v>0</v>
      </c>
      <c r="Q17" s="247">
        <f t="shared" si="1"/>
        <v>0</v>
      </c>
      <c r="R17" s="247">
        <f t="shared" si="2"/>
        <v>0</v>
      </c>
      <c r="S17" s="247">
        <f t="shared" si="3"/>
        <v>0</v>
      </c>
      <c r="T17" s="246"/>
      <c r="U17" s="246"/>
      <c r="V17" s="246"/>
      <c r="W17" s="246"/>
      <c r="X17" s="246"/>
      <c r="Y17" s="246"/>
      <c r="Z17" s="246"/>
      <c r="AA17" s="246"/>
      <c r="AB17" s="246"/>
      <c r="AC17" s="246"/>
      <c r="AD17" s="248"/>
      <c r="AE17" s="247">
        <f>SUMIFS('Reference Tables'!$D$840:$D$851, 'Reference Tables'!$A$840:$A$851, V17, 'Reference Tables'!$B$840:$B$851, Y17, 'Reference Tables'!$C$840:$C$851, Z17)</f>
        <v>0</v>
      </c>
      <c r="AF17" s="247">
        <f>SUMIFS('Reference Tables'!$E$840:$E$851, 'Reference Tables'!$A$840:$A$851, V17, 'Reference Tables'!$B$840:$B$851, Y17, 'Reference Tables'!$C$840:$C$851, Z17)</f>
        <v>0</v>
      </c>
      <c r="AG17" s="247">
        <f>SUMIFS('Reference Tables'!$F$840:$F$851, 'Reference Tables'!$A$840:$A$851, V17, 'Reference Tables'!$B$840:$B$851, Y17, 'Reference Tables'!$C$840:$C$851, Z17)</f>
        <v>0</v>
      </c>
      <c r="AH17" s="247">
        <f>IF(OR(AA17="Yes", B17="DEFR", B17="EFR"),0, SUMIFS('Reference Tables'!$C$862:$C$876, 'Reference Tables'!$A$862:$A$876,"&lt;"&amp;T17, 'Reference Tables'!$B$862:$B$876,"&gt;="&amp;T17))</f>
        <v>0</v>
      </c>
      <c r="AI17" s="249"/>
      <c r="AK17" s="13" t="s">
        <v>826</v>
      </c>
      <c r="AL17" s="107" t="s">
        <v>827</v>
      </c>
      <c r="AM17" s="251"/>
      <c r="AN17" s="252" t="str">
        <f t="shared" si="4"/>
        <v/>
      </c>
      <c r="AO17" s="253"/>
      <c r="AP17" s="253"/>
      <c r="AQ17" s="253"/>
      <c r="AR17" s="253"/>
      <c r="AS17" s="253"/>
      <c r="AT17" s="253"/>
      <c r="AU17" s="253"/>
    </row>
    <row r="18" spans="1:59" s="250" customFormat="1" ht="14.25" customHeight="1">
      <c r="A18" s="238"/>
      <c r="B18" s="239"/>
      <c r="C18" s="240"/>
      <c r="D18" s="241"/>
      <c r="E18" s="242"/>
      <c r="F18" s="243"/>
      <c r="G18" s="185"/>
      <c r="H18" s="244">
        <f>IF(G18="Good", SUMIFS('Reference Tables'!$B$8:$B$20,'Reference Tables'!$A$8:$A$20, F18), SUMIFS('Reference Tables'!$C$8:$C$20,'Reference Tables'!$A$8:$A$20, F18))</f>
        <v>0</v>
      </c>
      <c r="I18" s="245"/>
      <c r="J18" s="245"/>
      <c r="K18" s="245"/>
      <c r="L18" s="245"/>
      <c r="M18" s="245"/>
      <c r="N18" s="246"/>
      <c r="O18" s="246"/>
      <c r="P18" s="247">
        <f t="shared" si="0"/>
        <v>0</v>
      </c>
      <c r="Q18" s="247">
        <f t="shared" si="1"/>
        <v>0</v>
      </c>
      <c r="R18" s="247">
        <f t="shared" si="2"/>
        <v>0</v>
      </c>
      <c r="S18" s="247">
        <f t="shared" si="3"/>
        <v>0</v>
      </c>
      <c r="T18" s="246"/>
      <c r="U18" s="246"/>
      <c r="V18" s="246"/>
      <c r="W18" s="246"/>
      <c r="X18" s="246"/>
      <c r="Y18" s="246"/>
      <c r="Z18" s="246"/>
      <c r="AA18" s="246"/>
      <c r="AB18" s="246"/>
      <c r="AC18" s="246"/>
      <c r="AD18" s="248"/>
      <c r="AE18" s="247">
        <f>SUMIFS('Reference Tables'!$D$840:$D$851, 'Reference Tables'!$A$840:$A$851, V18, 'Reference Tables'!$B$840:$B$851, Y18, 'Reference Tables'!$C$840:$C$851, Z18)</f>
        <v>0</v>
      </c>
      <c r="AF18" s="247">
        <f>SUMIFS('Reference Tables'!$E$840:$E$851, 'Reference Tables'!$A$840:$A$851, V18, 'Reference Tables'!$B$840:$B$851, Y18, 'Reference Tables'!$C$840:$C$851, Z18)</f>
        <v>0</v>
      </c>
      <c r="AG18" s="247">
        <f>SUMIFS('Reference Tables'!$F$840:$F$851, 'Reference Tables'!$A$840:$A$851, V18, 'Reference Tables'!$B$840:$B$851, Y18, 'Reference Tables'!$C$840:$C$851, Z18)</f>
        <v>0</v>
      </c>
      <c r="AH18" s="247">
        <f>IF(OR(AA18="Yes", B18="DEFR", B18="EFR"),0, SUMIFS('Reference Tables'!$C$862:$C$876, 'Reference Tables'!$A$862:$A$876,"&lt;"&amp;T18, 'Reference Tables'!$B$862:$B$876,"&gt;="&amp;T18))</f>
        <v>0</v>
      </c>
      <c r="AI18" s="249"/>
      <c r="AK18" s="13" t="s">
        <v>828</v>
      </c>
      <c r="AL18" s="13" t="s">
        <v>829</v>
      </c>
      <c r="AM18" s="251"/>
      <c r="AN18" s="252" t="str">
        <f t="shared" si="4"/>
        <v/>
      </c>
      <c r="AO18" s="253"/>
      <c r="AP18" s="253"/>
      <c r="AQ18" s="253"/>
      <c r="AR18" s="253"/>
      <c r="AS18" s="253"/>
      <c r="AT18" s="253"/>
      <c r="AU18" s="253"/>
    </row>
    <row r="19" spans="1:59" s="250" customFormat="1" ht="14.25" customHeight="1">
      <c r="A19" s="238"/>
      <c r="B19" s="239"/>
      <c r="C19" s="240"/>
      <c r="D19" s="241"/>
      <c r="E19" s="242"/>
      <c r="F19" s="243"/>
      <c r="G19" s="185"/>
      <c r="H19" s="244">
        <f>IF(G19="Good", SUMIFS('Reference Tables'!$B$8:$B$20,'Reference Tables'!$A$8:$A$20, F19), SUMIFS('Reference Tables'!$C$8:$C$20,'Reference Tables'!$A$8:$A$20, F19))</f>
        <v>0</v>
      </c>
      <c r="I19" s="245"/>
      <c r="J19" s="245"/>
      <c r="K19" s="245"/>
      <c r="L19" s="245"/>
      <c r="M19" s="245"/>
      <c r="N19" s="246"/>
      <c r="O19" s="246"/>
      <c r="P19" s="247">
        <f t="shared" si="0"/>
        <v>0</v>
      </c>
      <c r="Q19" s="247">
        <f t="shared" si="1"/>
        <v>0</v>
      </c>
      <c r="R19" s="247">
        <f t="shared" si="2"/>
        <v>0</v>
      </c>
      <c r="S19" s="247">
        <f t="shared" si="3"/>
        <v>0</v>
      </c>
      <c r="T19" s="246"/>
      <c r="U19" s="246"/>
      <c r="V19" s="246"/>
      <c r="W19" s="246"/>
      <c r="X19" s="246"/>
      <c r="Y19" s="246"/>
      <c r="Z19" s="246"/>
      <c r="AA19" s="246"/>
      <c r="AB19" s="246"/>
      <c r="AC19" s="246"/>
      <c r="AD19" s="248"/>
      <c r="AE19" s="247">
        <f>SUMIFS('Reference Tables'!$D$840:$D$851, 'Reference Tables'!$A$840:$A$851, V19, 'Reference Tables'!$B$840:$B$851, Y19, 'Reference Tables'!$C$840:$C$851, Z19)</f>
        <v>0</v>
      </c>
      <c r="AF19" s="247">
        <f>SUMIFS('Reference Tables'!$E$840:$E$851, 'Reference Tables'!$A$840:$A$851, V19, 'Reference Tables'!$B$840:$B$851, Y19, 'Reference Tables'!$C$840:$C$851, Z19)</f>
        <v>0</v>
      </c>
      <c r="AG19" s="247">
        <f>SUMIFS('Reference Tables'!$F$840:$F$851, 'Reference Tables'!$A$840:$A$851, V19, 'Reference Tables'!$B$840:$B$851, Y19, 'Reference Tables'!$C$840:$C$851, Z19)</f>
        <v>0</v>
      </c>
      <c r="AH19" s="247">
        <f>IF(OR(AA19="Yes", B19="DEFR", B19="EFR"),0, SUMIFS('Reference Tables'!$C$862:$C$876, 'Reference Tables'!$A$862:$A$876,"&lt;"&amp;T19, 'Reference Tables'!$B$862:$B$876,"&gt;="&amp;T19))</f>
        <v>0</v>
      </c>
      <c r="AI19" s="249"/>
      <c r="AJ19" s="17"/>
      <c r="AK19" s="13" t="s">
        <v>830</v>
      </c>
      <c r="AL19" s="13" t="s">
        <v>831</v>
      </c>
      <c r="AM19" s="251"/>
      <c r="AN19" s="252" t="str">
        <f t="shared" si="4"/>
        <v/>
      </c>
      <c r="AO19" s="253"/>
      <c r="AP19" s="253"/>
      <c r="AQ19" s="253"/>
      <c r="AR19" s="253"/>
      <c r="AS19" s="253"/>
      <c r="AT19" s="253"/>
      <c r="AU19" s="253"/>
    </row>
    <row r="20" spans="1:59" ht="14.25" customHeight="1">
      <c r="A20" s="238"/>
      <c r="B20" s="239"/>
      <c r="C20" s="240"/>
      <c r="D20" s="241"/>
      <c r="E20" s="242"/>
      <c r="F20" s="243"/>
      <c r="G20" s="185"/>
      <c r="H20" s="244">
        <f>IF(G20="Good", SUMIFS('Reference Tables'!$B$8:$B$20,'Reference Tables'!$A$8:$A$20, F20), SUMIFS('Reference Tables'!$C$8:$C$20,'Reference Tables'!$A$8:$A$20, F20))</f>
        <v>0</v>
      </c>
      <c r="I20" s="245"/>
      <c r="J20" s="245"/>
      <c r="K20" s="245"/>
      <c r="L20" s="245"/>
      <c r="M20" s="245"/>
      <c r="N20" s="246"/>
      <c r="O20" s="246"/>
      <c r="P20" s="247">
        <f t="shared" si="0"/>
        <v>0</v>
      </c>
      <c r="Q20" s="247">
        <f t="shared" si="1"/>
        <v>0</v>
      </c>
      <c r="R20" s="247">
        <f t="shared" si="2"/>
        <v>0</v>
      </c>
      <c r="S20" s="247">
        <f t="shared" si="3"/>
        <v>0</v>
      </c>
      <c r="T20" s="246"/>
      <c r="U20" s="246"/>
      <c r="V20" s="246"/>
      <c r="W20" s="246"/>
      <c r="X20" s="246"/>
      <c r="Y20" s="246"/>
      <c r="Z20" s="246"/>
      <c r="AA20" s="246"/>
      <c r="AB20" s="246"/>
      <c r="AC20" s="246"/>
      <c r="AD20" s="248"/>
      <c r="AE20" s="247">
        <f>SUMIFS('Reference Tables'!$D$840:$D$851, 'Reference Tables'!$A$840:$A$851, V20, 'Reference Tables'!$B$840:$B$851, Y20, 'Reference Tables'!$C$840:$C$851, Z20)</f>
        <v>0</v>
      </c>
      <c r="AF20" s="247">
        <f>SUMIFS('Reference Tables'!$E$840:$E$851, 'Reference Tables'!$A$840:$A$851, V20, 'Reference Tables'!$B$840:$B$851, Y20, 'Reference Tables'!$C$840:$C$851, Z20)</f>
        <v>0</v>
      </c>
      <c r="AG20" s="247">
        <f>SUMIFS('Reference Tables'!$F$840:$F$851, 'Reference Tables'!$A$840:$A$851, V20, 'Reference Tables'!$B$840:$B$851, Y20, 'Reference Tables'!$C$840:$C$851, Z20)</f>
        <v>0</v>
      </c>
      <c r="AH20" s="247">
        <f>IF(OR(AA20="Yes", B20="DEFR", B20="EFR"),0, SUMIFS('Reference Tables'!$C$862:$C$876, 'Reference Tables'!$A$862:$A$876,"&lt;"&amp;T20, 'Reference Tables'!$B$862:$B$876,"&gt;="&amp;T20))</f>
        <v>0</v>
      </c>
      <c r="AI20" s="249"/>
      <c r="AK20" s="13" t="s">
        <v>832</v>
      </c>
      <c r="AL20" s="13" t="s">
        <v>833</v>
      </c>
      <c r="AM20" s="251"/>
      <c r="AN20" s="252" t="str">
        <f t="shared" si="4"/>
        <v/>
      </c>
      <c r="AO20" s="253"/>
      <c r="AP20" s="253"/>
      <c r="AQ20" s="253"/>
      <c r="AR20" s="253"/>
      <c r="AS20" s="253"/>
      <c r="AT20" s="253"/>
      <c r="AU20" s="253"/>
    </row>
    <row r="21" spans="1:59" s="250" customFormat="1" ht="14.25" customHeight="1">
      <c r="A21" s="238"/>
      <c r="B21" s="239"/>
      <c r="C21" s="240"/>
      <c r="D21" s="241"/>
      <c r="E21" s="242"/>
      <c r="F21" s="243"/>
      <c r="G21" s="185"/>
      <c r="H21" s="244">
        <f>IF(G21="Good", SUMIFS('Reference Tables'!$B$8:$B$20,'Reference Tables'!$A$8:$A$20, F21), SUMIFS('Reference Tables'!$C$8:$C$20,'Reference Tables'!$A$8:$A$20, F21))</f>
        <v>0</v>
      </c>
      <c r="I21" s="245"/>
      <c r="J21" s="245"/>
      <c r="K21" s="245"/>
      <c r="L21" s="245"/>
      <c r="M21" s="245"/>
      <c r="N21" s="246"/>
      <c r="O21" s="246"/>
      <c r="P21" s="247">
        <f t="shared" si="0"/>
        <v>0</v>
      </c>
      <c r="Q21" s="247">
        <f t="shared" si="1"/>
        <v>0</v>
      </c>
      <c r="R21" s="247">
        <f t="shared" si="2"/>
        <v>0</v>
      </c>
      <c r="S21" s="247">
        <f t="shared" si="3"/>
        <v>0</v>
      </c>
      <c r="T21" s="246"/>
      <c r="U21" s="246"/>
      <c r="V21" s="246"/>
      <c r="W21" s="246"/>
      <c r="X21" s="246"/>
      <c r="Y21" s="246"/>
      <c r="Z21" s="246"/>
      <c r="AA21" s="246"/>
      <c r="AB21" s="246"/>
      <c r="AC21" s="246"/>
      <c r="AD21" s="248"/>
      <c r="AE21" s="247">
        <f>SUMIFS('Reference Tables'!$D$840:$D$851, 'Reference Tables'!$A$840:$A$851, V21, 'Reference Tables'!$B$840:$B$851, Y21, 'Reference Tables'!$C$840:$C$851, Z21)</f>
        <v>0</v>
      </c>
      <c r="AF21" s="247">
        <f>SUMIFS('Reference Tables'!$E$840:$E$851, 'Reference Tables'!$A$840:$A$851, V21, 'Reference Tables'!$B$840:$B$851, Y21, 'Reference Tables'!$C$840:$C$851, Z21)</f>
        <v>0</v>
      </c>
      <c r="AG21" s="247">
        <f>SUMIFS('Reference Tables'!$F$840:$F$851, 'Reference Tables'!$A$840:$A$851, V21, 'Reference Tables'!$B$840:$B$851, Y21, 'Reference Tables'!$C$840:$C$851, Z21)</f>
        <v>0</v>
      </c>
      <c r="AH21" s="247">
        <f>IF(OR(AA21="Yes", B21="DEFR", B21="EFR"),0, SUMIFS('Reference Tables'!$C$862:$C$876, 'Reference Tables'!$A$862:$A$876,"&lt;"&amp;T21, 'Reference Tables'!$B$862:$B$876,"&gt;="&amp;T21))</f>
        <v>0</v>
      </c>
      <c r="AI21" s="249"/>
      <c r="AJ21" s="254"/>
      <c r="AK21" s="13" t="s">
        <v>834</v>
      </c>
      <c r="AL21" s="13" t="s">
        <v>835</v>
      </c>
      <c r="AM21" s="251"/>
      <c r="AN21" s="252" t="str">
        <f t="shared" si="4"/>
        <v/>
      </c>
      <c r="AO21" s="253"/>
      <c r="AP21" s="253"/>
      <c r="AQ21" s="253"/>
      <c r="AR21" s="253"/>
      <c r="AS21" s="253"/>
      <c r="AT21" s="253"/>
      <c r="AU21" s="253"/>
    </row>
    <row r="22" spans="1:59" s="250" customFormat="1" ht="14.25" customHeight="1">
      <c r="A22" s="238"/>
      <c r="B22" s="239"/>
      <c r="C22" s="240"/>
      <c r="D22" s="241"/>
      <c r="E22" s="242"/>
      <c r="F22" s="243"/>
      <c r="G22" s="185"/>
      <c r="H22" s="244">
        <f>IF(G22="Good", SUMIFS('Reference Tables'!$B$8:$B$20,'Reference Tables'!$A$8:$A$20, F22), SUMIFS('Reference Tables'!$C$8:$C$20,'Reference Tables'!$A$8:$A$20, F22))</f>
        <v>0</v>
      </c>
      <c r="I22" s="245"/>
      <c r="J22" s="245"/>
      <c r="K22" s="245"/>
      <c r="L22" s="245"/>
      <c r="M22" s="245"/>
      <c r="N22" s="246"/>
      <c r="O22" s="246"/>
      <c r="P22" s="247">
        <f t="shared" si="0"/>
        <v>0</v>
      </c>
      <c r="Q22" s="247">
        <f t="shared" si="1"/>
        <v>0</v>
      </c>
      <c r="R22" s="247">
        <f t="shared" si="2"/>
        <v>0</v>
      </c>
      <c r="S22" s="247">
        <f t="shared" si="3"/>
        <v>0</v>
      </c>
      <c r="T22" s="246"/>
      <c r="U22" s="246"/>
      <c r="V22" s="246"/>
      <c r="W22" s="246"/>
      <c r="X22" s="246"/>
      <c r="Y22" s="246"/>
      <c r="Z22" s="246"/>
      <c r="AA22" s="246"/>
      <c r="AB22" s="246"/>
      <c r="AC22" s="246"/>
      <c r="AD22" s="248"/>
      <c r="AE22" s="247">
        <f>SUMIFS('Reference Tables'!$D$840:$D$851, 'Reference Tables'!$A$840:$A$851, V22, 'Reference Tables'!$B$840:$B$851, Y22, 'Reference Tables'!$C$840:$C$851, Z22)</f>
        <v>0</v>
      </c>
      <c r="AF22" s="247">
        <f>SUMIFS('Reference Tables'!$E$840:$E$851, 'Reference Tables'!$A$840:$A$851, V22, 'Reference Tables'!$B$840:$B$851, Y22, 'Reference Tables'!$C$840:$C$851, Z22)</f>
        <v>0</v>
      </c>
      <c r="AG22" s="247">
        <f>SUMIFS('Reference Tables'!$F$840:$F$851, 'Reference Tables'!$A$840:$A$851, V22, 'Reference Tables'!$B$840:$B$851, Y22, 'Reference Tables'!$C$840:$C$851, Z22)</f>
        <v>0</v>
      </c>
      <c r="AH22" s="247">
        <f>IF(OR(AA22="Yes", B22="DEFR", B22="EFR"),0, SUMIFS('Reference Tables'!$C$862:$C$876, 'Reference Tables'!$A$862:$A$876,"&lt;"&amp;T22, 'Reference Tables'!$B$862:$B$876,"&gt;="&amp;T22))</f>
        <v>0</v>
      </c>
      <c r="AI22" s="249"/>
      <c r="AJ22" s="254"/>
      <c r="AK22" s="13" t="s">
        <v>836</v>
      </c>
      <c r="AL22" s="13" t="s">
        <v>837</v>
      </c>
      <c r="AM22" s="251"/>
      <c r="AN22" s="252" t="str">
        <f t="shared" si="4"/>
        <v/>
      </c>
      <c r="AO22" s="253"/>
      <c r="AP22" s="253"/>
      <c r="AQ22" s="253"/>
      <c r="AR22" s="253"/>
      <c r="AS22" s="253"/>
      <c r="AT22" s="253"/>
      <c r="AU22" s="253"/>
    </row>
    <row r="23" spans="1:59" ht="14.25" customHeight="1">
      <c r="A23" s="238"/>
      <c r="B23" s="239"/>
      <c r="C23" s="240"/>
      <c r="D23" s="241"/>
      <c r="E23" s="242"/>
      <c r="F23" s="243"/>
      <c r="G23" s="185"/>
      <c r="H23" s="244">
        <f>IF(G23="Good", SUMIFS('Reference Tables'!$B$8:$B$20,'Reference Tables'!$A$8:$A$20, F23), SUMIFS('Reference Tables'!$C$8:$C$20,'Reference Tables'!$A$8:$A$20, F23))</f>
        <v>0</v>
      </c>
      <c r="I23" s="245"/>
      <c r="J23" s="245"/>
      <c r="K23" s="245"/>
      <c r="L23" s="245"/>
      <c r="M23" s="245"/>
      <c r="N23" s="246"/>
      <c r="O23" s="246"/>
      <c r="P23" s="247">
        <f t="shared" si="0"/>
        <v>0</v>
      </c>
      <c r="Q23" s="247">
        <f t="shared" si="1"/>
        <v>0</v>
      </c>
      <c r="R23" s="247">
        <f t="shared" si="2"/>
        <v>0</v>
      </c>
      <c r="S23" s="247">
        <f t="shared" si="3"/>
        <v>0</v>
      </c>
      <c r="T23" s="246"/>
      <c r="U23" s="246"/>
      <c r="V23" s="246"/>
      <c r="W23" s="246"/>
      <c r="X23" s="246"/>
      <c r="Y23" s="246"/>
      <c r="Z23" s="246"/>
      <c r="AA23" s="246"/>
      <c r="AB23" s="246"/>
      <c r="AC23" s="246"/>
      <c r="AD23" s="248"/>
      <c r="AE23" s="247">
        <f>SUMIFS('Reference Tables'!$D$840:$D$851, 'Reference Tables'!$A$840:$A$851, V23, 'Reference Tables'!$B$840:$B$851, Y23, 'Reference Tables'!$C$840:$C$851, Z23)</f>
        <v>0</v>
      </c>
      <c r="AF23" s="247">
        <f>SUMIFS('Reference Tables'!$E$840:$E$851, 'Reference Tables'!$A$840:$A$851, V23, 'Reference Tables'!$B$840:$B$851, Y23, 'Reference Tables'!$C$840:$C$851, Z23)</f>
        <v>0</v>
      </c>
      <c r="AG23" s="247">
        <f>SUMIFS('Reference Tables'!$F$840:$F$851, 'Reference Tables'!$A$840:$A$851, V23, 'Reference Tables'!$B$840:$B$851, Y23, 'Reference Tables'!$C$840:$C$851, Z23)</f>
        <v>0</v>
      </c>
      <c r="AH23" s="247">
        <f>IF(OR(AA23="Yes", B23="DEFR", B23="EFR"),0, SUMIFS('Reference Tables'!$C$862:$C$876, 'Reference Tables'!$A$862:$A$876,"&lt;"&amp;T23, 'Reference Tables'!$B$862:$B$876,"&gt;="&amp;T23))</f>
        <v>0</v>
      </c>
      <c r="AI23" s="249"/>
      <c r="AJ23" s="254"/>
      <c r="AK23" s="13" t="s">
        <v>838</v>
      </c>
      <c r="AL23" s="13" t="s">
        <v>839</v>
      </c>
      <c r="AM23" s="251"/>
      <c r="AN23" s="252" t="str">
        <f t="shared" si="4"/>
        <v/>
      </c>
      <c r="AO23" s="253"/>
      <c r="AP23" s="253"/>
      <c r="AQ23" s="253"/>
      <c r="AR23" s="253"/>
      <c r="AS23" s="253"/>
      <c r="AT23" s="253"/>
      <c r="AU23" s="253"/>
    </row>
    <row r="24" spans="1:59" s="250" customFormat="1">
      <c r="A24" s="17"/>
      <c r="B24" s="255"/>
      <c r="C24" s="17"/>
      <c r="D24" s="17"/>
      <c r="E24" s="17"/>
      <c r="F24" s="256"/>
      <c r="G24" s="257"/>
      <c r="H24" s="168"/>
      <c r="I24" s="17"/>
      <c r="J24" s="257"/>
      <c r="K24" s="168"/>
      <c r="L24" s="17"/>
      <c r="M24" s="17"/>
      <c r="N24" s="257"/>
      <c r="O24" s="257"/>
      <c r="P24" s="168"/>
      <c r="Q24" s="257"/>
      <c r="R24" s="257"/>
      <c r="S24" s="17"/>
      <c r="T24" s="168"/>
      <c r="U24" s="168"/>
      <c r="V24" s="168"/>
      <c r="W24" s="17"/>
      <c r="X24" s="17"/>
      <c r="Y24" s="17"/>
      <c r="Z24" s="258"/>
      <c r="AA24" s="258"/>
      <c r="AB24" s="17"/>
      <c r="AC24" s="17"/>
      <c r="AD24" s="17"/>
      <c r="AE24" s="257"/>
      <c r="AF24" s="17"/>
      <c r="AG24" s="257"/>
      <c r="AH24" s="17"/>
      <c r="AI24" s="17"/>
      <c r="AJ24" s="254"/>
      <c r="AK24" s="13"/>
      <c r="AL24" s="13"/>
      <c r="AM24" s="251"/>
      <c r="AN24" s="254"/>
      <c r="AO24" s="254"/>
      <c r="AP24" s="254"/>
      <c r="AQ24" s="254"/>
      <c r="AR24" s="254"/>
      <c r="AS24" s="254"/>
      <c r="AT24" s="254"/>
      <c r="AU24" s="254"/>
      <c r="AV24" s="17"/>
      <c r="AW24" s="17"/>
      <c r="AX24" s="17"/>
      <c r="AY24" s="17"/>
      <c r="AZ24" s="17"/>
      <c r="BA24" s="17"/>
      <c r="BB24" s="17"/>
      <c r="BC24" s="17"/>
      <c r="BD24" s="17"/>
      <c r="BE24" s="17"/>
      <c r="BF24" s="17"/>
    </row>
    <row r="25" spans="1:59" s="250" customFormat="1">
      <c r="A25" s="254"/>
      <c r="B25" s="255"/>
      <c r="C25" s="254"/>
      <c r="D25" s="254"/>
      <c r="E25" s="254"/>
      <c r="F25" s="84"/>
      <c r="G25" s="254"/>
      <c r="H25" s="254"/>
      <c r="I25" s="254"/>
      <c r="J25" s="254"/>
      <c r="K25" s="254"/>
      <c r="L25" s="254"/>
      <c r="M25" s="254"/>
      <c r="N25" s="254"/>
      <c r="O25" s="254"/>
      <c r="P25" s="259"/>
      <c r="Q25" s="254"/>
      <c r="R25" s="254"/>
      <c r="S25" s="254"/>
      <c r="T25" s="254"/>
      <c r="U25" s="254"/>
      <c r="V25" s="254"/>
      <c r="W25" s="254"/>
      <c r="X25" s="254"/>
      <c r="Y25" s="254"/>
      <c r="Z25" s="254"/>
      <c r="AA25" s="254"/>
      <c r="AB25" s="254"/>
      <c r="AC25" s="254"/>
      <c r="AD25" s="254"/>
      <c r="AE25" s="254"/>
      <c r="AF25" s="254"/>
      <c r="AG25" s="254"/>
      <c r="AH25" s="254"/>
      <c r="AI25" s="254"/>
      <c r="AJ25" s="254"/>
      <c r="AK25" s="172" t="s">
        <v>840</v>
      </c>
      <c r="AL25" s="13"/>
      <c r="AM25" s="251"/>
      <c r="AN25" s="254"/>
      <c r="AO25" s="254"/>
      <c r="AP25" s="254"/>
      <c r="AQ25" s="254"/>
      <c r="AR25" s="254"/>
      <c r="AS25" s="254"/>
      <c r="AT25" s="254"/>
      <c r="AU25" s="254"/>
      <c r="AV25" s="17"/>
      <c r="AW25" s="17"/>
      <c r="AX25" s="17"/>
      <c r="AY25" s="17"/>
      <c r="AZ25" s="17"/>
      <c r="BA25" s="17"/>
      <c r="BB25" s="17"/>
      <c r="BC25" s="17"/>
      <c r="BD25" s="17"/>
      <c r="BE25" s="17"/>
      <c r="BF25" s="17"/>
    </row>
    <row r="26" spans="1:59" s="250" customFormat="1">
      <c r="A26" s="255"/>
      <c r="B26" s="255"/>
      <c r="C26" s="254"/>
      <c r="D26" s="254"/>
      <c r="E26" s="254"/>
      <c r="F26" s="254"/>
      <c r="G26" s="254"/>
      <c r="H26" s="254"/>
      <c r="I26" s="254"/>
      <c r="J26" s="254"/>
      <c r="K26" s="259"/>
      <c r="L26" s="259"/>
      <c r="M26" s="254"/>
      <c r="N26" s="254"/>
      <c r="O26" s="260"/>
      <c r="P26" s="259"/>
      <c r="Q26" s="254"/>
      <c r="R26" s="254"/>
      <c r="S26" s="254"/>
      <c r="T26" s="254"/>
      <c r="U26" s="254"/>
      <c r="V26" s="254"/>
      <c r="W26" s="254"/>
      <c r="X26" s="254"/>
      <c r="Y26" s="254"/>
      <c r="Z26" s="254"/>
      <c r="AA26" s="254"/>
      <c r="AB26" s="254"/>
      <c r="AC26" s="254"/>
      <c r="AD26" s="254"/>
      <c r="AE26" s="254"/>
      <c r="AF26" s="254"/>
      <c r="AG26" s="254"/>
      <c r="AH26" s="254"/>
      <c r="AI26" s="254"/>
      <c r="AJ26" s="254"/>
      <c r="AK26" s="13" t="s">
        <v>841</v>
      </c>
      <c r="AL26" s="13" t="s">
        <v>842</v>
      </c>
      <c r="AM26" s="251"/>
      <c r="AN26" s="254"/>
      <c r="AO26" s="254"/>
      <c r="AP26" s="254"/>
      <c r="AQ26" s="254"/>
      <c r="AR26" s="254"/>
      <c r="AS26" s="254"/>
      <c r="AT26" s="254"/>
      <c r="AU26" s="254"/>
      <c r="AV26" s="254"/>
      <c r="AW26" s="254"/>
      <c r="AX26" s="254"/>
      <c r="AY26" s="254"/>
      <c r="AZ26" s="254"/>
      <c r="BA26" s="254"/>
      <c r="BB26" s="254"/>
      <c r="BC26" s="254"/>
      <c r="BD26" s="254"/>
      <c r="BE26" s="254"/>
      <c r="BF26" s="254"/>
    </row>
    <row r="27" spans="1:59">
      <c r="A27" s="254"/>
      <c r="B27" s="255"/>
      <c r="C27" s="254"/>
      <c r="D27" s="254"/>
      <c r="E27" s="254"/>
      <c r="F27" s="254"/>
      <c r="G27" s="254"/>
      <c r="H27" s="254"/>
      <c r="I27" s="254"/>
      <c r="J27" s="254"/>
      <c r="K27" s="259"/>
      <c r="L27" s="259"/>
      <c r="M27" s="254"/>
      <c r="N27" s="254"/>
      <c r="O27" s="260"/>
      <c r="P27" s="259"/>
      <c r="Q27" s="254"/>
      <c r="R27" s="254"/>
      <c r="S27" s="254"/>
      <c r="T27" s="254"/>
      <c r="U27" s="254"/>
      <c r="V27" s="254"/>
      <c r="W27" s="254"/>
      <c r="X27" s="254"/>
      <c r="Y27" s="254"/>
      <c r="Z27" s="254"/>
      <c r="AA27" s="254"/>
      <c r="AB27" s="254"/>
      <c r="AC27" s="254"/>
      <c r="AD27" s="254"/>
      <c r="AE27" s="254"/>
      <c r="AF27" s="254"/>
      <c r="AG27" s="254"/>
      <c r="AH27" s="254"/>
      <c r="AI27" s="254"/>
      <c r="AJ27" s="254"/>
      <c r="AK27" s="13" t="s">
        <v>843</v>
      </c>
      <c r="AL27" s="13" t="s">
        <v>844</v>
      </c>
      <c r="AM27" s="251"/>
      <c r="AN27" s="254"/>
      <c r="AO27" s="254"/>
      <c r="AP27" s="254"/>
      <c r="AQ27" s="254"/>
      <c r="AR27" s="254"/>
      <c r="AS27" s="254"/>
      <c r="AT27" s="254"/>
      <c r="AU27" s="254"/>
      <c r="AV27" s="254"/>
      <c r="AW27" s="254"/>
      <c r="AX27" s="254"/>
      <c r="AY27" s="254"/>
      <c r="AZ27" s="254"/>
      <c r="BA27" s="254"/>
      <c r="BB27" s="254"/>
      <c r="BC27" s="254"/>
      <c r="BD27" s="254"/>
      <c r="BE27" s="254"/>
      <c r="BF27" s="254"/>
    </row>
    <row r="28" spans="1:59" s="250" customFormat="1">
      <c r="A28" s="222"/>
      <c r="B28" s="254"/>
      <c r="C28" s="222"/>
      <c r="D28" s="222"/>
      <c r="E28" s="222"/>
      <c r="F28" s="254"/>
      <c r="G28" s="254"/>
      <c r="H28" s="254"/>
      <c r="I28" s="254"/>
      <c r="J28" s="254"/>
      <c r="K28" s="254"/>
      <c r="L28" s="254"/>
      <c r="M28" s="254"/>
      <c r="N28" s="254"/>
      <c r="O28" s="254"/>
      <c r="P28" s="261"/>
      <c r="Q28" s="254"/>
      <c r="R28" s="254"/>
      <c r="S28" s="254"/>
      <c r="T28" s="254"/>
      <c r="U28" s="254"/>
      <c r="V28" s="254"/>
      <c r="W28" s="254"/>
      <c r="X28" s="254"/>
      <c r="Y28" s="254"/>
      <c r="Z28" s="254"/>
      <c r="AA28" s="254"/>
      <c r="AB28" s="254"/>
      <c r="AC28" s="254"/>
      <c r="AD28" s="254"/>
      <c r="AE28" s="254"/>
      <c r="AF28" s="254"/>
      <c r="AG28" s="254"/>
      <c r="AH28" s="254"/>
      <c r="AI28" s="254"/>
      <c r="AJ28" s="254"/>
      <c r="AK28" s="13" t="s">
        <v>845</v>
      </c>
      <c r="AL28" s="13" t="s">
        <v>846</v>
      </c>
      <c r="AM28" s="251"/>
      <c r="AN28" s="254"/>
      <c r="AO28" s="254"/>
      <c r="AP28" s="254"/>
      <c r="AQ28" s="254"/>
      <c r="AR28" s="254"/>
      <c r="AS28" s="254"/>
      <c r="AT28" s="254"/>
      <c r="AU28" s="254"/>
      <c r="AV28" s="254"/>
      <c r="AW28" s="254"/>
      <c r="AX28" s="254"/>
      <c r="AY28" s="254"/>
      <c r="AZ28" s="254"/>
      <c r="BA28" s="254"/>
      <c r="BB28" s="254"/>
      <c r="BC28" s="254"/>
      <c r="BD28" s="254"/>
      <c r="BE28" s="254"/>
      <c r="BF28" s="254"/>
    </row>
    <row r="29" spans="1:59">
      <c r="A29" s="262"/>
      <c r="B29" s="222"/>
      <c r="C29" s="222"/>
      <c r="D29" s="222"/>
      <c r="E29" s="222"/>
      <c r="F29" s="222"/>
      <c r="G29" s="222"/>
      <c r="H29" s="222"/>
      <c r="I29" s="222"/>
      <c r="J29" s="222"/>
      <c r="K29" s="254"/>
      <c r="L29" s="254"/>
      <c r="M29" s="254"/>
      <c r="N29" s="254"/>
      <c r="O29" s="254"/>
      <c r="P29" s="261"/>
      <c r="Q29" s="254"/>
      <c r="R29" s="254"/>
      <c r="S29" s="254"/>
      <c r="T29" s="254"/>
      <c r="U29" s="254"/>
      <c r="V29" s="254"/>
      <c r="W29" s="254"/>
      <c r="X29" s="254"/>
      <c r="Y29" s="254"/>
      <c r="Z29" s="254"/>
      <c r="AA29" s="254"/>
      <c r="AB29" s="254"/>
      <c r="AC29" s="254"/>
      <c r="AD29" s="254"/>
      <c r="AE29" s="254"/>
      <c r="AF29" s="254"/>
      <c r="AG29" s="254"/>
      <c r="AH29" s="254"/>
      <c r="AI29" s="254"/>
      <c r="AJ29" s="254"/>
      <c r="AL29" s="13" t="s">
        <v>847</v>
      </c>
      <c r="AM29" s="263"/>
      <c r="AN29" s="254"/>
      <c r="AO29" s="263"/>
      <c r="AP29" s="254"/>
      <c r="AQ29" s="254"/>
      <c r="AR29" s="254"/>
      <c r="AS29" s="254"/>
      <c r="AT29" s="254"/>
      <c r="AU29" s="254"/>
      <c r="AV29" s="254"/>
      <c r="AW29" s="254"/>
      <c r="AX29" s="254"/>
      <c r="AY29" s="254"/>
      <c r="AZ29" s="254"/>
      <c r="BA29" s="254"/>
      <c r="BB29" s="254"/>
      <c r="BC29" s="254"/>
      <c r="BD29" s="254"/>
      <c r="BE29" s="254"/>
      <c r="BF29" s="254"/>
      <c r="BG29" s="254"/>
    </row>
    <row r="30" spans="1:59">
      <c r="A30" s="222"/>
      <c r="B30" s="222"/>
      <c r="C30" s="222"/>
      <c r="D30" s="222"/>
      <c r="E30" s="222"/>
      <c r="F30" s="222"/>
      <c r="G30" s="222"/>
      <c r="H30" s="222"/>
      <c r="I30" s="222"/>
      <c r="J30" s="222"/>
      <c r="K30" s="254"/>
      <c r="L30" s="254"/>
      <c r="M30" s="254"/>
      <c r="N30" s="254"/>
      <c r="O30" s="254"/>
      <c r="P30" s="259"/>
      <c r="Q30" s="254"/>
      <c r="R30" s="254"/>
      <c r="S30" s="254"/>
      <c r="T30" s="254"/>
      <c r="U30" s="254"/>
      <c r="V30" s="254"/>
      <c r="W30" s="254"/>
      <c r="X30" s="254"/>
      <c r="Y30" s="254"/>
      <c r="Z30" s="254"/>
      <c r="AA30" s="254"/>
      <c r="AB30" s="254"/>
      <c r="AC30" s="254"/>
      <c r="AD30" s="254"/>
      <c r="AE30" s="254"/>
      <c r="AF30" s="254"/>
      <c r="AG30" s="254"/>
      <c r="AH30" s="254"/>
      <c r="AI30" s="254"/>
      <c r="AJ30" s="254"/>
      <c r="AL30" s="13" t="s">
        <v>848</v>
      </c>
      <c r="AM30" s="263"/>
      <c r="AN30" s="254"/>
      <c r="AO30" s="263"/>
      <c r="AP30" s="254"/>
      <c r="AQ30" s="254"/>
      <c r="AR30" s="254"/>
      <c r="AS30" s="254"/>
      <c r="AT30" s="254"/>
      <c r="AU30" s="254"/>
      <c r="AV30" s="254"/>
      <c r="AW30" s="254"/>
      <c r="AX30" s="254"/>
      <c r="AY30" s="254"/>
      <c r="AZ30" s="254"/>
      <c r="BA30" s="254"/>
      <c r="BB30" s="254"/>
      <c r="BC30" s="254"/>
      <c r="BD30" s="254"/>
      <c r="BE30" s="254"/>
      <c r="BF30" s="254"/>
      <c r="BG30" s="254"/>
    </row>
    <row r="31" spans="1:59" s="254" customFormat="1">
      <c r="A31" s="222"/>
      <c r="B31" s="222"/>
      <c r="P31" s="259"/>
      <c r="AK31" s="13"/>
      <c r="AL31" s="13" t="s">
        <v>849</v>
      </c>
      <c r="AM31" s="263"/>
      <c r="AO31" s="263"/>
    </row>
    <row r="32" spans="1:59" s="254" customFormat="1">
      <c r="P32" s="259"/>
      <c r="AK32" s="13"/>
      <c r="AL32" s="13" t="s">
        <v>850</v>
      </c>
      <c r="AM32" s="263"/>
      <c r="AN32" s="263"/>
    </row>
    <row r="33" spans="2:40" s="254" customFormat="1">
      <c r="P33" s="259"/>
      <c r="AK33" s="13"/>
      <c r="AL33" s="13" t="s">
        <v>851</v>
      </c>
      <c r="AM33" s="263"/>
      <c r="AN33" s="263"/>
    </row>
    <row r="34" spans="2:40" s="254" customFormat="1">
      <c r="P34" s="259"/>
      <c r="AK34" s="13"/>
      <c r="AL34" s="13" t="s">
        <v>852</v>
      </c>
      <c r="AM34" s="263"/>
      <c r="AN34" s="263"/>
    </row>
    <row r="35" spans="2:40" s="254" customFormat="1">
      <c r="B35" s="264"/>
      <c r="C35" s="265"/>
      <c r="J35" s="17"/>
      <c r="P35" s="259"/>
      <c r="AK35" s="13"/>
      <c r="AL35" s="13" t="s">
        <v>853</v>
      </c>
      <c r="AM35" s="263"/>
      <c r="AN35" s="263"/>
    </row>
    <row r="36" spans="2:40" s="254" customFormat="1">
      <c r="B36" s="264"/>
      <c r="C36" s="266"/>
      <c r="O36" s="17"/>
      <c r="P36" s="259"/>
      <c r="AK36" s="13"/>
      <c r="AL36" s="13" t="s">
        <v>854</v>
      </c>
      <c r="AM36" s="263"/>
      <c r="AN36" s="263"/>
    </row>
    <row r="37" spans="2:40" s="254" customFormat="1">
      <c r="C37" s="267"/>
      <c r="P37" s="259"/>
      <c r="AK37" s="13" t="s">
        <v>855</v>
      </c>
      <c r="AL37" s="13" t="s">
        <v>856</v>
      </c>
      <c r="AM37" s="263"/>
      <c r="AN37" s="263"/>
    </row>
    <row r="38" spans="2:40" s="254" customFormat="1">
      <c r="C38" s="255"/>
      <c r="P38" s="259"/>
      <c r="AK38" s="13" t="s">
        <v>857</v>
      </c>
      <c r="AL38" s="13" t="s">
        <v>858</v>
      </c>
      <c r="AM38" s="263"/>
      <c r="AN38" s="263"/>
    </row>
    <row r="39" spans="2:40" s="254" customFormat="1">
      <c r="P39" s="259"/>
      <c r="AK39" s="13"/>
      <c r="AL39" s="13" t="s">
        <v>859</v>
      </c>
      <c r="AM39" s="263"/>
      <c r="AN39" s="263"/>
    </row>
    <row r="40" spans="2:40" s="254" customFormat="1">
      <c r="P40" s="259"/>
      <c r="AK40" s="13" t="s">
        <v>860</v>
      </c>
      <c r="AL40" s="13" t="s">
        <v>861</v>
      </c>
      <c r="AM40" s="263"/>
      <c r="AN40" s="263"/>
    </row>
    <row r="41" spans="2:40" s="254" customFormat="1">
      <c r="P41" s="259"/>
      <c r="AK41" s="13"/>
      <c r="AL41" s="13" t="s">
        <v>862</v>
      </c>
      <c r="AM41" s="263"/>
      <c r="AN41" s="263"/>
    </row>
    <row r="42" spans="2:40" s="254" customFormat="1">
      <c r="P42" s="259"/>
      <c r="AK42" s="13" t="s">
        <v>863</v>
      </c>
      <c r="AL42" s="13" t="s">
        <v>864</v>
      </c>
      <c r="AM42" s="263"/>
      <c r="AN42" s="263"/>
    </row>
    <row r="43" spans="2:40" s="254" customFormat="1">
      <c r="P43" s="259"/>
      <c r="AK43" s="13"/>
      <c r="AL43" s="13" t="s">
        <v>865</v>
      </c>
      <c r="AM43" s="263"/>
      <c r="AN43" s="263"/>
    </row>
    <row r="44" spans="2:40" s="254" customFormat="1">
      <c r="P44" s="259"/>
      <c r="AK44" s="13"/>
      <c r="AL44" s="13" t="s">
        <v>866</v>
      </c>
      <c r="AM44" s="263"/>
      <c r="AN44" s="263"/>
    </row>
    <row r="45" spans="2:40" s="254" customFormat="1" ht="16">
      <c r="P45" s="259"/>
      <c r="AJ45" s="17"/>
      <c r="AK45" s="13" t="s">
        <v>867</v>
      </c>
      <c r="AL45" s="13" t="s">
        <v>868</v>
      </c>
      <c r="AM45" s="263"/>
      <c r="AN45" s="268"/>
    </row>
    <row r="46" spans="2:40" s="254" customFormat="1">
      <c r="P46" s="259"/>
      <c r="AJ46" s="17"/>
      <c r="AK46" s="13"/>
      <c r="AL46" s="13" t="s">
        <v>869</v>
      </c>
      <c r="AM46" s="263"/>
      <c r="AN46" s="263"/>
    </row>
    <row r="47" spans="2:40" s="254" customFormat="1">
      <c r="P47" s="259"/>
      <c r="AJ47" s="17"/>
      <c r="AK47" s="13"/>
      <c r="AL47" s="13" t="s">
        <v>870</v>
      </c>
      <c r="AM47" s="263"/>
      <c r="AN47" s="263"/>
    </row>
    <row r="48" spans="2:40" s="254" customFormat="1">
      <c r="P48" s="259"/>
      <c r="AJ48" s="17"/>
      <c r="AK48" s="13"/>
      <c r="AL48" s="13" t="s">
        <v>871</v>
      </c>
      <c r="AM48" s="263"/>
      <c r="AN48" s="263"/>
    </row>
    <row r="49" spans="1:59" s="254" customFormat="1">
      <c r="P49" s="259"/>
      <c r="AJ49" s="17"/>
      <c r="AK49" s="13"/>
      <c r="AL49" s="13" t="s">
        <v>872</v>
      </c>
      <c r="AM49" s="263"/>
      <c r="AN49" s="263"/>
    </row>
    <row r="50" spans="1:59" s="254" customFormat="1">
      <c r="A50" s="17"/>
      <c r="B50" s="17"/>
      <c r="C50" s="17"/>
      <c r="D50" s="257"/>
      <c r="E50" s="257"/>
      <c r="F50" s="269"/>
      <c r="G50" s="17"/>
      <c r="H50" s="17"/>
      <c r="I50" s="17"/>
      <c r="J50" s="257"/>
      <c r="K50" s="17"/>
      <c r="L50" s="17"/>
      <c r="M50" s="257"/>
      <c r="N50" s="257"/>
      <c r="O50" s="257"/>
      <c r="P50" s="257"/>
      <c r="Q50" s="257"/>
      <c r="R50" s="257"/>
      <c r="S50" s="257"/>
      <c r="T50" s="17"/>
      <c r="U50" s="17"/>
      <c r="V50" s="17"/>
      <c r="W50" s="17"/>
      <c r="X50" s="17"/>
      <c r="Y50" s="17"/>
      <c r="Z50" s="17"/>
      <c r="AA50" s="17"/>
      <c r="AB50" s="17"/>
      <c r="AC50" s="17"/>
      <c r="AD50" s="17"/>
      <c r="AE50" s="17"/>
      <c r="AF50" s="17"/>
      <c r="AG50" s="17"/>
      <c r="AH50" s="17"/>
      <c r="AI50" s="17"/>
      <c r="AJ50" s="17"/>
      <c r="AK50" s="13"/>
      <c r="AL50" s="13" t="s">
        <v>873</v>
      </c>
      <c r="AM50" s="268"/>
      <c r="AN50" s="17"/>
    </row>
    <row r="51" spans="1:59" s="254" customFormat="1">
      <c r="A51" s="17"/>
      <c r="B51" s="17"/>
      <c r="C51" s="17"/>
      <c r="D51" s="257"/>
      <c r="E51" s="257"/>
      <c r="F51" s="269"/>
      <c r="G51" s="17"/>
      <c r="H51" s="17"/>
      <c r="I51" s="17"/>
      <c r="J51" s="257"/>
      <c r="K51" s="17"/>
      <c r="L51" s="17"/>
      <c r="M51" s="257"/>
      <c r="N51" s="257"/>
      <c r="O51" s="257"/>
      <c r="P51" s="257"/>
      <c r="Q51" s="257"/>
      <c r="R51" s="257"/>
      <c r="S51" s="257"/>
      <c r="T51" s="17"/>
      <c r="U51" s="17"/>
      <c r="V51" s="17"/>
      <c r="W51" s="17"/>
      <c r="X51" s="17"/>
      <c r="Y51" s="17"/>
      <c r="Z51" s="17"/>
      <c r="AA51" s="17"/>
      <c r="AB51" s="17"/>
      <c r="AC51" s="17"/>
      <c r="AD51" s="17"/>
      <c r="AE51" s="17"/>
      <c r="AF51" s="17"/>
      <c r="AG51" s="17"/>
      <c r="AH51" s="17"/>
      <c r="AI51" s="17"/>
      <c r="AJ51" s="17"/>
      <c r="AK51" s="13"/>
      <c r="AL51" s="13" t="s">
        <v>874</v>
      </c>
      <c r="AM51" s="263"/>
      <c r="AN51" s="17"/>
      <c r="AO51" s="17"/>
      <c r="AP51" s="17"/>
      <c r="AQ51" s="17"/>
      <c r="AR51" s="17"/>
      <c r="AS51" s="17"/>
      <c r="AT51" s="17"/>
      <c r="AU51" s="17"/>
      <c r="AV51" s="17"/>
      <c r="AW51" s="17"/>
      <c r="AX51" s="17"/>
      <c r="AY51" s="17"/>
      <c r="AZ51" s="17"/>
      <c r="BA51" s="17"/>
      <c r="BB51" s="17"/>
      <c r="BC51" s="17"/>
      <c r="BD51" s="17"/>
      <c r="BE51" s="17"/>
      <c r="BF51" s="17"/>
      <c r="BG51" s="17"/>
    </row>
    <row r="52" spans="1:59" s="254" customFormat="1">
      <c r="A52" s="17"/>
      <c r="B52" s="17"/>
      <c r="C52" s="17"/>
      <c r="D52" s="257"/>
      <c r="E52" s="257"/>
      <c r="F52" s="269"/>
      <c r="G52" s="17"/>
      <c r="H52" s="17"/>
      <c r="I52" s="17"/>
      <c r="J52" s="257"/>
      <c r="K52" s="17"/>
      <c r="L52" s="17"/>
      <c r="M52" s="257"/>
      <c r="N52" s="257"/>
      <c r="O52" s="257"/>
      <c r="P52" s="257"/>
      <c r="Q52" s="257"/>
      <c r="R52" s="257"/>
      <c r="S52" s="257"/>
      <c r="T52" s="17"/>
      <c r="U52" s="17"/>
      <c r="V52" s="17"/>
      <c r="W52" s="17"/>
      <c r="X52" s="17"/>
      <c r="Y52" s="17"/>
      <c r="Z52" s="17"/>
      <c r="AA52" s="17"/>
      <c r="AB52" s="17"/>
      <c r="AC52" s="17"/>
      <c r="AD52" s="17"/>
      <c r="AE52" s="17"/>
      <c r="AF52" s="17"/>
      <c r="AG52" s="17"/>
      <c r="AH52" s="17"/>
      <c r="AI52" s="17"/>
      <c r="AJ52" s="17"/>
      <c r="AK52" s="13"/>
      <c r="AL52" s="13" t="s">
        <v>875</v>
      </c>
      <c r="AM52" s="263"/>
      <c r="AN52" s="17"/>
      <c r="AO52" s="17"/>
      <c r="AP52" s="17"/>
      <c r="AQ52" s="17"/>
      <c r="AR52" s="17"/>
      <c r="AS52" s="17"/>
      <c r="AT52" s="17"/>
      <c r="AU52" s="17"/>
      <c r="AV52" s="17"/>
      <c r="AW52" s="17"/>
      <c r="AX52" s="17"/>
      <c r="AY52" s="17"/>
      <c r="AZ52" s="17"/>
      <c r="BA52" s="17"/>
      <c r="BB52" s="17"/>
      <c r="BC52" s="17"/>
      <c r="BD52" s="17"/>
      <c r="BE52" s="17"/>
      <c r="BF52" s="17"/>
      <c r="BG52" s="17"/>
    </row>
    <row r="53" spans="1:59" s="254" customFormat="1">
      <c r="A53" s="17"/>
      <c r="B53" s="17"/>
      <c r="C53" s="17"/>
      <c r="D53" s="257"/>
      <c r="E53" s="257"/>
      <c r="F53" s="269"/>
      <c r="G53" s="17"/>
      <c r="H53" s="17"/>
      <c r="I53" s="17"/>
      <c r="J53" s="257"/>
      <c r="K53" s="17"/>
      <c r="L53" s="17"/>
      <c r="M53" s="257"/>
      <c r="N53" s="257"/>
      <c r="O53" s="257"/>
      <c r="P53" s="257"/>
      <c r="Q53" s="257"/>
      <c r="R53" s="257"/>
      <c r="S53" s="257"/>
      <c r="T53" s="17"/>
      <c r="U53" s="17"/>
      <c r="V53" s="17"/>
      <c r="W53" s="17"/>
      <c r="X53" s="17"/>
      <c r="Y53" s="17"/>
      <c r="Z53" s="17"/>
      <c r="AA53" s="17"/>
      <c r="AB53" s="17"/>
      <c r="AC53" s="17"/>
      <c r="AD53" s="17"/>
      <c r="AE53" s="17"/>
      <c r="AF53" s="17"/>
      <c r="AG53" s="17"/>
      <c r="AH53" s="17"/>
      <c r="AI53" s="17"/>
      <c r="AJ53" s="17"/>
      <c r="AK53" s="13"/>
      <c r="AL53" s="13"/>
      <c r="AM53" s="263"/>
      <c r="AN53" s="17"/>
      <c r="AO53" s="17"/>
      <c r="AP53" s="17"/>
      <c r="AQ53" s="17"/>
      <c r="AR53" s="17"/>
      <c r="AS53" s="17"/>
      <c r="AT53" s="17"/>
      <c r="AU53" s="17"/>
      <c r="AV53" s="17"/>
      <c r="AW53" s="17"/>
      <c r="AX53" s="17"/>
      <c r="AY53" s="17"/>
      <c r="AZ53" s="17"/>
      <c r="BA53" s="17"/>
      <c r="BB53" s="17"/>
      <c r="BC53" s="17"/>
      <c r="BD53" s="17"/>
      <c r="BE53" s="17"/>
      <c r="BF53" s="17"/>
      <c r="BG53" s="17"/>
    </row>
    <row r="54" spans="1:59" s="254" customFormat="1">
      <c r="A54" s="17"/>
      <c r="B54" s="17"/>
      <c r="C54" s="17"/>
      <c r="D54" s="257"/>
      <c r="E54" s="257"/>
      <c r="F54" s="269"/>
      <c r="G54" s="17"/>
      <c r="H54" s="17"/>
      <c r="I54" s="17"/>
      <c r="J54" s="257"/>
      <c r="K54" s="17"/>
      <c r="L54" s="17"/>
      <c r="M54" s="257"/>
      <c r="N54" s="257"/>
      <c r="O54" s="257"/>
      <c r="P54" s="257"/>
      <c r="Q54" s="257"/>
      <c r="R54" s="257"/>
      <c r="S54" s="257"/>
      <c r="T54" s="17"/>
      <c r="U54" s="17"/>
      <c r="V54" s="17"/>
      <c r="W54" s="17"/>
      <c r="X54" s="17"/>
      <c r="Y54" s="17"/>
      <c r="Z54" s="17"/>
      <c r="AA54" s="17"/>
      <c r="AB54" s="17"/>
      <c r="AC54" s="17"/>
      <c r="AD54" s="17"/>
      <c r="AE54" s="17"/>
      <c r="AF54" s="17"/>
      <c r="AG54" s="17"/>
      <c r="AH54" s="17"/>
      <c r="AI54" s="17"/>
      <c r="AJ54" s="17"/>
      <c r="AK54" s="13"/>
      <c r="AL54" s="13"/>
      <c r="AM54" s="263"/>
      <c r="AN54" s="17"/>
      <c r="AO54" s="17"/>
      <c r="AP54" s="17"/>
      <c r="AQ54" s="17"/>
      <c r="AR54" s="17"/>
      <c r="AS54" s="17"/>
      <c r="AT54" s="17"/>
      <c r="AU54" s="17"/>
      <c r="AV54" s="17"/>
      <c r="AW54" s="17"/>
      <c r="AX54" s="17"/>
      <c r="AY54" s="17"/>
      <c r="AZ54" s="17"/>
      <c r="BA54" s="17"/>
      <c r="BB54" s="17"/>
      <c r="BC54" s="17"/>
      <c r="BD54" s="17"/>
      <c r="BE54" s="17"/>
      <c r="BF54" s="17"/>
      <c r="BG54" s="17"/>
    </row>
    <row r="55" spans="1:59" s="254" customFormat="1">
      <c r="A55" s="17"/>
      <c r="B55" s="17"/>
      <c r="C55" s="17"/>
      <c r="D55" s="257"/>
      <c r="E55" s="257"/>
      <c r="F55" s="269"/>
      <c r="G55" s="17"/>
      <c r="H55" s="17"/>
      <c r="I55" s="17"/>
      <c r="J55" s="257"/>
      <c r="K55" s="17"/>
      <c r="L55" s="17"/>
      <c r="M55" s="257"/>
      <c r="N55" s="257"/>
      <c r="O55" s="257"/>
      <c r="P55" s="257"/>
      <c r="Q55" s="257"/>
      <c r="R55" s="257"/>
      <c r="S55" s="257"/>
      <c r="T55" s="17"/>
      <c r="U55" s="17"/>
      <c r="V55" s="17"/>
      <c r="W55" s="17"/>
      <c r="X55" s="17"/>
      <c r="Y55" s="17"/>
      <c r="Z55" s="17"/>
      <c r="AA55" s="17"/>
      <c r="AB55" s="17"/>
      <c r="AC55" s="17"/>
      <c r="AD55" s="17"/>
      <c r="AE55" s="17"/>
      <c r="AF55" s="17"/>
      <c r="AG55" s="17"/>
      <c r="AH55" s="17"/>
      <c r="AI55" s="17"/>
      <c r="AJ55" s="17"/>
      <c r="AK55" s="13" t="s">
        <v>876</v>
      </c>
      <c r="AL55" s="13"/>
      <c r="AM55" s="17"/>
      <c r="AN55" s="17"/>
      <c r="AO55" s="17"/>
      <c r="AP55" s="17"/>
      <c r="AQ55" s="17"/>
      <c r="AR55" s="17"/>
      <c r="AS55" s="17"/>
      <c r="AT55" s="17"/>
      <c r="AU55" s="17"/>
      <c r="AV55" s="17"/>
      <c r="AW55" s="17"/>
      <c r="AX55" s="17"/>
      <c r="AY55" s="17"/>
      <c r="AZ55" s="17"/>
      <c r="BA55" s="17"/>
      <c r="BB55" s="17"/>
      <c r="BC55" s="17"/>
      <c r="BD55" s="17"/>
      <c r="BE55" s="17"/>
      <c r="BF55" s="17"/>
      <c r="BG55" s="17"/>
    </row>
    <row r="56" spans="1:59">
      <c r="A56" s="17"/>
      <c r="B56" s="17"/>
      <c r="D56" s="257"/>
      <c r="E56" s="257"/>
      <c r="F56" s="269"/>
      <c r="H56" s="17"/>
      <c r="J56" s="257"/>
      <c r="K56" s="17"/>
      <c r="M56" s="257"/>
      <c r="N56" s="257"/>
      <c r="O56" s="257"/>
      <c r="P56" s="257"/>
      <c r="Q56" s="257"/>
      <c r="R56" s="257"/>
      <c r="S56" s="257"/>
      <c r="T56" s="17"/>
      <c r="U56" s="17"/>
      <c r="Y56" s="17"/>
      <c r="AE56" s="17"/>
      <c r="AG56" s="17"/>
      <c r="AH56" s="17"/>
      <c r="AL56" s="13"/>
    </row>
    <row r="57" spans="1:59">
      <c r="A57" s="17"/>
      <c r="B57" s="17"/>
      <c r="D57" s="257"/>
      <c r="E57" s="257"/>
      <c r="F57" s="269"/>
      <c r="H57" s="17"/>
      <c r="J57" s="257"/>
      <c r="K57" s="17"/>
      <c r="M57" s="257"/>
      <c r="N57" s="257"/>
      <c r="O57" s="257"/>
      <c r="P57" s="257"/>
      <c r="Q57" s="257"/>
      <c r="R57" s="257"/>
      <c r="S57" s="257"/>
      <c r="T57" s="17"/>
      <c r="U57" s="17"/>
      <c r="Y57" s="17"/>
      <c r="AE57" s="17"/>
      <c r="AG57" s="17"/>
      <c r="AH57" s="17"/>
      <c r="AL57" s="13"/>
    </row>
    <row r="58" spans="1:59">
      <c r="A58" s="17"/>
      <c r="B58" s="17"/>
      <c r="D58" s="257"/>
      <c r="E58" s="257"/>
      <c r="F58" s="269"/>
      <c r="H58" s="17"/>
      <c r="J58" s="257"/>
      <c r="K58" s="17"/>
      <c r="M58" s="257"/>
      <c r="N58" s="257"/>
      <c r="O58" s="257"/>
      <c r="P58" s="257"/>
      <c r="Q58" s="257"/>
      <c r="R58" s="257"/>
      <c r="S58" s="257"/>
      <c r="T58" s="17"/>
      <c r="U58" s="17"/>
      <c r="Y58" s="17"/>
      <c r="AE58" s="17"/>
      <c r="AG58" s="17"/>
      <c r="AH58" s="17"/>
      <c r="AL58" s="13"/>
    </row>
    <row r="59" spans="1:59">
      <c r="A59" s="17"/>
      <c r="B59" s="17"/>
      <c r="D59" s="257"/>
      <c r="E59" s="257"/>
      <c r="F59" s="269"/>
      <c r="H59" s="17"/>
      <c r="J59" s="257"/>
      <c r="K59" s="17"/>
      <c r="M59" s="257"/>
      <c r="N59" s="257"/>
      <c r="O59" s="257"/>
      <c r="P59" s="257"/>
      <c r="Q59" s="257"/>
      <c r="R59" s="257"/>
      <c r="S59" s="257"/>
      <c r="T59" s="17"/>
      <c r="U59" s="17"/>
      <c r="Y59" s="17"/>
      <c r="AE59" s="17"/>
      <c r="AG59" s="17"/>
      <c r="AH59" s="17"/>
      <c r="AL59" s="13"/>
    </row>
    <row r="60" spans="1:59">
      <c r="A60" s="17"/>
      <c r="B60" s="17"/>
      <c r="D60" s="257"/>
      <c r="E60" s="257"/>
      <c r="F60" s="269"/>
      <c r="H60" s="17"/>
      <c r="J60" s="257"/>
      <c r="K60" s="17"/>
      <c r="M60" s="257"/>
      <c r="N60" s="257"/>
      <c r="O60" s="257"/>
      <c r="P60" s="257"/>
      <c r="Q60" s="257"/>
      <c r="R60" s="257"/>
      <c r="S60" s="257"/>
      <c r="T60" s="17"/>
      <c r="U60" s="17"/>
      <c r="Y60" s="17"/>
      <c r="AE60" s="17"/>
      <c r="AG60" s="17"/>
      <c r="AH60" s="17"/>
      <c r="AL60" s="13"/>
    </row>
    <row r="61" spans="1:59">
      <c r="A61" s="17"/>
      <c r="B61" s="17"/>
      <c r="D61" s="257"/>
      <c r="E61" s="257"/>
      <c r="F61" s="269"/>
      <c r="H61" s="17"/>
      <c r="J61" s="257"/>
      <c r="K61" s="17"/>
      <c r="M61" s="257"/>
      <c r="N61" s="257"/>
      <c r="O61" s="257"/>
      <c r="P61" s="257"/>
      <c r="Q61" s="257"/>
      <c r="R61" s="257"/>
      <c r="S61" s="257"/>
      <c r="T61" s="17"/>
      <c r="U61" s="17"/>
      <c r="Y61" s="17"/>
      <c r="AE61" s="17"/>
      <c r="AG61" s="17"/>
      <c r="AH61" s="17"/>
      <c r="AL61" s="13"/>
    </row>
    <row r="62" spans="1:59">
      <c r="A62" s="17"/>
      <c r="B62" s="17"/>
      <c r="D62" s="257"/>
      <c r="E62" s="257"/>
      <c r="F62" s="269"/>
      <c r="H62" s="17"/>
      <c r="J62" s="257"/>
      <c r="K62" s="17"/>
      <c r="M62" s="257"/>
      <c r="N62" s="257"/>
      <c r="O62" s="257"/>
      <c r="P62" s="257"/>
      <c r="Q62" s="257"/>
      <c r="R62" s="257"/>
      <c r="S62" s="257"/>
      <c r="T62" s="17"/>
      <c r="U62" s="17"/>
      <c r="Y62" s="17"/>
      <c r="AE62" s="17"/>
      <c r="AG62" s="17"/>
      <c r="AH62" s="17"/>
      <c r="AL62" s="13"/>
    </row>
    <row r="63" spans="1:59">
      <c r="A63" s="17"/>
      <c r="B63" s="17"/>
      <c r="D63" s="257"/>
      <c r="E63" s="257"/>
      <c r="F63" s="269"/>
      <c r="H63" s="17"/>
      <c r="J63" s="257"/>
      <c r="K63" s="17"/>
      <c r="M63" s="257"/>
      <c r="N63" s="257"/>
      <c r="O63" s="257"/>
      <c r="P63" s="257"/>
      <c r="Q63" s="257"/>
      <c r="R63" s="257"/>
      <c r="S63" s="257"/>
      <c r="T63" s="17"/>
      <c r="U63" s="17"/>
      <c r="Y63" s="17"/>
      <c r="AE63" s="17"/>
      <c r="AG63" s="17"/>
      <c r="AH63" s="17"/>
      <c r="AL63" s="13"/>
    </row>
    <row r="64" spans="1:59">
      <c r="A64" s="17"/>
      <c r="B64" s="17"/>
      <c r="D64" s="257"/>
      <c r="E64" s="257"/>
      <c r="F64" s="269"/>
      <c r="H64" s="17"/>
      <c r="J64" s="257"/>
      <c r="K64" s="17"/>
      <c r="M64" s="257"/>
      <c r="N64" s="257"/>
      <c r="O64" s="257"/>
      <c r="P64" s="257"/>
      <c r="Q64" s="257"/>
      <c r="R64" s="257"/>
      <c r="S64" s="257"/>
      <c r="T64" s="17"/>
      <c r="U64" s="17"/>
      <c r="Y64" s="17"/>
      <c r="AE64" s="17"/>
      <c r="AG64" s="17"/>
      <c r="AH64" s="17"/>
      <c r="AL64" s="13"/>
    </row>
    <row r="65" spans="1:38">
      <c r="A65" s="17"/>
      <c r="B65" s="17"/>
      <c r="D65" s="257"/>
      <c r="E65" s="257"/>
      <c r="F65" s="269"/>
      <c r="H65" s="17"/>
      <c r="J65" s="257"/>
      <c r="K65" s="17"/>
      <c r="M65" s="257"/>
      <c r="N65" s="257"/>
      <c r="O65" s="257"/>
      <c r="P65" s="257"/>
      <c r="Q65" s="257"/>
      <c r="R65" s="257"/>
      <c r="S65" s="257"/>
      <c r="T65" s="17"/>
      <c r="U65" s="17"/>
      <c r="Y65" s="17"/>
      <c r="AE65" s="17"/>
      <c r="AG65" s="17"/>
      <c r="AH65" s="17"/>
      <c r="AL65" s="13"/>
    </row>
    <row r="66" spans="1:38">
      <c r="A66" s="17"/>
      <c r="B66" s="17"/>
      <c r="D66" s="257"/>
      <c r="E66" s="257"/>
      <c r="F66" s="269"/>
      <c r="H66" s="17"/>
      <c r="J66" s="257"/>
      <c r="K66" s="17"/>
      <c r="M66" s="257"/>
      <c r="N66" s="257"/>
      <c r="O66" s="257"/>
      <c r="P66" s="257"/>
      <c r="Q66" s="257"/>
      <c r="R66" s="257"/>
      <c r="S66" s="257"/>
      <c r="T66" s="17"/>
      <c r="U66" s="17"/>
      <c r="Y66" s="17"/>
      <c r="AE66" s="17"/>
      <c r="AG66" s="17"/>
      <c r="AH66" s="17"/>
      <c r="AL66" s="13"/>
    </row>
    <row r="67" spans="1:38">
      <c r="A67" s="17"/>
      <c r="B67" s="17"/>
      <c r="D67" s="257"/>
      <c r="E67" s="257"/>
      <c r="F67" s="269"/>
      <c r="H67" s="17"/>
      <c r="J67" s="257"/>
      <c r="K67" s="17"/>
      <c r="M67" s="257"/>
      <c r="N67" s="257"/>
      <c r="O67" s="257"/>
      <c r="P67" s="257"/>
      <c r="Q67" s="257"/>
      <c r="R67" s="257"/>
      <c r="S67" s="257"/>
      <c r="T67" s="17"/>
      <c r="U67" s="17"/>
      <c r="Y67" s="17"/>
      <c r="AE67" s="17"/>
      <c r="AG67" s="17"/>
      <c r="AH67" s="17"/>
      <c r="AL67" s="13"/>
    </row>
    <row r="68" spans="1:38">
      <c r="A68" s="17"/>
      <c r="B68" s="17"/>
      <c r="D68" s="257"/>
      <c r="E68" s="257"/>
      <c r="F68" s="269"/>
      <c r="H68" s="17"/>
      <c r="J68" s="257"/>
      <c r="K68" s="17"/>
      <c r="M68" s="257"/>
      <c r="N68" s="257"/>
      <c r="O68" s="257"/>
      <c r="P68" s="257"/>
      <c r="Q68" s="257"/>
      <c r="R68" s="257"/>
      <c r="S68" s="257"/>
      <c r="T68" s="17"/>
      <c r="U68" s="17"/>
      <c r="Y68" s="17"/>
      <c r="AE68" s="17"/>
      <c r="AG68" s="17"/>
      <c r="AH68" s="17"/>
      <c r="AL68" s="13"/>
    </row>
    <row r="69" spans="1:38">
      <c r="A69" s="17"/>
      <c r="B69" s="17"/>
      <c r="D69" s="257"/>
      <c r="E69" s="257"/>
      <c r="F69" s="269"/>
      <c r="H69" s="17"/>
      <c r="J69" s="257"/>
      <c r="K69" s="17"/>
      <c r="M69" s="257"/>
      <c r="N69" s="257"/>
      <c r="O69" s="257"/>
      <c r="P69" s="257"/>
      <c r="Q69" s="257"/>
      <c r="R69" s="257"/>
      <c r="S69" s="257"/>
      <c r="T69" s="17"/>
      <c r="U69" s="17"/>
      <c r="Y69" s="17"/>
      <c r="AE69" s="17"/>
      <c r="AG69" s="17"/>
      <c r="AH69" s="17"/>
      <c r="AL69" s="13"/>
    </row>
    <row r="70" spans="1:38">
      <c r="A70" s="17"/>
      <c r="B70" s="17"/>
      <c r="D70" s="257"/>
      <c r="E70" s="257"/>
      <c r="F70" s="269"/>
      <c r="H70" s="17"/>
      <c r="J70" s="257"/>
      <c r="K70" s="17"/>
      <c r="M70" s="257"/>
      <c r="N70" s="257"/>
      <c r="O70" s="257"/>
      <c r="P70" s="257"/>
      <c r="Q70" s="257"/>
      <c r="R70" s="257"/>
      <c r="S70" s="257"/>
      <c r="T70" s="17"/>
      <c r="U70" s="17"/>
      <c r="Y70" s="17"/>
      <c r="AE70" s="17"/>
      <c r="AG70" s="17"/>
      <c r="AH70" s="17"/>
      <c r="AL70" s="13"/>
    </row>
    <row r="71" spans="1:38">
      <c r="A71" s="17"/>
      <c r="B71" s="17"/>
      <c r="D71" s="257"/>
      <c r="E71" s="257"/>
      <c r="F71" s="269"/>
      <c r="H71" s="17"/>
      <c r="J71" s="257"/>
      <c r="K71" s="17"/>
      <c r="M71" s="257"/>
      <c r="N71" s="257"/>
      <c r="O71" s="257"/>
      <c r="P71" s="257"/>
      <c r="Q71" s="257"/>
      <c r="R71" s="257"/>
      <c r="S71" s="257"/>
      <c r="T71" s="17"/>
      <c r="U71" s="17"/>
      <c r="Y71" s="17"/>
      <c r="AE71" s="17"/>
      <c r="AG71" s="17"/>
      <c r="AH71" s="17"/>
      <c r="AL71" s="13"/>
    </row>
    <row r="72" spans="1:38">
      <c r="A72" s="17"/>
      <c r="B72" s="17"/>
      <c r="D72" s="257"/>
      <c r="E72" s="257"/>
      <c r="F72" s="269"/>
      <c r="H72" s="17"/>
      <c r="J72" s="257"/>
      <c r="K72" s="17"/>
      <c r="M72" s="257"/>
      <c r="N72" s="257"/>
      <c r="O72" s="257"/>
      <c r="P72" s="257"/>
      <c r="Q72" s="257"/>
      <c r="R72" s="257"/>
      <c r="S72" s="257"/>
      <c r="T72" s="17"/>
      <c r="U72" s="17"/>
      <c r="Y72" s="17"/>
      <c r="AE72" s="17"/>
      <c r="AG72" s="17"/>
      <c r="AH72" s="17"/>
      <c r="AL72" s="13"/>
    </row>
    <row r="73" spans="1:38" ht="15.75" customHeight="1">
      <c r="A73" s="17"/>
      <c r="B73" s="17"/>
      <c r="D73" s="257"/>
      <c r="E73" s="257"/>
      <c r="F73" s="269"/>
      <c r="H73" s="17"/>
      <c r="J73" s="257"/>
      <c r="K73" s="17"/>
      <c r="M73" s="257"/>
      <c r="N73" s="257"/>
      <c r="O73" s="257"/>
      <c r="P73" s="257"/>
      <c r="Q73" s="257"/>
      <c r="R73" s="257"/>
      <c r="S73" s="257"/>
      <c r="T73" s="17"/>
      <c r="U73" s="17"/>
      <c r="Y73" s="17"/>
      <c r="AE73" s="17"/>
      <c r="AG73" s="17"/>
      <c r="AH73" s="17"/>
      <c r="AL73" s="13"/>
    </row>
    <row r="74" spans="1:38">
      <c r="A74" s="17"/>
      <c r="B74" s="17"/>
      <c r="D74" s="257"/>
      <c r="E74" s="257"/>
      <c r="F74" s="269"/>
      <c r="H74" s="17"/>
      <c r="J74" s="257"/>
      <c r="K74" s="17"/>
      <c r="M74" s="257"/>
      <c r="N74" s="257"/>
      <c r="O74" s="257"/>
      <c r="P74" s="257"/>
      <c r="Q74" s="257"/>
      <c r="R74" s="257"/>
      <c r="S74" s="257"/>
      <c r="T74" s="17"/>
      <c r="U74" s="17"/>
      <c r="Y74" s="17"/>
      <c r="AE74" s="17"/>
      <c r="AG74" s="17"/>
      <c r="AH74" s="17"/>
      <c r="AL74" s="13"/>
    </row>
    <row r="75" spans="1:38">
      <c r="A75" s="17"/>
      <c r="B75" s="17"/>
      <c r="D75" s="257"/>
      <c r="E75" s="257"/>
      <c r="F75" s="269"/>
      <c r="H75" s="17"/>
      <c r="J75" s="257"/>
      <c r="K75" s="17"/>
      <c r="M75" s="257"/>
      <c r="N75" s="257"/>
      <c r="O75" s="257"/>
      <c r="P75" s="257"/>
      <c r="Q75" s="257"/>
      <c r="R75" s="257"/>
      <c r="S75" s="257"/>
      <c r="T75" s="17"/>
      <c r="U75" s="17"/>
      <c r="Y75" s="17"/>
      <c r="AE75" s="17"/>
      <c r="AG75" s="17"/>
      <c r="AH75" s="17"/>
      <c r="AL75" s="13"/>
    </row>
    <row r="76" spans="1:38">
      <c r="A76" s="17"/>
      <c r="B76" s="17"/>
      <c r="D76" s="257"/>
      <c r="E76" s="257"/>
      <c r="F76" s="269"/>
      <c r="H76" s="17"/>
      <c r="J76" s="257"/>
      <c r="K76" s="17"/>
      <c r="M76" s="257"/>
      <c r="N76" s="257"/>
      <c r="O76" s="257"/>
      <c r="P76" s="257"/>
      <c r="Q76" s="257"/>
      <c r="R76" s="257"/>
      <c r="S76" s="257"/>
      <c r="T76" s="17"/>
      <c r="U76" s="17"/>
      <c r="Y76" s="17"/>
      <c r="AE76" s="17"/>
      <c r="AG76" s="17"/>
      <c r="AH76" s="17"/>
      <c r="AL76" s="13"/>
    </row>
    <row r="77" spans="1:38">
      <c r="A77" s="17"/>
      <c r="B77" s="17"/>
      <c r="D77" s="257"/>
      <c r="E77" s="257"/>
      <c r="F77" s="269"/>
      <c r="H77" s="17"/>
      <c r="J77" s="257"/>
      <c r="K77" s="17"/>
      <c r="M77" s="257"/>
      <c r="N77" s="257"/>
      <c r="O77" s="257"/>
      <c r="P77" s="257"/>
      <c r="Q77" s="257"/>
      <c r="R77" s="257"/>
      <c r="S77" s="257"/>
      <c r="T77" s="17"/>
      <c r="U77" s="17"/>
      <c r="Y77" s="17"/>
      <c r="AE77" s="17"/>
      <c r="AG77" s="17"/>
      <c r="AH77" s="17"/>
      <c r="AL77" s="13"/>
    </row>
    <row r="78" spans="1:38">
      <c r="A78" s="17"/>
      <c r="B78" s="17"/>
      <c r="D78" s="257"/>
      <c r="E78" s="257"/>
      <c r="F78" s="269"/>
      <c r="H78" s="17"/>
      <c r="J78" s="257"/>
      <c r="K78" s="17"/>
      <c r="M78" s="257"/>
      <c r="N78" s="257"/>
      <c r="O78" s="257"/>
      <c r="P78" s="257"/>
      <c r="Q78" s="257"/>
      <c r="R78" s="257"/>
      <c r="S78" s="257"/>
      <c r="T78" s="17"/>
      <c r="U78" s="17"/>
      <c r="Y78" s="17"/>
      <c r="AE78" s="17"/>
      <c r="AG78" s="17"/>
      <c r="AH78" s="17"/>
      <c r="AL78" s="13"/>
    </row>
    <row r="79" spans="1:38">
      <c r="A79" s="17"/>
      <c r="B79" s="17"/>
      <c r="D79" s="257"/>
      <c r="E79" s="257"/>
      <c r="F79" s="269"/>
      <c r="H79" s="17"/>
      <c r="J79" s="257"/>
      <c r="K79" s="17"/>
      <c r="M79" s="257"/>
      <c r="N79" s="257"/>
      <c r="O79" s="257"/>
      <c r="P79" s="257"/>
      <c r="Q79" s="257"/>
      <c r="R79" s="257"/>
      <c r="S79" s="257"/>
      <c r="T79" s="17"/>
      <c r="U79" s="17"/>
      <c r="Y79" s="17"/>
      <c r="AE79" s="17"/>
      <c r="AG79" s="17"/>
      <c r="AH79" s="17"/>
      <c r="AL79" s="13"/>
    </row>
    <row r="80" spans="1:38">
      <c r="A80" s="17"/>
      <c r="B80" s="17"/>
      <c r="D80" s="257"/>
      <c r="E80" s="257"/>
      <c r="F80" s="269"/>
      <c r="H80" s="17"/>
      <c r="J80" s="257"/>
      <c r="K80" s="17"/>
      <c r="M80" s="257"/>
      <c r="N80" s="257"/>
      <c r="O80" s="257"/>
      <c r="P80" s="257"/>
      <c r="Q80" s="257"/>
      <c r="R80" s="257"/>
      <c r="S80" s="257"/>
      <c r="T80" s="17"/>
      <c r="U80" s="17"/>
      <c r="Y80" s="17"/>
      <c r="AE80" s="17"/>
      <c r="AG80" s="17"/>
      <c r="AH80" s="17"/>
      <c r="AL80" s="13"/>
    </row>
    <row r="81" spans="1:38" ht="15.75" customHeight="1">
      <c r="A81" s="17"/>
      <c r="B81" s="17"/>
      <c r="D81" s="257"/>
      <c r="E81" s="257"/>
      <c r="F81" s="269"/>
      <c r="H81" s="17"/>
      <c r="J81" s="257"/>
      <c r="K81" s="17"/>
      <c r="M81" s="257"/>
      <c r="N81" s="257"/>
      <c r="O81" s="257"/>
      <c r="P81" s="257"/>
      <c r="Q81" s="257"/>
      <c r="R81" s="257"/>
      <c r="S81" s="257"/>
      <c r="T81" s="17"/>
      <c r="U81" s="17"/>
      <c r="Y81" s="17"/>
      <c r="AE81" s="17"/>
      <c r="AG81" s="17"/>
      <c r="AH81" s="17"/>
      <c r="AL81" s="13"/>
    </row>
    <row r="82" spans="1:38">
      <c r="A82" s="17"/>
      <c r="B82" s="17"/>
      <c r="D82" s="257"/>
      <c r="E82" s="257"/>
      <c r="F82" s="269"/>
      <c r="H82" s="17"/>
      <c r="J82" s="257"/>
      <c r="K82" s="17"/>
      <c r="M82" s="257"/>
      <c r="N82" s="257"/>
      <c r="O82" s="257"/>
      <c r="P82" s="257"/>
      <c r="Q82" s="257"/>
      <c r="R82" s="257"/>
      <c r="S82" s="257"/>
      <c r="T82" s="17"/>
      <c r="U82" s="17"/>
      <c r="Y82" s="17"/>
      <c r="AE82" s="17"/>
      <c r="AG82" s="17"/>
      <c r="AH82" s="17"/>
      <c r="AL82" s="13"/>
    </row>
    <row r="83" spans="1:38">
      <c r="A83" s="17"/>
      <c r="B83" s="17"/>
      <c r="D83" s="257"/>
      <c r="E83" s="257"/>
      <c r="F83" s="269"/>
      <c r="H83" s="17"/>
      <c r="J83" s="257"/>
      <c r="K83" s="17"/>
      <c r="M83" s="257"/>
      <c r="N83" s="257"/>
      <c r="O83" s="257"/>
      <c r="P83" s="257"/>
      <c r="Q83" s="257"/>
      <c r="R83" s="257"/>
      <c r="S83" s="257"/>
      <c r="T83" s="17"/>
      <c r="U83" s="17"/>
      <c r="Y83" s="17"/>
      <c r="AE83" s="17"/>
      <c r="AG83" s="17"/>
      <c r="AH83" s="17"/>
      <c r="AL83" s="13"/>
    </row>
    <row r="84" spans="1:38">
      <c r="A84" s="17"/>
      <c r="B84" s="17"/>
      <c r="D84" s="257"/>
      <c r="E84" s="257"/>
      <c r="F84" s="269"/>
      <c r="H84" s="17"/>
      <c r="J84" s="257"/>
      <c r="K84" s="17"/>
      <c r="M84" s="257"/>
      <c r="N84" s="257"/>
      <c r="O84" s="257"/>
      <c r="P84" s="257"/>
      <c r="Q84" s="257"/>
      <c r="R84" s="257"/>
      <c r="S84" s="257"/>
      <c r="T84" s="17"/>
      <c r="U84" s="17"/>
      <c r="Y84" s="17"/>
      <c r="AE84" s="17"/>
      <c r="AG84" s="17"/>
      <c r="AH84" s="17"/>
      <c r="AL84" s="13"/>
    </row>
    <row r="85" spans="1:38">
      <c r="A85" s="17"/>
      <c r="B85" s="17"/>
      <c r="D85" s="257"/>
      <c r="E85" s="257"/>
      <c r="F85" s="269"/>
      <c r="H85" s="17"/>
      <c r="J85" s="257"/>
      <c r="K85" s="17"/>
      <c r="M85" s="257"/>
      <c r="N85" s="257"/>
      <c r="O85" s="257"/>
      <c r="P85" s="257"/>
      <c r="Q85" s="257"/>
      <c r="R85" s="257"/>
      <c r="S85" s="257"/>
      <c r="T85" s="17"/>
      <c r="U85" s="17"/>
      <c r="Y85" s="17"/>
      <c r="AE85" s="17"/>
      <c r="AG85" s="17"/>
      <c r="AH85" s="17"/>
      <c r="AL85" s="13"/>
    </row>
    <row r="86" spans="1:38">
      <c r="A86" s="17"/>
      <c r="B86" s="17"/>
      <c r="D86" s="257"/>
      <c r="E86" s="257"/>
      <c r="F86" s="269"/>
      <c r="H86" s="17"/>
      <c r="J86" s="257"/>
      <c r="K86" s="17"/>
      <c r="M86" s="257"/>
      <c r="N86" s="257"/>
      <c r="O86" s="257"/>
      <c r="P86" s="257"/>
      <c r="Q86" s="257"/>
      <c r="R86" s="257"/>
      <c r="S86" s="257"/>
      <c r="T86" s="17"/>
      <c r="U86" s="17"/>
      <c r="Y86" s="17"/>
      <c r="AE86" s="17"/>
      <c r="AG86" s="17"/>
      <c r="AH86" s="17"/>
      <c r="AL86" s="13"/>
    </row>
    <row r="87" spans="1:38">
      <c r="A87" s="17"/>
      <c r="B87" s="17"/>
      <c r="D87" s="257"/>
      <c r="E87" s="257"/>
      <c r="F87" s="269"/>
      <c r="H87" s="17"/>
      <c r="J87" s="257"/>
      <c r="K87" s="17"/>
      <c r="M87" s="257"/>
      <c r="N87" s="257"/>
      <c r="O87" s="257"/>
      <c r="P87" s="257"/>
      <c r="Q87" s="257"/>
      <c r="R87" s="257"/>
      <c r="S87" s="257"/>
      <c r="T87" s="17"/>
      <c r="U87" s="17"/>
      <c r="Y87" s="17"/>
      <c r="AE87" s="17"/>
      <c r="AG87" s="17"/>
      <c r="AH87" s="17"/>
      <c r="AL87" s="13"/>
    </row>
    <row r="88" spans="1:38">
      <c r="A88" s="17"/>
      <c r="B88" s="17"/>
      <c r="D88" s="257"/>
      <c r="E88" s="257"/>
      <c r="F88" s="269"/>
      <c r="H88" s="17"/>
      <c r="J88" s="257"/>
      <c r="K88" s="17"/>
      <c r="M88" s="257"/>
      <c r="N88" s="257"/>
      <c r="O88" s="257"/>
      <c r="P88" s="257"/>
      <c r="Q88" s="257"/>
      <c r="R88" s="257"/>
      <c r="S88" s="257"/>
      <c r="T88" s="17"/>
      <c r="U88" s="17"/>
      <c r="Y88" s="17"/>
      <c r="AE88" s="17"/>
      <c r="AG88" s="17"/>
      <c r="AH88" s="17"/>
      <c r="AL88" s="13"/>
    </row>
    <row r="89" spans="1:38">
      <c r="A89" s="17"/>
      <c r="B89" s="17"/>
      <c r="D89" s="257"/>
      <c r="E89" s="257"/>
      <c r="F89" s="269"/>
      <c r="H89" s="17"/>
      <c r="J89" s="257"/>
      <c r="K89" s="17"/>
      <c r="M89" s="257"/>
      <c r="N89" s="257"/>
      <c r="O89" s="257"/>
      <c r="P89" s="257"/>
      <c r="Q89" s="257"/>
      <c r="R89" s="257"/>
      <c r="S89" s="257"/>
      <c r="T89" s="17"/>
      <c r="U89" s="17"/>
      <c r="Y89" s="17"/>
      <c r="AE89" s="17"/>
      <c r="AG89" s="17"/>
      <c r="AH89" s="17"/>
      <c r="AL89" s="13"/>
    </row>
    <row r="90" spans="1:38">
      <c r="A90" s="17"/>
      <c r="B90" s="17"/>
      <c r="D90" s="257"/>
      <c r="E90" s="257"/>
      <c r="F90" s="269"/>
      <c r="H90" s="17"/>
      <c r="J90" s="257"/>
      <c r="K90" s="17"/>
      <c r="M90" s="257"/>
      <c r="N90" s="257"/>
      <c r="O90" s="257"/>
      <c r="P90" s="257"/>
      <c r="Q90" s="257"/>
      <c r="R90" s="257"/>
      <c r="S90" s="257"/>
      <c r="T90" s="17"/>
      <c r="U90" s="17"/>
      <c r="Y90" s="17"/>
      <c r="AE90" s="17"/>
      <c r="AG90" s="17"/>
      <c r="AH90" s="17"/>
      <c r="AL90" s="13"/>
    </row>
    <row r="91" spans="1:38">
      <c r="A91" s="17"/>
      <c r="B91" s="17"/>
      <c r="D91" s="257"/>
      <c r="E91" s="257"/>
      <c r="F91" s="269"/>
      <c r="H91" s="17"/>
      <c r="J91" s="257"/>
      <c r="K91" s="17"/>
      <c r="M91" s="257"/>
      <c r="N91" s="257"/>
      <c r="O91" s="257"/>
      <c r="P91" s="257"/>
      <c r="Q91" s="257"/>
      <c r="R91" s="257"/>
      <c r="S91" s="257"/>
      <c r="T91" s="17"/>
      <c r="U91" s="17"/>
      <c r="Y91" s="17"/>
      <c r="AE91" s="17"/>
      <c r="AG91" s="17"/>
      <c r="AH91" s="17"/>
      <c r="AL91" s="13"/>
    </row>
    <row r="92" spans="1:38">
      <c r="A92" s="17"/>
      <c r="B92" s="17"/>
      <c r="D92" s="257"/>
      <c r="E92" s="257"/>
      <c r="F92" s="269"/>
      <c r="H92" s="17"/>
      <c r="J92" s="257"/>
      <c r="K92" s="17"/>
      <c r="M92" s="257"/>
      <c r="N92" s="257"/>
      <c r="O92" s="257"/>
      <c r="P92" s="257"/>
      <c r="Q92" s="257"/>
      <c r="R92" s="257"/>
      <c r="S92" s="257"/>
      <c r="T92" s="17"/>
      <c r="U92" s="17"/>
      <c r="Y92" s="17"/>
      <c r="AE92" s="17"/>
      <c r="AG92" s="17"/>
      <c r="AH92" s="17"/>
      <c r="AL92" s="13"/>
    </row>
    <row r="93" spans="1:38">
      <c r="A93" s="17"/>
      <c r="B93" s="17"/>
      <c r="D93" s="257"/>
      <c r="E93" s="257"/>
      <c r="F93" s="269"/>
      <c r="H93" s="17"/>
      <c r="J93" s="257"/>
      <c r="K93" s="17"/>
      <c r="M93" s="257"/>
      <c r="N93" s="257"/>
      <c r="O93" s="257"/>
      <c r="P93" s="257"/>
      <c r="Q93" s="257"/>
      <c r="R93" s="257"/>
      <c r="S93" s="257"/>
      <c r="T93" s="17"/>
      <c r="U93" s="17"/>
      <c r="Y93" s="17"/>
      <c r="AE93" s="17"/>
      <c r="AG93" s="17"/>
      <c r="AH93" s="17"/>
      <c r="AL93" s="13"/>
    </row>
    <row r="94" spans="1:38">
      <c r="A94" s="17"/>
      <c r="B94" s="17"/>
      <c r="D94" s="257"/>
      <c r="E94" s="257"/>
      <c r="F94" s="269"/>
      <c r="H94" s="17"/>
      <c r="J94" s="257"/>
      <c r="K94" s="17"/>
      <c r="M94" s="257"/>
      <c r="N94" s="257"/>
      <c r="O94" s="257"/>
      <c r="P94" s="257"/>
      <c r="Q94" s="257"/>
      <c r="R94" s="257"/>
      <c r="S94" s="257"/>
      <c r="T94" s="17"/>
      <c r="U94" s="17"/>
      <c r="Y94" s="17"/>
      <c r="AE94" s="17"/>
      <c r="AG94" s="17"/>
      <c r="AH94" s="17"/>
      <c r="AL94" s="13"/>
    </row>
    <row r="95" spans="1:38">
      <c r="A95" s="17"/>
      <c r="B95" s="17"/>
      <c r="D95" s="257"/>
      <c r="E95" s="257"/>
      <c r="F95" s="269"/>
      <c r="H95" s="17"/>
      <c r="J95" s="257"/>
      <c r="K95" s="17"/>
      <c r="M95" s="257"/>
      <c r="N95" s="257"/>
      <c r="O95" s="257"/>
      <c r="P95" s="257"/>
      <c r="Q95" s="257"/>
      <c r="R95" s="257"/>
      <c r="S95" s="257"/>
      <c r="T95" s="17"/>
      <c r="U95" s="17"/>
      <c r="Y95" s="17"/>
      <c r="AE95" s="17"/>
      <c r="AG95" s="17"/>
      <c r="AH95" s="17"/>
      <c r="AL95" s="13"/>
    </row>
    <row r="96" spans="1:38">
      <c r="A96" s="17"/>
      <c r="B96" s="17"/>
      <c r="D96" s="257"/>
      <c r="E96" s="257"/>
      <c r="F96" s="269"/>
      <c r="H96" s="17"/>
      <c r="J96" s="257"/>
      <c r="K96" s="17"/>
      <c r="M96" s="257"/>
      <c r="N96" s="257"/>
      <c r="O96" s="257"/>
      <c r="P96" s="257"/>
      <c r="Q96" s="257"/>
      <c r="R96" s="257"/>
      <c r="S96" s="257"/>
      <c r="T96" s="17"/>
      <c r="U96" s="17"/>
      <c r="Y96" s="17"/>
      <c r="AE96" s="17"/>
      <c r="AG96" s="17"/>
      <c r="AH96" s="17"/>
      <c r="AL96" s="13"/>
    </row>
    <row r="97" spans="1:38">
      <c r="A97" s="17"/>
      <c r="B97" s="17"/>
      <c r="D97" s="257"/>
      <c r="E97" s="257"/>
      <c r="F97" s="269"/>
      <c r="H97" s="17"/>
      <c r="J97" s="257"/>
      <c r="K97" s="17"/>
      <c r="M97" s="257"/>
      <c r="N97" s="257"/>
      <c r="O97" s="257"/>
      <c r="P97" s="257"/>
      <c r="Q97" s="257"/>
      <c r="R97" s="257"/>
      <c r="S97" s="257"/>
      <c r="T97" s="17"/>
      <c r="U97" s="17"/>
      <c r="Y97" s="17"/>
      <c r="AE97" s="17"/>
      <c r="AG97" s="17"/>
      <c r="AH97" s="17"/>
      <c r="AL97" s="13"/>
    </row>
    <row r="98" spans="1:38">
      <c r="A98" s="17"/>
      <c r="B98" s="17"/>
      <c r="D98" s="257"/>
      <c r="E98" s="257"/>
      <c r="F98" s="269"/>
      <c r="H98" s="17"/>
      <c r="J98" s="257"/>
      <c r="K98" s="17"/>
      <c r="M98" s="257"/>
      <c r="N98" s="257"/>
      <c r="O98" s="257"/>
      <c r="P98" s="257"/>
      <c r="Q98" s="257"/>
      <c r="R98" s="257"/>
      <c r="S98" s="257"/>
      <c r="T98" s="17"/>
      <c r="U98" s="17"/>
      <c r="Y98" s="17"/>
      <c r="AE98" s="17"/>
      <c r="AG98" s="17"/>
      <c r="AH98" s="17"/>
      <c r="AL98" s="13"/>
    </row>
    <row r="99" spans="1:38">
      <c r="A99" s="17"/>
      <c r="B99" s="17"/>
      <c r="D99" s="257"/>
      <c r="E99" s="257"/>
      <c r="F99" s="269"/>
      <c r="H99" s="17"/>
      <c r="J99" s="257"/>
      <c r="K99" s="17"/>
      <c r="M99" s="257"/>
      <c r="N99" s="257"/>
      <c r="O99" s="257"/>
      <c r="P99" s="257"/>
      <c r="Q99" s="257"/>
      <c r="R99" s="257"/>
      <c r="S99" s="257"/>
      <c r="T99" s="17"/>
      <c r="U99" s="17"/>
      <c r="Y99" s="17"/>
      <c r="AE99" s="17"/>
      <c r="AG99" s="17"/>
      <c r="AH99" s="17"/>
      <c r="AL99" s="13"/>
    </row>
    <row r="100" spans="1:38">
      <c r="A100" s="17"/>
      <c r="B100" s="17"/>
      <c r="D100" s="257"/>
      <c r="E100" s="257"/>
      <c r="F100" s="269"/>
      <c r="H100" s="17"/>
      <c r="J100" s="257"/>
      <c r="K100" s="17"/>
      <c r="M100" s="257"/>
      <c r="N100" s="257"/>
      <c r="O100" s="257"/>
      <c r="P100" s="257"/>
      <c r="Q100" s="257"/>
      <c r="R100" s="257"/>
      <c r="S100" s="257"/>
      <c r="T100" s="17"/>
      <c r="U100" s="17"/>
      <c r="Y100" s="17"/>
      <c r="AE100" s="17"/>
      <c r="AG100" s="17"/>
      <c r="AH100" s="17"/>
      <c r="AL100" s="13"/>
    </row>
    <row r="101" spans="1:38">
      <c r="A101" s="17"/>
      <c r="B101" s="17"/>
      <c r="D101" s="257"/>
      <c r="E101" s="257"/>
      <c r="F101" s="269"/>
      <c r="H101" s="17"/>
      <c r="J101" s="257"/>
      <c r="K101" s="17"/>
      <c r="M101" s="257"/>
      <c r="N101" s="257"/>
      <c r="O101" s="257"/>
      <c r="P101" s="257"/>
      <c r="Q101" s="257"/>
      <c r="R101" s="257"/>
      <c r="S101" s="257"/>
      <c r="T101" s="17"/>
      <c r="U101" s="17"/>
      <c r="Y101" s="17"/>
      <c r="AE101" s="17"/>
      <c r="AG101" s="17"/>
      <c r="AH101" s="17"/>
      <c r="AL101" s="13"/>
    </row>
    <row r="102" spans="1:38">
      <c r="A102" s="17"/>
      <c r="B102" s="17"/>
      <c r="D102" s="257"/>
      <c r="E102" s="257"/>
      <c r="F102" s="269"/>
      <c r="H102" s="17"/>
      <c r="J102" s="257"/>
      <c r="K102" s="17"/>
      <c r="M102" s="257"/>
      <c r="N102" s="257"/>
      <c r="O102" s="257"/>
      <c r="P102" s="257"/>
      <c r="Q102" s="257"/>
      <c r="R102" s="257"/>
      <c r="S102" s="257"/>
      <c r="T102" s="17"/>
      <c r="U102" s="17"/>
      <c r="Y102" s="17"/>
      <c r="AE102" s="17"/>
      <c r="AG102" s="17"/>
      <c r="AH102" s="17"/>
      <c r="AL102" s="13"/>
    </row>
    <row r="103" spans="1:38">
      <c r="A103" s="17"/>
      <c r="B103" s="17"/>
      <c r="D103" s="257"/>
      <c r="E103" s="257"/>
      <c r="F103" s="269"/>
      <c r="H103" s="17"/>
      <c r="J103" s="257"/>
      <c r="K103" s="17"/>
      <c r="M103" s="257"/>
      <c r="N103" s="257"/>
      <c r="O103" s="257"/>
      <c r="P103" s="257"/>
      <c r="Q103" s="257"/>
      <c r="R103" s="257"/>
      <c r="S103" s="257"/>
      <c r="T103" s="17"/>
      <c r="U103" s="17"/>
      <c r="Y103" s="17"/>
      <c r="AE103" s="17"/>
      <c r="AG103" s="17"/>
      <c r="AH103" s="17"/>
      <c r="AL103" s="13"/>
    </row>
    <row r="104" spans="1:38">
      <c r="A104" s="17"/>
      <c r="B104" s="17"/>
      <c r="D104" s="257"/>
      <c r="E104" s="257"/>
      <c r="F104" s="269"/>
      <c r="H104" s="17"/>
      <c r="J104" s="257"/>
      <c r="K104" s="17"/>
      <c r="M104" s="257"/>
      <c r="N104" s="257"/>
      <c r="O104" s="257"/>
      <c r="P104" s="257"/>
      <c r="Q104" s="257"/>
      <c r="R104" s="257"/>
      <c r="S104" s="257"/>
      <c r="T104" s="17"/>
      <c r="U104" s="17"/>
      <c r="Y104" s="17"/>
      <c r="AE104" s="17"/>
      <c r="AG104" s="17"/>
      <c r="AH104" s="17"/>
      <c r="AL104" s="13"/>
    </row>
    <row r="105" spans="1:38">
      <c r="A105" s="17"/>
      <c r="B105" s="17"/>
      <c r="D105" s="257"/>
      <c r="E105" s="257"/>
      <c r="F105" s="269"/>
      <c r="H105" s="17"/>
      <c r="J105" s="257"/>
      <c r="K105" s="17"/>
      <c r="M105" s="257"/>
      <c r="N105" s="257"/>
      <c r="O105" s="257"/>
      <c r="P105" s="257"/>
      <c r="Q105" s="257"/>
      <c r="R105" s="257"/>
      <c r="S105" s="257"/>
      <c r="T105" s="17"/>
      <c r="U105" s="17"/>
      <c r="Y105" s="17"/>
      <c r="AE105" s="17"/>
      <c r="AG105" s="17"/>
      <c r="AH105" s="17"/>
      <c r="AL105" s="13"/>
    </row>
    <row r="106" spans="1:38">
      <c r="A106" s="17"/>
      <c r="B106" s="17"/>
      <c r="D106" s="257"/>
      <c r="E106" s="257"/>
      <c r="F106" s="269"/>
      <c r="H106" s="17"/>
      <c r="J106" s="257"/>
      <c r="K106" s="17"/>
      <c r="M106" s="257"/>
      <c r="N106" s="257"/>
      <c r="O106" s="257"/>
      <c r="P106" s="257"/>
      <c r="Q106" s="257"/>
      <c r="R106" s="257"/>
      <c r="S106" s="257"/>
      <c r="T106" s="17"/>
      <c r="U106" s="17"/>
      <c r="Y106" s="17"/>
      <c r="AE106" s="17"/>
      <c r="AG106" s="17"/>
      <c r="AH106" s="17"/>
      <c r="AL106" s="13"/>
    </row>
    <row r="107" spans="1:38">
      <c r="A107" s="17"/>
      <c r="B107" s="17"/>
      <c r="D107" s="257"/>
      <c r="E107" s="257"/>
      <c r="F107" s="269"/>
      <c r="H107" s="17"/>
      <c r="J107" s="257"/>
      <c r="K107" s="17"/>
      <c r="M107" s="257"/>
      <c r="N107" s="257"/>
      <c r="O107" s="257"/>
      <c r="P107" s="257"/>
      <c r="Q107" s="257"/>
      <c r="R107" s="257"/>
      <c r="S107" s="257"/>
      <c r="T107" s="17"/>
      <c r="U107" s="17"/>
      <c r="Y107" s="17"/>
      <c r="AE107" s="17"/>
      <c r="AG107" s="17"/>
      <c r="AH107" s="17"/>
      <c r="AL107" s="13"/>
    </row>
    <row r="108" spans="1:38">
      <c r="A108" s="17"/>
      <c r="B108" s="17"/>
      <c r="D108" s="257"/>
      <c r="E108" s="257"/>
      <c r="F108" s="269"/>
      <c r="H108" s="17"/>
      <c r="J108" s="257"/>
      <c r="K108" s="17"/>
      <c r="M108" s="257"/>
      <c r="N108" s="257"/>
      <c r="O108" s="257"/>
      <c r="P108" s="257"/>
      <c r="Q108" s="257"/>
      <c r="R108" s="257"/>
      <c r="S108" s="257"/>
      <c r="T108" s="17"/>
      <c r="U108" s="17"/>
      <c r="Y108" s="17"/>
      <c r="AE108" s="17"/>
      <c r="AG108" s="17"/>
      <c r="AH108" s="17"/>
      <c r="AL108" s="13"/>
    </row>
    <row r="109" spans="1:38">
      <c r="A109" s="17"/>
      <c r="B109" s="17"/>
      <c r="D109" s="257"/>
      <c r="E109" s="257"/>
      <c r="F109" s="269"/>
      <c r="H109" s="17"/>
      <c r="J109" s="257"/>
      <c r="K109" s="17"/>
      <c r="M109" s="257"/>
      <c r="N109" s="257"/>
      <c r="O109" s="257"/>
      <c r="P109" s="257"/>
      <c r="Q109" s="257"/>
      <c r="R109" s="257"/>
      <c r="S109" s="257"/>
      <c r="T109" s="17"/>
      <c r="U109" s="17"/>
      <c r="Y109" s="17"/>
      <c r="AE109" s="17"/>
      <c r="AG109" s="17"/>
      <c r="AH109" s="17"/>
      <c r="AL109" s="13"/>
    </row>
    <row r="110" spans="1:38">
      <c r="A110" s="17"/>
      <c r="B110" s="17"/>
      <c r="D110" s="257"/>
      <c r="E110" s="257"/>
      <c r="F110" s="269"/>
      <c r="H110" s="17"/>
      <c r="J110" s="257"/>
      <c r="K110" s="17"/>
      <c r="M110" s="257"/>
      <c r="N110" s="257"/>
      <c r="O110" s="257"/>
      <c r="P110" s="257"/>
      <c r="Q110" s="257"/>
      <c r="R110" s="257"/>
      <c r="S110" s="257"/>
      <c r="T110" s="17"/>
      <c r="U110" s="17"/>
      <c r="Y110" s="17"/>
      <c r="AE110" s="17"/>
      <c r="AG110" s="17"/>
      <c r="AH110" s="17"/>
      <c r="AL110" s="13"/>
    </row>
    <row r="111" spans="1:38">
      <c r="A111" s="17"/>
      <c r="B111" s="17"/>
      <c r="D111" s="257"/>
      <c r="E111" s="257"/>
      <c r="F111" s="269"/>
      <c r="H111" s="17"/>
      <c r="J111" s="257"/>
      <c r="K111" s="17"/>
      <c r="M111" s="257"/>
      <c r="N111" s="257"/>
      <c r="O111" s="257"/>
      <c r="P111" s="257"/>
      <c r="Q111" s="257"/>
      <c r="R111" s="257"/>
      <c r="S111" s="257"/>
      <c r="T111" s="17"/>
      <c r="U111" s="17"/>
      <c r="Y111" s="17"/>
      <c r="AE111" s="17"/>
      <c r="AG111" s="17"/>
      <c r="AH111" s="17"/>
      <c r="AL111" s="13"/>
    </row>
    <row r="112" spans="1:38">
      <c r="A112" s="17"/>
      <c r="B112" s="17"/>
      <c r="D112" s="257"/>
      <c r="E112" s="257"/>
      <c r="F112" s="269"/>
      <c r="H112" s="17"/>
      <c r="J112" s="257"/>
      <c r="K112" s="17"/>
      <c r="M112" s="257"/>
      <c r="N112" s="257"/>
      <c r="O112" s="257"/>
      <c r="P112" s="257"/>
      <c r="Q112" s="257"/>
      <c r="R112" s="257"/>
      <c r="S112" s="257"/>
      <c r="T112" s="17"/>
      <c r="U112" s="17"/>
      <c r="Y112" s="17"/>
      <c r="AE112" s="17"/>
      <c r="AG112" s="17"/>
      <c r="AH112" s="17"/>
      <c r="AL112" s="13"/>
    </row>
    <row r="113" spans="1:38">
      <c r="A113" s="17"/>
      <c r="B113" s="17"/>
      <c r="D113" s="257"/>
      <c r="E113" s="257"/>
      <c r="F113" s="269"/>
      <c r="H113" s="17"/>
      <c r="J113" s="257"/>
      <c r="K113" s="17"/>
      <c r="M113" s="257"/>
      <c r="N113" s="257"/>
      <c r="O113" s="257"/>
      <c r="P113" s="257"/>
      <c r="Q113" s="257"/>
      <c r="R113" s="257"/>
      <c r="S113" s="257"/>
      <c r="T113" s="17"/>
      <c r="U113" s="17"/>
      <c r="Y113" s="17"/>
      <c r="AE113" s="17"/>
      <c r="AG113" s="17"/>
      <c r="AH113" s="17"/>
      <c r="AL113" s="13"/>
    </row>
    <row r="114" spans="1:38">
      <c r="A114" s="17"/>
      <c r="B114" s="17"/>
      <c r="D114" s="257"/>
      <c r="E114" s="257"/>
      <c r="F114" s="269"/>
      <c r="H114" s="17"/>
      <c r="J114" s="257"/>
      <c r="K114" s="17"/>
      <c r="M114" s="257"/>
      <c r="N114" s="257"/>
      <c r="O114" s="257"/>
      <c r="P114" s="257"/>
      <c r="Q114" s="257"/>
      <c r="R114" s="257"/>
      <c r="S114" s="257"/>
      <c r="T114" s="17"/>
      <c r="U114" s="17"/>
      <c r="Y114" s="17"/>
      <c r="AE114" s="17"/>
      <c r="AG114" s="17"/>
      <c r="AH114" s="17"/>
      <c r="AL114" s="13"/>
    </row>
    <row r="115" spans="1:38">
      <c r="A115" s="17"/>
      <c r="B115" s="17"/>
      <c r="D115" s="257"/>
      <c r="E115" s="257"/>
      <c r="F115" s="269"/>
      <c r="H115" s="17"/>
      <c r="J115" s="257"/>
      <c r="K115" s="17"/>
      <c r="M115" s="257"/>
      <c r="N115" s="257"/>
      <c r="O115" s="257"/>
      <c r="P115" s="257"/>
      <c r="Q115" s="257"/>
      <c r="R115" s="257"/>
      <c r="S115" s="257"/>
      <c r="T115" s="17"/>
      <c r="U115" s="17"/>
      <c r="Y115" s="17"/>
      <c r="AE115" s="17"/>
      <c r="AG115" s="17"/>
      <c r="AH115" s="17"/>
      <c r="AL115" s="13"/>
    </row>
    <row r="116" spans="1:38">
      <c r="A116" s="17"/>
      <c r="B116" s="17"/>
      <c r="D116" s="257"/>
      <c r="E116" s="257"/>
      <c r="F116" s="269"/>
      <c r="H116" s="17"/>
      <c r="J116" s="257"/>
      <c r="K116" s="17"/>
      <c r="M116" s="257"/>
      <c r="N116" s="257"/>
      <c r="O116" s="257"/>
      <c r="P116" s="257"/>
      <c r="Q116" s="257"/>
      <c r="R116" s="257"/>
      <c r="S116" s="257"/>
      <c r="T116" s="17"/>
      <c r="U116" s="17"/>
      <c r="Y116" s="17"/>
      <c r="AE116" s="17"/>
      <c r="AG116" s="17"/>
      <c r="AH116" s="17"/>
      <c r="AL116" s="13"/>
    </row>
    <row r="117" spans="1:38">
      <c r="A117" s="17"/>
      <c r="B117" s="17"/>
      <c r="D117" s="257"/>
      <c r="E117" s="257"/>
      <c r="F117" s="269"/>
      <c r="H117" s="17"/>
      <c r="J117" s="257"/>
      <c r="K117" s="17"/>
      <c r="M117" s="257"/>
      <c r="N117" s="257"/>
      <c r="O117" s="257"/>
      <c r="P117" s="257"/>
      <c r="Q117" s="257"/>
      <c r="R117" s="257"/>
      <c r="S117" s="257"/>
      <c r="T117" s="17"/>
      <c r="U117" s="17"/>
      <c r="Y117" s="17"/>
      <c r="AE117" s="17"/>
      <c r="AG117" s="17"/>
      <c r="AH117" s="17"/>
      <c r="AL117" s="13"/>
    </row>
    <row r="118" spans="1:38">
      <c r="A118" s="17"/>
      <c r="B118" s="17"/>
      <c r="D118" s="257"/>
      <c r="E118" s="257"/>
      <c r="F118" s="269"/>
      <c r="H118" s="17"/>
      <c r="J118" s="257"/>
      <c r="K118" s="17"/>
      <c r="M118" s="257"/>
      <c r="N118" s="257"/>
      <c r="O118" s="257"/>
      <c r="P118" s="257"/>
      <c r="Q118" s="257"/>
      <c r="R118" s="257"/>
      <c r="S118" s="257"/>
      <c r="T118" s="17"/>
      <c r="U118" s="17"/>
      <c r="Y118" s="17"/>
      <c r="AE118" s="17"/>
      <c r="AG118" s="17"/>
      <c r="AH118" s="17"/>
      <c r="AL118" s="13"/>
    </row>
    <row r="119" spans="1:38">
      <c r="A119" s="17"/>
      <c r="B119" s="17"/>
      <c r="D119" s="257"/>
      <c r="E119" s="257"/>
      <c r="F119" s="269"/>
      <c r="H119" s="17"/>
      <c r="J119" s="257"/>
      <c r="K119" s="17"/>
      <c r="M119" s="257"/>
      <c r="N119" s="257"/>
      <c r="O119" s="257"/>
      <c r="P119" s="257"/>
      <c r="Q119" s="257"/>
      <c r="R119" s="257"/>
      <c r="S119" s="257"/>
      <c r="T119" s="17"/>
      <c r="U119" s="17"/>
      <c r="Y119" s="17"/>
      <c r="AE119" s="17"/>
      <c r="AG119" s="17"/>
      <c r="AH119" s="17"/>
      <c r="AL119" s="13"/>
    </row>
    <row r="120" spans="1:38">
      <c r="A120" s="17"/>
      <c r="B120" s="17"/>
      <c r="D120" s="257"/>
      <c r="E120" s="257"/>
      <c r="F120" s="269"/>
      <c r="H120" s="17"/>
      <c r="J120" s="257"/>
      <c r="K120" s="17"/>
      <c r="M120" s="257"/>
      <c r="N120" s="257"/>
      <c r="O120" s="257"/>
      <c r="P120" s="257"/>
      <c r="Q120" s="257"/>
      <c r="R120" s="257"/>
      <c r="S120" s="257"/>
      <c r="T120" s="17"/>
      <c r="U120" s="17"/>
      <c r="Y120" s="17"/>
      <c r="AE120" s="17"/>
      <c r="AG120" s="17"/>
      <c r="AH120" s="17"/>
      <c r="AL120" s="13"/>
    </row>
    <row r="121" spans="1:38">
      <c r="A121" s="17"/>
      <c r="B121" s="17"/>
      <c r="D121" s="257"/>
      <c r="E121" s="257"/>
      <c r="F121" s="269"/>
      <c r="H121" s="17"/>
      <c r="J121" s="257"/>
      <c r="K121" s="17"/>
      <c r="M121" s="257"/>
      <c r="N121" s="257"/>
      <c r="O121" s="257"/>
      <c r="P121" s="257"/>
      <c r="Q121" s="257"/>
      <c r="R121" s="257"/>
      <c r="S121" s="257"/>
      <c r="T121" s="17"/>
      <c r="U121" s="17"/>
      <c r="Y121" s="17"/>
      <c r="AE121" s="17"/>
      <c r="AG121" s="17"/>
      <c r="AH121" s="17"/>
      <c r="AL121" s="13"/>
    </row>
    <row r="122" spans="1:38">
      <c r="A122" s="17"/>
      <c r="B122" s="17"/>
      <c r="D122" s="257"/>
      <c r="E122" s="257"/>
      <c r="F122" s="269"/>
      <c r="H122" s="17"/>
      <c r="J122" s="257"/>
      <c r="K122" s="17"/>
      <c r="M122" s="257"/>
      <c r="N122" s="257"/>
      <c r="O122" s="257"/>
      <c r="P122" s="257"/>
      <c r="Q122" s="257"/>
      <c r="R122" s="257"/>
      <c r="S122" s="257"/>
      <c r="T122" s="17"/>
      <c r="U122" s="17"/>
      <c r="Y122" s="17"/>
      <c r="AE122" s="17"/>
      <c r="AG122" s="17"/>
      <c r="AH122" s="17"/>
      <c r="AL122" s="13"/>
    </row>
    <row r="123" spans="1:38">
      <c r="A123" s="17"/>
      <c r="B123" s="17"/>
      <c r="D123" s="257"/>
      <c r="E123" s="257"/>
      <c r="F123" s="269"/>
      <c r="H123" s="17"/>
      <c r="J123" s="257"/>
      <c r="K123" s="17"/>
      <c r="M123" s="257"/>
      <c r="N123" s="257"/>
      <c r="O123" s="257"/>
      <c r="P123" s="257"/>
      <c r="Q123" s="257"/>
      <c r="R123" s="257"/>
      <c r="S123" s="257"/>
      <c r="T123" s="17"/>
      <c r="U123" s="17"/>
      <c r="Y123" s="17"/>
      <c r="AE123" s="17"/>
      <c r="AG123" s="17"/>
      <c r="AH123" s="17"/>
      <c r="AL123" s="13"/>
    </row>
    <row r="124" spans="1:38">
      <c r="A124" s="17"/>
      <c r="B124" s="17"/>
      <c r="D124" s="257"/>
      <c r="E124" s="257"/>
      <c r="F124" s="269"/>
      <c r="H124" s="17"/>
      <c r="J124" s="257"/>
      <c r="K124" s="17"/>
      <c r="M124" s="257"/>
      <c r="N124" s="257"/>
      <c r="O124" s="257"/>
      <c r="P124" s="257"/>
      <c r="Q124" s="257"/>
      <c r="R124" s="257"/>
      <c r="S124" s="257"/>
      <c r="T124" s="17"/>
      <c r="U124" s="17"/>
      <c r="Y124" s="17"/>
      <c r="AE124" s="17"/>
      <c r="AG124" s="17"/>
      <c r="AH124" s="17"/>
      <c r="AL124" s="13"/>
    </row>
    <row r="125" spans="1:38">
      <c r="A125" s="17"/>
      <c r="B125" s="17"/>
      <c r="D125" s="257"/>
      <c r="E125" s="257"/>
      <c r="F125" s="269"/>
      <c r="H125" s="17"/>
      <c r="J125" s="257"/>
      <c r="K125" s="17"/>
      <c r="M125" s="257"/>
      <c r="N125" s="257"/>
      <c r="O125" s="257"/>
      <c r="P125" s="257"/>
      <c r="Q125" s="257"/>
      <c r="R125" s="257"/>
      <c r="S125" s="257"/>
      <c r="T125" s="17"/>
      <c r="U125" s="17"/>
      <c r="Y125" s="17"/>
      <c r="AE125" s="17"/>
      <c r="AG125" s="17"/>
      <c r="AH125" s="17"/>
      <c r="AL125" s="13"/>
    </row>
    <row r="126" spans="1:38">
      <c r="A126" s="17"/>
      <c r="B126" s="17"/>
      <c r="D126" s="257"/>
      <c r="E126" s="257"/>
      <c r="F126" s="269"/>
      <c r="H126" s="17"/>
      <c r="J126" s="257"/>
      <c r="K126" s="17"/>
      <c r="M126" s="257"/>
      <c r="N126" s="257"/>
      <c r="O126" s="257"/>
      <c r="P126" s="257"/>
      <c r="Q126" s="257"/>
      <c r="R126" s="257"/>
      <c r="S126" s="257"/>
      <c r="T126" s="17"/>
      <c r="U126" s="17"/>
      <c r="Y126" s="17"/>
      <c r="AE126" s="17"/>
      <c r="AG126" s="17"/>
      <c r="AH126" s="17"/>
      <c r="AL126" s="13"/>
    </row>
    <row r="127" spans="1:38">
      <c r="A127" s="17"/>
      <c r="B127" s="17"/>
      <c r="D127" s="257"/>
      <c r="E127" s="257"/>
      <c r="F127" s="269"/>
      <c r="H127" s="17"/>
      <c r="J127" s="257"/>
      <c r="K127" s="17"/>
      <c r="M127" s="257"/>
      <c r="N127" s="257"/>
      <c r="O127" s="257"/>
      <c r="P127" s="257"/>
      <c r="Q127" s="257"/>
      <c r="R127" s="257"/>
      <c r="S127" s="257"/>
      <c r="T127" s="17"/>
      <c r="U127" s="17"/>
      <c r="Y127" s="17"/>
      <c r="AE127" s="17"/>
      <c r="AG127" s="17"/>
      <c r="AH127" s="17"/>
      <c r="AL127" s="13"/>
    </row>
    <row r="128" spans="1:38">
      <c r="A128" s="17"/>
      <c r="B128" s="17"/>
      <c r="D128" s="257"/>
      <c r="E128" s="257"/>
      <c r="F128" s="269"/>
      <c r="H128" s="17"/>
      <c r="J128" s="257"/>
      <c r="K128" s="17"/>
      <c r="M128" s="257"/>
      <c r="N128" s="257"/>
      <c r="O128" s="257"/>
      <c r="P128" s="257"/>
      <c r="Q128" s="257"/>
      <c r="R128" s="257"/>
      <c r="S128" s="257"/>
      <c r="T128" s="17"/>
      <c r="U128" s="17"/>
      <c r="Y128" s="17"/>
      <c r="AE128" s="17"/>
      <c r="AG128" s="17"/>
      <c r="AH128" s="17"/>
      <c r="AL128" s="13"/>
    </row>
    <row r="129" spans="1:38">
      <c r="A129" s="17"/>
      <c r="B129" s="17"/>
      <c r="D129" s="257"/>
      <c r="E129" s="257"/>
      <c r="F129" s="269"/>
      <c r="H129" s="17"/>
      <c r="J129" s="257"/>
      <c r="K129" s="17"/>
      <c r="M129" s="257"/>
      <c r="N129" s="257"/>
      <c r="O129" s="257"/>
      <c r="P129" s="257"/>
      <c r="Q129" s="257"/>
      <c r="R129" s="257"/>
      <c r="S129" s="257"/>
      <c r="T129" s="17"/>
      <c r="U129" s="17"/>
      <c r="Y129" s="17"/>
      <c r="AE129" s="17"/>
      <c r="AG129" s="17"/>
      <c r="AH129" s="17"/>
      <c r="AL129" s="13"/>
    </row>
    <row r="130" spans="1:38">
      <c r="A130" s="17"/>
      <c r="B130" s="17"/>
      <c r="D130" s="257"/>
      <c r="E130" s="257"/>
      <c r="F130" s="269"/>
      <c r="H130" s="17"/>
      <c r="J130" s="257"/>
      <c r="K130" s="17"/>
      <c r="M130" s="257"/>
      <c r="N130" s="257"/>
      <c r="O130" s="257"/>
      <c r="P130" s="257"/>
      <c r="Q130" s="257"/>
      <c r="R130" s="257"/>
      <c r="S130" s="257"/>
      <c r="T130" s="17"/>
      <c r="U130" s="17"/>
      <c r="Y130" s="17"/>
      <c r="AE130" s="17"/>
      <c r="AG130" s="17"/>
      <c r="AH130" s="17"/>
      <c r="AL130" s="13"/>
    </row>
    <row r="131" spans="1:38">
      <c r="A131" s="17"/>
      <c r="B131" s="17"/>
      <c r="D131" s="257"/>
      <c r="E131" s="257"/>
      <c r="F131" s="269"/>
      <c r="H131" s="17"/>
      <c r="J131" s="257"/>
      <c r="K131" s="17"/>
      <c r="M131" s="257"/>
      <c r="N131" s="257"/>
      <c r="O131" s="257"/>
      <c r="P131" s="257"/>
      <c r="Q131" s="257"/>
      <c r="R131" s="257"/>
      <c r="S131" s="257"/>
      <c r="T131" s="17"/>
      <c r="U131" s="17"/>
      <c r="Y131" s="17"/>
      <c r="AE131" s="17"/>
      <c r="AG131" s="17"/>
      <c r="AH131" s="17"/>
      <c r="AL131" s="13"/>
    </row>
    <row r="132" spans="1:38">
      <c r="A132" s="17"/>
      <c r="B132" s="17"/>
      <c r="D132" s="257"/>
      <c r="E132" s="257"/>
      <c r="F132" s="269"/>
      <c r="H132" s="17"/>
      <c r="J132" s="257"/>
      <c r="K132" s="17"/>
      <c r="M132" s="257"/>
      <c r="N132" s="257"/>
      <c r="O132" s="257"/>
      <c r="P132" s="257"/>
      <c r="Q132" s="257"/>
      <c r="R132" s="257"/>
      <c r="S132" s="257"/>
      <c r="T132" s="17"/>
      <c r="U132" s="17"/>
      <c r="Y132" s="17"/>
      <c r="AE132" s="17"/>
      <c r="AG132" s="17"/>
      <c r="AH132" s="17"/>
      <c r="AL132" s="13"/>
    </row>
    <row r="133" spans="1:38">
      <c r="A133" s="17"/>
      <c r="B133" s="17"/>
      <c r="D133" s="257"/>
      <c r="E133" s="257"/>
      <c r="F133" s="269"/>
      <c r="H133" s="17"/>
      <c r="J133" s="257"/>
      <c r="K133" s="17"/>
      <c r="M133" s="257"/>
      <c r="N133" s="257"/>
      <c r="O133" s="257"/>
      <c r="P133" s="257"/>
      <c r="Q133" s="257"/>
      <c r="R133" s="257"/>
      <c r="S133" s="257"/>
      <c r="T133" s="17"/>
      <c r="U133" s="17"/>
      <c r="Y133" s="17"/>
      <c r="AE133" s="17"/>
      <c r="AG133" s="17"/>
      <c r="AH133" s="17"/>
      <c r="AL133" s="13"/>
    </row>
    <row r="134" spans="1:38">
      <c r="A134" s="17"/>
      <c r="B134" s="17"/>
      <c r="D134" s="257"/>
      <c r="E134" s="257"/>
      <c r="F134" s="269"/>
      <c r="H134" s="17"/>
      <c r="J134" s="257"/>
      <c r="K134" s="17"/>
      <c r="M134" s="257"/>
      <c r="N134" s="257"/>
      <c r="O134" s="257"/>
      <c r="P134" s="257"/>
      <c r="Q134" s="257"/>
      <c r="R134" s="257"/>
      <c r="S134" s="257"/>
      <c r="T134" s="17"/>
      <c r="U134" s="17"/>
      <c r="Y134" s="17"/>
      <c r="AE134" s="17"/>
      <c r="AG134" s="17"/>
      <c r="AH134" s="17"/>
      <c r="AL134" s="13"/>
    </row>
    <row r="135" spans="1:38">
      <c r="A135" s="17"/>
      <c r="B135" s="17"/>
      <c r="D135" s="257"/>
      <c r="E135" s="257"/>
      <c r="F135" s="269"/>
      <c r="H135" s="17"/>
      <c r="J135" s="257"/>
      <c r="K135" s="17"/>
      <c r="M135" s="257"/>
      <c r="N135" s="257"/>
      <c r="O135" s="257"/>
      <c r="P135" s="257"/>
      <c r="Q135" s="257"/>
      <c r="R135" s="257"/>
      <c r="S135" s="257"/>
      <c r="T135" s="17"/>
      <c r="U135" s="17"/>
      <c r="Y135" s="17"/>
      <c r="AE135" s="17"/>
      <c r="AG135" s="17"/>
      <c r="AH135" s="17"/>
      <c r="AL135" s="13"/>
    </row>
    <row r="136" spans="1:38">
      <c r="A136" s="17"/>
      <c r="B136" s="17"/>
      <c r="D136" s="257"/>
      <c r="E136" s="257"/>
      <c r="F136" s="269"/>
      <c r="H136" s="17"/>
      <c r="J136" s="257"/>
      <c r="K136" s="17"/>
      <c r="M136" s="257"/>
      <c r="N136" s="257"/>
      <c r="O136" s="257"/>
      <c r="P136" s="257"/>
      <c r="Q136" s="257"/>
      <c r="R136" s="257"/>
      <c r="S136" s="257"/>
      <c r="T136" s="17"/>
      <c r="U136" s="17"/>
      <c r="Y136" s="17"/>
      <c r="AE136" s="17"/>
      <c r="AG136" s="17"/>
      <c r="AH136" s="17"/>
      <c r="AL136" s="13"/>
    </row>
    <row r="137" spans="1:38">
      <c r="A137" s="17"/>
      <c r="B137" s="17"/>
      <c r="D137" s="257"/>
      <c r="E137" s="257"/>
      <c r="F137" s="269"/>
      <c r="H137" s="17"/>
      <c r="J137" s="257"/>
      <c r="K137" s="17"/>
      <c r="M137" s="257"/>
      <c r="N137" s="257"/>
      <c r="O137" s="257"/>
      <c r="P137" s="257"/>
      <c r="Q137" s="257"/>
      <c r="R137" s="257"/>
      <c r="S137" s="257"/>
      <c r="T137" s="17"/>
      <c r="U137" s="17"/>
      <c r="Y137" s="17"/>
      <c r="AE137" s="17"/>
      <c r="AG137" s="17"/>
      <c r="AH137" s="17"/>
      <c r="AL137" s="13"/>
    </row>
    <row r="138" spans="1:38">
      <c r="A138" s="17"/>
      <c r="B138" s="17"/>
      <c r="D138" s="257"/>
      <c r="E138" s="257"/>
      <c r="F138" s="269"/>
      <c r="H138" s="17"/>
      <c r="J138" s="257"/>
      <c r="K138" s="17"/>
      <c r="M138" s="257"/>
      <c r="N138" s="257"/>
      <c r="O138" s="257"/>
      <c r="P138" s="257"/>
      <c r="Q138" s="257"/>
      <c r="R138" s="257"/>
      <c r="S138" s="257"/>
      <c r="T138" s="17"/>
      <c r="U138" s="17"/>
      <c r="Y138" s="17"/>
      <c r="AE138" s="17"/>
      <c r="AG138" s="17"/>
      <c r="AH138" s="17"/>
      <c r="AL138" s="13"/>
    </row>
    <row r="139" spans="1:38">
      <c r="A139" s="17"/>
      <c r="B139" s="17"/>
      <c r="D139" s="257"/>
      <c r="E139" s="257"/>
      <c r="F139" s="269"/>
      <c r="H139" s="17"/>
      <c r="J139" s="257"/>
      <c r="K139" s="17"/>
      <c r="M139" s="257"/>
      <c r="N139" s="257"/>
      <c r="O139" s="257"/>
      <c r="P139" s="257"/>
      <c r="Q139" s="257"/>
      <c r="R139" s="257"/>
      <c r="S139" s="257"/>
      <c r="T139" s="17"/>
      <c r="U139" s="17"/>
      <c r="Y139" s="17"/>
      <c r="AE139" s="17"/>
      <c r="AG139" s="17"/>
      <c r="AH139" s="17"/>
      <c r="AL139" s="13"/>
    </row>
    <row r="140" spans="1:38">
      <c r="A140" s="17"/>
      <c r="B140" s="17"/>
      <c r="D140" s="257"/>
      <c r="E140" s="257"/>
      <c r="F140" s="269"/>
      <c r="H140" s="17"/>
      <c r="J140" s="257"/>
      <c r="K140" s="17"/>
      <c r="M140" s="257"/>
      <c r="N140" s="257"/>
      <c r="O140" s="257"/>
      <c r="P140" s="257"/>
      <c r="Q140" s="257"/>
      <c r="R140" s="257"/>
      <c r="S140" s="257"/>
      <c r="T140" s="17"/>
      <c r="U140" s="17"/>
      <c r="Y140" s="17"/>
      <c r="AE140" s="17"/>
      <c r="AG140" s="17"/>
      <c r="AH140" s="17"/>
      <c r="AL140" s="13"/>
    </row>
    <row r="141" spans="1:38">
      <c r="A141" s="17"/>
      <c r="B141" s="17"/>
      <c r="D141" s="257"/>
      <c r="E141" s="257"/>
      <c r="F141" s="269"/>
      <c r="H141" s="17"/>
      <c r="J141" s="257"/>
      <c r="K141" s="17"/>
      <c r="M141" s="257"/>
      <c r="N141" s="257"/>
      <c r="O141" s="257"/>
      <c r="P141" s="257"/>
      <c r="Q141" s="257"/>
      <c r="R141" s="257"/>
      <c r="S141" s="257"/>
      <c r="T141" s="17"/>
      <c r="U141" s="17"/>
      <c r="Y141" s="17"/>
      <c r="AE141" s="17"/>
      <c r="AG141" s="17"/>
      <c r="AH141" s="17"/>
      <c r="AL141" s="13"/>
    </row>
    <row r="142" spans="1:38">
      <c r="A142" s="17"/>
      <c r="B142" s="17"/>
      <c r="D142" s="257"/>
      <c r="E142" s="257"/>
      <c r="F142" s="269"/>
      <c r="H142" s="17"/>
      <c r="J142" s="257"/>
      <c r="K142" s="17"/>
      <c r="M142" s="257"/>
      <c r="N142" s="257"/>
      <c r="O142" s="257"/>
      <c r="P142" s="257"/>
      <c r="Q142" s="257"/>
      <c r="R142" s="257"/>
      <c r="S142" s="257"/>
      <c r="T142" s="17"/>
      <c r="U142" s="17"/>
      <c r="Y142" s="17"/>
      <c r="AE142" s="17"/>
      <c r="AG142" s="17"/>
      <c r="AH142" s="17"/>
      <c r="AL142" s="13"/>
    </row>
    <row r="143" spans="1:38">
      <c r="A143" s="17"/>
      <c r="B143" s="17"/>
      <c r="D143" s="257"/>
      <c r="E143" s="257"/>
      <c r="F143" s="269"/>
      <c r="H143" s="17"/>
      <c r="J143" s="257"/>
      <c r="K143" s="17"/>
      <c r="M143" s="257"/>
      <c r="N143" s="257"/>
      <c r="O143" s="257"/>
      <c r="P143" s="257"/>
      <c r="Q143" s="257"/>
      <c r="R143" s="257"/>
      <c r="S143" s="257"/>
      <c r="T143" s="17"/>
      <c r="U143" s="17"/>
      <c r="Y143" s="17"/>
      <c r="AE143" s="17"/>
      <c r="AG143" s="17"/>
      <c r="AH143" s="17"/>
    </row>
    <row r="144" spans="1:38">
      <c r="A144" s="17"/>
      <c r="B144" s="17"/>
      <c r="D144" s="257"/>
      <c r="E144" s="257"/>
      <c r="F144" s="269"/>
      <c r="H144" s="17"/>
      <c r="J144" s="257"/>
      <c r="K144" s="17"/>
      <c r="M144" s="257"/>
      <c r="N144" s="257"/>
      <c r="O144" s="257"/>
      <c r="P144" s="257"/>
      <c r="Q144" s="257"/>
      <c r="R144" s="257"/>
      <c r="S144" s="257"/>
      <c r="T144" s="17"/>
      <c r="U144" s="17"/>
      <c r="Y144" s="17"/>
      <c r="AE144" s="17"/>
      <c r="AG144" s="17"/>
      <c r="AH144" s="17"/>
    </row>
    <row r="145" spans="1:34">
      <c r="A145" s="17"/>
      <c r="B145" s="17"/>
      <c r="D145" s="257"/>
      <c r="E145" s="257"/>
      <c r="F145" s="269"/>
      <c r="H145" s="17"/>
      <c r="J145" s="257"/>
      <c r="K145" s="17"/>
      <c r="M145" s="257"/>
      <c r="N145" s="257"/>
      <c r="O145" s="257"/>
      <c r="P145" s="257"/>
      <c r="Q145" s="257"/>
      <c r="R145" s="257"/>
      <c r="S145" s="257"/>
      <c r="T145" s="17"/>
      <c r="U145" s="17"/>
      <c r="Y145" s="17"/>
      <c r="AE145" s="17"/>
      <c r="AG145" s="17"/>
      <c r="AH145" s="17"/>
    </row>
    <row r="146" spans="1:34">
      <c r="A146" s="17"/>
      <c r="B146" s="17"/>
      <c r="D146" s="257"/>
      <c r="E146" s="257"/>
      <c r="F146" s="269"/>
      <c r="H146" s="17"/>
      <c r="J146" s="257"/>
      <c r="K146" s="17"/>
      <c r="M146" s="257"/>
      <c r="N146" s="257"/>
      <c r="O146" s="257"/>
      <c r="P146" s="257"/>
      <c r="Q146" s="257"/>
      <c r="R146" s="257"/>
      <c r="S146" s="257"/>
      <c r="T146" s="17"/>
      <c r="U146" s="17"/>
      <c r="Y146" s="17"/>
      <c r="AE146" s="17"/>
      <c r="AG146" s="17"/>
      <c r="AH146" s="17"/>
    </row>
    <row r="147" spans="1:34">
      <c r="A147" s="17"/>
      <c r="B147" s="17"/>
      <c r="D147" s="257"/>
      <c r="E147" s="257"/>
      <c r="F147" s="269"/>
      <c r="H147" s="17"/>
      <c r="J147" s="257"/>
      <c r="K147" s="17"/>
      <c r="M147" s="257"/>
      <c r="N147" s="257"/>
      <c r="O147" s="257"/>
      <c r="P147" s="257"/>
      <c r="Q147" s="257"/>
      <c r="R147" s="257"/>
      <c r="S147" s="257"/>
      <c r="T147" s="17"/>
      <c r="U147" s="17"/>
      <c r="Y147" s="17"/>
      <c r="AE147" s="17"/>
      <c r="AG147" s="17"/>
      <c r="AH147" s="17"/>
    </row>
    <row r="148" spans="1:34">
      <c r="A148" s="17"/>
      <c r="B148" s="17"/>
      <c r="D148" s="257"/>
      <c r="E148" s="257"/>
      <c r="F148" s="269"/>
      <c r="H148" s="17"/>
      <c r="J148" s="257"/>
      <c r="K148" s="17"/>
      <c r="M148" s="257"/>
      <c r="N148" s="257"/>
      <c r="O148" s="257"/>
      <c r="P148" s="257"/>
      <c r="Q148" s="257"/>
      <c r="R148" s="257"/>
      <c r="S148" s="257"/>
      <c r="T148" s="17"/>
      <c r="U148" s="17"/>
      <c r="Y148" s="17"/>
      <c r="AE148" s="17"/>
      <c r="AG148" s="17"/>
      <c r="AH148" s="17"/>
    </row>
    <row r="149" spans="1:34">
      <c r="A149" s="17"/>
      <c r="B149" s="17"/>
      <c r="D149" s="257"/>
      <c r="E149" s="257"/>
      <c r="F149" s="269"/>
      <c r="H149" s="17"/>
      <c r="J149" s="257"/>
      <c r="K149" s="17"/>
      <c r="M149" s="257"/>
      <c r="N149" s="257"/>
      <c r="O149" s="257"/>
      <c r="P149" s="257"/>
      <c r="Q149" s="257"/>
      <c r="R149" s="257"/>
      <c r="S149" s="257"/>
      <c r="T149" s="17"/>
      <c r="U149" s="17"/>
      <c r="Y149" s="17"/>
      <c r="AE149" s="17"/>
      <c r="AG149" s="17"/>
      <c r="AH149" s="17"/>
    </row>
    <row r="150" spans="1:34">
      <c r="A150" s="17"/>
      <c r="B150" s="17"/>
      <c r="D150" s="257"/>
      <c r="E150" s="257"/>
      <c r="F150" s="269"/>
      <c r="H150" s="17"/>
      <c r="J150" s="257"/>
      <c r="K150" s="17"/>
      <c r="M150" s="257"/>
      <c r="N150" s="257"/>
      <c r="O150" s="257"/>
      <c r="P150" s="257"/>
      <c r="Q150" s="257"/>
      <c r="R150" s="257"/>
      <c r="S150" s="257"/>
      <c r="T150" s="17"/>
      <c r="U150" s="17"/>
      <c r="Y150" s="17"/>
      <c r="AE150" s="17"/>
      <c r="AG150" s="17"/>
      <c r="AH150" s="17"/>
    </row>
    <row r="151" spans="1:34">
      <c r="A151" s="17"/>
      <c r="B151" s="17"/>
      <c r="D151" s="257"/>
      <c r="E151" s="257"/>
      <c r="F151" s="269"/>
      <c r="H151" s="17"/>
      <c r="J151" s="257"/>
      <c r="K151" s="17"/>
      <c r="M151" s="257"/>
      <c r="N151" s="257"/>
      <c r="O151" s="257"/>
      <c r="P151" s="257"/>
      <c r="Q151" s="257"/>
      <c r="R151" s="257"/>
      <c r="S151" s="257"/>
      <c r="T151" s="17"/>
      <c r="U151" s="17"/>
      <c r="Y151" s="17"/>
      <c r="AE151" s="17"/>
      <c r="AG151" s="17"/>
      <c r="AH151" s="17"/>
    </row>
    <row r="152" spans="1:34">
      <c r="A152" s="17"/>
      <c r="B152" s="17"/>
      <c r="D152" s="257"/>
      <c r="E152" s="257"/>
      <c r="F152" s="269"/>
      <c r="H152" s="17"/>
      <c r="J152" s="257"/>
      <c r="K152" s="17"/>
      <c r="M152" s="257"/>
      <c r="N152" s="257"/>
      <c r="O152" s="257"/>
      <c r="P152" s="257"/>
      <c r="Q152" s="257"/>
      <c r="R152" s="257"/>
      <c r="S152" s="257"/>
      <c r="T152" s="17"/>
      <c r="U152" s="17"/>
      <c r="Y152" s="17"/>
      <c r="AE152" s="17"/>
      <c r="AG152" s="17"/>
      <c r="AH152" s="17"/>
    </row>
    <row r="153" spans="1:34">
      <c r="A153" s="17"/>
      <c r="B153" s="17"/>
      <c r="D153" s="257"/>
      <c r="E153" s="257"/>
      <c r="F153" s="269"/>
      <c r="H153" s="17"/>
      <c r="J153" s="257"/>
      <c r="K153" s="17"/>
      <c r="M153" s="257"/>
      <c r="N153" s="257"/>
      <c r="O153" s="257"/>
      <c r="P153" s="257"/>
      <c r="Q153" s="257"/>
      <c r="R153" s="257"/>
      <c r="S153" s="257"/>
      <c r="T153" s="17"/>
      <c r="U153" s="17"/>
      <c r="Y153" s="17"/>
      <c r="AE153" s="17"/>
      <c r="AG153" s="17"/>
      <c r="AH153" s="17"/>
    </row>
    <row r="154" spans="1:34">
      <c r="A154" s="17"/>
      <c r="B154" s="17"/>
      <c r="D154" s="257"/>
      <c r="E154" s="257"/>
      <c r="F154" s="269"/>
      <c r="H154" s="17"/>
      <c r="J154" s="257"/>
      <c r="K154" s="17"/>
      <c r="M154" s="257"/>
      <c r="N154" s="257"/>
      <c r="O154" s="257"/>
      <c r="P154" s="257"/>
      <c r="Q154" s="257"/>
      <c r="R154" s="257"/>
      <c r="S154" s="257"/>
      <c r="T154" s="17"/>
      <c r="U154" s="17"/>
      <c r="Y154" s="17"/>
      <c r="AE154" s="17"/>
      <c r="AG154" s="17"/>
      <c r="AH154" s="17"/>
    </row>
    <row r="155" spans="1:34">
      <c r="A155" s="17"/>
      <c r="B155" s="17"/>
      <c r="D155" s="257"/>
      <c r="E155" s="257"/>
      <c r="F155" s="269"/>
      <c r="H155" s="17"/>
      <c r="J155" s="257"/>
      <c r="K155" s="17"/>
      <c r="M155" s="257"/>
      <c r="N155" s="257"/>
      <c r="O155" s="257"/>
      <c r="P155" s="257"/>
      <c r="Q155" s="257"/>
      <c r="R155" s="257"/>
      <c r="S155" s="257"/>
      <c r="T155" s="17"/>
      <c r="U155" s="17"/>
      <c r="Y155" s="17"/>
      <c r="AE155" s="17"/>
      <c r="AG155" s="17"/>
      <c r="AH155" s="17"/>
    </row>
    <row r="156" spans="1:34">
      <c r="A156" s="17"/>
      <c r="B156" s="17"/>
      <c r="D156" s="257"/>
      <c r="E156" s="257"/>
      <c r="F156" s="269"/>
      <c r="H156" s="17"/>
      <c r="J156" s="257"/>
      <c r="K156" s="17"/>
      <c r="M156" s="257"/>
      <c r="N156" s="257"/>
      <c r="O156" s="257"/>
      <c r="P156" s="257"/>
      <c r="Q156" s="257"/>
      <c r="R156" s="257"/>
      <c r="S156" s="257"/>
      <c r="T156" s="17"/>
      <c r="U156" s="17"/>
      <c r="Y156" s="17"/>
      <c r="AE156" s="17"/>
      <c r="AG156" s="17"/>
      <c r="AH156" s="17"/>
    </row>
    <row r="157" spans="1:34">
      <c r="A157" s="17"/>
      <c r="B157" s="17"/>
      <c r="D157" s="257"/>
      <c r="E157" s="257"/>
      <c r="F157" s="269"/>
      <c r="H157" s="17"/>
      <c r="J157" s="257"/>
      <c r="K157" s="17"/>
      <c r="M157" s="257"/>
      <c r="N157" s="257"/>
      <c r="O157" s="257"/>
      <c r="P157" s="257"/>
      <c r="Q157" s="257"/>
      <c r="R157" s="257"/>
      <c r="S157" s="257"/>
      <c r="T157" s="17"/>
      <c r="U157" s="17"/>
      <c r="Y157" s="17"/>
      <c r="AE157" s="17"/>
      <c r="AG157" s="17"/>
      <c r="AH157" s="17"/>
    </row>
    <row r="158" spans="1:34">
      <c r="A158" s="17"/>
      <c r="B158" s="17"/>
      <c r="D158" s="257"/>
      <c r="E158" s="257"/>
      <c r="F158" s="269"/>
      <c r="H158" s="17"/>
      <c r="J158" s="257"/>
      <c r="K158" s="17"/>
      <c r="M158" s="257"/>
      <c r="N158" s="257"/>
      <c r="O158" s="257"/>
      <c r="P158" s="257"/>
      <c r="Q158" s="257"/>
      <c r="R158" s="257"/>
      <c r="S158" s="257"/>
      <c r="T158" s="17"/>
      <c r="U158" s="17"/>
      <c r="Y158" s="17"/>
      <c r="AE158" s="17"/>
      <c r="AG158" s="17"/>
      <c r="AH158" s="17"/>
    </row>
    <row r="159" spans="1:34">
      <c r="A159" s="17"/>
      <c r="B159" s="17"/>
      <c r="D159" s="257"/>
      <c r="E159" s="257"/>
      <c r="F159" s="269"/>
      <c r="H159" s="17"/>
      <c r="J159" s="257"/>
      <c r="K159" s="17"/>
      <c r="M159" s="257"/>
      <c r="N159" s="257"/>
      <c r="O159" s="257"/>
      <c r="P159" s="257"/>
      <c r="Q159" s="257"/>
      <c r="R159" s="257"/>
      <c r="S159" s="257"/>
      <c r="T159" s="17"/>
      <c r="U159" s="17"/>
      <c r="Y159" s="17"/>
      <c r="AE159" s="17"/>
      <c r="AG159" s="17"/>
      <c r="AH159" s="17"/>
    </row>
    <row r="160" spans="1:34">
      <c r="A160" s="17"/>
      <c r="B160" s="17"/>
      <c r="D160" s="257"/>
      <c r="E160" s="257"/>
      <c r="F160" s="269"/>
      <c r="H160" s="17"/>
      <c r="J160" s="257"/>
      <c r="K160" s="17"/>
      <c r="M160" s="257"/>
      <c r="N160" s="257"/>
      <c r="O160" s="257"/>
      <c r="P160" s="257"/>
      <c r="Q160" s="257"/>
      <c r="R160" s="257"/>
      <c r="S160" s="257"/>
      <c r="T160" s="17"/>
      <c r="U160" s="17"/>
      <c r="Y160" s="17"/>
      <c r="AE160" s="17"/>
      <c r="AG160" s="17"/>
      <c r="AH160" s="17"/>
    </row>
    <row r="161" spans="1:34">
      <c r="A161" s="17"/>
      <c r="B161" s="17"/>
      <c r="D161" s="257"/>
      <c r="E161" s="257"/>
      <c r="F161" s="269"/>
      <c r="H161" s="17"/>
      <c r="J161" s="257"/>
      <c r="K161" s="17"/>
      <c r="M161" s="257"/>
      <c r="N161" s="257"/>
      <c r="O161" s="257"/>
      <c r="P161" s="257"/>
      <c r="Q161" s="257"/>
      <c r="R161" s="257"/>
      <c r="S161" s="257"/>
      <c r="T161" s="17"/>
      <c r="U161" s="17"/>
      <c r="Y161" s="17"/>
      <c r="AE161" s="17"/>
      <c r="AG161" s="17"/>
      <c r="AH161" s="17"/>
    </row>
    <row r="162" spans="1:34">
      <c r="A162" s="17"/>
      <c r="B162" s="17"/>
      <c r="D162" s="257"/>
      <c r="E162" s="257"/>
      <c r="F162" s="269"/>
      <c r="H162" s="17"/>
      <c r="J162" s="257"/>
      <c r="K162" s="17"/>
      <c r="M162" s="257"/>
      <c r="N162" s="257"/>
      <c r="O162" s="257"/>
      <c r="P162" s="257"/>
      <c r="Q162" s="257"/>
      <c r="R162" s="257"/>
      <c r="S162" s="257"/>
      <c r="T162" s="17"/>
      <c r="U162" s="17"/>
      <c r="Y162" s="17"/>
      <c r="AE162" s="17"/>
      <c r="AG162" s="17"/>
      <c r="AH162" s="17"/>
    </row>
    <row r="163" spans="1:34">
      <c r="A163" s="17"/>
      <c r="B163" s="17"/>
      <c r="D163" s="257"/>
      <c r="E163" s="257"/>
      <c r="F163" s="269"/>
      <c r="H163" s="17"/>
      <c r="J163" s="257"/>
      <c r="K163" s="17"/>
      <c r="M163" s="257"/>
      <c r="N163" s="257"/>
      <c r="O163" s="257"/>
      <c r="P163" s="257"/>
      <c r="Q163" s="257"/>
      <c r="R163" s="257"/>
      <c r="S163" s="257"/>
      <c r="T163" s="17"/>
      <c r="U163" s="17"/>
      <c r="Y163" s="17"/>
      <c r="AE163" s="17"/>
      <c r="AG163" s="17"/>
      <c r="AH163" s="17"/>
    </row>
    <row r="164" spans="1:34">
      <c r="A164" s="17"/>
      <c r="B164" s="17"/>
      <c r="D164" s="257"/>
      <c r="E164" s="257"/>
      <c r="F164" s="269"/>
      <c r="H164" s="17"/>
      <c r="J164" s="257"/>
      <c r="K164" s="17"/>
      <c r="M164" s="257"/>
      <c r="N164" s="257"/>
      <c r="O164" s="257"/>
      <c r="P164" s="257"/>
      <c r="Q164" s="257"/>
      <c r="R164" s="257"/>
      <c r="S164" s="257"/>
      <c r="T164" s="17"/>
      <c r="U164" s="17"/>
      <c r="Y164" s="17"/>
      <c r="AE164" s="17"/>
      <c r="AG164" s="17"/>
      <c r="AH164" s="17"/>
    </row>
    <row r="165" spans="1:34">
      <c r="A165" s="17"/>
      <c r="B165" s="17"/>
      <c r="D165" s="257"/>
      <c r="E165" s="257"/>
      <c r="F165" s="269"/>
      <c r="H165" s="17"/>
      <c r="J165" s="257"/>
      <c r="K165" s="17"/>
      <c r="M165" s="257"/>
      <c r="N165" s="257"/>
      <c r="O165" s="257"/>
      <c r="P165" s="257"/>
      <c r="Q165" s="257"/>
      <c r="R165" s="257"/>
      <c r="S165" s="257"/>
      <c r="T165" s="17"/>
      <c r="U165" s="17"/>
      <c r="Y165" s="17"/>
      <c r="AE165" s="17"/>
      <c r="AG165" s="17"/>
      <c r="AH165" s="17"/>
    </row>
    <row r="166" spans="1:34">
      <c r="A166" s="17"/>
      <c r="B166" s="17"/>
      <c r="D166" s="257"/>
      <c r="E166" s="257"/>
      <c r="F166" s="269"/>
      <c r="H166" s="17"/>
      <c r="J166" s="257"/>
      <c r="K166" s="17"/>
      <c r="M166" s="257"/>
      <c r="N166" s="257"/>
      <c r="O166" s="257"/>
      <c r="P166" s="257"/>
      <c r="Q166" s="257"/>
      <c r="R166" s="257"/>
      <c r="S166" s="257"/>
      <c r="T166" s="17"/>
      <c r="U166" s="17"/>
      <c r="Y166" s="17"/>
      <c r="AE166" s="17"/>
      <c r="AG166" s="17"/>
      <c r="AH166" s="17"/>
    </row>
    <row r="167" spans="1:34">
      <c r="A167" s="17"/>
      <c r="B167" s="17"/>
      <c r="D167" s="257"/>
      <c r="E167" s="257"/>
      <c r="F167" s="269"/>
      <c r="H167" s="17"/>
      <c r="J167" s="257"/>
      <c r="K167" s="17"/>
      <c r="M167" s="257"/>
      <c r="N167" s="257"/>
      <c r="O167" s="257"/>
      <c r="P167" s="257"/>
      <c r="Q167" s="257"/>
      <c r="R167" s="257"/>
      <c r="S167" s="257"/>
      <c r="T167" s="17"/>
      <c r="U167" s="17"/>
      <c r="Y167" s="17"/>
      <c r="AE167" s="17"/>
      <c r="AG167" s="17"/>
      <c r="AH167" s="17"/>
    </row>
    <row r="168" spans="1:34">
      <c r="A168" s="17"/>
      <c r="B168" s="17"/>
      <c r="D168" s="257"/>
      <c r="E168" s="257"/>
      <c r="F168" s="269"/>
      <c r="H168" s="17"/>
      <c r="J168" s="257"/>
      <c r="K168" s="17"/>
      <c r="M168" s="257"/>
      <c r="N168" s="257"/>
      <c r="O168" s="257"/>
      <c r="P168" s="257"/>
      <c r="Q168" s="257"/>
      <c r="R168" s="257"/>
      <c r="S168" s="257"/>
      <c r="T168" s="17"/>
      <c r="U168" s="17"/>
      <c r="Y168" s="17"/>
      <c r="AE168" s="17"/>
      <c r="AG168" s="17"/>
      <c r="AH168" s="17"/>
    </row>
    <row r="169" spans="1:34">
      <c r="A169" s="17"/>
      <c r="B169" s="17"/>
      <c r="D169" s="257"/>
      <c r="E169" s="257"/>
      <c r="F169" s="269"/>
      <c r="H169" s="17"/>
      <c r="J169" s="257"/>
      <c r="K169" s="17"/>
      <c r="M169" s="257"/>
      <c r="N169" s="257"/>
      <c r="O169" s="257"/>
      <c r="P169" s="257"/>
      <c r="Q169" s="257"/>
      <c r="R169" s="257"/>
      <c r="S169" s="257"/>
      <c r="T169" s="17"/>
      <c r="U169" s="17"/>
      <c r="Y169" s="17"/>
      <c r="AE169" s="17"/>
      <c r="AG169" s="17"/>
      <c r="AH169" s="17"/>
    </row>
    <row r="170" spans="1:34">
      <c r="A170" s="17"/>
      <c r="B170" s="17"/>
      <c r="D170" s="257"/>
      <c r="E170" s="257"/>
      <c r="F170" s="269"/>
      <c r="H170" s="17"/>
      <c r="J170" s="257"/>
      <c r="K170" s="17"/>
      <c r="M170" s="257"/>
      <c r="N170" s="257"/>
      <c r="O170" s="257"/>
      <c r="P170" s="257"/>
      <c r="Q170" s="257"/>
      <c r="R170" s="257"/>
      <c r="S170" s="257"/>
      <c r="T170" s="17"/>
      <c r="U170" s="17"/>
      <c r="Y170" s="17"/>
      <c r="AE170" s="17"/>
      <c r="AG170" s="17"/>
      <c r="AH170" s="17"/>
    </row>
    <row r="171" spans="1:34">
      <c r="A171" s="17"/>
      <c r="B171" s="17"/>
      <c r="D171" s="257"/>
      <c r="E171" s="257"/>
      <c r="F171" s="269"/>
      <c r="H171" s="17"/>
      <c r="J171" s="257"/>
      <c r="K171" s="17"/>
      <c r="M171" s="257"/>
      <c r="N171" s="257"/>
      <c r="O171" s="257"/>
      <c r="P171" s="257"/>
      <c r="Q171" s="257"/>
      <c r="R171" s="257"/>
      <c r="S171" s="257"/>
      <c r="T171" s="17"/>
      <c r="U171" s="17"/>
      <c r="Y171" s="17"/>
      <c r="AE171" s="17"/>
      <c r="AG171" s="17"/>
      <c r="AH171" s="17"/>
    </row>
    <row r="172" spans="1:34">
      <c r="A172" s="17"/>
      <c r="B172" s="17"/>
      <c r="D172" s="257"/>
      <c r="E172" s="257"/>
      <c r="F172" s="269"/>
      <c r="H172" s="17"/>
      <c r="J172" s="257"/>
      <c r="K172" s="17"/>
      <c r="M172" s="257"/>
      <c r="N172" s="257"/>
      <c r="O172" s="257"/>
      <c r="P172" s="257"/>
      <c r="Q172" s="257"/>
      <c r="R172" s="257"/>
      <c r="S172" s="257"/>
      <c r="T172" s="17"/>
      <c r="U172" s="17"/>
      <c r="Y172" s="17"/>
      <c r="AE172" s="17"/>
      <c r="AG172" s="17"/>
      <c r="AH172" s="17"/>
    </row>
    <row r="173" spans="1:34">
      <c r="A173" s="17"/>
      <c r="B173" s="17"/>
      <c r="D173" s="257"/>
      <c r="E173" s="257"/>
      <c r="F173" s="269"/>
      <c r="H173" s="17"/>
      <c r="J173" s="257"/>
      <c r="K173" s="17"/>
      <c r="M173" s="257"/>
      <c r="N173" s="257"/>
      <c r="O173" s="257"/>
      <c r="P173" s="257"/>
      <c r="Q173" s="257"/>
      <c r="R173" s="257"/>
      <c r="S173" s="257"/>
      <c r="T173" s="17"/>
      <c r="U173" s="17"/>
      <c r="Y173" s="17"/>
      <c r="AE173" s="17"/>
      <c r="AG173" s="17"/>
      <c r="AH173" s="17"/>
    </row>
    <row r="174" spans="1:34">
      <c r="A174" s="17"/>
      <c r="B174" s="17"/>
      <c r="D174" s="257"/>
      <c r="E174" s="257"/>
      <c r="F174" s="269"/>
      <c r="H174" s="17"/>
      <c r="J174" s="257"/>
      <c r="K174" s="17"/>
      <c r="M174" s="257"/>
      <c r="N174" s="257"/>
      <c r="O174" s="257"/>
      <c r="P174" s="257"/>
      <c r="Q174" s="257"/>
      <c r="R174" s="257"/>
      <c r="S174" s="257"/>
      <c r="T174" s="17"/>
      <c r="U174" s="17"/>
      <c r="Y174" s="17"/>
      <c r="AE174" s="17"/>
      <c r="AG174" s="17"/>
      <c r="AH174" s="17"/>
    </row>
    <row r="175" spans="1:34">
      <c r="A175" s="17"/>
      <c r="B175" s="17"/>
      <c r="D175" s="257"/>
      <c r="E175" s="257"/>
      <c r="F175" s="269"/>
      <c r="H175" s="17"/>
      <c r="J175" s="257"/>
      <c r="K175" s="17"/>
      <c r="M175" s="257"/>
      <c r="N175" s="257"/>
      <c r="O175" s="257"/>
      <c r="P175" s="257"/>
      <c r="Q175" s="257"/>
      <c r="R175" s="257"/>
      <c r="S175" s="257"/>
      <c r="T175" s="17"/>
      <c r="U175" s="17"/>
      <c r="Y175" s="17"/>
      <c r="AE175" s="17"/>
      <c r="AG175" s="17"/>
      <c r="AH175" s="17"/>
    </row>
    <row r="176" spans="1:34">
      <c r="A176" s="17"/>
      <c r="B176" s="17"/>
      <c r="D176" s="257"/>
      <c r="E176" s="257"/>
      <c r="F176" s="269"/>
      <c r="H176" s="17"/>
      <c r="J176" s="257"/>
      <c r="K176" s="17"/>
      <c r="M176" s="257"/>
      <c r="N176" s="257"/>
      <c r="O176" s="257"/>
      <c r="P176" s="257"/>
      <c r="Q176" s="257"/>
      <c r="R176" s="257"/>
      <c r="S176" s="257"/>
      <c r="T176" s="17"/>
      <c r="U176" s="17"/>
      <c r="Y176" s="17"/>
      <c r="AE176" s="17"/>
      <c r="AG176" s="17"/>
      <c r="AH176" s="17"/>
    </row>
    <row r="177" spans="1:34">
      <c r="A177" s="17"/>
      <c r="B177" s="17"/>
      <c r="D177" s="257"/>
      <c r="E177" s="257"/>
      <c r="F177" s="269"/>
      <c r="H177" s="17"/>
      <c r="J177" s="257"/>
      <c r="K177" s="17"/>
      <c r="M177" s="257"/>
      <c r="N177" s="257"/>
      <c r="O177" s="257"/>
      <c r="P177" s="257"/>
      <c r="Q177" s="257"/>
      <c r="R177" s="257"/>
      <c r="S177" s="257"/>
      <c r="T177" s="17"/>
      <c r="U177" s="17"/>
      <c r="Y177" s="17"/>
      <c r="AE177" s="17"/>
      <c r="AG177" s="17"/>
      <c r="AH177" s="17"/>
    </row>
    <row r="178" spans="1:34">
      <c r="A178" s="17"/>
      <c r="B178" s="17"/>
      <c r="D178" s="257"/>
      <c r="E178" s="257"/>
      <c r="F178" s="269"/>
      <c r="H178" s="17"/>
      <c r="J178" s="257"/>
      <c r="K178" s="17"/>
      <c r="M178" s="257"/>
      <c r="N178" s="257"/>
      <c r="O178" s="257"/>
      <c r="P178" s="257"/>
      <c r="Q178" s="257"/>
      <c r="R178" s="257"/>
      <c r="S178" s="257"/>
      <c r="T178" s="17"/>
      <c r="U178" s="17"/>
      <c r="Y178" s="17"/>
      <c r="AE178" s="17"/>
      <c r="AG178" s="17"/>
      <c r="AH178" s="17"/>
    </row>
    <row r="179" spans="1:34">
      <c r="A179" s="17"/>
      <c r="B179" s="17"/>
      <c r="D179" s="257"/>
      <c r="E179" s="257"/>
      <c r="F179" s="269"/>
      <c r="H179" s="17"/>
      <c r="J179" s="257"/>
      <c r="K179" s="17"/>
      <c r="M179" s="257"/>
      <c r="N179" s="257"/>
      <c r="O179" s="257"/>
      <c r="P179" s="257"/>
      <c r="Q179" s="257"/>
      <c r="R179" s="257"/>
      <c r="S179" s="257"/>
      <c r="T179" s="17"/>
      <c r="U179" s="17"/>
      <c r="Y179" s="17"/>
      <c r="AE179" s="17"/>
      <c r="AG179" s="17"/>
      <c r="AH179" s="17"/>
    </row>
    <row r="180" spans="1:34">
      <c r="A180" s="17"/>
      <c r="B180" s="17"/>
      <c r="D180" s="257"/>
      <c r="E180" s="257"/>
      <c r="F180" s="269"/>
      <c r="H180" s="17"/>
      <c r="J180" s="257"/>
      <c r="K180" s="17"/>
      <c r="M180" s="257"/>
      <c r="N180" s="257"/>
      <c r="O180" s="257"/>
      <c r="P180" s="257"/>
      <c r="Q180" s="257"/>
      <c r="R180" s="257"/>
      <c r="S180" s="257"/>
      <c r="T180" s="17"/>
      <c r="U180" s="17"/>
      <c r="Y180" s="17"/>
      <c r="AE180" s="17"/>
      <c r="AG180" s="17"/>
      <c r="AH180" s="17"/>
    </row>
    <row r="181" spans="1:34">
      <c r="A181" s="17"/>
      <c r="B181" s="17"/>
      <c r="D181" s="257"/>
      <c r="E181" s="257"/>
      <c r="F181" s="269"/>
      <c r="H181" s="17"/>
      <c r="J181" s="257"/>
      <c r="K181" s="17"/>
      <c r="M181" s="257"/>
      <c r="N181" s="257"/>
      <c r="O181" s="257"/>
      <c r="P181" s="257"/>
      <c r="Q181" s="257"/>
      <c r="R181" s="257"/>
      <c r="S181" s="257"/>
      <c r="T181" s="17"/>
      <c r="U181" s="17"/>
      <c r="Y181" s="17"/>
      <c r="AE181" s="17"/>
      <c r="AG181" s="17"/>
      <c r="AH181" s="17"/>
    </row>
    <row r="182" spans="1:34">
      <c r="A182" s="17"/>
      <c r="B182" s="17"/>
      <c r="D182" s="257"/>
      <c r="E182" s="257"/>
      <c r="F182" s="269"/>
      <c r="H182" s="17"/>
      <c r="J182" s="257"/>
      <c r="K182" s="17"/>
      <c r="M182" s="257"/>
      <c r="N182" s="257"/>
      <c r="O182" s="257"/>
      <c r="P182" s="257"/>
      <c r="Q182" s="257"/>
      <c r="R182" s="257"/>
      <c r="S182" s="257"/>
      <c r="T182" s="17"/>
      <c r="U182" s="17"/>
      <c r="Y182" s="17"/>
      <c r="AE182" s="17"/>
      <c r="AG182" s="17"/>
      <c r="AH182" s="17"/>
    </row>
    <row r="183" spans="1:34">
      <c r="A183" s="17"/>
      <c r="B183" s="17"/>
      <c r="D183" s="257"/>
      <c r="E183" s="257"/>
      <c r="F183" s="269"/>
      <c r="H183" s="17"/>
      <c r="J183" s="257"/>
      <c r="K183" s="17"/>
      <c r="M183" s="257"/>
      <c r="N183" s="257"/>
      <c r="O183" s="257"/>
      <c r="P183" s="257"/>
      <c r="Q183" s="257"/>
      <c r="R183" s="257"/>
      <c r="S183" s="257"/>
      <c r="T183" s="17"/>
      <c r="U183" s="17"/>
      <c r="Y183" s="17"/>
      <c r="AE183" s="17"/>
      <c r="AG183" s="17"/>
      <c r="AH183" s="17"/>
    </row>
    <row r="184" spans="1:34">
      <c r="A184" s="17"/>
      <c r="B184" s="17"/>
      <c r="D184" s="257"/>
      <c r="E184" s="257"/>
      <c r="F184" s="269"/>
      <c r="H184" s="17"/>
      <c r="J184" s="257"/>
      <c r="K184" s="17"/>
      <c r="M184" s="257"/>
      <c r="N184" s="257"/>
      <c r="O184" s="257"/>
      <c r="P184" s="257"/>
      <c r="Q184" s="257"/>
      <c r="R184" s="257"/>
      <c r="S184" s="257"/>
      <c r="T184" s="17"/>
      <c r="U184" s="17"/>
      <c r="Y184" s="17"/>
      <c r="AE184" s="17"/>
      <c r="AG184" s="17"/>
      <c r="AH184" s="17"/>
    </row>
    <row r="185" spans="1:34">
      <c r="A185" s="17"/>
      <c r="B185" s="17"/>
      <c r="D185" s="257"/>
      <c r="E185" s="257"/>
      <c r="F185" s="269"/>
      <c r="H185" s="17"/>
      <c r="J185" s="257"/>
      <c r="K185" s="17"/>
      <c r="M185" s="257"/>
      <c r="N185" s="257"/>
      <c r="O185" s="257"/>
      <c r="P185" s="257"/>
      <c r="Q185" s="257"/>
      <c r="R185" s="257"/>
      <c r="S185" s="257"/>
      <c r="T185" s="17"/>
      <c r="U185" s="17"/>
      <c r="Y185" s="17"/>
      <c r="AE185" s="17"/>
      <c r="AG185" s="17"/>
      <c r="AH185" s="17"/>
    </row>
    <row r="186" spans="1:34">
      <c r="A186" s="17"/>
      <c r="B186" s="17"/>
      <c r="D186" s="257"/>
      <c r="E186" s="257"/>
      <c r="F186" s="269"/>
      <c r="H186" s="17"/>
      <c r="J186" s="257"/>
      <c r="K186" s="17"/>
      <c r="M186" s="257"/>
      <c r="N186" s="257"/>
      <c r="O186" s="257"/>
      <c r="P186" s="257"/>
      <c r="Q186" s="257"/>
      <c r="R186" s="257"/>
      <c r="S186" s="257"/>
      <c r="T186" s="17"/>
      <c r="U186" s="17"/>
      <c r="Y186" s="17"/>
      <c r="AE186" s="17"/>
      <c r="AG186" s="17"/>
      <c r="AH186" s="17"/>
    </row>
    <row r="187" spans="1:34">
      <c r="A187" s="17"/>
      <c r="B187" s="17"/>
      <c r="D187" s="257"/>
      <c r="E187" s="257"/>
      <c r="F187" s="269"/>
      <c r="H187" s="17"/>
      <c r="J187" s="257"/>
      <c r="K187" s="17"/>
      <c r="M187" s="257"/>
      <c r="N187" s="257"/>
      <c r="O187" s="257"/>
      <c r="P187" s="257"/>
      <c r="Q187" s="257"/>
      <c r="R187" s="257"/>
      <c r="S187" s="257"/>
      <c r="T187" s="17"/>
      <c r="U187" s="17"/>
      <c r="Y187" s="17"/>
      <c r="AE187" s="17"/>
      <c r="AG187" s="17"/>
      <c r="AH187" s="17"/>
    </row>
    <row r="188" spans="1:34">
      <c r="A188" s="17"/>
      <c r="B188" s="17"/>
      <c r="D188" s="257"/>
      <c r="E188" s="257"/>
      <c r="F188" s="269"/>
      <c r="H188" s="17"/>
      <c r="J188" s="257"/>
      <c r="K188" s="17"/>
      <c r="M188" s="257"/>
      <c r="N188" s="257"/>
      <c r="O188" s="257"/>
      <c r="P188" s="257"/>
      <c r="Q188" s="257"/>
      <c r="R188" s="257"/>
      <c r="S188" s="257"/>
      <c r="T188" s="17"/>
      <c r="U188" s="17"/>
      <c r="Y188" s="17"/>
      <c r="AE188" s="17"/>
      <c r="AG188" s="17"/>
      <c r="AH188" s="17"/>
    </row>
    <row r="189" spans="1:34">
      <c r="A189" s="17"/>
      <c r="B189" s="17"/>
      <c r="D189" s="257"/>
      <c r="E189" s="257"/>
      <c r="F189" s="269"/>
      <c r="H189" s="17"/>
      <c r="J189" s="257"/>
      <c r="K189" s="17"/>
      <c r="M189" s="257"/>
      <c r="N189" s="257"/>
      <c r="O189" s="257"/>
      <c r="P189" s="257"/>
      <c r="Q189" s="257"/>
      <c r="R189" s="257"/>
      <c r="S189" s="257"/>
      <c r="T189" s="17"/>
      <c r="U189" s="17"/>
      <c r="Y189" s="17"/>
      <c r="AE189" s="17"/>
      <c r="AG189" s="17"/>
      <c r="AH189" s="17"/>
    </row>
    <row r="190" spans="1:34">
      <c r="A190" s="17"/>
      <c r="B190" s="17"/>
      <c r="D190" s="257"/>
      <c r="E190" s="257"/>
      <c r="F190" s="269"/>
      <c r="H190" s="17"/>
      <c r="J190" s="257"/>
      <c r="K190" s="17"/>
      <c r="M190" s="257"/>
      <c r="N190" s="257"/>
      <c r="O190" s="257"/>
      <c r="P190" s="257"/>
      <c r="Q190" s="257"/>
      <c r="R190" s="257"/>
      <c r="S190" s="257"/>
      <c r="T190" s="17"/>
      <c r="U190" s="17"/>
      <c r="Y190" s="17"/>
      <c r="AE190" s="17"/>
      <c r="AG190" s="17"/>
      <c r="AH190" s="17"/>
    </row>
    <row r="191" spans="1:34">
      <c r="A191" s="17"/>
      <c r="B191" s="17"/>
      <c r="D191" s="257"/>
      <c r="E191" s="257"/>
      <c r="F191" s="269"/>
      <c r="H191" s="17"/>
      <c r="J191" s="257"/>
      <c r="K191" s="17"/>
      <c r="M191" s="257"/>
      <c r="N191" s="257"/>
      <c r="O191" s="257"/>
      <c r="P191" s="257"/>
      <c r="Q191" s="257"/>
      <c r="R191" s="257"/>
      <c r="S191" s="257"/>
      <c r="T191" s="17"/>
      <c r="U191" s="17"/>
      <c r="Y191" s="17"/>
      <c r="AE191" s="17"/>
      <c r="AG191" s="17"/>
      <c r="AH191" s="17"/>
    </row>
    <row r="192" spans="1:34">
      <c r="A192" s="17"/>
      <c r="B192" s="17"/>
      <c r="D192" s="257"/>
      <c r="E192" s="257"/>
      <c r="F192" s="269"/>
      <c r="H192" s="17"/>
      <c r="J192" s="257"/>
      <c r="K192" s="17"/>
      <c r="M192" s="257"/>
      <c r="N192" s="257"/>
      <c r="O192" s="257"/>
      <c r="P192" s="257"/>
      <c r="Q192" s="257"/>
      <c r="R192" s="257"/>
      <c r="S192" s="257"/>
      <c r="T192" s="17"/>
      <c r="U192" s="17"/>
      <c r="Y192" s="17"/>
      <c r="AE192" s="17"/>
      <c r="AG192" s="17"/>
      <c r="AH192" s="17"/>
    </row>
    <row r="193" spans="1:34">
      <c r="A193" s="17"/>
      <c r="B193" s="17"/>
      <c r="D193" s="257"/>
      <c r="E193" s="257"/>
      <c r="F193" s="269"/>
      <c r="H193" s="17"/>
      <c r="J193" s="257"/>
      <c r="K193" s="17"/>
      <c r="M193" s="257"/>
      <c r="N193" s="257"/>
      <c r="O193" s="257"/>
      <c r="P193" s="257"/>
      <c r="Q193" s="257"/>
      <c r="R193" s="257"/>
      <c r="S193" s="257"/>
      <c r="T193" s="17"/>
      <c r="U193" s="17"/>
      <c r="Y193" s="17"/>
      <c r="AE193" s="17"/>
      <c r="AG193" s="17"/>
      <c r="AH193" s="17"/>
    </row>
    <row r="194" spans="1:34">
      <c r="A194" s="17"/>
      <c r="B194" s="17"/>
      <c r="D194" s="257"/>
      <c r="E194" s="257"/>
      <c r="F194" s="269"/>
      <c r="H194" s="17"/>
      <c r="J194" s="257"/>
      <c r="K194" s="17"/>
      <c r="M194" s="257"/>
      <c r="N194" s="257"/>
      <c r="O194" s="257"/>
      <c r="P194" s="257"/>
      <c r="Q194" s="257"/>
      <c r="R194" s="257"/>
      <c r="S194" s="257"/>
      <c r="T194" s="17"/>
      <c r="U194" s="17"/>
      <c r="Y194" s="17"/>
      <c r="AE194" s="17"/>
      <c r="AG194" s="17"/>
      <c r="AH194" s="17"/>
    </row>
    <row r="195" spans="1:34">
      <c r="A195" s="17"/>
      <c r="B195" s="17"/>
      <c r="D195" s="257"/>
      <c r="E195" s="257"/>
      <c r="F195" s="269"/>
      <c r="H195" s="17"/>
      <c r="J195" s="257"/>
      <c r="K195" s="17"/>
      <c r="M195" s="257"/>
      <c r="N195" s="257"/>
      <c r="O195" s="257"/>
      <c r="P195" s="257"/>
      <c r="Q195" s="257"/>
      <c r="R195" s="257"/>
      <c r="S195" s="257"/>
      <c r="T195" s="17"/>
      <c r="U195" s="17"/>
      <c r="Y195" s="17"/>
      <c r="AE195" s="17"/>
      <c r="AG195" s="17"/>
      <c r="AH195" s="17"/>
    </row>
    <row r="196" spans="1:34">
      <c r="A196" s="17"/>
      <c r="B196" s="17"/>
      <c r="D196" s="257"/>
      <c r="E196" s="257"/>
      <c r="F196" s="269"/>
      <c r="H196" s="17"/>
      <c r="J196" s="257"/>
      <c r="K196" s="17"/>
      <c r="M196" s="257"/>
      <c r="N196" s="257"/>
      <c r="O196" s="257"/>
      <c r="P196" s="257"/>
      <c r="Q196" s="257"/>
      <c r="R196" s="257"/>
      <c r="S196" s="257"/>
      <c r="T196" s="17"/>
      <c r="U196" s="17"/>
      <c r="Y196" s="17"/>
      <c r="AE196" s="17"/>
      <c r="AG196" s="17"/>
      <c r="AH196" s="17"/>
    </row>
    <row r="197" spans="1:34">
      <c r="A197" s="17"/>
      <c r="B197" s="17"/>
      <c r="D197" s="257"/>
      <c r="E197" s="257"/>
      <c r="F197" s="269"/>
      <c r="H197" s="17"/>
      <c r="J197" s="257"/>
      <c r="K197" s="17"/>
      <c r="M197" s="257"/>
      <c r="N197" s="257"/>
      <c r="O197" s="257"/>
      <c r="P197" s="257"/>
      <c r="Q197" s="257"/>
      <c r="R197" s="257"/>
      <c r="S197" s="257"/>
      <c r="T197" s="17"/>
      <c r="U197" s="17"/>
      <c r="Y197" s="17"/>
      <c r="AE197" s="17"/>
      <c r="AG197" s="17"/>
      <c r="AH197" s="17"/>
    </row>
    <row r="198" spans="1:34">
      <c r="A198" s="17"/>
      <c r="B198" s="17"/>
      <c r="D198" s="257"/>
      <c r="E198" s="257"/>
      <c r="F198" s="269"/>
      <c r="H198" s="17"/>
      <c r="J198" s="257"/>
      <c r="K198" s="17"/>
      <c r="M198" s="257"/>
      <c r="N198" s="257"/>
      <c r="O198" s="257"/>
      <c r="P198" s="257"/>
      <c r="Q198" s="257"/>
      <c r="R198" s="257"/>
      <c r="S198" s="257"/>
      <c r="T198" s="17"/>
      <c r="U198" s="17"/>
      <c r="Y198" s="17"/>
      <c r="AE198" s="17"/>
      <c r="AG198" s="17"/>
      <c r="AH198" s="17"/>
    </row>
    <row r="199" spans="1:34">
      <c r="A199" s="17"/>
      <c r="B199" s="17"/>
      <c r="D199" s="257"/>
      <c r="E199" s="257"/>
      <c r="F199" s="269"/>
      <c r="H199" s="17"/>
      <c r="J199" s="257"/>
      <c r="K199" s="17"/>
      <c r="M199" s="257"/>
      <c r="N199" s="257"/>
      <c r="O199" s="257"/>
      <c r="P199" s="257"/>
      <c r="Q199" s="257"/>
      <c r="R199" s="257"/>
      <c r="S199" s="257"/>
      <c r="T199" s="17"/>
      <c r="U199" s="17"/>
      <c r="Y199" s="17"/>
      <c r="AE199" s="17"/>
      <c r="AG199" s="17"/>
      <c r="AH199" s="17"/>
    </row>
    <row r="200" spans="1:34">
      <c r="A200" s="17"/>
      <c r="B200" s="17"/>
      <c r="D200" s="257"/>
      <c r="E200" s="257"/>
      <c r="F200" s="269"/>
      <c r="H200" s="17"/>
      <c r="J200" s="257"/>
      <c r="K200" s="17"/>
      <c r="M200" s="257"/>
      <c r="N200" s="257"/>
      <c r="O200" s="257"/>
      <c r="P200" s="257"/>
      <c r="Q200" s="257"/>
      <c r="R200" s="257"/>
      <c r="S200" s="257"/>
      <c r="T200" s="17"/>
      <c r="U200" s="17"/>
      <c r="Y200" s="17"/>
      <c r="AE200" s="17"/>
      <c r="AG200" s="17"/>
      <c r="AH200" s="17"/>
    </row>
    <row r="201" spans="1:34">
      <c r="A201" s="17"/>
      <c r="B201" s="17"/>
      <c r="D201" s="257"/>
      <c r="E201" s="257"/>
      <c r="F201" s="269"/>
      <c r="H201" s="17"/>
      <c r="J201" s="257"/>
      <c r="K201" s="17"/>
      <c r="M201" s="257"/>
      <c r="N201" s="257"/>
      <c r="O201" s="257"/>
      <c r="P201" s="257"/>
      <c r="Q201" s="257"/>
      <c r="R201" s="257"/>
      <c r="S201" s="257"/>
      <c r="T201" s="17"/>
      <c r="U201" s="17"/>
      <c r="Y201" s="17"/>
      <c r="AE201" s="17"/>
      <c r="AG201" s="17"/>
      <c r="AH201" s="17"/>
    </row>
    <row r="202" spans="1:34">
      <c r="A202" s="17"/>
      <c r="B202" s="17"/>
      <c r="D202" s="257"/>
      <c r="E202" s="257"/>
      <c r="F202" s="269"/>
      <c r="H202" s="17"/>
      <c r="J202" s="257"/>
      <c r="K202" s="17"/>
      <c r="M202" s="257"/>
      <c r="N202" s="257"/>
      <c r="O202" s="257"/>
      <c r="P202" s="257"/>
      <c r="Q202" s="257"/>
      <c r="R202" s="257"/>
      <c r="S202" s="257"/>
      <c r="T202" s="17"/>
      <c r="U202" s="17"/>
      <c r="Y202" s="17"/>
      <c r="AE202" s="17"/>
      <c r="AG202" s="17"/>
      <c r="AH202" s="17"/>
    </row>
    <row r="203" spans="1:34">
      <c r="A203" s="17"/>
      <c r="B203" s="17"/>
      <c r="D203" s="257"/>
      <c r="E203" s="257"/>
      <c r="F203" s="269"/>
      <c r="H203" s="17"/>
      <c r="J203" s="257"/>
      <c r="K203" s="17"/>
      <c r="M203" s="257"/>
      <c r="N203" s="257"/>
      <c r="O203" s="257"/>
      <c r="P203" s="257"/>
      <c r="Q203" s="257"/>
      <c r="R203" s="257"/>
      <c r="S203" s="257"/>
      <c r="T203" s="17"/>
      <c r="U203" s="17"/>
      <c r="Y203" s="17"/>
      <c r="AE203" s="17"/>
      <c r="AG203" s="17"/>
      <c r="AH203" s="17"/>
    </row>
    <row r="204" spans="1:34">
      <c r="A204" s="17"/>
      <c r="B204" s="17"/>
      <c r="D204" s="257"/>
      <c r="E204" s="257"/>
      <c r="F204" s="269"/>
      <c r="H204" s="17"/>
      <c r="J204" s="257"/>
      <c r="K204" s="17"/>
      <c r="M204" s="257"/>
      <c r="N204" s="257"/>
      <c r="O204" s="257"/>
      <c r="P204" s="257"/>
      <c r="Q204" s="257"/>
      <c r="R204" s="257"/>
      <c r="S204" s="257"/>
      <c r="T204" s="17"/>
      <c r="U204" s="17"/>
      <c r="Y204" s="17"/>
      <c r="AE204" s="17"/>
      <c r="AG204" s="17"/>
      <c r="AH204" s="17"/>
    </row>
    <row r="205" spans="1:34">
      <c r="A205" s="17"/>
      <c r="B205" s="17"/>
      <c r="D205" s="257"/>
      <c r="E205" s="257"/>
      <c r="F205" s="269"/>
      <c r="H205" s="17"/>
      <c r="J205" s="257"/>
      <c r="K205" s="17"/>
      <c r="M205" s="257"/>
      <c r="N205" s="257"/>
      <c r="O205" s="257"/>
      <c r="P205" s="257"/>
      <c r="Q205" s="257"/>
      <c r="R205" s="257"/>
      <c r="S205" s="257"/>
      <c r="T205" s="17"/>
      <c r="U205" s="17"/>
      <c r="Y205" s="17"/>
      <c r="AE205" s="17"/>
      <c r="AG205" s="17"/>
      <c r="AH205" s="17"/>
    </row>
    <row r="206" spans="1:34">
      <c r="A206" s="17"/>
      <c r="B206" s="17"/>
      <c r="D206" s="257"/>
      <c r="E206" s="257"/>
      <c r="F206" s="269"/>
      <c r="H206" s="17"/>
      <c r="J206" s="257"/>
      <c r="K206" s="17"/>
      <c r="M206" s="257"/>
      <c r="N206" s="257"/>
      <c r="O206" s="257"/>
      <c r="P206" s="257"/>
      <c r="Q206" s="257"/>
      <c r="R206" s="257"/>
      <c r="S206" s="257"/>
      <c r="T206" s="17"/>
      <c r="U206" s="17"/>
      <c r="Y206" s="17"/>
      <c r="AE206" s="17"/>
      <c r="AG206" s="17"/>
      <c r="AH206" s="17"/>
    </row>
    <row r="207" spans="1:34">
      <c r="A207" s="17"/>
      <c r="B207" s="17"/>
      <c r="D207" s="257"/>
      <c r="E207" s="257"/>
      <c r="F207" s="269"/>
      <c r="H207" s="17"/>
      <c r="J207" s="257"/>
      <c r="K207" s="17"/>
      <c r="M207" s="257"/>
      <c r="N207" s="257"/>
      <c r="O207" s="257"/>
      <c r="P207" s="257"/>
      <c r="Q207" s="257"/>
      <c r="R207" s="257"/>
      <c r="S207" s="257"/>
      <c r="T207" s="17"/>
      <c r="U207" s="17"/>
      <c r="Y207" s="17"/>
      <c r="AE207" s="17"/>
      <c r="AG207" s="17"/>
      <c r="AH207" s="17"/>
    </row>
    <row r="208" spans="1:34">
      <c r="A208" s="17"/>
      <c r="B208" s="17"/>
      <c r="D208" s="257"/>
      <c r="E208" s="257"/>
      <c r="F208" s="269"/>
      <c r="H208" s="17"/>
      <c r="J208" s="257"/>
      <c r="K208" s="17"/>
      <c r="M208" s="257"/>
      <c r="N208" s="257"/>
      <c r="O208" s="257"/>
      <c r="P208" s="257"/>
      <c r="Q208" s="257"/>
      <c r="R208" s="257"/>
      <c r="S208" s="257"/>
      <c r="T208" s="17"/>
      <c r="U208" s="17"/>
      <c r="Y208" s="17"/>
      <c r="AE208" s="17"/>
      <c r="AG208" s="17"/>
      <c r="AH208" s="17"/>
    </row>
    <row r="209" spans="1:34">
      <c r="A209" s="17"/>
      <c r="B209" s="17"/>
      <c r="D209" s="257"/>
      <c r="E209" s="257"/>
      <c r="F209" s="269"/>
      <c r="H209" s="17"/>
      <c r="J209" s="257"/>
      <c r="K209" s="17"/>
      <c r="M209" s="257"/>
      <c r="N209" s="257"/>
      <c r="O209" s="257"/>
      <c r="P209" s="257"/>
      <c r="Q209" s="257"/>
      <c r="R209" s="257"/>
      <c r="S209" s="257"/>
      <c r="T209" s="17"/>
      <c r="U209" s="17"/>
      <c r="Y209" s="17"/>
      <c r="AE209" s="17"/>
      <c r="AG209" s="17"/>
      <c r="AH209" s="17"/>
    </row>
    <row r="210" spans="1:34">
      <c r="A210" s="17"/>
      <c r="B210" s="17"/>
      <c r="D210" s="257"/>
      <c r="E210" s="257"/>
      <c r="F210" s="269"/>
      <c r="H210" s="17"/>
      <c r="J210" s="257"/>
      <c r="K210" s="17"/>
      <c r="M210" s="257"/>
      <c r="N210" s="257"/>
      <c r="O210" s="257"/>
      <c r="P210" s="257"/>
      <c r="Q210" s="257"/>
      <c r="R210" s="257"/>
      <c r="S210" s="257"/>
      <c r="T210" s="17"/>
      <c r="U210" s="17"/>
      <c r="Y210" s="17"/>
      <c r="AE210" s="17"/>
      <c r="AG210" s="17"/>
      <c r="AH210" s="17"/>
    </row>
    <row r="211" spans="1:34">
      <c r="A211" s="17"/>
      <c r="B211" s="17"/>
      <c r="D211" s="257"/>
      <c r="E211" s="257"/>
      <c r="F211" s="269"/>
      <c r="H211" s="17"/>
      <c r="J211" s="257"/>
      <c r="K211" s="17"/>
      <c r="M211" s="257"/>
      <c r="N211" s="257"/>
      <c r="O211" s="257"/>
      <c r="P211" s="257"/>
      <c r="Q211" s="257"/>
      <c r="R211" s="257"/>
      <c r="S211" s="257"/>
      <c r="T211" s="17"/>
      <c r="U211" s="17"/>
      <c r="Y211" s="17"/>
      <c r="AE211" s="17"/>
      <c r="AG211" s="17"/>
      <c r="AH211" s="17"/>
    </row>
    <row r="212" spans="1:34">
      <c r="A212" s="17"/>
      <c r="B212" s="17"/>
      <c r="D212" s="257"/>
      <c r="E212" s="257"/>
      <c r="F212" s="269"/>
      <c r="H212" s="17"/>
      <c r="J212" s="257"/>
      <c r="K212" s="17"/>
      <c r="M212" s="257"/>
      <c r="N212" s="257"/>
      <c r="O212" s="257"/>
      <c r="P212" s="257"/>
      <c r="Q212" s="257"/>
      <c r="R212" s="257"/>
      <c r="S212" s="257"/>
      <c r="T212" s="17"/>
      <c r="U212" s="17"/>
      <c r="Y212" s="17"/>
      <c r="AE212" s="17"/>
      <c r="AG212" s="17"/>
      <c r="AH212" s="17"/>
    </row>
    <row r="213" spans="1:34">
      <c r="A213" s="17"/>
      <c r="B213" s="17"/>
      <c r="D213" s="257"/>
      <c r="E213" s="257"/>
      <c r="F213" s="269"/>
      <c r="H213" s="17"/>
      <c r="J213" s="257"/>
      <c r="K213" s="17"/>
      <c r="M213" s="257"/>
      <c r="N213" s="257"/>
      <c r="O213" s="257"/>
      <c r="P213" s="257"/>
      <c r="Q213" s="257"/>
      <c r="R213" s="257"/>
      <c r="S213" s="257"/>
      <c r="T213" s="17"/>
      <c r="U213" s="17"/>
      <c r="Y213" s="17"/>
      <c r="AE213" s="17"/>
      <c r="AG213" s="17"/>
      <c r="AH213" s="17"/>
    </row>
    <row r="214" spans="1:34">
      <c r="A214" s="17"/>
      <c r="B214" s="17"/>
      <c r="D214" s="257"/>
      <c r="E214" s="257"/>
      <c r="F214" s="269"/>
      <c r="H214" s="17"/>
      <c r="J214" s="257"/>
      <c r="K214" s="17"/>
      <c r="M214" s="257"/>
      <c r="N214" s="257"/>
      <c r="O214" s="257"/>
      <c r="P214" s="257"/>
      <c r="Q214" s="257"/>
      <c r="R214" s="257"/>
      <c r="S214" s="257"/>
      <c r="T214" s="17"/>
      <c r="U214" s="17"/>
      <c r="Y214" s="17"/>
      <c r="AE214" s="17"/>
      <c r="AG214" s="17"/>
      <c r="AH214" s="17"/>
    </row>
    <row r="215" spans="1:34">
      <c r="A215" s="17"/>
      <c r="B215" s="17"/>
      <c r="D215" s="257"/>
      <c r="E215" s="257"/>
      <c r="F215" s="269"/>
      <c r="H215" s="17"/>
      <c r="J215" s="257"/>
      <c r="K215" s="17"/>
      <c r="M215" s="257"/>
      <c r="N215" s="257"/>
      <c r="O215" s="257"/>
      <c r="P215" s="257"/>
      <c r="Q215" s="257"/>
      <c r="R215" s="257"/>
      <c r="S215" s="257"/>
      <c r="T215" s="17"/>
      <c r="U215" s="17"/>
      <c r="Y215" s="17"/>
      <c r="AE215" s="17"/>
      <c r="AG215" s="17"/>
      <c r="AH215" s="17"/>
    </row>
    <row r="216" spans="1:34">
      <c r="A216" s="17"/>
      <c r="B216" s="17"/>
      <c r="D216" s="257"/>
      <c r="E216" s="257"/>
      <c r="F216" s="269"/>
      <c r="H216" s="17"/>
      <c r="J216" s="257"/>
      <c r="K216" s="17"/>
      <c r="M216" s="257"/>
      <c r="N216" s="257"/>
      <c r="O216" s="257"/>
      <c r="P216" s="257"/>
      <c r="Q216" s="257"/>
      <c r="R216" s="257"/>
      <c r="S216" s="257"/>
      <c r="T216" s="17"/>
      <c r="U216" s="17"/>
      <c r="Y216" s="17"/>
      <c r="AE216" s="17"/>
      <c r="AG216" s="17"/>
      <c r="AH216" s="17"/>
    </row>
    <row r="217" spans="1:34">
      <c r="A217" s="17"/>
      <c r="B217" s="17"/>
      <c r="D217" s="257"/>
      <c r="E217" s="257"/>
      <c r="F217" s="269"/>
      <c r="H217" s="17"/>
      <c r="J217" s="257"/>
      <c r="K217" s="17"/>
      <c r="M217" s="257"/>
      <c r="N217" s="257"/>
      <c r="O217" s="257"/>
      <c r="P217" s="257"/>
      <c r="Q217" s="257"/>
      <c r="R217" s="257"/>
      <c r="S217" s="257"/>
      <c r="T217" s="17"/>
      <c r="U217" s="17"/>
      <c r="Y217" s="17"/>
      <c r="AE217" s="17"/>
      <c r="AG217" s="17"/>
      <c r="AH217" s="17"/>
    </row>
    <row r="218" spans="1:34">
      <c r="A218" s="17"/>
      <c r="B218" s="17"/>
      <c r="D218" s="257"/>
      <c r="E218" s="257"/>
      <c r="F218" s="269"/>
      <c r="H218" s="17"/>
      <c r="J218" s="257"/>
      <c r="K218" s="17"/>
      <c r="M218" s="257"/>
      <c r="N218" s="257"/>
      <c r="O218" s="257"/>
      <c r="P218" s="257"/>
      <c r="Q218" s="257"/>
      <c r="R218" s="257"/>
      <c r="S218" s="257"/>
      <c r="T218" s="17"/>
      <c r="U218" s="17"/>
      <c r="Y218" s="17"/>
      <c r="AE218" s="17"/>
      <c r="AG218" s="17"/>
      <c r="AH218" s="17"/>
    </row>
    <row r="219" spans="1:34">
      <c r="A219" s="17"/>
      <c r="B219" s="17"/>
      <c r="D219" s="257"/>
      <c r="E219" s="257"/>
      <c r="F219" s="269"/>
      <c r="H219" s="17"/>
      <c r="J219" s="257"/>
      <c r="K219" s="17"/>
      <c r="M219" s="257"/>
      <c r="N219" s="257"/>
      <c r="O219" s="257"/>
      <c r="P219" s="257"/>
      <c r="Q219" s="257"/>
      <c r="R219" s="257"/>
      <c r="S219" s="257"/>
      <c r="T219" s="17"/>
      <c r="U219" s="17"/>
      <c r="Y219" s="17"/>
      <c r="AE219" s="17"/>
      <c r="AG219" s="17"/>
      <c r="AH219" s="17"/>
    </row>
    <row r="220" spans="1:34">
      <c r="A220" s="17"/>
      <c r="B220" s="17"/>
      <c r="D220" s="257"/>
      <c r="E220" s="257"/>
      <c r="F220" s="269"/>
      <c r="H220" s="17"/>
      <c r="J220" s="257"/>
      <c r="K220" s="17"/>
      <c r="M220" s="257"/>
      <c r="N220" s="257"/>
      <c r="O220" s="257"/>
      <c r="P220" s="257"/>
      <c r="Q220" s="257"/>
      <c r="R220" s="257"/>
      <c r="S220" s="257"/>
      <c r="T220" s="17"/>
      <c r="U220" s="17"/>
      <c r="Y220" s="17"/>
      <c r="AE220" s="17"/>
      <c r="AG220" s="17"/>
      <c r="AH220" s="17"/>
    </row>
    <row r="221" spans="1:34">
      <c r="A221" s="17"/>
      <c r="B221" s="17"/>
      <c r="D221" s="257"/>
      <c r="E221" s="257"/>
      <c r="F221" s="269"/>
      <c r="H221" s="17"/>
      <c r="J221" s="257"/>
      <c r="K221" s="17"/>
      <c r="M221" s="257"/>
      <c r="N221" s="257"/>
      <c r="O221" s="257"/>
      <c r="P221" s="257"/>
      <c r="Q221" s="257"/>
      <c r="R221" s="257"/>
      <c r="S221" s="257"/>
      <c r="T221" s="17"/>
      <c r="U221" s="17"/>
      <c r="Y221" s="17"/>
      <c r="AE221" s="17"/>
      <c r="AG221" s="17"/>
      <c r="AH221" s="17"/>
    </row>
    <row r="222" spans="1:34">
      <c r="A222" s="17"/>
      <c r="B222" s="17"/>
      <c r="D222" s="257"/>
      <c r="E222" s="257"/>
      <c r="F222" s="269"/>
      <c r="H222" s="17"/>
      <c r="J222" s="257"/>
      <c r="K222" s="17"/>
      <c r="M222" s="257"/>
      <c r="N222" s="257"/>
      <c r="O222" s="257"/>
      <c r="P222" s="257"/>
      <c r="Q222" s="257"/>
      <c r="R222" s="257"/>
      <c r="S222" s="257"/>
      <c r="T222" s="17"/>
      <c r="U222" s="17"/>
      <c r="Y222" s="17"/>
      <c r="AE222" s="17"/>
      <c r="AG222" s="17"/>
      <c r="AH222" s="17"/>
    </row>
    <row r="223" spans="1:34">
      <c r="A223" s="17"/>
      <c r="B223" s="17"/>
      <c r="D223" s="257"/>
      <c r="E223" s="257"/>
      <c r="F223" s="269"/>
      <c r="H223" s="17"/>
      <c r="J223" s="257"/>
      <c r="K223" s="17"/>
      <c r="M223" s="257"/>
      <c r="N223" s="257"/>
      <c r="O223" s="257"/>
      <c r="P223" s="257"/>
      <c r="Q223" s="257"/>
      <c r="R223" s="257"/>
      <c r="S223" s="257"/>
      <c r="T223" s="17"/>
      <c r="U223" s="17"/>
      <c r="Y223" s="17"/>
      <c r="AE223" s="17"/>
      <c r="AG223" s="17"/>
      <c r="AH223" s="17"/>
    </row>
    <row r="224" spans="1:34">
      <c r="A224" s="17"/>
      <c r="B224" s="17"/>
      <c r="D224" s="257"/>
      <c r="E224" s="257"/>
      <c r="F224" s="269"/>
      <c r="H224" s="17"/>
      <c r="J224" s="257"/>
      <c r="K224" s="17"/>
      <c r="M224" s="257"/>
      <c r="N224" s="257"/>
      <c r="O224" s="257"/>
      <c r="P224" s="257"/>
      <c r="Q224" s="257"/>
      <c r="R224" s="257"/>
      <c r="S224" s="257"/>
      <c r="T224" s="17"/>
      <c r="U224" s="17"/>
      <c r="Y224" s="17"/>
      <c r="AE224" s="17"/>
      <c r="AG224" s="17"/>
      <c r="AH224" s="17"/>
    </row>
    <row r="225" spans="1:34">
      <c r="A225" s="17"/>
      <c r="B225" s="17"/>
      <c r="D225" s="257"/>
      <c r="E225" s="257"/>
      <c r="F225" s="269"/>
      <c r="H225" s="17"/>
      <c r="J225" s="257"/>
      <c r="K225" s="17"/>
      <c r="M225" s="257"/>
      <c r="N225" s="257"/>
      <c r="O225" s="257"/>
      <c r="P225" s="257"/>
      <c r="Q225" s="257"/>
      <c r="R225" s="257"/>
      <c r="S225" s="257"/>
      <c r="T225" s="17"/>
      <c r="U225" s="17"/>
      <c r="Y225" s="17"/>
      <c r="AE225" s="17"/>
      <c r="AG225" s="17"/>
      <c r="AH225" s="17"/>
    </row>
    <row r="226" spans="1:34">
      <c r="A226" s="17"/>
      <c r="B226" s="17"/>
      <c r="D226" s="257"/>
      <c r="E226" s="257"/>
      <c r="F226" s="269"/>
      <c r="H226" s="17"/>
      <c r="J226" s="257"/>
      <c r="K226" s="17"/>
      <c r="M226" s="257"/>
      <c r="N226" s="257"/>
      <c r="O226" s="257"/>
      <c r="P226" s="257"/>
      <c r="Q226" s="257"/>
      <c r="R226" s="257"/>
      <c r="S226" s="257"/>
      <c r="T226" s="17"/>
      <c r="U226" s="17"/>
      <c r="Y226" s="17"/>
      <c r="AE226" s="17"/>
      <c r="AG226" s="17"/>
      <c r="AH226" s="17"/>
    </row>
    <row r="227" spans="1:34">
      <c r="A227" s="17"/>
      <c r="B227" s="17"/>
      <c r="D227" s="257"/>
      <c r="E227" s="257"/>
      <c r="F227" s="269"/>
      <c r="H227" s="17"/>
      <c r="J227" s="257"/>
      <c r="K227" s="17"/>
      <c r="M227" s="257"/>
      <c r="N227" s="257"/>
      <c r="O227" s="257"/>
      <c r="P227" s="257"/>
      <c r="Q227" s="257"/>
      <c r="R227" s="257"/>
      <c r="S227" s="257"/>
      <c r="T227" s="17"/>
      <c r="U227" s="17"/>
      <c r="Y227" s="17"/>
      <c r="AE227" s="17"/>
      <c r="AG227" s="17"/>
      <c r="AH227" s="17"/>
    </row>
    <row r="228" spans="1:34">
      <c r="A228" s="17"/>
      <c r="B228" s="17"/>
      <c r="D228" s="257"/>
      <c r="E228" s="257"/>
      <c r="F228" s="269"/>
      <c r="H228" s="17"/>
      <c r="J228" s="257"/>
      <c r="K228" s="17"/>
      <c r="M228" s="257"/>
      <c r="N228" s="257"/>
      <c r="O228" s="257"/>
      <c r="P228" s="257"/>
      <c r="Q228" s="257"/>
      <c r="R228" s="257"/>
      <c r="S228" s="257"/>
      <c r="T228" s="17"/>
      <c r="U228" s="17"/>
      <c r="Y228" s="17"/>
      <c r="AE228" s="17"/>
      <c r="AG228" s="17"/>
      <c r="AH228" s="17"/>
    </row>
    <row r="229" spans="1:34">
      <c r="A229" s="17"/>
      <c r="B229" s="17"/>
      <c r="D229" s="257"/>
      <c r="E229" s="257"/>
      <c r="F229" s="269"/>
      <c r="H229" s="17"/>
      <c r="J229" s="257"/>
      <c r="K229" s="17"/>
      <c r="M229" s="257"/>
      <c r="N229" s="257"/>
      <c r="O229" s="257"/>
      <c r="P229" s="257"/>
      <c r="Q229" s="257"/>
      <c r="R229" s="257"/>
      <c r="S229" s="257"/>
      <c r="T229" s="17"/>
      <c r="U229" s="17"/>
      <c r="Y229" s="17"/>
      <c r="AE229" s="17"/>
      <c r="AG229" s="17"/>
      <c r="AH229" s="17"/>
    </row>
    <row r="230" spans="1:34">
      <c r="A230" s="17"/>
      <c r="B230" s="17"/>
      <c r="D230" s="257"/>
      <c r="E230" s="257"/>
      <c r="F230" s="269"/>
      <c r="H230" s="17"/>
      <c r="J230" s="257"/>
      <c r="K230" s="17"/>
      <c r="M230" s="257"/>
      <c r="N230" s="257"/>
      <c r="O230" s="257"/>
      <c r="P230" s="257"/>
      <c r="Q230" s="257"/>
      <c r="R230" s="257"/>
      <c r="S230" s="257"/>
      <c r="T230" s="17"/>
      <c r="U230" s="17"/>
      <c r="Y230" s="17"/>
      <c r="AE230" s="17"/>
      <c r="AG230" s="17"/>
      <c r="AH230" s="17"/>
    </row>
    <row r="231" spans="1:34">
      <c r="A231" s="17"/>
      <c r="B231" s="17"/>
      <c r="D231" s="257"/>
      <c r="E231" s="257"/>
      <c r="F231" s="269"/>
      <c r="H231" s="17"/>
      <c r="J231" s="257"/>
      <c r="K231" s="17"/>
      <c r="M231" s="257"/>
      <c r="N231" s="257"/>
      <c r="O231" s="257"/>
      <c r="P231" s="257"/>
      <c r="Q231" s="257"/>
      <c r="R231" s="257"/>
      <c r="S231" s="257"/>
      <c r="T231" s="17"/>
      <c r="U231" s="17"/>
      <c r="Y231" s="17"/>
      <c r="AE231" s="17"/>
      <c r="AG231" s="17"/>
      <c r="AH231" s="17"/>
    </row>
    <row r="232" spans="1:34">
      <c r="A232" s="17"/>
      <c r="B232" s="17"/>
      <c r="D232" s="257"/>
      <c r="E232" s="257"/>
      <c r="F232" s="269"/>
      <c r="H232" s="17"/>
      <c r="J232" s="257"/>
      <c r="K232" s="17"/>
      <c r="M232" s="257"/>
      <c r="N232" s="257"/>
      <c r="O232" s="257"/>
      <c r="P232" s="257"/>
      <c r="Q232" s="257"/>
      <c r="R232" s="257"/>
      <c r="S232" s="257"/>
      <c r="T232" s="17"/>
      <c r="U232" s="17"/>
      <c r="Y232" s="17"/>
      <c r="AE232" s="17"/>
      <c r="AG232" s="17"/>
      <c r="AH232" s="17"/>
    </row>
    <row r="233" spans="1:34">
      <c r="A233" s="17"/>
      <c r="B233" s="17"/>
      <c r="D233" s="257"/>
      <c r="E233" s="257"/>
      <c r="F233" s="269"/>
      <c r="H233" s="17"/>
      <c r="J233" s="257"/>
      <c r="K233" s="17"/>
      <c r="M233" s="257"/>
      <c r="N233" s="257"/>
      <c r="O233" s="257"/>
      <c r="P233" s="257"/>
      <c r="Q233" s="257"/>
      <c r="R233" s="257"/>
      <c r="S233" s="257"/>
      <c r="T233" s="17"/>
      <c r="U233" s="17"/>
      <c r="Y233" s="17"/>
      <c r="AE233" s="17"/>
      <c r="AG233" s="17"/>
      <c r="AH233" s="17"/>
    </row>
    <row r="234" spans="1:34">
      <c r="A234" s="17"/>
      <c r="B234" s="17"/>
      <c r="D234" s="257"/>
      <c r="E234" s="257"/>
      <c r="F234" s="269"/>
      <c r="H234" s="17"/>
      <c r="J234" s="257"/>
      <c r="K234" s="17"/>
      <c r="M234" s="257"/>
      <c r="N234" s="257"/>
      <c r="O234" s="257"/>
      <c r="P234" s="257"/>
      <c r="Q234" s="257"/>
      <c r="R234" s="257"/>
      <c r="S234" s="257"/>
      <c r="T234" s="17"/>
      <c r="U234" s="17"/>
      <c r="Y234" s="17"/>
      <c r="AE234" s="17"/>
      <c r="AG234" s="17"/>
      <c r="AH234" s="17"/>
    </row>
    <row r="235" spans="1:34">
      <c r="A235" s="17"/>
      <c r="B235" s="17"/>
      <c r="D235" s="257"/>
      <c r="E235" s="257"/>
      <c r="F235" s="269"/>
      <c r="H235" s="17"/>
      <c r="J235" s="257"/>
      <c r="K235" s="17"/>
      <c r="M235" s="257"/>
      <c r="N235" s="257"/>
      <c r="O235" s="257"/>
      <c r="P235" s="257"/>
      <c r="Q235" s="257"/>
      <c r="R235" s="257"/>
      <c r="S235" s="257"/>
      <c r="T235" s="17"/>
      <c r="U235" s="17"/>
      <c r="Y235" s="17"/>
      <c r="AE235" s="17"/>
      <c r="AG235" s="17"/>
      <c r="AH235" s="17"/>
    </row>
    <row r="236" spans="1:34">
      <c r="A236" s="17"/>
      <c r="B236" s="17"/>
      <c r="D236" s="257"/>
      <c r="E236" s="257"/>
      <c r="F236" s="269"/>
      <c r="H236" s="17"/>
      <c r="J236" s="257"/>
      <c r="K236" s="17"/>
      <c r="M236" s="257"/>
      <c r="N236" s="257"/>
      <c r="O236" s="257"/>
      <c r="P236" s="257"/>
      <c r="Q236" s="257"/>
      <c r="R236" s="257"/>
      <c r="S236" s="257"/>
      <c r="T236" s="17"/>
      <c r="U236" s="17"/>
      <c r="Y236" s="17"/>
      <c r="AE236" s="17"/>
      <c r="AG236" s="17"/>
      <c r="AH236" s="17"/>
    </row>
    <row r="237" spans="1:34">
      <c r="A237" s="17"/>
      <c r="B237" s="17"/>
      <c r="D237" s="257"/>
      <c r="E237" s="257"/>
      <c r="F237" s="269"/>
      <c r="H237" s="17"/>
      <c r="J237" s="257"/>
      <c r="K237" s="17"/>
      <c r="M237" s="257"/>
      <c r="N237" s="257"/>
      <c r="O237" s="257"/>
      <c r="P237" s="257"/>
      <c r="Q237" s="257"/>
      <c r="R237" s="257"/>
      <c r="S237" s="257"/>
      <c r="T237" s="17"/>
      <c r="U237" s="17"/>
      <c r="Y237" s="17"/>
      <c r="AE237" s="17"/>
      <c r="AG237" s="17"/>
      <c r="AH237" s="17"/>
    </row>
    <row r="238" spans="1:34">
      <c r="A238" s="17"/>
      <c r="B238" s="17"/>
      <c r="D238" s="257"/>
      <c r="E238" s="257"/>
      <c r="F238" s="269"/>
      <c r="H238" s="17"/>
      <c r="J238" s="257"/>
      <c r="K238" s="17"/>
      <c r="M238" s="257"/>
      <c r="N238" s="257"/>
      <c r="O238" s="257"/>
      <c r="P238" s="257"/>
      <c r="Q238" s="257"/>
      <c r="R238" s="257"/>
      <c r="S238" s="257"/>
      <c r="T238" s="17"/>
      <c r="U238" s="17"/>
      <c r="Y238" s="17"/>
      <c r="AE238" s="17"/>
      <c r="AG238" s="17"/>
      <c r="AH238" s="17"/>
    </row>
    <row r="239" spans="1:34">
      <c r="A239" s="17"/>
      <c r="B239" s="17"/>
      <c r="D239" s="257"/>
      <c r="E239" s="257"/>
      <c r="F239" s="269"/>
      <c r="H239" s="17"/>
      <c r="J239" s="257"/>
      <c r="K239" s="17"/>
      <c r="M239" s="257"/>
      <c r="N239" s="257"/>
      <c r="O239" s="257"/>
      <c r="P239" s="257"/>
      <c r="Q239" s="257"/>
      <c r="R239" s="257"/>
      <c r="S239" s="257"/>
      <c r="T239" s="17"/>
      <c r="U239" s="17"/>
      <c r="Y239" s="17"/>
      <c r="AE239" s="17"/>
      <c r="AG239" s="17"/>
      <c r="AH239" s="17"/>
    </row>
    <row r="240" spans="1:34">
      <c r="A240" s="17"/>
      <c r="B240" s="17"/>
      <c r="D240" s="257"/>
      <c r="E240" s="257"/>
      <c r="F240" s="269"/>
      <c r="H240" s="17"/>
      <c r="J240" s="257"/>
      <c r="K240" s="17"/>
      <c r="M240" s="257"/>
      <c r="N240" s="257"/>
      <c r="O240" s="257"/>
      <c r="P240" s="257"/>
      <c r="Q240" s="257"/>
      <c r="R240" s="257"/>
      <c r="S240" s="257"/>
      <c r="T240" s="17"/>
      <c r="U240" s="17"/>
      <c r="Y240" s="17"/>
      <c r="AE240" s="17"/>
      <c r="AG240" s="17"/>
      <c r="AH240" s="17"/>
    </row>
    <row r="241" spans="1:34">
      <c r="A241" s="17"/>
      <c r="B241" s="17"/>
      <c r="D241" s="257"/>
      <c r="E241" s="257"/>
      <c r="F241" s="269"/>
      <c r="H241" s="17"/>
      <c r="J241" s="257"/>
      <c r="K241" s="17"/>
      <c r="M241" s="257"/>
      <c r="N241" s="257"/>
      <c r="O241" s="257"/>
      <c r="P241" s="257"/>
      <c r="Q241" s="257"/>
      <c r="R241" s="257"/>
      <c r="S241" s="257"/>
      <c r="T241" s="17"/>
      <c r="U241" s="17"/>
      <c r="Y241" s="17"/>
      <c r="AE241" s="17"/>
      <c r="AG241" s="17"/>
      <c r="AH241" s="17"/>
    </row>
    <row r="242" spans="1:34">
      <c r="A242" s="17"/>
      <c r="B242" s="17"/>
      <c r="D242" s="257"/>
      <c r="E242" s="257"/>
      <c r="F242" s="269"/>
      <c r="H242" s="17"/>
      <c r="J242" s="257"/>
      <c r="K242" s="17"/>
      <c r="M242" s="257"/>
      <c r="N242" s="257"/>
      <c r="O242" s="257"/>
      <c r="P242" s="257"/>
      <c r="Q242" s="257"/>
      <c r="R242" s="257"/>
      <c r="S242" s="257"/>
      <c r="T242" s="17"/>
      <c r="U242" s="17"/>
      <c r="Y242" s="17"/>
      <c r="AE242" s="17"/>
      <c r="AG242" s="17"/>
      <c r="AH242" s="17"/>
    </row>
    <row r="243" spans="1:34">
      <c r="A243" s="17"/>
      <c r="B243" s="17"/>
      <c r="D243" s="257"/>
      <c r="E243" s="257"/>
      <c r="F243" s="269"/>
      <c r="H243" s="17"/>
      <c r="J243" s="257"/>
      <c r="K243" s="17"/>
      <c r="M243" s="257"/>
      <c r="N243" s="257"/>
      <c r="O243" s="257"/>
      <c r="P243" s="257"/>
      <c r="Q243" s="257"/>
      <c r="R243" s="257"/>
      <c r="S243" s="257"/>
      <c r="T243" s="17"/>
      <c r="U243" s="17"/>
      <c r="Y243" s="17"/>
      <c r="AE243" s="17"/>
      <c r="AG243" s="17"/>
      <c r="AH243" s="17"/>
    </row>
    <row r="244" spans="1:34">
      <c r="A244" s="17"/>
      <c r="B244" s="17"/>
      <c r="D244" s="257"/>
      <c r="E244" s="257"/>
      <c r="F244" s="269"/>
      <c r="H244" s="17"/>
      <c r="J244" s="257"/>
      <c r="K244" s="17"/>
      <c r="M244" s="257"/>
      <c r="N244" s="257"/>
      <c r="O244" s="257"/>
      <c r="P244" s="257"/>
      <c r="Q244" s="257"/>
      <c r="R244" s="257"/>
      <c r="S244" s="257"/>
      <c r="T244" s="17"/>
      <c r="U244" s="17"/>
      <c r="Y244" s="17"/>
      <c r="AE244" s="17"/>
      <c r="AG244" s="17"/>
      <c r="AH244" s="17"/>
    </row>
    <row r="245" spans="1:34">
      <c r="A245" s="17"/>
      <c r="B245" s="17"/>
      <c r="D245" s="257"/>
      <c r="E245" s="257"/>
      <c r="F245" s="269"/>
      <c r="H245" s="17"/>
      <c r="J245" s="257"/>
      <c r="K245" s="17"/>
      <c r="M245" s="257"/>
      <c r="N245" s="257"/>
      <c r="O245" s="257"/>
      <c r="P245" s="257"/>
      <c r="Q245" s="257"/>
      <c r="R245" s="257"/>
      <c r="S245" s="257"/>
      <c r="T245" s="17"/>
      <c r="U245" s="17"/>
      <c r="Y245" s="17"/>
      <c r="AE245" s="17"/>
      <c r="AG245" s="17"/>
      <c r="AH245" s="17"/>
    </row>
    <row r="246" spans="1:34">
      <c r="A246" s="17"/>
      <c r="B246" s="17"/>
      <c r="D246" s="257"/>
      <c r="E246" s="257"/>
      <c r="F246" s="269"/>
      <c r="H246" s="17"/>
      <c r="J246" s="257"/>
      <c r="K246" s="17"/>
      <c r="M246" s="257"/>
      <c r="N246" s="257"/>
      <c r="O246" s="257"/>
      <c r="P246" s="257"/>
      <c r="Q246" s="257"/>
      <c r="R246" s="257"/>
      <c r="S246" s="257"/>
      <c r="T246" s="17"/>
      <c r="U246" s="17"/>
      <c r="Y246" s="17"/>
      <c r="AE246" s="17"/>
      <c r="AG246" s="17"/>
      <c r="AH246" s="17"/>
    </row>
    <row r="247" spans="1:34">
      <c r="A247" s="17"/>
      <c r="B247" s="17"/>
      <c r="D247" s="257"/>
      <c r="E247" s="257"/>
      <c r="F247" s="269"/>
      <c r="H247" s="17"/>
      <c r="J247" s="257"/>
      <c r="K247" s="17"/>
      <c r="M247" s="257"/>
      <c r="N247" s="257"/>
      <c r="O247" s="257"/>
      <c r="P247" s="257"/>
      <c r="Q247" s="257"/>
      <c r="R247" s="257"/>
      <c r="S247" s="257"/>
      <c r="T247" s="17"/>
      <c r="U247" s="17"/>
      <c r="Y247" s="17"/>
      <c r="AE247" s="17"/>
      <c r="AG247" s="17"/>
      <c r="AH247" s="17"/>
    </row>
    <row r="248" spans="1:34">
      <c r="A248" s="17"/>
      <c r="B248" s="17"/>
      <c r="D248" s="257"/>
      <c r="E248" s="257"/>
      <c r="F248" s="269"/>
      <c r="H248" s="17"/>
      <c r="J248" s="257"/>
      <c r="K248" s="17"/>
      <c r="M248" s="257"/>
      <c r="N248" s="257"/>
      <c r="O248" s="257"/>
      <c r="P248" s="257"/>
      <c r="Q248" s="257"/>
      <c r="R248" s="257"/>
      <c r="S248" s="257"/>
      <c r="T248" s="17"/>
      <c r="U248" s="17"/>
      <c r="Y248" s="17"/>
      <c r="AE248" s="17"/>
      <c r="AG248" s="17"/>
      <c r="AH248" s="17"/>
    </row>
    <row r="249" spans="1:34">
      <c r="A249" s="17"/>
      <c r="B249" s="17"/>
      <c r="D249" s="257"/>
      <c r="E249" s="257"/>
      <c r="F249" s="269"/>
      <c r="H249" s="17"/>
      <c r="J249" s="257"/>
      <c r="K249" s="17"/>
      <c r="M249" s="257"/>
      <c r="N249" s="257"/>
      <c r="O249" s="257"/>
      <c r="P249" s="257"/>
      <c r="Q249" s="257"/>
      <c r="R249" s="257"/>
      <c r="S249" s="257"/>
      <c r="T249" s="17"/>
      <c r="U249" s="17"/>
      <c r="Y249" s="17"/>
      <c r="AE249" s="17"/>
      <c r="AG249" s="17"/>
      <c r="AH249" s="17"/>
    </row>
    <row r="250" spans="1:34">
      <c r="A250" s="17"/>
      <c r="B250" s="17"/>
      <c r="D250" s="257"/>
      <c r="E250" s="257"/>
      <c r="F250" s="269"/>
      <c r="H250" s="17"/>
      <c r="J250" s="257"/>
      <c r="K250" s="17"/>
      <c r="M250" s="257"/>
      <c r="N250" s="257"/>
      <c r="O250" s="257"/>
      <c r="P250" s="257"/>
      <c r="Q250" s="257"/>
      <c r="R250" s="257"/>
      <c r="S250" s="257"/>
      <c r="T250" s="17"/>
      <c r="U250" s="17"/>
      <c r="Y250" s="17"/>
      <c r="AE250" s="17"/>
      <c r="AG250" s="17"/>
      <c r="AH250" s="17"/>
    </row>
    <row r="251" spans="1:34">
      <c r="A251" s="17"/>
      <c r="B251" s="17"/>
      <c r="D251" s="257"/>
      <c r="E251" s="257"/>
      <c r="F251" s="269"/>
      <c r="H251" s="17"/>
      <c r="J251" s="257"/>
      <c r="K251" s="17"/>
      <c r="M251" s="257"/>
      <c r="N251" s="257"/>
      <c r="O251" s="257"/>
      <c r="P251" s="257"/>
      <c r="Q251" s="257"/>
      <c r="R251" s="257"/>
      <c r="S251" s="257"/>
      <c r="T251" s="17"/>
      <c r="U251" s="17"/>
      <c r="Y251" s="17"/>
      <c r="AE251" s="17"/>
      <c r="AG251" s="17"/>
      <c r="AH251" s="17"/>
    </row>
    <row r="252" spans="1:34">
      <c r="A252" s="17"/>
      <c r="B252" s="17"/>
      <c r="D252" s="257"/>
      <c r="E252" s="257"/>
      <c r="F252" s="269"/>
      <c r="H252" s="17"/>
      <c r="J252" s="257"/>
      <c r="K252" s="17"/>
      <c r="M252" s="257"/>
      <c r="N252" s="257"/>
      <c r="O252" s="257"/>
      <c r="P252" s="257"/>
      <c r="Q252" s="257"/>
      <c r="R252" s="257"/>
      <c r="S252" s="257"/>
      <c r="T252" s="17"/>
      <c r="U252" s="17"/>
      <c r="Y252" s="17"/>
      <c r="AE252" s="17"/>
      <c r="AG252" s="17"/>
      <c r="AH252" s="17"/>
    </row>
    <row r="253" spans="1:34">
      <c r="A253" s="17"/>
      <c r="B253" s="17"/>
      <c r="D253" s="257"/>
      <c r="E253" s="257"/>
      <c r="F253" s="269"/>
      <c r="H253" s="17"/>
      <c r="J253" s="257"/>
      <c r="K253" s="17"/>
      <c r="M253" s="257"/>
      <c r="N253" s="257"/>
      <c r="O253" s="257"/>
      <c r="P253" s="257"/>
      <c r="Q253" s="257"/>
      <c r="R253" s="257"/>
      <c r="S253" s="257"/>
      <c r="T253" s="17"/>
      <c r="U253" s="17"/>
      <c r="Y253" s="17"/>
      <c r="AE253" s="17"/>
      <c r="AG253" s="17"/>
      <c r="AH253" s="17"/>
    </row>
    <row r="254" spans="1:34">
      <c r="A254" s="17"/>
      <c r="B254" s="17"/>
      <c r="D254" s="257"/>
      <c r="E254" s="257"/>
      <c r="F254" s="269"/>
      <c r="H254" s="17"/>
      <c r="J254" s="257"/>
      <c r="K254" s="17"/>
      <c r="M254" s="257"/>
      <c r="N254" s="257"/>
      <c r="O254" s="257"/>
      <c r="P254" s="257"/>
      <c r="Q254" s="257"/>
      <c r="R254" s="257"/>
      <c r="S254" s="257"/>
      <c r="T254" s="17"/>
      <c r="U254" s="17"/>
      <c r="Y254" s="17"/>
      <c r="AE254" s="17"/>
      <c r="AG254" s="17"/>
      <c r="AH254" s="17"/>
    </row>
    <row r="255" spans="1:34">
      <c r="A255" s="17"/>
      <c r="B255" s="17"/>
      <c r="D255" s="257"/>
      <c r="E255" s="257"/>
      <c r="F255" s="269"/>
      <c r="H255" s="17"/>
      <c r="J255" s="257"/>
      <c r="K255" s="17"/>
      <c r="M255" s="257"/>
      <c r="N255" s="257"/>
      <c r="O255" s="257"/>
      <c r="P255" s="257"/>
      <c r="Q255" s="257"/>
      <c r="R255" s="257"/>
      <c r="S255" s="257"/>
      <c r="T255" s="17"/>
      <c r="U255" s="17"/>
      <c r="Y255" s="17"/>
      <c r="AE255" s="17"/>
      <c r="AG255" s="17"/>
      <c r="AH255" s="17"/>
    </row>
    <row r="256" spans="1:34">
      <c r="A256" s="17"/>
      <c r="B256" s="17"/>
      <c r="D256" s="257"/>
      <c r="E256" s="257"/>
      <c r="F256" s="269"/>
      <c r="H256" s="17"/>
      <c r="J256" s="257"/>
      <c r="K256" s="17"/>
      <c r="M256" s="257"/>
      <c r="N256" s="257"/>
      <c r="O256" s="257"/>
      <c r="P256" s="257"/>
      <c r="Q256" s="257"/>
      <c r="R256" s="257"/>
      <c r="S256" s="257"/>
      <c r="T256" s="17"/>
      <c r="U256" s="17"/>
      <c r="Y256" s="17"/>
      <c r="AE256" s="17"/>
      <c r="AG256" s="17"/>
      <c r="AH256" s="17"/>
    </row>
    <row r="257" spans="1:34">
      <c r="A257" s="17"/>
      <c r="B257" s="17"/>
      <c r="D257" s="257"/>
      <c r="E257" s="257"/>
      <c r="F257" s="269"/>
      <c r="H257" s="17"/>
      <c r="J257" s="257"/>
      <c r="K257" s="17"/>
      <c r="M257" s="257"/>
      <c r="N257" s="257"/>
      <c r="O257" s="257"/>
      <c r="P257" s="257"/>
      <c r="Q257" s="257"/>
      <c r="R257" s="257"/>
      <c r="S257" s="257"/>
      <c r="T257" s="17"/>
      <c r="U257" s="17"/>
      <c r="Y257" s="17"/>
      <c r="AE257" s="17"/>
      <c r="AG257" s="17"/>
      <c r="AH257" s="17"/>
    </row>
    <row r="258" spans="1:34">
      <c r="A258" s="17"/>
      <c r="B258" s="17"/>
      <c r="D258" s="257"/>
      <c r="E258" s="257"/>
      <c r="F258" s="269"/>
      <c r="H258" s="17"/>
      <c r="J258" s="257"/>
      <c r="K258" s="17"/>
      <c r="M258" s="257"/>
      <c r="N258" s="257"/>
      <c r="O258" s="257"/>
      <c r="P258" s="257"/>
      <c r="Q258" s="257"/>
      <c r="R258" s="257"/>
      <c r="S258" s="257"/>
      <c r="T258" s="17"/>
      <c r="U258" s="17"/>
      <c r="Y258" s="17"/>
      <c r="AE258" s="17"/>
      <c r="AG258" s="17"/>
      <c r="AH258" s="17"/>
    </row>
    <row r="259" spans="1:34">
      <c r="A259" s="17"/>
      <c r="B259" s="17"/>
      <c r="D259" s="257"/>
      <c r="E259" s="257"/>
      <c r="F259" s="269"/>
      <c r="H259" s="17"/>
      <c r="J259" s="257"/>
      <c r="K259" s="17"/>
      <c r="M259" s="257"/>
      <c r="N259" s="257"/>
      <c r="O259" s="257"/>
      <c r="P259" s="257"/>
      <c r="Q259" s="257"/>
      <c r="R259" s="257"/>
      <c r="S259" s="257"/>
      <c r="T259" s="17"/>
      <c r="U259" s="17"/>
      <c r="Y259" s="17"/>
      <c r="AE259" s="17"/>
      <c r="AG259" s="17"/>
      <c r="AH259" s="17"/>
    </row>
    <row r="260" spans="1:34">
      <c r="A260" s="17"/>
      <c r="B260" s="17"/>
      <c r="D260" s="257"/>
      <c r="E260" s="257"/>
      <c r="F260" s="269"/>
      <c r="H260" s="17"/>
      <c r="J260" s="257"/>
      <c r="K260" s="17"/>
      <c r="M260" s="257"/>
      <c r="N260" s="257"/>
      <c r="O260" s="257"/>
      <c r="P260" s="257"/>
      <c r="Q260" s="257"/>
      <c r="R260" s="257"/>
      <c r="S260" s="257"/>
      <c r="T260" s="17"/>
      <c r="U260" s="17"/>
      <c r="Y260" s="17"/>
      <c r="AE260" s="17"/>
      <c r="AG260" s="17"/>
      <c r="AH260" s="17"/>
    </row>
    <row r="261" spans="1:34">
      <c r="A261" s="17"/>
      <c r="B261" s="17"/>
      <c r="D261" s="257"/>
      <c r="E261" s="257"/>
      <c r="F261" s="269"/>
      <c r="H261" s="17"/>
      <c r="J261" s="257"/>
      <c r="K261" s="17"/>
      <c r="M261" s="257"/>
      <c r="N261" s="257"/>
      <c r="O261" s="257"/>
      <c r="P261" s="257"/>
      <c r="Q261" s="257"/>
      <c r="R261" s="257"/>
      <c r="S261" s="257"/>
      <c r="T261" s="17"/>
      <c r="U261" s="17"/>
      <c r="Y261" s="17"/>
      <c r="AE261" s="17"/>
      <c r="AG261" s="17"/>
      <c r="AH261" s="17"/>
    </row>
    <row r="262" spans="1:34">
      <c r="A262" s="17"/>
      <c r="B262" s="17"/>
      <c r="D262" s="257"/>
      <c r="E262" s="257"/>
      <c r="F262" s="269"/>
      <c r="H262" s="17"/>
      <c r="J262" s="257"/>
      <c r="K262" s="17"/>
      <c r="M262" s="257"/>
      <c r="N262" s="257"/>
      <c r="O262" s="257"/>
      <c r="P262" s="257"/>
      <c r="Q262" s="257"/>
      <c r="R262" s="257"/>
      <c r="S262" s="257"/>
      <c r="T262" s="17"/>
      <c r="U262" s="17"/>
      <c r="Y262" s="17"/>
      <c r="AE262" s="17"/>
      <c r="AG262" s="17"/>
      <c r="AH262" s="17"/>
    </row>
    <row r="263" spans="1:34">
      <c r="A263" s="17"/>
      <c r="B263" s="17"/>
      <c r="D263" s="257"/>
      <c r="E263" s="257"/>
      <c r="F263" s="269"/>
      <c r="H263" s="17"/>
      <c r="J263" s="257"/>
      <c r="K263" s="17"/>
      <c r="M263" s="257"/>
      <c r="N263" s="257"/>
      <c r="O263" s="257"/>
      <c r="P263" s="257"/>
      <c r="Q263" s="257"/>
      <c r="R263" s="257"/>
      <c r="S263" s="257"/>
      <c r="T263" s="17"/>
      <c r="U263" s="17"/>
      <c r="Y263" s="17"/>
      <c r="AE263" s="17"/>
      <c r="AG263" s="17"/>
      <c r="AH263" s="17"/>
    </row>
    <row r="264" spans="1:34">
      <c r="A264" s="17"/>
      <c r="B264" s="17"/>
      <c r="D264" s="257"/>
      <c r="E264" s="257"/>
      <c r="F264" s="269"/>
      <c r="H264" s="17"/>
      <c r="J264" s="257"/>
      <c r="K264" s="17"/>
      <c r="M264" s="257"/>
      <c r="N264" s="257"/>
      <c r="O264" s="257"/>
      <c r="P264" s="257"/>
      <c r="Q264" s="257"/>
      <c r="R264" s="257"/>
      <c r="S264" s="257"/>
      <c r="T264" s="17"/>
      <c r="U264" s="17"/>
      <c r="Y264" s="17"/>
      <c r="AE264" s="17"/>
      <c r="AG264" s="17"/>
      <c r="AH264" s="17"/>
    </row>
    <row r="265" spans="1:34">
      <c r="A265" s="17"/>
      <c r="B265" s="17"/>
      <c r="D265" s="257"/>
      <c r="E265" s="257"/>
      <c r="F265" s="269"/>
      <c r="H265" s="17"/>
      <c r="J265" s="257"/>
      <c r="K265" s="17"/>
      <c r="M265" s="257"/>
      <c r="N265" s="257"/>
      <c r="O265" s="257"/>
      <c r="P265" s="257"/>
      <c r="Q265" s="257"/>
      <c r="R265" s="257"/>
      <c r="S265" s="257"/>
      <c r="T265" s="17"/>
      <c r="U265" s="17"/>
      <c r="Y265" s="17"/>
      <c r="AE265" s="17"/>
      <c r="AG265" s="17"/>
      <c r="AH265" s="17"/>
    </row>
    <row r="266" spans="1:34">
      <c r="A266" s="17"/>
      <c r="B266" s="17"/>
      <c r="D266" s="257"/>
      <c r="E266" s="257"/>
      <c r="F266" s="269"/>
      <c r="H266" s="17"/>
      <c r="J266" s="257"/>
      <c r="K266" s="17"/>
      <c r="M266" s="257"/>
      <c r="N266" s="257"/>
      <c r="O266" s="257"/>
      <c r="P266" s="257"/>
      <c r="Q266" s="257"/>
      <c r="R266" s="257"/>
      <c r="S266" s="257"/>
      <c r="T266" s="17"/>
      <c r="U266" s="17"/>
      <c r="Y266" s="17"/>
      <c r="AE266" s="17"/>
      <c r="AG266" s="17"/>
      <c r="AH266" s="17"/>
    </row>
    <row r="267" spans="1:34">
      <c r="A267" s="17"/>
      <c r="B267" s="17"/>
      <c r="D267" s="257"/>
      <c r="E267" s="257"/>
      <c r="F267" s="269"/>
      <c r="H267" s="17"/>
      <c r="J267" s="257"/>
      <c r="K267" s="17"/>
      <c r="M267" s="257"/>
      <c r="N267" s="257"/>
      <c r="O267" s="257"/>
      <c r="P267" s="257"/>
      <c r="Q267" s="257"/>
      <c r="R267" s="257"/>
      <c r="S267" s="257"/>
      <c r="T267" s="17"/>
      <c r="U267" s="17"/>
      <c r="Y267" s="17"/>
      <c r="AE267" s="17"/>
      <c r="AG267" s="17"/>
      <c r="AH267" s="17"/>
    </row>
    <row r="268" spans="1:34">
      <c r="A268" s="17"/>
      <c r="B268" s="17"/>
      <c r="D268" s="257"/>
      <c r="E268" s="257"/>
      <c r="F268" s="269"/>
      <c r="H268" s="17"/>
      <c r="J268" s="257"/>
      <c r="K268" s="17"/>
      <c r="M268" s="257"/>
      <c r="N268" s="257"/>
      <c r="O268" s="257"/>
      <c r="P268" s="257"/>
      <c r="Q268" s="257"/>
      <c r="R268" s="257"/>
      <c r="S268" s="257"/>
      <c r="T268" s="17"/>
      <c r="U268" s="17"/>
      <c r="Y268" s="17"/>
      <c r="AE268" s="17"/>
      <c r="AG268" s="17"/>
      <c r="AH268" s="17"/>
    </row>
    <row r="269" spans="1:34">
      <c r="A269" s="17"/>
      <c r="B269" s="17"/>
      <c r="D269" s="257"/>
      <c r="E269" s="257"/>
      <c r="F269" s="269"/>
      <c r="H269" s="17"/>
      <c r="J269" s="257"/>
      <c r="K269" s="17"/>
      <c r="M269" s="257"/>
      <c r="N269" s="257"/>
      <c r="O269" s="257"/>
      <c r="P269" s="257"/>
      <c r="Q269" s="257"/>
      <c r="R269" s="257"/>
      <c r="S269" s="257"/>
      <c r="T269" s="17"/>
      <c r="U269" s="17"/>
      <c r="Y269" s="17"/>
      <c r="AE269" s="17"/>
      <c r="AG269" s="17"/>
      <c r="AH269" s="17"/>
    </row>
    <row r="270" spans="1:34">
      <c r="A270" s="17"/>
      <c r="B270" s="17"/>
      <c r="D270" s="257"/>
      <c r="E270" s="257"/>
      <c r="F270" s="269"/>
      <c r="H270" s="17"/>
      <c r="J270" s="257"/>
      <c r="K270" s="17"/>
      <c r="M270" s="257"/>
      <c r="N270" s="257"/>
      <c r="O270" s="257"/>
      <c r="P270" s="257"/>
      <c r="Q270" s="257"/>
      <c r="R270" s="257"/>
      <c r="S270" s="257"/>
      <c r="T270" s="17"/>
      <c r="U270" s="17"/>
      <c r="Y270" s="17"/>
      <c r="AE270" s="17"/>
      <c r="AG270" s="17"/>
      <c r="AH270" s="17"/>
    </row>
    <row r="271" spans="1:34">
      <c r="A271" s="17"/>
      <c r="B271" s="17"/>
      <c r="D271" s="257"/>
      <c r="E271" s="257"/>
      <c r="F271" s="269"/>
      <c r="H271" s="17"/>
      <c r="J271" s="257"/>
      <c r="K271" s="17"/>
      <c r="M271" s="257"/>
      <c r="N271" s="257"/>
      <c r="O271" s="257"/>
      <c r="P271" s="257"/>
      <c r="Q271" s="257"/>
      <c r="R271" s="257"/>
      <c r="S271" s="257"/>
      <c r="T271" s="17"/>
      <c r="U271" s="17"/>
      <c r="Y271" s="17"/>
      <c r="AE271" s="17"/>
      <c r="AG271" s="17"/>
      <c r="AH271" s="17"/>
    </row>
    <row r="272" spans="1:34">
      <c r="A272" s="17"/>
      <c r="B272" s="17"/>
      <c r="D272" s="257"/>
      <c r="E272" s="257"/>
      <c r="F272" s="269"/>
      <c r="H272" s="17"/>
      <c r="J272" s="257"/>
      <c r="K272" s="17"/>
      <c r="M272" s="257"/>
      <c r="N272" s="257"/>
      <c r="O272" s="257"/>
      <c r="P272" s="257"/>
      <c r="Q272" s="257"/>
      <c r="R272" s="257"/>
      <c r="S272" s="257"/>
      <c r="T272" s="17"/>
      <c r="U272" s="17"/>
      <c r="Y272" s="17"/>
      <c r="AE272" s="17"/>
      <c r="AG272" s="17"/>
      <c r="AH272" s="17"/>
    </row>
    <row r="273" spans="1:34">
      <c r="A273" s="17"/>
      <c r="B273" s="17"/>
      <c r="D273" s="257"/>
      <c r="E273" s="257"/>
      <c r="F273" s="269"/>
      <c r="H273" s="17"/>
      <c r="J273" s="257"/>
      <c r="K273" s="17"/>
      <c r="M273" s="257"/>
      <c r="N273" s="257"/>
      <c r="O273" s="257"/>
      <c r="P273" s="257"/>
      <c r="Q273" s="257"/>
      <c r="R273" s="257"/>
      <c r="S273" s="257"/>
      <c r="T273" s="17"/>
      <c r="U273" s="17"/>
      <c r="Y273" s="17"/>
      <c r="AE273" s="17"/>
      <c r="AG273" s="17"/>
      <c r="AH273" s="17"/>
    </row>
    <row r="274" spans="1:34">
      <c r="A274" s="17"/>
      <c r="B274" s="17"/>
      <c r="D274" s="257"/>
      <c r="E274" s="257"/>
      <c r="F274" s="269"/>
      <c r="H274" s="17"/>
      <c r="J274" s="257"/>
      <c r="K274" s="17"/>
      <c r="M274" s="257"/>
      <c r="N274" s="257"/>
      <c r="O274" s="257"/>
      <c r="P274" s="257"/>
      <c r="Q274" s="257"/>
      <c r="R274" s="257"/>
      <c r="S274" s="257"/>
      <c r="T274" s="17"/>
      <c r="U274" s="17"/>
      <c r="Y274" s="17"/>
      <c r="AE274" s="17"/>
      <c r="AG274" s="17"/>
      <c r="AH274" s="17"/>
    </row>
    <row r="275" spans="1:34">
      <c r="A275" s="17"/>
      <c r="B275" s="17"/>
      <c r="D275" s="257"/>
      <c r="E275" s="257"/>
      <c r="F275" s="269"/>
      <c r="H275" s="17"/>
      <c r="J275" s="257"/>
      <c r="K275" s="17"/>
      <c r="M275" s="257"/>
      <c r="N275" s="257"/>
      <c r="O275" s="257"/>
      <c r="P275" s="257"/>
      <c r="Q275" s="257"/>
      <c r="R275" s="257"/>
      <c r="S275" s="257"/>
      <c r="T275" s="17"/>
      <c r="U275" s="17"/>
      <c r="Y275" s="17"/>
      <c r="AE275" s="17"/>
      <c r="AG275" s="17"/>
      <c r="AH275" s="17"/>
    </row>
    <row r="276" spans="1:34">
      <c r="A276" s="17"/>
      <c r="B276" s="17"/>
      <c r="D276" s="257"/>
      <c r="E276" s="257"/>
      <c r="F276" s="269"/>
      <c r="H276" s="17"/>
      <c r="J276" s="257"/>
      <c r="K276" s="17"/>
      <c r="M276" s="257"/>
      <c r="N276" s="257"/>
      <c r="O276" s="257"/>
      <c r="P276" s="257"/>
      <c r="Q276" s="257"/>
      <c r="R276" s="257"/>
      <c r="S276" s="257"/>
      <c r="T276" s="17"/>
      <c r="U276" s="17"/>
      <c r="Y276" s="17"/>
      <c r="AE276" s="17"/>
      <c r="AG276" s="17"/>
      <c r="AH276" s="17"/>
    </row>
    <row r="277" spans="1:34">
      <c r="A277" s="17"/>
      <c r="B277" s="17"/>
      <c r="D277" s="257"/>
      <c r="E277" s="257"/>
      <c r="F277" s="269"/>
      <c r="H277" s="17"/>
      <c r="J277" s="257"/>
      <c r="K277" s="17"/>
      <c r="M277" s="257"/>
      <c r="N277" s="257"/>
      <c r="O277" s="257"/>
      <c r="P277" s="257"/>
      <c r="Q277" s="257"/>
      <c r="R277" s="257"/>
      <c r="S277" s="257"/>
      <c r="T277" s="17"/>
      <c r="U277" s="17"/>
      <c r="Y277" s="17"/>
      <c r="AE277" s="17"/>
      <c r="AG277" s="17"/>
      <c r="AH277" s="17"/>
    </row>
    <row r="278" spans="1:34">
      <c r="A278" s="17"/>
      <c r="B278" s="17"/>
      <c r="D278" s="257"/>
      <c r="E278" s="257"/>
      <c r="F278" s="269"/>
      <c r="H278" s="17"/>
      <c r="J278" s="257"/>
      <c r="K278" s="17"/>
      <c r="M278" s="257"/>
      <c r="N278" s="257"/>
      <c r="O278" s="257"/>
      <c r="P278" s="257"/>
      <c r="Q278" s="257"/>
      <c r="R278" s="257"/>
      <c r="S278" s="257"/>
      <c r="T278" s="17"/>
      <c r="U278" s="17"/>
      <c r="Y278" s="17"/>
      <c r="AE278" s="17"/>
      <c r="AG278" s="17"/>
      <c r="AH278" s="17"/>
    </row>
    <row r="279" spans="1:34">
      <c r="A279" s="17"/>
      <c r="B279" s="17"/>
      <c r="D279" s="257"/>
      <c r="E279" s="257"/>
      <c r="F279" s="269"/>
      <c r="H279" s="17"/>
      <c r="J279" s="257"/>
      <c r="K279" s="17"/>
      <c r="M279" s="257"/>
      <c r="N279" s="257"/>
      <c r="O279" s="257"/>
      <c r="P279" s="257"/>
      <c r="Q279" s="257"/>
      <c r="R279" s="257"/>
      <c r="S279" s="257"/>
      <c r="T279" s="17"/>
      <c r="U279" s="17"/>
      <c r="Y279" s="17"/>
      <c r="AE279" s="17"/>
      <c r="AG279" s="17"/>
      <c r="AH279" s="17"/>
    </row>
    <row r="280" spans="1:34">
      <c r="A280" s="17"/>
      <c r="B280" s="17"/>
      <c r="D280" s="257"/>
      <c r="E280" s="257"/>
      <c r="F280" s="269"/>
      <c r="H280" s="17"/>
      <c r="J280" s="257"/>
      <c r="K280" s="17"/>
      <c r="M280" s="257"/>
      <c r="N280" s="257"/>
      <c r="O280" s="257"/>
      <c r="P280" s="257"/>
      <c r="Q280" s="257"/>
      <c r="R280" s="257"/>
      <c r="S280" s="257"/>
      <c r="T280" s="17"/>
      <c r="U280" s="17"/>
      <c r="Y280" s="17"/>
      <c r="AE280" s="17"/>
      <c r="AG280" s="17"/>
      <c r="AH280" s="17"/>
    </row>
    <row r="281" spans="1:34">
      <c r="A281" s="17"/>
      <c r="B281" s="17"/>
      <c r="D281" s="257"/>
      <c r="E281" s="257"/>
      <c r="F281" s="269"/>
      <c r="H281" s="17"/>
      <c r="J281" s="257"/>
      <c r="K281" s="17"/>
      <c r="M281" s="257"/>
      <c r="N281" s="257"/>
      <c r="O281" s="257"/>
      <c r="P281" s="257"/>
      <c r="Q281" s="257"/>
      <c r="R281" s="257"/>
      <c r="S281" s="257"/>
      <c r="T281" s="17"/>
      <c r="U281" s="17"/>
      <c r="Y281" s="17"/>
      <c r="AE281" s="17"/>
      <c r="AG281" s="17"/>
      <c r="AH281" s="17"/>
    </row>
    <row r="282" spans="1:34">
      <c r="A282" s="17"/>
      <c r="B282" s="17"/>
      <c r="D282" s="257"/>
      <c r="E282" s="257"/>
      <c r="F282" s="269"/>
      <c r="H282" s="17"/>
      <c r="J282" s="257"/>
      <c r="K282" s="17"/>
      <c r="M282" s="257"/>
      <c r="N282" s="257"/>
      <c r="O282" s="257"/>
      <c r="P282" s="257"/>
      <c r="Q282" s="257"/>
      <c r="R282" s="257"/>
      <c r="S282" s="257"/>
      <c r="T282" s="17"/>
      <c r="U282" s="17"/>
      <c r="Y282" s="17"/>
      <c r="AE282" s="17"/>
      <c r="AG282" s="17"/>
      <c r="AH282" s="17"/>
    </row>
    <row r="283" spans="1:34">
      <c r="A283" s="17"/>
      <c r="B283" s="17"/>
      <c r="D283" s="257"/>
      <c r="E283" s="257"/>
      <c r="F283" s="269"/>
      <c r="H283" s="17"/>
      <c r="J283" s="257"/>
      <c r="K283" s="17"/>
      <c r="M283" s="257"/>
      <c r="N283" s="257"/>
      <c r="O283" s="257"/>
      <c r="P283" s="257"/>
      <c r="Q283" s="257"/>
      <c r="R283" s="257"/>
      <c r="S283" s="257"/>
      <c r="T283" s="17"/>
      <c r="U283" s="17"/>
      <c r="Y283" s="17"/>
      <c r="AE283" s="17"/>
      <c r="AG283" s="17"/>
      <c r="AH283" s="17"/>
    </row>
    <row r="284" spans="1:34">
      <c r="A284" s="17"/>
      <c r="B284" s="17"/>
      <c r="D284" s="257"/>
      <c r="E284" s="257"/>
      <c r="F284" s="269"/>
      <c r="H284" s="17"/>
      <c r="J284" s="257"/>
      <c r="K284" s="17"/>
      <c r="M284" s="257"/>
      <c r="N284" s="257"/>
      <c r="O284" s="257"/>
      <c r="P284" s="257"/>
      <c r="Q284" s="257"/>
      <c r="R284" s="257"/>
      <c r="S284" s="257"/>
      <c r="T284" s="17"/>
      <c r="U284" s="17"/>
      <c r="Y284" s="17"/>
      <c r="AE284" s="17"/>
      <c r="AG284" s="17"/>
      <c r="AH284" s="17"/>
    </row>
    <row r="285" spans="1:34">
      <c r="A285" s="17"/>
      <c r="B285" s="17"/>
      <c r="D285" s="257"/>
      <c r="E285" s="257"/>
      <c r="F285" s="269"/>
      <c r="H285" s="17"/>
      <c r="J285" s="257"/>
      <c r="K285" s="17"/>
      <c r="M285" s="257"/>
      <c r="N285" s="257"/>
      <c r="O285" s="257"/>
      <c r="P285" s="257"/>
      <c r="Q285" s="257"/>
      <c r="R285" s="257"/>
      <c r="S285" s="257"/>
      <c r="T285" s="17"/>
      <c r="U285" s="17"/>
      <c r="Y285" s="17"/>
      <c r="AE285" s="17"/>
      <c r="AG285" s="17"/>
      <c r="AH285" s="17"/>
    </row>
    <row r="286" spans="1:34">
      <c r="A286" s="17"/>
      <c r="B286" s="17"/>
      <c r="D286" s="257"/>
      <c r="E286" s="257"/>
      <c r="F286" s="269"/>
      <c r="H286" s="17"/>
      <c r="J286" s="257"/>
      <c r="K286" s="17"/>
      <c r="M286" s="257"/>
      <c r="N286" s="257"/>
      <c r="O286" s="257"/>
      <c r="P286" s="257"/>
      <c r="Q286" s="257"/>
      <c r="R286" s="257"/>
      <c r="S286" s="257"/>
      <c r="T286" s="17"/>
      <c r="U286" s="17"/>
      <c r="Y286" s="17"/>
      <c r="AE286" s="17"/>
      <c r="AG286" s="17"/>
      <c r="AH286" s="17"/>
    </row>
    <row r="287" spans="1:34">
      <c r="A287" s="17"/>
      <c r="B287" s="17"/>
      <c r="D287" s="257"/>
      <c r="E287" s="257"/>
      <c r="F287" s="269"/>
      <c r="H287" s="17"/>
      <c r="J287" s="257"/>
      <c r="K287" s="17"/>
      <c r="M287" s="257"/>
      <c r="N287" s="257"/>
      <c r="O287" s="257"/>
      <c r="P287" s="257"/>
      <c r="Q287" s="257"/>
      <c r="R287" s="257"/>
      <c r="S287" s="257"/>
      <c r="T287" s="17"/>
      <c r="U287" s="17"/>
      <c r="Y287" s="17"/>
      <c r="AE287" s="17"/>
      <c r="AG287" s="17"/>
      <c r="AH287" s="17"/>
    </row>
    <row r="288" spans="1:34">
      <c r="A288" s="17"/>
      <c r="B288" s="17"/>
      <c r="D288" s="257"/>
      <c r="E288" s="257"/>
      <c r="F288" s="269"/>
      <c r="H288" s="17"/>
      <c r="J288" s="257"/>
      <c r="K288" s="17"/>
      <c r="M288" s="257"/>
      <c r="N288" s="257"/>
      <c r="O288" s="257"/>
      <c r="P288" s="257"/>
      <c r="Q288" s="257"/>
      <c r="R288" s="257"/>
      <c r="S288" s="257"/>
      <c r="T288" s="17"/>
      <c r="U288" s="17"/>
      <c r="Y288" s="17"/>
      <c r="AE288" s="17"/>
      <c r="AG288" s="17"/>
      <c r="AH288" s="17"/>
    </row>
    <row r="289" spans="1:34">
      <c r="A289" s="17"/>
      <c r="B289" s="17"/>
      <c r="D289" s="257"/>
      <c r="E289" s="257"/>
      <c r="F289" s="269"/>
      <c r="H289" s="17"/>
      <c r="J289" s="257"/>
      <c r="K289" s="17"/>
      <c r="M289" s="257"/>
      <c r="N289" s="257"/>
      <c r="O289" s="257"/>
      <c r="P289" s="257"/>
      <c r="Q289" s="257"/>
      <c r="R289" s="257"/>
      <c r="S289" s="257"/>
      <c r="T289" s="17"/>
      <c r="U289" s="17"/>
      <c r="Y289" s="17"/>
      <c r="AE289" s="17"/>
      <c r="AG289" s="17"/>
      <c r="AH289" s="17"/>
    </row>
    <row r="290" spans="1:34">
      <c r="A290" s="17"/>
      <c r="B290" s="17"/>
      <c r="D290" s="257"/>
      <c r="E290" s="257"/>
      <c r="F290" s="269"/>
      <c r="H290" s="17"/>
      <c r="J290" s="257"/>
      <c r="K290" s="17"/>
      <c r="M290" s="257"/>
      <c r="N290" s="257"/>
      <c r="O290" s="257"/>
      <c r="P290" s="257"/>
      <c r="Q290" s="257"/>
      <c r="R290" s="257"/>
      <c r="S290" s="257"/>
      <c r="T290" s="17"/>
      <c r="U290" s="17"/>
      <c r="Y290" s="17"/>
      <c r="AE290" s="17"/>
      <c r="AG290" s="17"/>
      <c r="AH290" s="17"/>
    </row>
    <row r="291" spans="1:34">
      <c r="A291" s="17"/>
      <c r="B291" s="17"/>
      <c r="D291" s="257"/>
      <c r="E291" s="257"/>
      <c r="F291" s="269"/>
      <c r="H291" s="17"/>
      <c r="J291" s="257"/>
      <c r="K291" s="17"/>
      <c r="M291" s="257"/>
      <c r="N291" s="257"/>
      <c r="O291" s="257"/>
      <c r="P291" s="257"/>
      <c r="Q291" s="257"/>
      <c r="R291" s="257"/>
      <c r="S291" s="257"/>
      <c r="T291" s="17"/>
      <c r="U291" s="17"/>
      <c r="Y291" s="17"/>
      <c r="AE291" s="17"/>
      <c r="AG291" s="17"/>
      <c r="AH291" s="17"/>
    </row>
    <row r="292" spans="1:34">
      <c r="A292" s="17"/>
      <c r="B292" s="17"/>
      <c r="D292" s="257"/>
      <c r="E292" s="257"/>
      <c r="F292" s="269"/>
      <c r="H292" s="17"/>
      <c r="J292" s="257"/>
      <c r="K292" s="17"/>
      <c r="M292" s="257"/>
      <c r="N292" s="257"/>
      <c r="O292" s="257"/>
      <c r="P292" s="257"/>
      <c r="Q292" s="257"/>
      <c r="R292" s="257"/>
      <c r="S292" s="257"/>
      <c r="T292" s="17"/>
      <c r="U292" s="17"/>
      <c r="Y292" s="17"/>
      <c r="AE292" s="17"/>
      <c r="AG292" s="17"/>
      <c r="AH292" s="17"/>
    </row>
    <row r="293" spans="1:34">
      <c r="A293" s="17"/>
      <c r="B293" s="17"/>
      <c r="D293" s="257"/>
      <c r="E293" s="257"/>
      <c r="F293" s="269"/>
      <c r="H293" s="17"/>
      <c r="J293" s="257"/>
      <c r="K293" s="17"/>
      <c r="M293" s="257"/>
      <c r="N293" s="257"/>
      <c r="O293" s="257"/>
      <c r="P293" s="257"/>
      <c r="Q293" s="257"/>
      <c r="R293" s="257"/>
      <c r="S293" s="257"/>
      <c r="T293" s="17"/>
      <c r="U293" s="17"/>
      <c r="Y293" s="17"/>
      <c r="AE293" s="17"/>
      <c r="AG293" s="17"/>
      <c r="AH293" s="17"/>
    </row>
    <row r="294" spans="1:34">
      <c r="A294" s="17"/>
      <c r="B294" s="17"/>
      <c r="D294" s="257"/>
      <c r="E294" s="257"/>
      <c r="F294" s="269"/>
      <c r="H294" s="17"/>
      <c r="J294" s="257"/>
      <c r="K294" s="17"/>
      <c r="M294" s="257"/>
      <c r="N294" s="257"/>
      <c r="O294" s="257"/>
      <c r="P294" s="257"/>
      <c r="Q294" s="257"/>
      <c r="R294" s="257"/>
      <c r="S294" s="257"/>
      <c r="T294" s="17"/>
      <c r="U294" s="17"/>
      <c r="Y294" s="17"/>
      <c r="AE294" s="17"/>
      <c r="AG294" s="17"/>
      <c r="AH294" s="17"/>
    </row>
    <row r="295" spans="1:34">
      <c r="A295" s="17"/>
      <c r="B295" s="17"/>
      <c r="D295" s="257"/>
      <c r="E295" s="257"/>
      <c r="F295" s="269"/>
      <c r="H295" s="17"/>
      <c r="J295" s="257"/>
      <c r="K295" s="17"/>
      <c r="M295" s="257"/>
      <c r="N295" s="257"/>
      <c r="O295" s="257"/>
      <c r="P295" s="257"/>
      <c r="Q295" s="257"/>
      <c r="R295" s="257"/>
      <c r="S295" s="257"/>
      <c r="T295" s="17"/>
      <c r="U295" s="17"/>
      <c r="Y295" s="17"/>
      <c r="AE295" s="17"/>
      <c r="AG295" s="17"/>
      <c r="AH295" s="17"/>
    </row>
    <row r="296" spans="1:34">
      <c r="A296" s="17"/>
      <c r="B296" s="17"/>
      <c r="D296" s="257"/>
      <c r="E296" s="257"/>
      <c r="F296" s="269"/>
      <c r="H296" s="17"/>
      <c r="J296" s="257"/>
      <c r="K296" s="17"/>
      <c r="M296" s="257"/>
      <c r="N296" s="257"/>
      <c r="O296" s="257"/>
      <c r="P296" s="257"/>
      <c r="Q296" s="257"/>
      <c r="R296" s="257"/>
      <c r="S296" s="257"/>
      <c r="T296" s="17"/>
      <c r="U296" s="17"/>
      <c r="Y296" s="17"/>
      <c r="AE296" s="17"/>
      <c r="AG296" s="17"/>
      <c r="AH296" s="17"/>
    </row>
    <row r="297" spans="1:34">
      <c r="A297" s="17"/>
      <c r="B297" s="17"/>
      <c r="D297" s="257"/>
      <c r="E297" s="257"/>
      <c r="F297" s="269"/>
      <c r="H297" s="17"/>
      <c r="J297" s="257"/>
      <c r="K297" s="17"/>
      <c r="M297" s="257"/>
      <c r="N297" s="257"/>
      <c r="O297" s="257"/>
      <c r="P297" s="257"/>
      <c r="Q297" s="257"/>
      <c r="R297" s="257"/>
      <c r="S297" s="257"/>
      <c r="T297" s="17"/>
      <c r="U297" s="17"/>
      <c r="Y297" s="17"/>
      <c r="AE297" s="17"/>
      <c r="AG297" s="17"/>
      <c r="AH297" s="17"/>
    </row>
    <row r="298" spans="1:34">
      <c r="A298" s="17"/>
      <c r="B298" s="17"/>
      <c r="D298" s="257"/>
      <c r="E298" s="257"/>
      <c r="F298" s="269"/>
      <c r="H298" s="17"/>
      <c r="J298" s="257"/>
      <c r="K298" s="17"/>
      <c r="M298" s="257"/>
      <c r="N298" s="257"/>
      <c r="O298" s="257"/>
      <c r="P298" s="257"/>
      <c r="Q298" s="257"/>
      <c r="R298" s="257"/>
      <c r="S298" s="257"/>
      <c r="T298" s="17"/>
      <c r="U298" s="17"/>
      <c r="Y298" s="17"/>
      <c r="AE298" s="17"/>
      <c r="AG298" s="17"/>
      <c r="AH298" s="17"/>
    </row>
    <row r="299" spans="1:34">
      <c r="A299" s="17"/>
      <c r="B299" s="17"/>
      <c r="D299" s="257"/>
      <c r="E299" s="257"/>
      <c r="F299" s="269"/>
      <c r="H299" s="17"/>
      <c r="J299" s="257"/>
      <c r="K299" s="17"/>
      <c r="M299" s="257"/>
      <c r="N299" s="257"/>
      <c r="O299" s="257"/>
      <c r="P299" s="257"/>
      <c r="Q299" s="257"/>
      <c r="R299" s="257"/>
      <c r="S299" s="257"/>
      <c r="T299" s="17"/>
      <c r="U299" s="17"/>
      <c r="Y299" s="17"/>
      <c r="AE299" s="17"/>
      <c r="AG299" s="17"/>
      <c r="AH299" s="17"/>
    </row>
    <row r="300" spans="1:34">
      <c r="A300" s="17"/>
      <c r="B300" s="17"/>
      <c r="D300" s="257"/>
      <c r="E300" s="257"/>
      <c r="F300" s="269"/>
      <c r="H300" s="17"/>
      <c r="J300" s="257"/>
      <c r="K300" s="17"/>
      <c r="M300" s="257"/>
      <c r="N300" s="257"/>
      <c r="O300" s="257"/>
      <c r="P300" s="257"/>
      <c r="Q300" s="257"/>
      <c r="R300" s="257"/>
      <c r="S300" s="257"/>
      <c r="T300" s="17"/>
      <c r="U300" s="17"/>
      <c r="Y300" s="17"/>
      <c r="AE300" s="17"/>
      <c r="AG300" s="17"/>
      <c r="AH300" s="17"/>
    </row>
    <row r="301" spans="1:34">
      <c r="A301" s="17"/>
      <c r="B301" s="17"/>
      <c r="D301" s="257"/>
      <c r="E301" s="257"/>
      <c r="F301" s="269"/>
      <c r="H301" s="17"/>
      <c r="J301" s="257"/>
      <c r="K301" s="17"/>
      <c r="M301" s="257"/>
      <c r="N301" s="257"/>
      <c r="O301" s="257"/>
      <c r="P301" s="257"/>
      <c r="Q301" s="257"/>
      <c r="R301" s="257"/>
      <c r="S301" s="257"/>
      <c r="T301" s="17"/>
      <c r="U301" s="17"/>
      <c r="Y301" s="17"/>
      <c r="AE301" s="17"/>
      <c r="AG301" s="17"/>
      <c r="AH301" s="17"/>
    </row>
    <row r="302" spans="1:34">
      <c r="A302" s="17"/>
      <c r="B302" s="17"/>
      <c r="D302" s="257"/>
      <c r="E302" s="257"/>
      <c r="F302" s="269"/>
      <c r="H302" s="17"/>
      <c r="J302" s="257"/>
      <c r="K302" s="17"/>
      <c r="M302" s="257"/>
      <c r="N302" s="257"/>
      <c r="O302" s="257"/>
      <c r="P302" s="257"/>
      <c r="Q302" s="257"/>
      <c r="R302" s="257"/>
      <c r="S302" s="257"/>
      <c r="T302" s="17"/>
      <c r="U302" s="17"/>
      <c r="Y302" s="17"/>
      <c r="AE302" s="17"/>
      <c r="AG302" s="17"/>
      <c r="AH302" s="17"/>
    </row>
    <row r="303" spans="1:34">
      <c r="A303" s="17"/>
      <c r="B303" s="17"/>
      <c r="D303" s="257"/>
      <c r="E303" s="257"/>
      <c r="F303" s="269"/>
      <c r="H303" s="17"/>
      <c r="J303" s="257"/>
      <c r="K303" s="17"/>
      <c r="M303" s="257"/>
      <c r="N303" s="257"/>
      <c r="O303" s="257"/>
      <c r="P303" s="257"/>
      <c r="Q303" s="257"/>
      <c r="R303" s="257"/>
      <c r="S303" s="257"/>
      <c r="T303" s="17"/>
      <c r="U303" s="17"/>
      <c r="Y303" s="17"/>
      <c r="AE303" s="17"/>
      <c r="AG303" s="17"/>
      <c r="AH303" s="17"/>
    </row>
    <row r="304" spans="1:34">
      <c r="A304" s="17"/>
      <c r="B304" s="17"/>
      <c r="D304" s="257"/>
      <c r="E304" s="257"/>
      <c r="F304" s="269"/>
      <c r="H304" s="17"/>
      <c r="J304" s="257"/>
      <c r="K304" s="17"/>
      <c r="M304" s="257"/>
      <c r="N304" s="257"/>
      <c r="O304" s="257"/>
      <c r="P304" s="257"/>
      <c r="Q304" s="257"/>
      <c r="R304" s="257"/>
      <c r="S304" s="257"/>
      <c r="T304" s="17"/>
      <c r="U304" s="17"/>
      <c r="Y304" s="17"/>
      <c r="AE304" s="17"/>
      <c r="AG304" s="17"/>
      <c r="AH304" s="17"/>
    </row>
    <row r="305" spans="1:34">
      <c r="A305" s="17"/>
      <c r="B305" s="17"/>
      <c r="D305" s="257"/>
      <c r="E305" s="257"/>
      <c r="F305" s="269"/>
      <c r="H305" s="17"/>
      <c r="J305" s="257"/>
      <c r="K305" s="17"/>
      <c r="M305" s="257"/>
      <c r="N305" s="257"/>
      <c r="O305" s="257"/>
      <c r="P305" s="257"/>
      <c r="Q305" s="257"/>
      <c r="R305" s="257"/>
      <c r="S305" s="257"/>
      <c r="T305" s="17"/>
      <c r="U305" s="17"/>
      <c r="Y305" s="17"/>
      <c r="AE305" s="17"/>
      <c r="AG305" s="17"/>
      <c r="AH305" s="17"/>
    </row>
    <row r="306" spans="1:34">
      <c r="A306" s="17"/>
      <c r="B306" s="17"/>
      <c r="D306" s="257"/>
      <c r="E306" s="257"/>
      <c r="F306" s="269"/>
      <c r="H306" s="17"/>
      <c r="J306" s="257"/>
      <c r="K306" s="17"/>
      <c r="M306" s="257"/>
      <c r="N306" s="257"/>
      <c r="O306" s="257"/>
      <c r="P306" s="257"/>
      <c r="Q306" s="257"/>
      <c r="R306" s="257"/>
      <c r="S306" s="257"/>
      <c r="T306" s="17"/>
      <c r="U306" s="17"/>
      <c r="Y306" s="17"/>
      <c r="AE306" s="17"/>
      <c r="AG306" s="17"/>
      <c r="AH306" s="17"/>
    </row>
    <row r="307" spans="1:34">
      <c r="A307" s="17"/>
      <c r="B307" s="17"/>
      <c r="D307" s="257"/>
      <c r="E307" s="257"/>
      <c r="F307" s="269"/>
      <c r="H307" s="17"/>
      <c r="J307" s="257"/>
      <c r="K307" s="17"/>
      <c r="M307" s="257"/>
      <c r="N307" s="257"/>
      <c r="O307" s="257"/>
      <c r="P307" s="257"/>
      <c r="Q307" s="257"/>
      <c r="R307" s="257"/>
      <c r="S307" s="257"/>
      <c r="T307" s="17"/>
      <c r="U307" s="17"/>
      <c r="Y307" s="17"/>
      <c r="AE307" s="17"/>
      <c r="AG307" s="17"/>
      <c r="AH307" s="17"/>
    </row>
    <row r="308" spans="1:34">
      <c r="A308" s="17"/>
      <c r="B308" s="17"/>
      <c r="D308" s="257"/>
      <c r="E308" s="257"/>
      <c r="F308" s="269"/>
      <c r="H308" s="17"/>
      <c r="J308" s="257"/>
      <c r="K308" s="17"/>
      <c r="M308" s="257"/>
      <c r="N308" s="257"/>
      <c r="O308" s="257"/>
      <c r="P308" s="257"/>
      <c r="Q308" s="257"/>
      <c r="R308" s="257"/>
      <c r="S308" s="257"/>
      <c r="T308" s="17"/>
      <c r="U308" s="17"/>
      <c r="Y308" s="17"/>
      <c r="AE308" s="17"/>
      <c r="AG308" s="17"/>
      <c r="AH308" s="17"/>
    </row>
    <row r="309" spans="1:34">
      <c r="A309" s="17"/>
      <c r="B309" s="17"/>
      <c r="D309" s="257"/>
      <c r="E309" s="257"/>
      <c r="F309" s="269"/>
      <c r="H309" s="17"/>
      <c r="J309" s="257"/>
      <c r="K309" s="17"/>
      <c r="M309" s="257"/>
      <c r="N309" s="257"/>
      <c r="O309" s="257"/>
      <c r="P309" s="257"/>
      <c r="Q309" s="257"/>
      <c r="R309" s="257"/>
      <c r="S309" s="257"/>
      <c r="T309" s="17"/>
      <c r="U309" s="17"/>
      <c r="Y309" s="17"/>
      <c r="AE309" s="17"/>
      <c r="AG309" s="17"/>
      <c r="AH309" s="17"/>
    </row>
    <row r="310" spans="1:34">
      <c r="A310" s="17"/>
      <c r="B310" s="17"/>
      <c r="D310" s="257"/>
      <c r="E310" s="257"/>
      <c r="F310" s="269"/>
      <c r="H310" s="17"/>
      <c r="J310" s="257"/>
      <c r="K310" s="17"/>
      <c r="M310" s="257"/>
      <c r="N310" s="257"/>
      <c r="O310" s="257"/>
      <c r="P310" s="257"/>
      <c r="Q310" s="257"/>
      <c r="R310" s="257"/>
      <c r="S310" s="257"/>
      <c r="T310" s="17"/>
      <c r="U310" s="17"/>
      <c r="Y310" s="17"/>
      <c r="AE310" s="17"/>
      <c r="AG310" s="17"/>
      <c r="AH310" s="17"/>
    </row>
    <row r="311" spans="1:34">
      <c r="A311" s="17"/>
      <c r="B311" s="17"/>
      <c r="D311" s="257"/>
      <c r="E311" s="257"/>
      <c r="F311" s="269"/>
      <c r="H311" s="17"/>
      <c r="J311" s="257"/>
      <c r="K311" s="17"/>
      <c r="M311" s="257"/>
      <c r="N311" s="257"/>
      <c r="O311" s="257"/>
      <c r="P311" s="257"/>
      <c r="Q311" s="257"/>
      <c r="R311" s="257"/>
      <c r="S311" s="257"/>
      <c r="T311" s="17"/>
      <c r="U311" s="17"/>
      <c r="Y311" s="17"/>
      <c r="AE311" s="17"/>
      <c r="AG311" s="17"/>
      <c r="AH311" s="17"/>
    </row>
    <row r="312" spans="1:34">
      <c r="A312" s="17"/>
      <c r="B312" s="17"/>
      <c r="D312" s="257"/>
      <c r="E312" s="257"/>
      <c r="F312" s="269"/>
      <c r="H312" s="17"/>
      <c r="J312" s="257"/>
      <c r="K312" s="17"/>
      <c r="M312" s="257"/>
      <c r="N312" s="257"/>
      <c r="O312" s="257"/>
      <c r="P312" s="257"/>
      <c r="Q312" s="257"/>
      <c r="R312" s="257"/>
      <c r="S312" s="257"/>
      <c r="T312" s="17"/>
      <c r="U312" s="17"/>
      <c r="Y312" s="17"/>
      <c r="AE312" s="17"/>
      <c r="AG312" s="17"/>
      <c r="AH312" s="17"/>
    </row>
    <row r="313" spans="1:34">
      <c r="A313" s="17"/>
      <c r="B313" s="17"/>
      <c r="D313" s="257"/>
      <c r="E313" s="257"/>
      <c r="F313" s="269"/>
      <c r="H313" s="17"/>
      <c r="J313" s="257"/>
      <c r="K313" s="17"/>
      <c r="M313" s="257"/>
      <c r="N313" s="257"/>
      <c r="O313" s="257"/>
      <c r="P313" s="257"/>
      <c r="Q313" s="257"/>
      <c r="R313" s="257"/>
      <c r="S313" s="257"/>
      <c r="T313" s="17"/>
      <c r="U313" s="17"/>
      <c r="Y313" s="17"/>
      <c r="AE313" s="17"/>
      <c r="AG313" s="17"/>
      <c r="AH313" s="17"/>
    </row>
    <row r="314" spans="1:34">
      <c r="A314" s="17"/>
      <c r="B314" s="17"/>
      <c r="D314" s="257"/>
      <c r="E314" s="257"/>
      <c r="F314" s="269"/>
      <c r="H314" s="17"/>
      <c r="J314" s="257"/>
      <c r="K314" s="17"/>
      <c r="M314" s="257"/>
      <c r="N314" s="257"/>
      <c r="O314" s="257"/>
      <c r="P314" s="257"/>
      <c r="Q314" s="257"/>
      <c r="R314" s="257"/>
      <c r="S314" s="257"/>
      <c r="T314" s="17"/>
      <c r="U314" s="17"/>
      <c r="Y314" s="17"/>
      <c r="AE314" s="17"/>
      <c r="AG314" s="17"/>
      <c r="AH314" s="17"/>
    </row>
    <row r="315" spans="1:34">
      <c r="A315" s="17"/>
      <c r="B315" s="17"/>
      <c r="D315" s="257"/>
      <c r="E315" s="257"/>
      <c r="F315" s="269"/>
      <c r="H315" s="17"/>
      <c r="J315" s="257"/>
      <c r="K315" s="17"/>
      <c r="M315" s="257"/>
      <c r="N315" s="257"/>
      <c r="O315" s="257"/>
      <c r="P315" s="257"/>
      <c r="Q315" s="257"/>
      <c r="R315" s="257"/>
      <c r="S315" s="257"/>
      <c r="T315" s="17"/>
      <c r="U315" s="17"/>
      <c r="Y315" s="17"/>
      <c r="AE315" s="17"/>
      <c r="AG315" s="17"/>
      <c r="AH315" s="17"/>
    </row>
    <row r="316" spans="1:34">
      <c r="A316" s="17"/>
      <c r="B316" s="17"/>
      <c r="D316" s="257"/>
      <c r="E316" s="257"/>
      <c r="F316" s="269"/>
      <c r="H316" s="17"/>
      <c r="J316" s="257"/>
      <c r="K316" s="17"/>
      <c r="M316" s="257"/>
      <c r="N316" s="257"/>
      <c r="O316" s="257"/>
      <c r="P316" s="257"/>
      <c r="Q316" s="257"/>
      <c r="R316" s="257"/>
      <c r="S316" s="257"/>
      <c r="T316" s="17"/>
      <c r="U316" s="17"/>
      <c r="Y316" s="17"/>
      <c r="AE316" s="17"/>
      <c r="AG316" s="17"/>
      <c r="AH316" s="17"/>
    </row>
    <row r="317" spans="1:34">
      <c r="A317" s="17"/>
      <c r="B317" s="17"/>
      <c r="D317" s="257"/>
      <c r="E317" s="257"/>
      <c r="F317" s="269"/>
      <c r="H317" s="17"/>
      <c r="J317" s="257"/>
      <c r="K317" s="17"/>
      <c r="M317" s="257"/>
      <c r="N317" s="257"/>
      <c r="O317" s="257"/>
      <c r="P317" s="257"/>
      <c r="Q317" s="257"/>
      <c r="R317" s="257"/>
      <c r="S317" s="257"/>
      <c r="T317" s="17"/>
      <c r="U317" s="17"/>
      <c r="Y317" s="17"/>
      <c r="AE317" s="17"/>
      <c r="AG317" s="17"/>
      <c r="AH317" s="17"/>
    </row>
    <row r="318" spans="1:34">
      <c r="A318" s="17"/>
      <c r="B318" s="17"/>
      <c r="D318" s="257"/>
      <c r="E318" s="257"/>
      <c r="F318" s="269"/>
      <c r="H318" s="17"/>
      <c r="J318" s="257"/>
      <c r="K318" s="17"/>
      <c r="M318" s="257"/>
      <c r="N318" s="257"/>
      <c r="O318" s="257"/>
      <c r="P318" s="257"/>
      <c r="Q318" s="257"/>
      <c r="R318" s="257"/>
      <c r="S318" s="257"/>
      <c r="T318" s="17"/>
      <c r="U318" s="17"/>
      <c r="Y318" s="17"/>
      <c r="AE318" s="17"/>
      <c r="AG318" s="17"/>
      <c r="AH318" s="17"/>
    </row>
    <row r="319" spans="1:34">
      <c r="A319" s="17"/>
      <c r="B319" s="17"/>
      <c r="D319" s="257"/>
      <c r="E319" s="257"/>
      <c r="F319" s="269"/>
      <c r="H319" s="17"/>
      <c r="J319" s="257"/>
      <c r="K319" s="17"/>
      <c r="M319" s="257"/>
      <c r="N319" s="257"/>
      <c r="O319" s="257"/>
      <c r="P319" s="257"/>
      <c r="Q319" s="257"/>
      <c r="R319" s="257"/>
      <c r="S319" s="257"/>
      <c r="T319" s="17"/>
      <c r="U319" s="17"/>
      <c r="Y319" s="17"/>
      <c r="AE319" s="17"/>
      <c r="AG319" s="17"/>
      <c r="AH319" s="17"/>
    </row>
    <row r="320" spans="1:34">
      <c r="A320" s="17"/>
      <c r="B320" s="17"/>
      <c r="D320" s="257"/>
      <c r="E320" s="257"/>
      <c r="F320" s="269"/>
      <c r="H320" s="17"/>
      <c r="J320" s="257"/>
      <c r="K320" s="17"/>
      <c r="M320" s="257"/>
      <c r="N320" s="257"/>
      <c r="O320" s="257"/>
      <c r="P320" s="257"/>
      <c r="Q320" s="257"/>
      <c r="R320" s="257"/>
      <c r="S320" s="257"/>
      <c r="T320" s="17"/>
      <c r="U320" s="17"/>
      <c r="Y320" s="17"/>
      <c r="AE320" s="17"/>
      <c r="AG320" s="17"/>
      <c r="AH320" s="17"/>
    </row>
    <row r="321" spans="1:34">
      <c r="A321" s="17"/>
      <c r="B321" s="17"/>
      <c r="D321" s="257"/>
      <c r="E321" s="257"/>
      <c r="F321" s="269"/>
      <c r="H321" s="17"/>
      <c r="J321" s="257"/>
      <c r="K321" s="17"/>
      <c r="M321" s="257"/>
      <c r="N321" s="257"/>
      <c r="O321" s="257"/>
      <c r="P321" s="257"/>
      <c r="Q321" s="257"/>
      <c r="R321" s="257"/>
      <c r="S321" s="257"/>
      <c r="T321" s="17"/>
      <c r="U321" s="17"/>
      <c r="Y321" s="17"/>
      <c r="AE321" s="17"/>
      <c r="AG321" s="17"/>
      <c r="AH321" s="17"/>
    </row>
    <row r="322" spans="1:34">
      <c r="A322" s="17"/>
      <c r="B322" s="17"/>
      <c r="D322" s="257"/>
      <c r="E322" s="257"/>
      <c r="F322" s="269"/>
      <c r="H322" s="17"/>
      <c r="J322" s="257"/>
      <c r="K322" s="17"/>
      <c r="M322" s="257"/>
      <c r="N322" s="257"/>
      <c r="O322" s="257"/>
      <c r="P322" s="257"/>
      <c r="Q322" s="257"/>
      <c r="R322" s="257"/>
      <c r="S322" s="257"/>
      <c r="T322" s="17"/>
      <c r="U322" s="17"/>
      <c r="Y322" s="17"/>
      <c r="AE322" s="17"/>
      <c r="AG322" s="17"/>
      <c r="AH322" s="17"/>
    </row>
    <row r="323" spans="1:34">
      <c r="A323" s="17"/>
      <c r="B323" s="17"/>
      <c r="D323" s="257"/>
      <c r="E323" s="257"/>
      <c r="F323" s="269"/>
      <c r="H323" s="17"/>
      <c r="J323" s="257"/>
      <c r="K323" s="17"/>
      <c r="M323" s="257"/>
      <c r="N323" s="257"/>
      <c r="O323" s="257"/>
      <c r="P323" s="257"/>
      <c r="Q323" s="257"/>
      <c r="R323" s="257"/>
      <c r="S323" s="257"/>
      <c r="T323" s="17"/>
      <c r="U323" s="17"/>
      <c r="Y323" s="17"/>
      <c r="AE323" s="17"/>
      <c r="AG323" s="17"/>
      <c r="AH323" s="17"/>
    </row>
    <row r="324" spans="1:34">
      <c r="A324" s="17"/>
      <c r="B324" s="17"/>
      <c r="D324" s="257"/>
      <c r="E324" s="257"/>
      <c r="F324" s="269"/>
      <c r="H324" s="17"/>
      <c r="J324" s="257"/>
      <c r="K324" s="17"/>
      <c r="M324" s="257"/>
      <c r="N324" s="257"/>
      <c r="O324" s="257"/>
      <c r="P324" s="257"/>
      <c r="Q324" s="257"/>
      <c r="R324" s="257"/>
      <c r="S324" s="257"/>
      <c r="T324" s="17"/>
      <c r="U324" s="17"/>
      <c r="Y324" s="17"/>
      <c r="AE324" s="17"/>
      <c r="AG324" s="17"/>
      <c r="AH324" s="17"/>
    </row>
    <row r="325" spans="1:34">
      <c r="A325" s="17"/>
      <c r="B325" s="17"/>
      <c r="D325" s="257"/>
      <c r="E325" s="257"/>
      <c r="F325" s="269"/>
      <c r="H325" s="17"/>
      <c r="J325" s="257"/>
      <c r="K325" s="17"/>
      <c r="M325" s="257"/>
      <c r="N325" s="257"/>
      <c r="O325" s="257"/>
      <c r="P325" s="257"/>
      <c r="Q325" s="257"/>
      <c r="R325" s="257"/>
      <c r="S325" s="257"/>
      <c r="T325" s="17"/>
      <c r="U325" s="17"/>
      <c r="Y325" s="17"/>
      <c r="AE325" s="17"/>
      <c r="AG325" s="17"/>
      <c r="AH325" s="17"/>
    </row>
    <row r="326" spans="1:34">
      <c r="A326" s="17"/>
      <c r="B326" s="17"/>
      <c r="D326" s="257"/>
      <c r="E326" s="257"/>
      <c r="F326" s="269"/>
      <c r="H326" s="17"/>
      <c r="J326" s="257"/>
      <c r="K326" s="17"/>
      <c r="M326" s="257"/>
      <c r="N326" s="257"/>
      <c r="O326" s="257"/>
      <c r="P326" s="257"/>
      <c r="Q326" s="257"/>
      <c r="R326" s="257"/>
      <c r="S326" s="257"/>
      <c r="T326" s="17"/>
      <c r="U326" s="17"/>
      <c r="Y326" s="17"/>
      <c r="AE326" s="17"/>
      <c r="AG326" s="17"/>
      <c r="AH326" s="17"/>
    </row>
    <row r="327" spans="1:34">
      <c r="A327" s="17"/>
      <c r="B327" s="17"/>
      <c r="D327" s="257"/>
      <c r="E327" s="257"/>
      <c r="F327" s="269"/>
      <c r="H327" s="17"/>
      <c r="J327" s="257"/>
      <c r="K327" s="17"/>
      <c r="M327" s="257"/>
      <c r="N327" s="257"/>
      <c r="O327" s="257"/>
      <c r="P327" s="257"/>
      <c r="Q327" s="257"/>
      <c r="R327" s="257"/>
      <c r="S327" s="257"/>
      <c r="T327" s="17"/>
      <c r="U327" s="17"/>
      <c r="Y327" s="17"/>
      <c r="AE327" s="17"/>
      <c r="AG327" s="17"/>
      <c r="AH327" s="17"/>
    </row>
    <row r="328" spans="1:34">
      <c r="A328" s="17"/>
      <c r="B328" s="17"/>
      <c r="D328" s="257"/>
      <c r="E328" s="257"/>
      <c r="F328" s="269"/>
      <c r="H328" s="17"/>
      <c r="J328" s="257"/>
      <c r="K328" s="17"/>
      <c r="M328" s="257"/>
      <c r="N328" s="257"/>
      <c r="O328" s="257"/>
      <c r="P328" s="257"/>
      <c r="Q328" s="257"/>
      <c r="R328" s="257"/>
      <c r="S328" s="257"/>
      <c r="T328" s="17"/>
      <c r="U328" s="17"/>
      <c r="Y328" s="17"/>
      <c r="AE328" s="17"/>
      <c r="AG328" s="17"/>
      <c r="AH328" s="17"/>
    </row>
    <row r="329" spans="1:34">
      <c r="A329" s="17"/>
      <c r="B329" s="17"/>
      <c r="D329" s="257"/>
      <c r="E329" s="257"/>
      <c r="F329" s="269"/>
      <c r="H329" s="17"/>
      <c r="J329" s="257"/>
      <c r="K329" s="17"/>
      <c r="M329" s="257"/>
      <c r="N329" s="257"/>
      <c r="O329" s="257"/>
      <c r="P329" s="257"/>
      <c r="Q329" s="257"/>
      <c r="R329" s="257"/>
      <c r="S329" s="257"/>
      <c r="T329" s="17"/>
      <c r="U329" s="17"/>
      <c r="Y329" s="17"/>
      <c r="AE329" s="17"/>
      <c r="AG329" s="17"/>
      <c r="AH329" s="17"/>
    </row>
    <row r="330" spans="1:34">
      <c r="A330" s="17"/>
      <c r="B330" s="17"/>
      <c r="D330" s="257"/>
      <c r="E330" s="257"/>
      <c r="F330" s="269"/>
      <c r="H330" s="17"/>
      <c r="J330" s="257"/>
      <c r="K330" s="17"/>
      <c r="M330" s="257"/>
      <c r="N330" s="257"/>
      <c r="O330" s="257"/>
      <c r="P330" s="257"/>
      <c r="Q330" s="257"/>
      <c r="R330" s="257"/>
      <c r="S330" s="257"/>
      <c r="T330" s="17"/>
      <c r="U330" s="17"/>
      <c r="Y330" s="17"/>
      <c r="AE330" s="17"/>
      <c r="AG330" s="17"/>
      <c r="AH330" s="17"/>
    </row>
    <row r="331" spans="1:34">
      <c r="A331" s="17"/>
      <c r="B331" s="17"/>
      <c r="D331" s="257"/>
      <c r="E331" s="257"/>
      <c r="F331" s="269"/>
      <c r="H331" s="17"/>
      <c r="J331" s="257"/>
      <c r="K331" s="17"/>
      <c r="M331" s="257"/>
      <c r="N331" s="257"/>
      <c r="O331" s="257"/>
      <c r="P331" s="257"/>
      <c r="Q331" s="257"/>
      <c r="R331" s="257"/>
      <c r="S331" s="257"/>
      <c r="T331" s="17"/>
      <c r="U331" s="17"/>
      <c r="Y331" s="17"/>
      <c r="AE331" s="17"/>
      <c r="AG331" s="17"/>
      <c r="AH331" s="17"/>
    </row>
    <row r="332" spans="1:34">
      <c r="A332" s="17"/>
      <c r="B332" s="17"/>
      <c r="D332" s="257"/>
      <c r="E332" s="257"/>
      <c r="F332" s="269"/>
      <c r="H332" s="17"/>
      <c r="J332" s="257"/>
      <c r="K332" s="17"/>
      <c r="M332" s="257"/>
      <c r="N332" s="257"/>
      <c r="O332" s="257"/>
      <c r="P332" s="257"/>
      <c r="Q332" s="257"/>
      <c r="R332" s="257"/>
      <c r="S332" s="257"/>
      <c r="T332" s="17"/>
      <c r="U332" s="17"/>
      <c r="Y332" s="17"/>
      <c r="AE332" s="17"/>
      <c r="AG332" s="17"/>
      <c r="AH332" s="17"/>
    </row>
    <row r="333" spans="1:34">
      <c r="A333" s="17"/>
      <c r="B333" s="17"/>
      <c r="D333" s="257"/>
      <c r="E333" s="257"/>
      <c r="F333" s="269"/>
      <c r="H333" s="17"/>
      <c r="J333" s="257"/>
      <c r="K333" s="17"/>
      <c r="M333" s="257"/>
      <c r="N333" s="257"/>
      <c r="O333" s="257"/>
      <c r="P333" s="257"/>
      <c r="Q333" s="257"/>
      <c r="R333" s="257"/>
      <c r="S333" s="257"/>
      <c r="T333" s="17"/>
      <c r="U333" s="17"/>
      <c r="Y333" s="17"/>
      <c r="AE333" s="17"/>
      <c r="AG333" s="17"/>
      <c r="AH333" s="17"/>
    </row>
    <row r="334" spans="1:34">
      <c r="A334" s="17"/>
      <c r="B334" s="17"/>
      <c r="D334" s="257"/>
      <c r="E334" s="257"/>
      <c r="F334" s="269"/>
      <c r="H334" s="17"/>
      <c r="J334" s="257"/>
      <c r="K334" s="17"/>
      <c r="M334" s="257"/>
      <c r="N334" s="257"/>
      <c r="O334" s="257"/>
      <c r="P334" s="257"/>
      <c r="Q334" s="257"/>
      <c r="R334" s="257"/>
      <c r="S334" s="257"/>
      <c r="T334" s="17"/>
      <c r="U334" s="17"/>
      <c r="Y334" s="17"/>
      <c r="AE334" s="17"/>
      <c r="AG334" s="17"/>
      <c r="AH334" s="17"/>
    </row>
    <row r="335" spans="1:34">
      <c r="A335" s="17"/>
      <c r="B335" s="17"/>
      <c r="D335" s="257"/>
      <c r="E335" s="257"/>
      <c r="F335" s="269"/>
      <c r="H335" s="17"/>
      <c r="J335" s="257"/>
      <c r="K335" s="17"/>
      <c r="M335" s="257"/>
      <c r="N335" s="257"/>
      <c r="O335" s="257"/>
      <c r="P335" s="257"/>
      <c r="Q335" s="257"/>
      <c r="R335" s="257"/>
      <c r="S335" s="257"/>
      <c r="T335" s="17"/>
      <c r="U335" s="17"/>
      <c r="Y335" s="17"/>
      <c r="AE335" s="17"/>
      <c r="AG335" s="17"/>
      <c r="AH335" s="17"/>
    </row>
    <row r="336" spans="1:34">
      <c r="A336" s="17"/>
      <c r="B336" s="17"/>
      <c r="D336" s="257"/>
      <c r="E336" s="257"/>
      <c r="F336" s="269"/>
      <c r="H336" s="17"/>
      <c r="J336" s="257"/>
      <c r="K336" s="17"/>
      <c r="M336" s="257"/>
      <c r="N336" s="257"/>
      <c r="O336" s="257"/>
      <c r="P336" s="257"/>
      <c r="Q336" s="257"/>
      <c r="R336" s="257"/>
      <c r="S336" s="257"/>
      <c r="T336" s="17"/>
      <c r="U336" s="17"/>
      <c r="Y336" s="17"/>
      <c r="AE336" s="17"/>
      <c r="AG336" s="17"/>
      <c r="AH336" s="17"/>
    </row>
    <row r="337" spans="1:34">
      <c r="A337" s="17"/>
      <c r="B337" s="17"/>
      <c r="D337" s="257"/>
      <c r="E337" s="257"/>
      <c r="F337" s="269"/>
      <c r="H337" s="17"/>
      <c r="J337" s="257"/>
      <c r="K337" s="17"/>
      <c r="M337" s="257"/>
      <c r="N337" s="257"/>
      <c r="O337" s="257"/>
      <c r="P337" s="257"/>
      <c r="Q337" s="257"/>
      <c r="R337" s="257"/>
      <c r="S337" s="257"/>
      <c r="T337" s="17"/>
      <c r="U337" s="17"/>
      <c r="Y337" s="17"/>
      <c r="AE337" s="17"/>
      <c r="AG337" s="17"/>
      <c r="AH337" s="17"/>
    </row>
    <row r="338" spans="1:34">
      <c r="A338" s="17"/>
      <c r="B338" s="17"/>
      <c r="D338" s="257"/>
      <c r="E338" s="257"/>
      <c r="F338" s="269"/>
      <c r="H338" s="17"/>
      <c r="J338" s="257"/>
      <c r="K338" s="17"/>
      <c r="M338" s="257"/>
      <c r="N338" s="257"/>
      <c r="O338" s="257"/>
      <c r="P338" s="257"/>
      <c r="Q338" s="257"/>
      <c r="R338" s="257"/>
      <c r="S338" s="257"/>
      <c r="T338" s="17"/>
      <c r="U338" s="17"/>
      <c r="Y338" s="17"/>
      <c r="AE338" s="17"/>
      <c r="AG338" s="17"/>
      <c r="AH338" s="17"/>
    </row>
    <row r="339" spans="1:34">
      <c r="A339" s="17"/>
      <c r="B339" s="17"/>
      <c r="D339" s="257"/>
      <c r="E339" s="257"/>
      <c r="F339" s="269"/>
      <c r="H339" s="17"/>
      <c r="J339" s="257"/>
      <c r="K339" s="17"/>
      <c r="M339" s="257"/>
      <c r="N339" s="257"/>
      <c r="O339" s="257"/>
      <c r="P339" s="257"/>
      <c r="Q339" s="257"/>
      <c r="R339" s="257"/>
      <c r="S339" s="257"/>
      <c r="T339" s="17"/>
      <c r="U339" s="17"/>
      <c r="Y339" s="17"/>
      <c r="AE339" s="17"/>
      <c r="AG339" s="17"/>
      <c r="AH339" s="17"/>
    </row>
    <row r="340" spans="1:34">
      <c r="A340" s="17"/>
      <c r="B340" s="17"/>
      <c r="D340" s="257"/>
      <c r="E340" s="257"/>
      <c r="F340" s="269"/>
      <c r="H340" s="17"/>
      <c r="J340" s="257"/>
      <c r="K340" s="17"/>
      <c r="M340" s="257"/>
      <c r="N340" s="257"/>
      <c r="O340" s="257"/>
      <c r="P340" s="257"/>
      <c r="Q340" s="257"/>
      <c r="R340" s="257"/>
      <c r="S340" s="257"/>
      <c r="T340" s="17"/>
      <c r="U340" s="17"/>
      <c r="Y340" s="17"/>
      <c r="AE340" s="17"/>
      <c r="AG340" s="17"/>
      <c r="AH340" s="17"/>
    </row>
    <row r="341" spans="1:34">
      <c r="A341" s="17"/>
      <c r="B341" s="17"/>
      <c r="D341" s="257"/>
      <c r="E341" s="257"/>
      <c r="F341" s="269"/>
      <c r="H341" s="17"/>
      <c r="J341" s="257"/>
      <c r="K341" s="17"/>
      <c r="M341" s="257"/>
      <c r="N341" s="257"/>
      <c r="O341" s="257"/>
      <c r="P341" s="257"/>
      <c r="Q341" s="257"/>
      <c r="R341" s="257"/>
      <c r="S341" s="257"/>
      <c r="T341" s="17"/>
      <c r="U341" s="17"/>
      <c r="Y341" s="17"/>
      <c r="AE341" s="17"/>
      <c r="AG341" s="17"/>
      <c r="AH341" s="17"/>
    </row>
    <row r="342" spans="1:34">
      <c r="A342" s="17"/>
      <c r="B342" s="17"/>
      <c r="D342" s="257"/>
      <c r="E342" s="257"/>
      <c r="F342" s="269"/>
      <c r="H342" s="17"/>
      <c r="J342" s="257"/>
      <c r="K342" s="17"/>
      <c r="M342" s="257"/>
      <c r="N342" s="257"/>
      <c r="O342" s="257"/>
      <c r="P342" s="257"/>
      <c r="Q342" s="257"/>
      <c r="R342" s="257"/>
      <c r="S342" s="257"/>
      <c r="T342" s="17"/>
      <c r="U342" s="17"/>
      <c r="Y342" s="17"/>
      <c r="AE342" s="17"/>
      <c r="AG342" s="17"/>
      <c r="AH342" s="17"/>
    </row>
    <row r="343" spans="1:34">
      <c r="A343" s="17"/>
      <c r="B343" s="17"/>
      <c r="D343" s="257"/>
      <c r="E343" s="257"/>
      <c r="F343" s="269"/>
      <c r="H343" s="17"/>
      <c r="J343" s="257"/>
      <c r="K343" s="17"/>
      <c r="M343" s="257"/>
      <c r="N343" s="257"/>
      <c r="O343" s="257"/>
      <c r="P343" s="257"/>
      <c r="Q343" s="257"/>
      <c r="R343" s="257"/>
      <c r="S343" s="257"/>
      <c r="T343" s="17"/>
      <c r="U343" s="17"/>
      <c r="Y343" s="17"/>
      <c r="AE343" s="17"/>
      <c r="AG343" s="17"/>
      <c r="AH343" s="17"/>
    </row>
    <row r="344" spans="1:34">
      <c r="A344" s="17"/>
      <c r="B344" s="17"/>
      <c r="D344" s="257"/>
      <c r="E344" s="257"/>
      <c r="F344" s="269"/>
      <c r="H344" s="17"/>
      <c r="J344" s="257"/>
      <c r="K344" s="17"/>
      <c r="M344" s="257"/>
      <c r="N344" s="257"/>
      <c r="O344" s="257"/>
      <c r="P344" s="257"/>
      <c r="Q344" s="257"/>
      <c r="R344" s="257"/>
      <c r="S344" s="257"/>
      <c r="T344" s="17"/>
      <c r="U344" s="17"/>
      <c r="Y344" s="17"/>
      <c r="AE344" s="17"/>
      <c r="AG344" s="17"/>
      <c r="AH344" s="17"/>
    </row>
    <row r="345" spans="1:34">
      <c r="A345" s="17"/>
      <c r="B345" s="17"/>
      <c r="D345" s="257"/>
      <c r="E345" s="257"/>
      <c r="F345" s="269"/>
      <c r="H345" s="17"/>
      <c r="J345" s="257"/>
      <c r="K345" s="17"/>
      <c r="M345" s="257"/>
      <c r="N345" s="257"/>
      <c r="O345" s="257"/>
      <c r="P345" s="257"/>
      <c r="Q345" s="257"/>
      <c r="R345" s="257"/>
      <c r="S345" s="257"/>
      <c r="T345" s="17"/>
      <c r="U345" s="17"/>
      <c r="Y345" s="17"/>
      <c r="AE345" s="17"/>
      <c r="AG345" s="17"/>
      <c r="AH345" s="17"/>
    </row>
    <row r="346" spans="1:34">
      <c r="A346" s="17"/>
      <c r="B346" s="17"/>
      <c r="D346" s="257"/>
      <c r="E346" s="257"/>
      <c r="F346" s="269"/>
      <c r="H346" s="17"/>
      <c r="J346" s="257"/>
      <c r="K346" s="17"/>
      <c r="M346" s="257"/>
      <c r="N346" s="257"/>
      <c r="O346" s="257"/>
      <c r="P346" s="257"/>
      <c r="Q346" s="257"/>
      <c r="R346" s="257"/>
      <c r="S346" s="257"/>
      <c r="T346" s="17"/>
      <c r="U346" s="17"/>
      <c r="Y346" s="17"/>
      <c r="AE346" s="17"/>
      <c r="AG346" s="17"/>
      <c r="AH346" s="17"/>
    </row>
    <row r="347" spans="1:34">
      <c r="A347" s="17"/>
      <c r="B347" s="17"/>
      <c r="D347" s="257"/>
      <c r="E347" s="257"/>
      <c r="F347" s="269"/>
      <c r="H347" s="17"/>
      <c r="J347" s="257"/>
      <c r="K347" s="17"/>
      <c r="M347" s="257"/>
      <c r="N347" s="257"/>
      <c r="O347" s="257"/>
      <c r="P347" s="257"/>
      <c r="Q347" s="257"/>
      <c r="R347" s="257"/>
      <c r="S347" s="257"/>
      <c r="T347" s="17"/>
      <c r="U347" s="17"/>
      <c r="Y347" s="17"/>
      <c r="AE347" s="17"/>
      <c r="AG347" s="17"/>
      <c r="AH347" s="17"/>
    </row>
    <row r="348" spans="1:34">
      <c r="A348" s="17"/>
      <c r="B348" s="17"/>
      <c r="D348" s="257"/>
      <c r="E348" s="257"/>
      <c r="F348" s="269"/>
      <c r="H348" s="17"/>
      <c r="J348" s="257"/>
      <c r="K348" s="17"/>
      <c r="M348" s="257"/>
      <c r="N348" s="257"/>
      <c r="O348" s="257"/>
      <c r="P348" s="257"/>
      <c r="Q348" s="257"/>
      <c r="R348" s="257"/>
      <c r="S348" s="257"/>
      <c r="T348" s="17"/>
      <c r="U348" s="17"/>
      <c r="Y348" s="17"/>
      <c r="AE348" s="17"/>
      <c r="AG348" s="17"/>
      <c r="AH348" s="17"/>
    </row>
    <row r="349" spans="1:34">
      <c r="A349" s="17"/>
      <c r="B349" s="17"/>
      <c r="D349" s="257"/>
      <c r="E349" s="257"/>
      <c r="F349" s="269"/>
      <c r="H349" s="17"/>
      <c r="J349" s="257"/>
      <c r="K349" s="17"/>
      <c r="M349" s="257"/>
      <c r="N349" s="257"/>
      <c r="O349" s="257"/>
      <c r="P349" s="257"/>
      <c r="Q349" s="257"/>
      <c r="R349" s="257"/>
      <c r="S349" s="257"/>
      <c r="T349" s="17"/>
      <c r="U349" s="17"/>
      <c r="Y349" s="17"/>
      <c r="AE349" s="17"/>
      <c r="AG349" s="17"/>
      <c r="AH349" s="17"/>
    </row>
    <row r="350" spans="1:34">
      <c r="A350" s="17"/>
      <c r="B350" s="17"/>
      <c r="D350" s="257"/>
      <c r="E350" s="257"/>
      <c r="F350" s="269"/>
      <c r="H350" s="17"/>
      <c r="J350" s="257"/>
      <c r="K350" s="17"/>
      <c r="M350" s="257"/>
      <c r="N350" s="257"/>
      <c r="O350" s="257"/>
      <c r="P350" s="257"/>
      <c r="Q350" s="257"/>
      <c r="R350" s="257"/>
      <c r="S350" s="257"/>
      <c r="T350" s="17"/>
      <c r="U350" s="17"/>
      <c r="Y350" s="17"/>
      <c r="AE350" s="17"/>
      <c r="AG350" s="17"/>
      <c r="AH350" s="17"/>
    </row>
    <row r="351" spans="1:34">
      <c r="A351" s="17"/>
      <c r="B351" s="17"/>
      <c r="D351" s="257"/>
      <c r="E351" s="257"/>
      <c r="F351" s="269"/>
      <c r="H351" s="17"/>
      <c r="J351" s="257"/>
      <c r="K351" s="17"/>
      <c r="M351" s="257"/>
      <c r="N351" s="257"/>
      <c r="O351" s="257"/>
      <c r="P351" s="257"/>
      <c r="Q351" s="257"/>
      <c r="R351" s="257"/>
      <c r="S351" s="257"/>
      <c r="T351" s="17"/>
      <c r="U351" s="17"/>
      <c r="Y351" s="17"/>
      <c r="AE351" s="17"/>
      <c r="AG351" s="17"/>
      <c r="AH351" s="17"/>
    </row>
    <row r="352" spans="1:34">
      <c r="A352" s="17"/>
      <c r="B352" s="17"/>
      <c r="D352" s="257"/>
      <c r="E352" s="257"/>
      <c r="F352" s="269"/>
      <c r="H352" s="17"/>
      <c r="J352" s="257"/>
      <c r="K352" s="17"/>
      <c r="M352" s="257"/>
      <c r="N352" s="257"/>
      <c r="O352" s="257"/>
      <c r="P352" s="257"/>
      <c r="Q352" s="257"/>
      <c r="R352" s="257"/>
      <c r="S352" s="257"/>
      <c r="T352" s="17"/>
      <c r="U352" s="17"/>
      <c r="Y352" s="17"/>
      <c r="AE352" s="17"/>
      <c r="AG352" s="17"/>
      <c r="AH352" s="17"/>
    </row>
    <row r="353" spans="1:34">
      <c r="A353" s="17"/>
      <c r="B353" s="17"/>
      <c r="D353" s="257"/>
      <c r="E353" s="257"/>
      <c r="F353" s="269"/>
      <c r="H353" s="17"/>
      <c r="J353" s="257"/>
      <c r="K353" s="17"/>
      <c r="M353" s="257"/>
      <c r="N353" s="257"/>
      <c r="O353" s="257"/>
      <c r="P353" s="257"/>
      <c r="Q353" s="257"/>
      <c r="R353" s="257"/>
      <c r="S353" s="257"/>
      <c r="T353" s="17"/>
      <c r="U353" s="17"/>
      <c r="Y353" s="17"/>
      <c r="AE353" s="17"/>
      <c r="AG353" s="17"/>
      <c r="AH353" s="17"/>
    </row>
    <row r="354" spans="1:34">
      <c r="A354" s="17"/>
      <c r="B354" s="17"/>
      <c r="D354" s="257"/>
      <c r="E354" s="257"/>
      <c r="F354" s="269"/>
      <c r="H354" s="17"/>
      <c r="J354" s="257"/>
      <c r="K354" s="17"/>
      <c r="M354" s="257"/>
      <c r="N354" s="257"/>
      <c r="O354" s="257"/>
      <c r="P354" s="257"/>
      <c r="Q354" s="257"/>
      <c r="R354" s="257"/>
      <c r="S354" s="257"/>
      <c r="T354" s="17"/>
      <c r="U354" s="17"/>
      <c r="Y354" s="17"/>
      <c r="AE354" s="17"/>
      <c r="AG354" s="17"/>
      <c r="AH354" s="17"/>
    </row>
    <row r="355" spans="1:34">
      <c r="A355" s="17"/>
      <c r="B355" s="17"/>
      <c r="D355" s="257"/>
      <c r="E355" s="257"/>
      <c r="F355" s="269"/>
      <c r="H355" s="17"/>
      <c r="J355" s="257"/>
      <c r="K355" s="17"/>
      <c r="M355" s="257"/>
      <c r="N355" s="257"/>
      <c r="O355" s="257"/>
      <c r="P355" s="257"/>
      <c r="Q355" s="257"/>
      <c r="R355" s="257"/>
      <c r="S355" s="257"/>
      <c r="T355" s="17"/>
      <c r="U355" s="17"/>
      <c r="Y355" s="17"/>
      <c r="AE355" s="17"/>
      <c r="AG355" s="17"/>
      <c r="AH355" s="17"/>
    </row>
    <row r="356" spans="1:34">
      <c r="A356" s="17"/>
      <c r="B356" s="17"/>
      <c r="D356" s="257"/>
      <c r="E356" s="257"/>
      <c r="F356" s="269"/>
      <c r="H356" s="17"/>
      <c r="J356" s="257"/>
      <c r="K356" s="17"/>
      <c r="M356" s="257"/>
      <c r="N356" s="257"/>
      <c r="O356" s="257"/>
      <c r="P356" s="257"/>
      <c r="Q356" s="257"/>
      <c r="R356" s="257"/>
      <c r="S356" s="257"/>
      <c r="T356" s="17"/>
      <c r="U356" s="17"/>
      <c r="Y356" s="17"/>
      <c r="AE356" s="17"/>
      <c r="AG356" s="17"/>
      <c r="AH356" s="17"/>
    </row>
    <row r="357" spans="1:34">
      <c r="A357" s="17"/>
      <c r="B357" s="17"/>
      <c r="D357" s="257"/>
      <c r="E357" s="257"/>
      <c r="F357" s="269"/>
      <c r="H357" s="17"/>
      <c r="J357" s="257"/>
      <c r="K357" s="17"/>
      <c r="M357" s="257"/>
      <c r="N357" s="257"/>
      <c r="O357" s="257"/>
      <c r="P357" s="257"/>
      <c r="Q357" s="257"/>
      <c r="R357" s="257"/>
      <c r="S357" s="257"/>
      <c r="T357" s="17"/>
      <c r="U357" s="17"/>
      <c r="Y357" s="17"/>
      <c r="AE357" s="17"/>
      <c r="AG357" s="17"/>
      <c r="AH357" s="17"/>
    </row>
    <row r="358" spans="1:34">
      <c r="A358" s="17"/>
      <c r="B358" s="17"/>
      <c r="D358" s="257"/>
      <c r="E358" s="257"/>
      <c r="F358" s="269"/>
      <c r="H358" s="17"/>
      <c r="J358" s="257"/>
      <c r="K358" s="17"/>
      <c r="M358" s="257"/>
      <c r="N358" s="257"/>
      <c r="O358" s="257"/>
      <c r="P358" s="257"/>
      <c r="Q358" s="257"/>
      <c r="R358" s="257"/>
      <c r="S358" s="257"/>
      <c r="T358" s="17"/>
      <c r="U358" s="17"/>
      <c r="Y358" s="17"/>
      <c r="AE358" s="17"/>
      <c r="AG358" s="17"/>
      <c r="AH358" s="17"/>
    </row>
    <row r="359" spans="1:34">
      <c r="A359" s="17"/>
      <c r="B359" s="17"/>
      <c r="D359" s="257"/>
      <c r="E359" s="257"/>
      <c r="F359" s="269"/>
      <c r="H359" s="17"/>
      <c r="J359" s="257"/>
      <c r="K359" s="17"/>
      <c r="M359" s="257"/>
      <c r="N359" s="257"/>
      <c r="O359" s="257"/>
      <c r="P359" s="257"/>
      <c r="Q359" s="257"/>
      <c r="R359" s="257"/>
      <c r="S359" s="257"/>
      <c r="T359" s="17"/>
      <c r="U359" s="17"/>
      <c r="Y359" s="17"/>
      <c r="AE359" s="17"/>
      <c r="AG359" s="17"/>
      <c r="AH359" s="17"/>
    </row>
    <row r="360" spans="1:34">
      <c r="A360" s="17"/>
      <c r="B360" s="17"/>
      <c r="D360" s="257"/>
      <c r="E360" s="257"/>
      <c r="F360" s="269"/>
      <c r="H360" s="17"/>
      <c r="J360" s="257"/>
      <c r="K360" s="17"/>
      <c r="M360" s="257"/>
      <c r="N360" s="257"/>
      <c r="O360" s="257"/>
      <c r="P360" s="257"/>
      <c r="Q360" s="257"/>
      <c r="R360" s="257"/>
      <c r="S360" s="257"/>
      <c r="T360" s="17"/>
      <c r="U360" s="17"/>
      <c r="Y360" s="17"/>
      <c r="AE360" s="17"/>
      <c r="AG360" s="17"/>
      <c r="AH360" s="17"/>
    </row>
    <row r="361" spans="1:34">
      <c r="A361" s="17"/>
      <c r="B361" s="17"/>
      <c r="D361" s="257"/>
      <c r="E361" s="257"/>
      <c r="F361" s="269"/>
      <c r="H361" s="17"/>
      <c r="J361" s="257"/>
      <c r="K361" s="17"/>
      <c r="M361" s="257"/>
      <c r="N361" s="257"/>
      <c r="O361" s="257"/>
      <c r="P361" s="257"/>
      <c r="Q361" s="257"/>
      <c r="R361" s="257"/>
      <c r="S361" s="257"/>
      <c r="T361" s="17"/>
      <c r="U361" s="17"/>
      <c r="Y361" s="17"/>
      <c r="AE361" s="17"/>
      <c r="AG361" s="17"/>
      <c r="AH361" s="17"/>
    </row>
    <row r="362" spans="1:34">
      <c r="A362" s="17"/>
      <c r="B362" s="17"/>
      <c r="D362" s="257"/>
      <c r="E362" s="257"/>
      <c r="F362" s="269"/>
      <c r="H362" s="17"/>
      <c r="J362" s="257"/>
      <c r="K362" s="17"/>
      <c r="M362" s="257"/>
      <c r="N362" s="257"/>
      <c r="O362" s="257"/>
      <c r="P362" s="257"/>
      <c r="Q362" s="257"/>
      <c r="R362" s="257"/>
      <c r="S362" s="257"/>
      <c r="T362" s="17"/>
      <c r="U362" s="17"/>
      <c r="Y362" s="17"/>
      <c r="AE362" s="17"/>
      <c r="AG362" s="17"/>
      <c r="AH362" s="17"/>
    </row>
    <row r="363" spans="1:34">
      <c r="A363" s="17"/>
      <c r="B363" s="17"/>
      <c r="D363" s="257"/>
      <c r="E363" s="257"/>
      <c r="F363" s="269"/>
      <c r="H363" s="17"/>
      <c r="J363" s="257"/>
      <c r="K363" s="17"/>
      <c r="M363" s="257"/>
      <c r="N363" s="257"/>
      <c r="O363" s="257"/>
      <c r="P363" s="257"/>
      <c r="Q363" s="257"/>
      <c r="R363" s="257"/>
      <c r="S363" s="257"/>
      <c r="T363" s="17"/>
      <c r="U363" s="17"/>
      <c r="Y363" s="17"/>
      <c r="AE363" s="17"/>
      <c r="AG363" s="17"/>
      <c r="AH363" s="17"/>
    </row>
    <row r="364" spans="1:34">
      <c r="A364" s="17"/>
      <c r="B364" s="17"/>
      <c r="D364" s="257"/>
      <c r="E364" s="257"/>
      <c r="F364" s="269"/>
      <c r="H364" s="17"/>
      <c r="J364" s="257"/>
      <c r="K364" s="17"/>
      <c r="M364" s="257"/>
      <c r="N364" s="257"/>
      <c r="O364" s="257"/>
      <c r="P364" s="257"/>
      <c r="Q364" s="257"/>
      <c r="R364" s="257"/>
      <c r="S364" s="257"/>
      <c r="T364" s="17"/>
      <c r="U364" s="17"/>
      <c r="Y364" s="17"/>
      <c r="AE364" s="17"/>
      <c r="AG364" s="17"/>
      <c r="AH364" s="17"/>
    </row>
    <row r="365" spans="1:34">
      <c r="A365" s="17"/>
      <c r="B365" s="17"/>
      <c r="D365" s="257"/>
      <c r="E365" s="257"/>
      <c r="F365" s="269"/>
      <c r="H365" s="17"/>
      <c r="J365" s="257"/>
      <c r="K365" s="17"/>
      <c r="M365" s="257"/>
      <c r="N365" s="257"/>
      <c r="O365" s="257"/>
      <c r="P365" s="257"/>
      <c r="Q365" s="257"/>
      <c r="R365" s="257"/>
      <c r="S365" s="257"/>
      <c r="T365" s="17"/>
      <c r="U365" s="17"/>
      <c r="Y365" s="17"/>
      <c r="AE365" s="17"/>
      <c r="AG365" s="17"/>
      <c r="AH365" s="17"/>
    </row>
    <row r="366" spans="1:34">
      <c r="A366" s="17"/>
      <c r="B366" s="17"/>
      <c r="D366" s="257"/>
      <c r="E366" s="257"/>
      <c r="F366" s="269"/>
      <c r="H366" s="17"/>
      <c r="J366" s="257"/>
      <c r="K366" s="17"/>
      <c r="M366" s="257"/>
      <c r="N366" s="257"/>
      <c r="O366" s="257"/>
      <c r="P366" s="257"/>
      <c r="Q366" s="257"/>
      <c r="R366" s="257"/>
      <c r="S366" s="257"/>
      <c r="T366" s="17"/>
      <c r="U366" s="17"/>
      <c r="Y366" s="17"/>
      <c r="AE366" s="17"/>
      <c r="AG366" s="17"/>
      <c r="AH366" s="17"/>
    </row>
    <row r="367" spans="1:34">
      <c r="A367" s="17"/>
      <c r="B367" s="17"/>
      <c r="D367" s="257"/>
      <c r="E367" s="257"/>
      <c r="F367" s="269"/>
      <c r="H367" s="17"/>
      <c r="J367" s="257"/>
      <c r="K367" s="17"/>
      <c r="M367" s="257"/>
      <c r="N367" s="257"/>
      <c r="O367" s="257"/>
      <c r="P367" s="257"/>
      <c r="Q367" s="257"/>
      <c r="R367" s="257"/>
      <c r="S367" s="257"/>
      <c r="T367" s="17"/>
      <c r="U367" s="17"/>
      <c r="Y367" s="17"/>
      <c r="AE367" s="17"/>
      <c r="AG367" s="17"/>
      <c r="AH367" s="17"/>
    </row>
    <row r="368" spans="1:34">
      <c r="A368" s="17"/>
      <c r="B368" s="17"/>
      <c r="D368" s="257"/>
      <c r="E368" s="257"/>
      <c r="F368" s="269"/>
      <c r="H368" s="17"/>
      <c r="J368" s="257"/>
      <c r="K368" s="17"/>
      <c r="M368" s="257"/>
      <c r="N368" s="257"/>
      <c r="O368" s="257"/>
      <c r="P368" s="257"/>
      <c r="Q368" s="257"/>
      <c r="R368" s="257"/>
      <c r="S368" s="257"/>
      <c r="T368" s="17"/>
      <c r="U368" s="17"/>
      <c r="Y368" s="17"/>
      <c r="AE368" s="17"/>
      <c r="AG368" s="17"/>
      <c r="AH368" s="17"/>
    </row>
    <row r="369" spans="1:34">
      <c r="A369" s="17"/>
      <c r="B369" s="17"/>
      <c r="D369" s="257"/>
      <c r="E369" s="257"/>
      <c r="F369" s="269"/>
      <c r="H369" s="17"/>
      <c r="J369" s="257"/>
      <c r="K369" s="17"/>
      <c r="M369" s="257"/>
      <c r="N369" s="257"/>
      <c r="O369" s="257"/>
      <c r="P369" s="257"/>
      <c r="Q369" s="257"/>
      <c r="R369" s="257"/>
      <c r="S369" s="257"/>
      <c r="T369" s="17"/>
      <c r="U369" s="17"/>
      <c r="Y369" s="17"/>
      <c r="AE369" s="17"/>
      <c r="AG369" s="17"/>
      <c r="AH369" s="17"/>
    </row>
    <row r="370" spans="1:34">
      <c r="A370" s="17"/>
      <c r="B370" s="17"/>
      <c r="D370" s="257"/>
      <c r="E370" s="257"/>
      <c r="F370" s="269"/>
      <c r="H370" s="17"/>
      <c r="J370" s="257"/>
      <c r="K370" s="17"/>
      <c r="M370" s="257"/>
      <c r="N370" s="257"/>
      <c r="O370" s="257"/>
      <c r="P370" s="257"/>
      <c r="Q370" s="257"/>
      <c r="R370" s="257"/>
      <c r="S370" s="257"/>
      <c r="T370" s="17"/>
      <c r="U370" s="17"/>
      <c r="Y370" s="17"/>
      <c r="AE370" s="17"/>
      <c r="AG370" s="17"/>
      <c r="AH370" s="17"/>
    </row>
    <row r="371" spans="1:34">
      <c r="A371" s="17"/>
      <c r="B371" s="17"/>
      <c r="D371" s="257"/>
      <c r="E371" s="257"/>
      <c r="F371" s="269"/>
      <c r="H371" s="17"/>
      <c r="J371" s="257"/>
      <c r="K371" s="17"/>
      <c r="M371" s="257"/>
      <c r="N371" s="257"/>
      <c r="O371" s="257"/>
      <c r="P371" s="257"/>
      <c r="Q371" s="257"/>
      <c r="R371" s="257"/>
      <c r="S371" s="257"/>
      <c r="T371" s="17"/>
      <c r="U371" s="17"/>
      <c r="Y371" s="17"/>
      <c r="AE371" s="17"/>
      <c r="AG371" s="17"/>
      <c r="AH371" s="17"/>
    </row>
    <row r="372" spans="1:34">
      <c r="A372" s="17"/>
      <c r="B372" s="17"/>
      <c r="D372" s="257"/>
      <c r="E372" s="257"/>
      <c r="F372" s="269"/>
      <c r="H372" s="17"/>
      <c r="J372" s="257"/>
      <c r="K372" s="17"/>
      <c r="M372" s="257"/>
      <c r="N372" s="257"/>
      <c r="O372" s="257"/>
      <c r="P372" s="257"/>
      <c r="Q372" s="257"/>
      <c r="R372" s="257"/>
      <c r="S372" s="257"/>
      <c r="T372" s="17"/>
      <c r="U372" s="17"/>
      <c r="Y372" s="17"/>
      <c r="AE372" s="17"/>
      <c r="AG372" s="17"/>
      <c r="AH372" s="17"/>
    </row>
    <row r="373" spans="1:34">
      <c r="A373" s="17"/>
      <c r="B373" s="17"/>
      <c r="D373" s="257"/>
      <c r="E373" s="257"/>
      <c r="F373" s="269"/>
      <c r="H373" s="17"/>
      <c r="J373" s="257"/>
      <c r="K373" s="17"/>
      <c r="M373" s="257"/>
      <c r="N373" s="257"/>
      <c r="O373" s="257"/>
      <c r="P373" s="257"/>
      <c r="Q373" s="257"/>
      <c r="R373" s="257"/>
      <c r="S373" s="257"/>
      <c r="T373" s="17"/>
      <c r="U373" s="17"/>
      <c r="Y373" s="17"/>
      <c r="AE373" s="17"/>
      <c r="AG373" s="17"/>
      <c r="AH373" s="17"/>
    </row>
    <row r="374" spans="1:34">
      <c r="A374" s="17"/>
      <c r="B374" s="17"/>
      <c r="D374" s="257"/>
      <c r="E374" s="257"/>
      <c r="F374" s="269"/>
      <c r="H374" s="17"/>
      <c r="J374" s="257"/>
      <c r="K374" s="17"/>
      <c r="M374" s="257"/>
      <c r="N374" s="257"/>
      <c r="O374" s="257"/>
      <c r="P374" s="257"/>
      <c r="Q374" s="257"/>
      <c r="R374" s="257"/>
      <c r="S374" s="257"/>
      <c r="T374" s="17"/>
      <c r="U374" s="17"/>
      <c r="Y374" s="17"/>
      <c r="AE374" s="17"/>
      <c r="AG374" s="17"/>
      <c r="AH374" s="17"/>
    </row>
    <row r="375" spans="1:34">
      <c r="A375" s="17"/>
      <c r="B375" s="17"/>
      <c r="D375" s="257"/>
      <c r="E375" s="257"/>
      <c r="F375" s="269"/>
      <c r="H375" s="17"/>
      <c r="J375" s="257"/>
      <c r="K375" s="17"/>
      <c r="M375" s="257"/>
      <c r="N375" s="257"/>
      <c r="O375" s="257"/>
      <c r="P375" s="257"/>
      <c r="Q375" s="257"/>
      <c r="R375" s="257"/>
      <c r="S375" s="257"/>
      <c r="T375" s="17"/>
      <c r="U375" s="17"/>
      <c r="Y375" s="17"/>
      <c r="AE375" s="17"/>
      <c r="AG375" s="17"/>
      <c r="AH375" s="17"/>
    </row>
    <row r="376" spans="1:34">
      <c r="A376" s="17"/>
      <c r="B376" s="17"/>
      <c r="D376" s="257"/>
      <c r="E376" s="257"/>
      <c r="F376" s="269"/>
      <c r="H376" s="17"/>
      <c r="J376" s="257"/>
      <c r="K376" s="17"/>
      <c r="M376" s="257"/>
      <c r="N376" s="257"/>
      <c r="O376" s="257"/>
      <c r="P376" s="257"/>
      <c r="Q376" s="257"/>
      <c r="R376" s="257"/>
      <c r="S376" s="257"/>
      <c r="T376" s="17"/>
      <c r="U376" s="17"/>
      <c r="Y376" s="17"/>
      <c r="AE376" s="17"/>
      <c r="AG376" s="17"/>
      <c r="AH376" s="17"/>
    </row>
    <row r="377" spans="1:34">
      <c r="A377" s="17"/>
      <c r="B377" s="17"/>
      <c r="F377" s="269"/>
      <c r="H377" s="17"/>
      <c r="K377" s="17"/>
      <c r="M377" s="257"/>
      <c r="R377" s="257"/>
      <c r="S377" s="257"/>
      <c r="T377" s="17"/>
      <c r="U377" s="17"/>
      <c r="Y377" s="17"/>
      <c r="AE377" s="17"/>
      <c r="AG377" s="17"/>
      <c r="AH377" s="17"/>
    </row>
    <row r="378" spans="1:34">
      <c r="A378" s="17"/>
      <c r="B378" s="17"/>
      <c r="F378" s="269"/>
      <c r="H378" s="17"/>
      <c r="K378" s="17"/>
      <c r="M378" s="257"/>
      <c r="R378" s="257"/>
      <c r="S378" s="257"/>
      <c r="T378" s="17"/>
      <c r="U378" s="17"/>
      <c r="Y378" s="17"/>
      <c r="AE378" s="17"/>
      <c r="AG378" s="17"/>
      <c r="AH378" s="17"/>
    </row>
    <row r="379" spans="1:34">
      <c r="A379" s="17"/>
      <c r="B379" s="17"/>
      <c r="F379" s="269"/>
      <c r="H379" s="17"/>
      <c r="K379" s="17"/>
      <c r="M379" s="257"/>
      <c r="R379" s="257"/>
      <c r="S379" s="257"/>
      <c r="T379" s="17"/>
      <c r="U379" s="17"/>
      <c r="Y379" s="17"/>
      <c r="AE379" s="17"/>
      <c r="AG379" s="17"/>
      <c r="AH379" s="17"/>
    </row>
    <row r="380" spans="1:34">
      <c r="A380" s="17"/>
      <c r="B380" s="17"/>
      <c r="F380" s="269"/>
      <c r="H380" s="17"/>
      <c r="K380" s="17"/>
      <c r="M380" s="257"/>
      <c r="R380" s="257"/>
      <c r="S380" s="257"/>
      <c r="T380" s="17"/>
      <c r="U380" s="17"/>
      <c r="Y380" s="17"/>
      <c r="AE380" s="17"/>
      <c r="AG380" s="17"/>
      <c r="AH380" s="17"/>
    </row>
    <row r="381" spans="1:34">
      <c r="A381" s="17"/>
      <c r="B381" s="17"/>
      <c r="F381" s="269"/>
      <c r="H381" s="17"/>
      <c r="K381" s="17"/>
      <c r="M381" s="257"/>
      <c r="R381" s="257"/>
      <c r="S381" s="257"/>
      <c r="T381" s="17"/>
      <c r="U381" s="17"/>
      <c r="Y381" s="17"/>
      <c r="AE381" s="17"/>
      <c r="AG381" s="17"/>
      <c r="AH381" s="17"/>
    </row>
    <row r="382" spans="1:34">
      <c r="A382" s="17"/>
      <c r="B382" s="17"/>
      <c r="F382" s="269"/>
      <c r="H382" s="17"/>
      <c r="K382" s="17"/>
      <c r="M382" s="257"/>
      <c r="R382" s="257"/>
      <c r="S382" s="257"/>
      <c r="T382" s="17"/>
      <c r="U382" s="17"/>
      <c r="Y382" s="17"/>
      <c r="AE382" s="17"/>
      <c r="AG382" s="17"/>
      <c r="AH382" s="17"/>
    </row>
    <row r="383" spans="1:34">
      <c r="A383" s="17"/>
      <c r="B383" s="17"/>
      <c r="F383" s="269"/>
      <c r="H383" s="17"/>
      <c r="K383" s="17"/>
      <c r="M383" s="257"/>
      <c r="R383" s="257"/>
      <c r="S383" s="257"/>
      <c r="T383" s="17"/>
      <c r="U383" s="17"/>
      <c r="Y383" s="17"/>
      <c r="AE383" s="17"/>
      <c r="AG383" s="17"/>
      <c r="AH383" s="17"/>
    </row>
    <row r="384" spans="1:34">
      <c r="A384" s="17"/>
      <c r="B384" s="17"/>
      <c r="F384" s="269"/>
      <c r="H384" s="17"/>
      <c r="K384" s="17"/>
      <c r="M384" s="257"/>
      <c r="R384" s="257"/>
      <c r="S384" s="257"/>
      <c r="T384" s="17"/>
      <c r="U384" s="17"/>
      <c r="Y384" s="17"/>
      <c r="AE384" s="17"/>
      <c r="AG384" s="17"/>
      <c r="AH384" s="17"/>
    </row>
    <row r="385" spans="1:34">
      <c r="A385" s="17"/>
      <c r="B385" s="17"/>
      <c r="F385" s="269"/>
      <c r="H385" s="17"/>
      <c r="K385" s="17"/>
      <c r="M385" s="257"/>
      <c r="R385" s="257"/>
      <c r="S385" s="257"/>
      <c r="T385" s="17"/>
      <c r="U385" s="17"/>
      <c r="Y385" s="17"/>
      <c r="AE385" s="17"/>
      <c r="AG385" s="17"/>
      <c r="AH385" s="17"/>
    </row>
    <row r="386" spans="1:34">
      <c r="A386" s="17"/>
      <c r="B386" s="17"/>
      <c r="F386" s="269"/>
      <c r="H386" s="17"/>
      <c r="K386" s="17"/>
      <c r="M386" s="257"/>
      <c r="R386" s="257"/>
      <c r="S386" s="257"/>
      <c r="T386" s="17"/>
      <c r="U386" s="17"/>
      <c r="Y386" s="17"/>
      <c r="AE386" s="17"/>
      <c r="AG386" s="17"/>
      <c r="AH386" s="17"/>
    </row>
    <row r="387" spans="1:34">
      <c r="A387" s="17"/>
      <c r="B387" s="17"/>
      <c r="F387" s="269"/>
      <c r="H387" s="17"/>
      <c r="K387" s="17"/>
      <c r="M387" s="257"/>
      <c r="R387" s="257"/>
      <c r="S387" s="257"/>
      <c r="T387" s="17"/>
      <c r="U387" s="17"/>
      <c r="Y387" s="17"/>
      <c r="AE387" s="17"/>
      <c r="AG387" s="17"/>
      <c r="AH387" s="17"/>
    </row>
    <row r="388" spans="1:34">
      <c r="A388" s="17"/>
      <c r="B388" s="17"/>
      <c r="F388" s="269"/>
      <c r="H388" s="17"/>
      <c r="K388" s="17"/>
      <c r="M388" s="257"/>
      <c r="R388" s="257"/>
      <c r="S388" s="257"/>
      <c r="T388" s="17"/>
      <c r="U388" s="17"/>
      <c r="Y388" s="17"/>
      <c r="AE388" s="17"/>
      <c r="AG388" s="17"/>
      <c r="AH388" s="17"/>
    </row>
    <row r="389" spans="1:34">
      <c r="A389" s="17"/>
      <c r="B389" s="17"/>
      <c r="F389" s="269"/>
      <c r="H389" s="17"/>
      <c r="K389" s="17"/>
      <c r="M389" s="257"/>
      <c r="R389" s="257"/>
      <c r="S389" s="257"/>
      <c r="T389" s="17"/>
      <c r="U389" s="17"/>
      <c r="Y389" s="17"/>
      <c r="AE389" s="17"/>
      <c r="AG389" s="17"/>
      <c r="AH389" s="17"/>
    </row>
    <row r="390" spans="1:34">
      <c r="A390" s="17"/>
      <c r="B390" s="17"/>
      <c r="F390" s="269"/>
      <c r="H390" s="17"/>
      <c r="K390" s="17"/>
      <c r="M390" s="257"/>
      <c r="R390" s="257"/>
      <c r="S390" s="257"/>
      <c r="T390" s="17"/>
      <c r="U390" s="17"/>
      <c r="Y390" s="17"/>
      <c r="AE390" s="17"/>
      <c r="AG390" s="17"/>
      <c r="AH390" s="17"/>
    </row>
    <row r="391" spans="1:34">
      <c r="A391" s="17"/>
      <c r="B391" s="17"/>
      <c r="F391" s="269"/>
      <c r="H391" s="17"/>
      <c r="K391" s="17"/>
      <c r="M391" s="257"/>
      <c r="R391" s="257"/>
      <c r="S391" s="257"/>
      <c r="T391" s="17"/>
      <c r="U391" s="17"/>
      <c r="Y391" s="17"/>
      <c r="AE391" s="17"/>
      <c r="AG391" s="17"/>
      <c r="AH391" s="17"/>
    </row>
    <row r="392" spans="1:34">
      <c r="A392" s="17"/>
      <c r="B392" s="17"/>
      <c r="F392" s="269"/>
      <c r="H392" s="17"/>
      <c r="K392" s="17"/>
      <c r="M392" s="257"/>
      <c r="R392" s="257"/>
      <c r="S392" s="257"/>
      <c r="T392" s="17"/>
      <c r="U392" s="17"/>
      <c r="Y392" s="17"/>
      <c r="AE392" s="17"/>
      <c r="AG392" s="17"/>
      <c r="AH392" s="17"/>
    </row>
    <row r="393" spans="1:34">
      <c r="A393" s="17"/>
      <c r="B393" s="17"/>
      <c r="F393" s="269"/>
      <c r="H393" s="17"/>
      <c r="K393" s="17"/>
      <c r="M393" s="257"/>
      <c r="R393" s="257"/>
      <c r="S393" s="257"/>
      <c r="T393" s="17"/>
      <c r="U393" s="17"/>
      <c r="Y393" s="17"/>
      <c r="AE393" s="17"/>
      <c r="AG393" s="17"/>
      <c r="AH393" s="17"/>
    </row>
    <row r="394" spans="1:34">
      <c r="A394" s="17"/>
      <c r="B394" s="17"/>
      <c r="F394" s="269"/>
      <c r="H394" s="17"/>
      <c r="K394" s="17"/>
      <c r="M394" s="257"/>
      <c r="R394" s="257"/>
      <c r="S394" s="257"/>
      <c r="T394" s="17"/>
      <c r="U394" s="17"/>
      <c r="Y394" s="17"/>
      <c r="AE394" s="17"/>
      <c r="AG394" s="17"/>
      <c r="AH394" s="17"/>
    </row>
    <row r="395" spans="1:34">
      <c r="A395" s="17"/>
      <c r="B395" s="17"/>
      <c r="F395" s="269"/>
      <c r="H395" s="17"/>
      <c r="K395" s="17"/>
      <c r="M395" s="257"/>
      <c r="R395" s="257"/>
      <c r="S395" s="257"/>
      <c r="T395" s="17"/>
      <c r="U395" s="17"/>
      <c r="Y395" s="17"/>
      <c r="AE395" s="17"/>
      <c r="AG395" s="17"/>
      <c r="AH395" s="17"/>
    </row>
    <row r="396" spans="1:34">
      <c r="A396" s="17"/>
      <c r="B396" s="17"/>
      <c r="F396" s="269"/>
      <c r="H396" s="17"/>
      <c r="K396" s="17"/>
      <c r="M396" s="257"/>
      <c r="R396" s="257"/>
      <c r="S396" s="257"/>
      <c r="T396" s="17"/>
      <c r="U396" s="17"/>
      <c r="Y396" s="17"/>
      <c r="AE396" s="17"/>
      <c r="AG396" s="17"/>
      <c r="AH396" s="17"/>
    </row>
    <row r="397" spans="1:34">
      <c r="A397" s="17"/>
      <c r="B397" s="17"/>
      <c r="F397" s="269"/>
      <c r="H397" s="17"/>
      <c r="K397" s="17"/>
      <c r="M397" s="257"/>
      <c r="R397" s="257"/>
      <c r="S397" s="257"/>
      <c r="T397" s="17"/>
      <c r="U397" s="17"/>
      <c r="Y397" s="17"/>
      <c r="AE397" s="17"/>
      <c r="AG397" s="17"/>
      <c r="AH397" s="17"/>
    </row>
    <row r="398" spans="1:34">
      <c r="A398" s="17"/>
      <c r="B398" s="17"/>
      <c r="F398" s="269"/>
      <c r="H398" s="17"/>
      <c r="K398" s="17"/>
      <c r="M398" s="257"/>
      <c r="R398" s="257"/>
      <c r="S398" s="257"/>
      <c r="T398" s="17"/>
      <c r="U398" s="17"/>
      <c r="Y398" s="17"/>
      <c r="AE398" s="17"/>
      <c r="AG398" s="17"/>
      <c r="AH398" s="17"/>
    </row>
    <row r="399" spans="1:34">
      <c r="A399" s="17"/>
      <c r="B399" s="17"/>
      <c r="F399" s="269"/>
      <c r="H399" s="17"/>
      <c r="K399" s="17"/>
      <c r="M399" s="257"/>
      <c r="R399" s="257"/>
      <c r="S399" s="257"/>
      <c r="T399" s="17"/>
      <c r="U399" s="17"/>
      <c r="Y399" s="17"/>
      <c r="AE399" s="17"/>
      <c r="AG399" s="17"/>
      <c r="AH399" s="17"/>
    </row>
  </sheetData>
  <autoFilter ref="A10:BG23" xr:uid="{74D2897B-B7C9-4FFA-81C4-6B8F0F28CF3E}"/>
  <conditionalFormatting sqref="J30">
    <cfRule type="expression" dxfId="16" priority="13">
      <formula>$B11&lt;&gt;"VFR"</formula>
    </cfRule>
  </conditionalFormatting>
  <conditionalFormatting sqref="I11 I12:K23">
    <cfRule type="expression" dxfId="15" priority="12">
      <formula>$B11&lt;&gt;"VFR"</formula>
    </cfRule>
  </conditionalFormatting>
  <conditionalFormatting sqref="N11:O23">
    <cfRule type="expression" dxfId="14" priority="11">
      <formula>AND($B11&lt;&gt;"VFR",$B11&lt;&gt;"HFR")</formula>
    </cfRule>
  </conditionalFormatting>
  <conditionalFormatting sqref="J11">
    <cfRule type="expression" dxfId="13" priority="10">
      <formula>$B11&lt;&gt;"VFR"</formula>
    </cfRule>
  </conditionalFormatting>
  <conditionalFormatting sqref="K11">
    <cfRule type="expression" dxfId="12" priority="9">
      <formula>$B11&lt;&gt;"VFR"</formula>
    </cfRule>
  </conditionalFormatting>
  <conditionalFormatting sqref="L11 L13:M23">
    <cfRule type="expression" dxfId="11" priority="8">
      <formula>$B11&lt;&gt;"HFR"</formula>
    </cfRule>
  </conditionalFormatting>
  <conditionalFormatting sqref="M11">
    <cfRule type="expression" dxfId="10" priority="7">
      <formula>$B11&lt;&gt;"HFR"</formula>
    </cfRule>
  </conditionalFormatting>
  <conditionalFormatting sqref="L12">
    <cfRule type="expression" dxfId="9" priority="6">
      <formula>$B12&lt;&gt;"HFR"</formula>
    </cfRule>
  </conditionalFormatting>
  <conditionalFormatting sqref="M12">
    <cfRule type="expression" dxfId="8" priority="5">
      <formula>$B12&lt;&gt;"HFR"</formula>
    </cfRule>
  </conditionalFormatting>
  <conditionalFormatting sqref="T11:T23 U12:U23 V11:AD23">
    <cfRule type="expression" dxfId="7" priority="4">
      <formula>AND($B11&lt;&gt;"IFR",$B11&lt;&gt;"EFR",$B11&lt;&gt;"DEFR")</formula>
    </cfRule>
  </conditionalFormatting>
  <conditionalFormatting sqref="U11">
    <cfRule type="expression" dxfId="6" priority="3">
      <formula>AND($B11&lt;&gt;"IFR",$B11&lt;&gt;"EFR",$B11&lt;&gt;"DEFR")</formula>
    </cfRule>
  </conditionalFormatting>
  <conditionalFormatting sqref="P11:S23">
    <cfRule type="expression" dxfId="5" priority="2">
      <formula>AND($B11&lt;&gt;"VFR",$B11&lt;&gt;"HFR")</formula>
    </cfRule>
  </conditionalFormatting>
  <conditionalFormatting sqref="AE11:AH23">
    <cfRule type="expression" dxfId="4" priority="1">
      <formula>AND($B11&lt;&gt;"IFR",$B11&lt;&gt;"EFR",$B11&lt;&gt;"DEFR")</formula>
    </cfRule>
  </conditionalFormatting>
  <dataValidations count="13">
    <dataValidation type="list" allowBlank="1" showInputMessage="1" showErrorMessage="1" sqref="X11:X15 X21:X23" xr:uid="{5CF02350-E353-49AE-8F6E-156ED8ABFA6B}">
      <formula1>"Welded, Bolted"</formula1>
    </dataValidation>
    <dataValidation type="list" allowBlank="1" showInputMessage="1" showErrorMessage="1" sqref="X16:X20 V11:V23" xr:uid="{7F73A76B-3294-4A51-A3F5-253C15EC083E}">
      <formula1>"Welded, Riveted"</formula1>
    </dataValidation>
    <dataValidation type="list" allowBlank="1" showInputMessage="1" showErrorMessage="1" sqref="U11:U23" xr:uid="{07F883EA-0D97-4B44-82DE-9E5DA9CEBEB8}">
      <formula1>"Pontoon Roof, Double-Deck Roof"</formula1>
    </dataValidation>
    <dataValidation type="list" allowBlank="1" showInputMessage="1" showErrorMessage="1" sqref="AA11:AA23 AU11:AU23" xr:uid="{B933FD99-EBFF-4999-A2F4-94D1741D484B}">
      <formula1>"Yes, No"</formula1>
    </dataValidation>
    <dataValidation type="list" allowBlank="1" showInputMessage="1" showErrorMessage="1" sqref="AS11:AS23" xr:uid="{867CE0C5-FDE3-46D9-880B-0DA736D75EFB}">
      <formula1>"New Tank, Altered Tank, Relocation, Change of Service"</formula1>
    </dataValidation>
    <dataValidation type="list" allowBlank="1" showInputMessage="1" showErrorMessage="1" sqref="G11:G23" xr:uid="{0B63DE99-912F-47D1-B1D1-D48E5B3D9DA1}">
      <formula1>"Good, Poor"</formula1>
    </dataValidation>
    <dataValidation type="list" allowBlank="1" showInputMessage="1" showErrorMessage="1" sqref="W11:W23" xr:uid="{F6E0DC31-F421-4DDF-9C87-F4A5712B1EA1}">
      <formula1>"Light Rust, Dense Rust, Gunite Lining"</formula1>
    </dataValidation>
    <dataValidation type="list" allowBlank="1" showInputMessage="1" showErrorMessage="1" sqref="AC11:AC23" xr:uid="{0C39A1F0-5C8C-4114-BF1C-D44476F393D5}">
      <formula1>"0, 0.20, 0.17, 0.14, 0.33, 0.28"</formula1>
    </dataValidation>
    <dataValidation type="list" allowBlank="1" showInputMessage="1" showErrorMessage="1" sqref="Z11:Z23" xr:uid="{FBED714E-89B2-48C5-B297-CE6573A3EA04}">
      <formula1>"Primary only, Shoe mounted, Rim mounted, Weather shield"</formula1>
    </dataValidation>
    <dataValidation type="list" allowBlank="1" showInputMessage="1" showErrorMessage="1" sqref="Y11:Y23" xr:uid="{563D3052-D389-4AEE-9D5B-C13B522E1B6E}">
      <formula1>"Mechanical Shoe, Liquid mounted, Vapor Mounted"</formula1>
    </dataValidation>
    <dataValidation type="list" allowBlank="1" showInputMessage="1" showErrorMessage="1" sqref="K11:K23" xr:uid="{AA64FC55-421A-466C-8C4E-F639D23E77EB}">
      <formula1>"Cone, Dome"</formula1>
    </dataValidation>
    <dataValidation type="list" allowBlank="1" showInputMessage="1" showErrorMessage="1" sqref="B11:B23" xr:uid="{44E047BF-53B2-404A-98DE-4E1C3DD93B93}">
      <formula1>"VFR, HFR, IFR, EFR, DEFR"</formula1>
    </dataValidation>
    <dataValidation type="list" allowBlank="1" showInputMessage="1" showErrorMessage="1" sqref="AB11:AB23" xr:uid="{F2DFC135-9039-495C-8455-38B7CA604096}">
      <formula1>"1.1, 0.7, 1.0"</formula1>
    </dataValidation>
  </dataValidations>
  <printOptions horizontalCentered="1"/>
  <pageMargins left="0.25" right="0.25" top="0.75" bottom="0.75" header="0.3" footer="0.3"/>
  <pageSetup scale="54" fitToHeight="0" orientation="landscape" r:id="rId1"/>
  <headerFooter alignWithMargins="0">
    <oddFooter>&amp;L&amp;F&amp;C&amp;8Page &amp;P of &amp;N&amp;R&amp;8&amp;D</oddFooter>
  </headerFooter>
  <colBreaks count="1" manualBreakCount="1">
    <brk id="19" max="19" man="1"/>
  </colBreaks>
  <extLst>
    <ext xmlns:x14="http://schemas.microsoft.com/office/spreadsheetml/2009/9/main" uri="{CCE6A557-97BC-4b89-ADB6-D9C93CAAB3DF}">
      <x14:dataValidations xmlns:xm="http://schemas.microsoft.com/office/excel/2006/main" count="1">
        <x14:dataValidation type="list" allowBlank="1" showInputMessage="1" showErrorMessage="1" xr:uid="{E62CA3A2-B2FA-4897-8F45-0C52E4D10282}">
          <x14:formula1>
            <xm:f>'Reference Tables'!$A$8:$A$20</xm:f>
          </x14:formula1>
          <xm:sqref>F11:F23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3765F-85BC-4C1F-AF96-A2009FFE5CFF}">
  <sheetPr codeName="Sheet22">
    <pageSetUpPr autoPageBreaks="0"/>
  </sheetPr>
  <dimension ref="A1:EO137"/>
  <sheetViews>
    <sheetView zoomScaleNormal="100" workbookViewId="0">
      <selection sqref="A1:XFD1048576"/>
    </sheetView>
  </sheetViews>
  <sheetFormatPr defaultColWidth="9.08984375" defaultRowHeight="14"/>
  <cols>
    <col min="1" max="1" width="16.54296875" style="292" bestFit="1" customWidth="1"/>
    <col min="2" max="2" width="10.6328125" style="250" customWidth="1"/>
    <col min="3" max="3" width="14.6328125" style="250" customWidth="1"/>
    <col min="4" max="4" width="12.90625" style="250" bestFit="1" customWidth="1"/>
    <col min="5" max="5" width="10.36328125" style="286" bestFit="1" customWidth="1"/>
    <col min="6" max="10" width="14.6328125" style="250" customWidth="1"/>
    <col min="11" max="14" width="14.36328125" style="250" bestFit="1" customWidth="1"/>
    <col min="15" max="15" width="14.36328125" style="286" bestFit="1" customWidth="1"/>
    <col min="16" max="16" width="14.6328125" style="286" customWidth="1"/>
    <col min="17" max="17" width="14.6328125" style="250" customWidth="1"/>
    <col min="18" max="20" width="14.36328125" style="250" bestFit="1" customWidth="1"/>
    <col min="21" max="21" width="14.54296875" style="286" bestFit="1" customWidth="1"/>
    <col min="22" max="22" width="14.36328125" style="250" customWidth="1"/>
    <col min="23" max="23" width="12.90625" style="250" bestFit="1" customWidth="1"/>
    <col min="24" max="25" width="10.36328125" style="286" bestFit="1" customWidth="1"/>
    <col min="26" max="26" width="12.36328125" style="250" bestFit="1" customWidth="1"/>
    <col min="27" max="27" width="12.90625" style="250" bestFit="1" customWidth="1"/>
    <col min="28" max="28" width="11.08984375" style="286" bestFit="1" customWidth="1"/>
    <col min="29" max="29" width="12.90625" style="250" bestFit="1" customWidth="1"/>
    <col min="30" max="30" width="12.36328125" style="250" bestFit="1" customWidth="1"/>
    <col min="31" max="31" width="6.54296875" style="250" bestFit="1" customWidth="1"/>
    <col min="32" max="32" width="8.08984375" style="250" bestFit="1" customWidth="1"/>
    <col min="33" max="33" width="14.6328125" style="286" customWidth="1"/>
    <col min="34" max="34" width="14.08984375" style="250" bestFit="1" customWidth="1"/>
    <col min="35" max="35" width="14.54296875" style="286" bestFit="1" customWidth="1"/>
    <col min="36" max="37" width="14.54296875" style="250" bestFit="1" customWidth="1"/>
    <col min="38" max="40" width="14" style="250" bestFit="1" customWidth="1"/>
    <col min="41" max="41" width="13.54296875" style="250" bestFit="1" customWidth="1"/>
    <col min="42" max="42" width="6.54296875" style="250" bestFit="1" customWidth="1"/>
    <col min="43" max="43" width="12.90625" style="250" bestFit="1" customWidth="1"/>
    <col min="44" max="44" width="12.36328125" style="250" bestFit="1" customWidth="1"/>
    <col min="45" max="45" width="12.90625" style="250" bestFit="1" customWidth="1"/>
    <col min="46" max="46" width="10.36328125" style="250" bestFit="1" customWidth="1"/>
    <col min="47" max="48" width="17.453125" style="250" customWidth="1"/>
    <col min="49" max="50" width="17.453125" style="286" customWidth="1"/>
    <col min="51" max="68" width="6.36328125" style="286" customWidth="1"/>
    <col min="69" max="93" width="5.08984375" style="286" customWidth="1"/>
    <col min="94" max="99" width="5.08984375" style="250" customWidth="1"/>
    <col min="100" max="100" width="5.08984375" style="288" customWidth="1"/>
    <col min="101" max="102" width="5.08984375" style="287" customWidth="1"/>
    <col min="103" max="103" width="8.6328125" style="287" customWidth="1"/>
    <col min="104" max="104" width="27.90625" style="287" customWidth="1"/>
    <col min="105" max="140" width="8.6328125" style="287" customWidth="1"/>
    <col min="141" max="145" width="8.6328125" style="288" customWidth="1"/>
    <col min="146" max="147" width="8.6328125" style="250" customWidth="1"/>
    <col min="148" max="16384" width="9.08984375" style="250"/>
  </cols>
  <sheetData>
    <row r="1" spans="1:116" s="277" customFormat="1" ht="18">
      <c r="A1" s="1" t="s">
        <v>0</v>
      </c>
      <c r="B1" s="271"/>
      <c r="C1" s="272"/>
      <c r="D1" s="273"/>
      <c r="E1" s="273"/>
      <c r="F1" s="273"/>
      <c r="G1" s="273"/>
      <c r="H1" s="273"/>
      <c r="I1" s="273"/>
      <c r="J1" s="273"/>
      <c r="K1" s="273"/>
      <c r="L1" s="273"/>
      <c r="M1" s="273"/>
      <c r="N1" s="273"/>
      <c r="O1" s="273"/>
      <c r="P1" s="274" t="str">
        <f>$A1</f>
        <v>Table No. X</v>
      </c>
      <c r="Q1" s="274"/>
      <c r="R1" s="274"/>
      <c r="S1" s="274"/>
      <c r="T1" s="274"/>
      <c r="U1" s="274"/>
      <c r="V1" s="274"/>
      <c r="W1" s="274"/>
      <c r="X1" s="274"/>
      <c r="Y1" s="274"/>
      <c r="Z1" s="274"/>
      <c r="AA1" s="274"/>
      <c r="AB1" s="274"/>
      <c r="AC1" s="274"/>
      <c r="AD1" s="274"/>
      <c r="AE1" s="274"/>
      <c r="AF1" s="274"/>
      <c r="AG1" s="274" t="str">
        <f>$A1</f>
        <v>Table No. X</v>
      </c>
      <c r="AH1" s="274"/>
      <c r="AI1" s="274"/>
      <c r="AJ1" s="274"/>
      <c r="AK1" s="274"/>
      <c r="AL1" s="274"/>
      <c r="AM1" s="274"/>
      <c r="AN1" s="274"/>
      <c r="AO1" s="274"/>
      <c r="AP1" s="274"/>
      <c r="AQ1" s="274"/>
      <c r="AR1" s="274"/>
      <c r="AS1" s="274"/>
      <c r="AT1" s="274"/>
      <c r="AU1" s="274" t="str">
        <f>$A1</f>
        <v>Table No. X</v>
      </c>
      <c r="AV1" s="274"/>
      <c r="AW1" s="274"/>
      <c r="AX1" s="274"/>
      <c r="AY1" s="274"/>
      <c r="AZ1" s="274"/>
      <c r="BA1" s="274"/>
      <c r="BB1" s="274"/>
      <c r="BC1" s="274"/>
      <c r="BD1" s="274"/>
      <c r="BE1" s="274"/>
      <c r="BF1" s="274"/>
      <c r="BG1" s="274"/>
      <c r="BH1" s="274"/>
      <c r="BI1" s="274"/>
      <c r="BJ1" s="275"/>
      <c r="BK1" s="271"/>
      <c r="BL1" s="271"/>
      <c r="BM1" s="271"/>
      <c r="BN1" s="271"/>
      <c r="BO1" s="271"/>
      <c r="BP1" s="271"/>
      <c r="BQ1" s="274" t="str">
        <f>$A1</f>
        <v>Table No. X</v>
      </c>
      <c r="BR1" s="273"/>
      <c r="BS1" s="273"/>
      <c r="BT1" s="273"/>
      <c r="BU1" s="273"/>
      <c r="BV1" s="273"/>
      <c r="BW1" s="273"/>
      <c r="BX1" s="273"/>
      <c r="BY1" s="276"/>
      <c r="BZ1" s="276"/>
      <c r="CA1" s="276"/>
      <c r="CB1" s="276"/>
      <c r="CC1" s="276"/>
      <c r="CD1" s="276"/>
      <c r="CE1" s="276"/>
      <c r="CF1" s="276"/>
      <c r="CG1" s="276"/>
      <c r="CH1" s="276"/>
      <c r="CI1" s="276"/>
      <c r="CJ1" s="276"/>
      <c r="CK1" s="276"/>
      <c r="CL1" s="276"/>
      <c r="CM1" s="276"/>
      <c r="CN1" s="276"/>
      <c r="CO1" s="276"/>
      <c r="CP1" s="274"/>
      <c r="CQ1" s="276"/>
      <c r="CR1" s="276"/>
      <c r="CS1" s="276"/>
      <c r="CT1" s="276"/>
      <c r="CU1" s="276"/>
      <c r="CV1" s="276"/>
      <c r="CW1" s="276"/>
      <c r="CX1" s="276"/>
      <c r="CY1" s="276" t="s">
        <v>1</v>
      </c>
      <c r="CZ1" s="4" t="s">
        <v>2</v>
      </c>
      <c r="DA1" s="13"/>
    </row>
    <row r="2" spans="1:116" s="277" customFormat="1" ht="18">
      <c r="A2" s="9" t="str">
        <f>[1]Summary!A2</f>
        <v>Client Name</v>
      </c>
      <c r="B2" s="271"/>
      <c r="C2" s="275"/>
      <c r="D2" s="271"/>
      <c r="E2" s="275"/>
      <c r="F2" s="271"/>
      <c r="G2" s="271"/>
      <c r="H2" s="271"/>
      <c r="I2" s="271"/>
      <c r="J2" s="271"/>
      <c r="K2" s="271"/>
      <c r="L2" s="271"/>
      <c r="M2" s="271"/>
      <c r="N2" s="271"/>
      <c r="O2" s="271"/>
      <c r="P2" s="278" t="str">
        <f>$A2</f>
        <v>Client Name</v>
      </c>
      <c r="Q2" s="278"/>
      <c r="R2" s="278"/>
      <c r="S2" s="278"/>
      <c r="T2" s="278"/>
      <c r="U2" s="278"/>
      <c r="V2" s="278"/>
      <c r="W2" s="278"/>
      <c r="X2" s="278"/>
      <c r="Y2" s="278"/>
      <c r="Z2" s="278"/>
      <c r="AA2" s="278"/>
      <c r="AB2" s="278"/>
      <c r="AC2" s="278"/>
      <c r="AD2" s="278"/>
      <c r="AE2" s="278"/>
      <c r="AF2" s="278"/>
      <c r="AG2" s="278" t="str">
        <f>$A2</f>
        <v>Client Name</v>
      </c>
      <c r="AH2" s="278"/>
      <c r="AI2" s="278"/>
      <c r="AJ2" s="278"/>
      <c r="AK2" s="278"/>
      <c r="AL2" s="278"/>
      <c r="AM2" s="278"/>
      <c r="AN2" s="278"/>
      <c r="AO2" s="278"/>
      <c r="AP2" s="278"/>
      <c r="AQ2" s="278"/>
      <c r="AR2" s="278"/>
      <c r="AS2" s="278"/>
      <c r="AT2" s="278"/>
      <c r="AU2" s="278" t="str">
        <f>$A2</f>
        <v>Client Name</v>
      </c>
      <c r="AV2" s="278"/>
      <c r="AW2" s="278"/>
      <c r="AX2" s="278"/>
      <c r="AY2" s="278"/>
      <c r="AZ2" s="278"/>
      <c r="BA2" s="278"/>
      <c r="BB2" s="278"/>
      <c r="BC2" s="278"/>
      <c r="BD2" s="278"/>
      <c r="BE2" s="278"/>
      <c r="BF2" s="278"/>
      <c r="BG2" s="278"/>
      <c r="BH2" s="278"/>
      <c r="BI2" s="278"/>
      <c r="BJ2" s="275"/>
      <c r="BK2" s="271"/>
      <c r="BL2" s="271"/>
      <c r="BM2" s="271"/>
      <c r="BN2" s="271"/>
      <c r="BO2" s="271"/>
      <c r="BP2" s="271"/>
      <c r="BQ2" s="278" t="str">
        <f>$A2</f>
        <v>Client Name</v>
      </c>
      <c r="BR2" s="271"/>
      <c r="BS2" s="275"/>
      <c r="BT2" s="271"/>
      <c r="BU2" s="271"/>
      <c r="BV2" s="271"/>
      <c r="BW2" s="271"/>
      <c r="BX2" s="271"/>
      <c r="BY2" s="279"/>
      <c r="BZ2" s="279"/>
      <c r="CA2" s="279"/>
      <c r="CB2" s="279"/>
      <c r="CC2" s="279"/>
      <c r="CD2" s="279"/>
      <c r="CE2" s="279"/>
      <c r="CF2" s="279"/>
      <c r="CG2" s="279"/>
      <c r="CH2" s="279"/>
      <c r="CI2" s="279"/>
      <c r="CJ2" s="279"/>
      <c r="CK2" s="279"/>
      <c r="CL2" s="279"/>
      <c r="CM2" s="279"/>
      <c r="CN2" s="279"/>
      <c r="CO2" s="279"/>
      <c r="CP2" s="278"/>
      <c r="CQ2" s="279"/>
      <c r="CR2" s="279"/>
      <c r="CS2" s="279"/>
      <c r="CT2" s="279"/>
      <c r="CU2" s="279"/>
      <c r="CV2" s="279"/>
      <c r="CW2" s="279"/>
      <c r="CX2" s="279"/>
      <c r="CY2" s="279" t="s">
        <v>1</v>
      </c>
      <c r="CZ2" s="172" t="s">
        <v>877</v>
      </c>
      <c r="DA2" s="13"/>
    </row>
    <row r="3" spans="1:116" s="277" customFormat="1" ht="18">
      <c r="A3" s="9" t="str">
        <f>[1]Summary!A3</f>
        <v>Client Facility</v>
      </c>
      <c r="B3" s="271"/>
      <c r="C3" s="275"/>
      <c r="D3" s="271"/>
      <c r="E3" s="275"/>
      <c r="F3" s="271"/>
      <c r="G3" s="271"/>
      <c r="H3" s="280"/>
      <c r="I3" s="280"/>
      <c r="J3" s="280"/>
      <c r="K3" s="280"/>
      <c r="L3" s="280"/>
      <c r="M3" s="280"/>
      <c r="N3" s="271"/>
      <c r="O3" s="271"/>
      <c r="P3" s="278" t="str">
        <f>$A3</f>
        <v>Client Facility</v>
      </c>
      <c r="Q3" s="278"/>
      <c r="R3" s="278"/>
      <c r="S3" s="278"/>
      <c r="T3" s="278"/>
      <c r="U3" s="278"/>
      <c r="V3" s="278"/>
      <c r="W3" s="278"/>
      <c r="X3" s="278"/>
      <c r="Y3" s="278"/>
      <c r="Z3" s="278"/>
      <c r="AA3" s="278"/>
      <c r="AB3" s="278"/>
      <c r="AC3" s="278"/>
      <c r="AD3" s="278"/>
      <c r="AE3" s="278"/>
      <c r="AF3" s="278"/>
      <c r="AG3" s="278" t="str">
        <f>$A3</f>
        <v>Client Facility</v>
      </c>
      <c r="AH3" s="278"/>
      <c r="AI3" s="278"/>
      <c r="AJ3" s="278"/>
      <c r="AK3" s="278"/>
      <c r="AL3" s="278"/>
      <c r="AM3" s="278"/>
      <c r="AN3" s="278"/>
      <c r="AO3" s="278"/>
      <c r="AP3" s="278"/>
      <c r="AQ3" s="278"/>
      <c r="AR3" s="278"/>
      <c r="AS3" s="278"/>
      <c r="AT3" s="278"/>
      <c r="AU3" s="278" t="str">
        <f>$A3</f>
        <v>Client Facility</v>
      </c>
      <c r="AV3" s="278"/>
      <c r="AW3" s="278"/>
      <c r="AX3" s="278"/>
      <c r="AY3" s="278"/>
      <c r="AZ3" s="278"/>
      <c r="BA3" s="278"/>
      <c r="BB3" s="278"/>
      <c r="BC3" s="278"/>
      <c r="BD3" s="278"/>
      <c r="BE3" s="278"/>
      <c r="BF3" s="278"/>
      <c r="BG3" s="278"/>
      <c r="BH3" s="278"/>
      <c r="BI3" s="278"/>
      <c r="BJ3" s="275"/>
      <c r="BK3" s="271"/>
      <c r="BL3" s="271"/>
      <c r="BM3" s="271"/>
      <c r="BN3" s="271"/>
      <c r="BO3" s="271"/>
      <c r="BP3" s="271"/>
      <c r="BQ3" s="278" t="str">
        <f>$A3</f>
        <v>Client Facility</v>
      </c>
      <c r="BR3" s="271"/>
      <c r="BS3" s="275"/>
      <c r="BT3" s="271"/>
      <c r="BU3" s="271"/>
      <c r="BV3" s="280"/>
      <c r="BW3" s="271"/>
      <c r="BX3" s="271"/>
      <c r="BY3" s="279"/>
      <c r="BZ3" s="279"/>
      <c r="CA3" s="279"/>
      <c r="CB3" s="279"/>
      <c r="CC3" s="279"/>
      <c r="CD3" s="279"/>
      <c r="CE3" s="279"/>
      <c r="CF3" s="279"/>
      <c r="CG3" s="279"/>
      <c r="CH3" s="279"/>
      <c r="CI3" s="279"/>
      <c r="CJ3" s="279"/>
      <c r="CK3" s="279"/>
      <c r="CL3" s="279"/>
      <c r="CM3" s="279"/>
      <c r="CN3" s="279"/>
      <c r="CO3" s="279"/>
      <c r="CP3" s="278"/>
      <c r="CQ3" s="279"/>
      <c r="CR3" s="279"/>
      <c r="CS3" s="279"/>
      <c r="CT3" s="279"/>
      <c r="CU3" s="279"/>
      <c r="CV3" s="279"/>
      <c r="CW3" s="279"/>
      <c r="CX3" s="279"/>
      <c r="CY3" s="279" t="s">
        <v>1</v>
      </c>
      <c r="CZ3" s="13" t="s">
        <v>730</v>
      </c>
      <c r="DA3" s="13" t="s">
        <v>878</v>
      </c>
    </row>
    <row r="4" spans="1:116" s="277" customFormat="1" ht="18">
      <c r="A4" s="1" t="s">
        <v>879</v>
      </c>
      <c r="B4" s="271"/>
      <c r="C4" s="275"/>
      <c r="D4" s="271"/>
      <c r="E4" s="275"/>
      <c r="F4" s="271"/>
      <c r="G4" s="271"/>
      <c r="H4" s="271"/>
      <c r="I4" s="271"/>
      <c r="J4" s="271"/>
      <c r="K4" s="271"/>
      <c r="L4" s="271"/>
      <c r="M4" s="271"/>
      <c r="N4" s="271"/>
      <c r="O4" s="271"/>
      <c r="P4" s="274" t="str">
        <f>$A4</f>
        <v>Floating Roof Tank Fitting Data</v>
      </c>
      <c r="Q4" s="274"/>
      <c r="R4" s="274"/>
      <c r="S4" s="274"/>
      <c r="T4" s="274"/>
      <c r="U4" s="274"/>
      <c r="V4" s="274"/>
      <c r="W4" s="274"/>
      <c r="X4" s="274"/>
      <c r="Y4" s="274"/>
      <c r="Z4" s="274"/>
      <c r="AA4" s="274"/>
      <c r="AB4" s="274"/>
      <c r="AC4" s="274"/>
      <c r="AD4" s="274"/>
      <c r="AE4" s="274"/>
      <c r="AF4" s="274"/>
      <c r="AG4" s="274" t="str">
        <f>$A4</f>
        <v>Floating Roof Tank Fitting Data</v>
      </c>
      <c r="AH4" s="274"/>
      <c r="AI4" s="274"/>
      <c r="AJ4" s="274"/>
      <c r="AK4" s="274"/>
      <c r="AL4" s="274"/>
      <c r="AM4" s="274"/>
      <c r="AN4" s="274"/>
      <c r="AO4" s="274"/>
      <c r="AP4" s="274"/>
      <c r="AQ4" s="274"/>
      <c r="AR4" s="274"/>
      <c r="AS4" s="274"/>
      <c r="AT4" s="274"/>
      <c r="AU4" s="274" t="str">
        <f>$A4</f>
        <v>Floating Roof Tank Fitting Data</v>
      </c>
      <c r="AV4" s="274"/>
      <c r="AW4" s="274"/>
      <c r="AX4" s="274"/>
      <c r="AY4" s="274"/>
      <c r="AZ4" s="274"/>
      <c r="BA4" s="274"/>
      <c r="BB4" s="274"/>
      <c r="BC4" s="274"/>
      <c r="BD4" s="274"/>
      <c r="BE4" s="274"/>
      <c r="BF4" s="274"/>
      <c r="BG4" s="274"/>
      <c r="BH4" s="274"/>
      <c r="BI4" s="274"/>
      <c r="BJ4" s="275"/>
      <c r="BK4" s="271"/>
      <c r="BL4" s="271"/>
      <c r="BM4" s="271"/>
      <c r="BN4" s="271"/>
      <c r="BO4" s="271"/>
      <c r="BP4" s="271"/>
      <c r="BQ4" s="274" t="str">
        <f>$A4</f>
        <v>Floating Roof Tank Fitting Data</v>
      </c>
      <c r="BR4" s="271"/>
      <c r="BS4" s="275"/>
      <c r="BT4" s="271"/>
      <c r="BU4" s="271"/>
      <c r="BV4" s="271"/>
      <c r="BW4" s="271"/>
      <c r="BX4" s="271"/>
      <c r="BY4" s="276"/>
      <c r="BZ4" s="276"/>
      <c r="CA4" s="276"/>
      <c r="CB4" s="276"/>
      <c r="CC4" s="276"/>
      <c r="CD4" s="276"/>
      <c r="CE4" s="276"/>
      <c r="CF4" s="276"/>
      <c r="CG4" s="276"/>
      <c r="CH4" s="276"/>
      <c r="CI4" s="276"/>
      <c r="CJ4" s="276"/>
      <c r="CK4" s="276"/>
      <c r="CL4" s="276"/>
      <c r="CM4" s="276"/>
      <c r="CN4" s="276"/>
      <c r="CO4" s="276"/>
      <c r="CP4" s="274"/>
      <c r="CQ4" s="276"/>
      <c r="CR4" s="276"/>
      <c r="CS4" s="276"/>
      <c r="CT4" s="276"/>
      <c r="CU4" s="276"/>
      <c r="CV4" s="276"/>
      <c r="CW4" s="276"/>
      <c r="CX4" s="276"/>
      <c r="CY4" s="276" t="s">
        <v>1</v>
      </c>
      <c r="CZ4" s="13" t="s">
        <v>880</v>
      </c>
      <c r="DA4" s="13" t="s">
        <v>881</v>
      </c>
      <c r="DB4" s="250"/>
      <c r="DC4" s="250"/>
      <c r="DD4" s="250"/>
      <c r="DE4" s="250"/>
      <c r="DF4" s="250"/>
      <c r="DG4" s="250"/>
      <c r="DH4" s="250"/>
      <c r="DI4" s="250"/>
      <c r="DJ4" s="250"/>
    </row>
    <row r="5" spans="1:116" s="277" customFormat="1" ht="18">
      <c r="C5" s="275"/>
      <c r="D5" s="271"/>
      <c r="E5" s="275"/>
      <c r="F5" s="271"/>
      <c r="G5" s="271"/>
      <c r="H5" s="271"/>
      <c r="I5" s="271"/>
      <c r="J5" s="271"/>
      <c r="K5" s="274"/>
      <c r="L5" s="274"/>
      <c r="M5" s="274"/>
      <c r="N5" s="274"/>
      <c r="O5" s="274"/>
      <c r="P5" s="274"/>
      <c r="Q5" s="274"/>
      <c r="R5" s="274"/>
      <c r="S5" s="274"/>
      <c r="T5" s="274"/>
      <c r="U5" s="274"/>
      <c r="V5" s="274"/>
      <c r="W5" s="274"/>
      <c r="X5" s="274"/>
      <c r="Y5" s="274"/>
      <c r="Z5" s="274"/>
      <c r="AA5" s="274"/>
      <c r="AB5" s="274"/>
      <c r="AC5" s="274"/>
      <c r="AD5" s="274"/>
      <c r="AE5" s="274"/>
      <c r="AF5" s="274"/>
      <c r="AG5" s="274"/>
      <c r="AH5" s="274"/>
      <c r="AI5" s="274"/>
      <c r="AJ5" s="274"/>
      <c r="AK5" s="274"/>
      <c r="AL5" s="274"/>
      <c r="AM5" s="274"/>
      <c r="AN5" s="274"/>
      <c r="AO5" s="274"/>
      <c r="AP5" s="274"/>
      <c r="AQ5" s="274"/>
      <c r="AR5" s="274"/>
      <c r="AS5" s="274"/>
      <c r="AT5" s="274"/>
      <c r="AU5" s="274"/>
      <c r="AV5" s="274"/>
      <c r="AW5" s="274"/>
      <c r="AX5" s="274"/>
      <c r="AY5" s="274"/>
      <c r="AZ5" s="274"/>
      <c r="BA5" s="274"/>
      <c r="BB5" s="274"/>
      <c r="BC5" s="274"/>
      <c r="BD5" s="274"/>
      <c r="BE5" s="281"/>
      <c r="BF5" s="281"/>
      <c r="BG5" s="281"/>
      <c r="BH5" s="282"/>
      <c r="BI5" s="282"/>
      <c r="BJ5" s="283"/>
      <c r="BK5" s="283"/>
      <c r="BL5" s="283"/>
      <c r="BM5" s="283"/>
      <c r="BN5" s="283"/>
      <c r="BO5" s="283"/>
      <c r="BP5" s="250"/>
      <c r="BQ5" s="271"/>
      <c r="BR5" s="275"/>
      <c r="BS5" s="271"/>
      <c r="BT5" s="271"/>
      <c r="BU5" s="271"/>
      <c r="BV5" s="271"/>
      <c r="BW5" s="271"/>
      <c r="BX5" s="276"/>
      <c r="BY5" s="276"/>
      <c r="BZ5" s="276"/>
      <c r="CA5" s="276"/>
      <c r="CB5" s="276"/>
      <c r="CC5" s="276"/>
      <c r="CD5" s="276"/>
      <c r="CE5" s="276"/>
      <c r="CF5" s="276"/>
      <c r="CG5" s="276"/>
      <c r="CH5" s="276"/>
      <c r="CI5" s="276"/>
      <c r="CJ5" s="276"/>
      <c r="CK5" s="276"/>
      <c r="CL5" s="276"/>
      <c r="CM5" s="276"/>
      <c r="CN5" s="276"/>
      <c r="CO5" s="250"/>
      <c r="CP5" s="276"/>
      <c r="CQ5" s="276"/>
      <c r="CR5" s="276"/>
      <c r="CS5" s="276"/>
      <c r="CT5" s="276"/>
      <c r="CU5" s="276"/>
      <c r="CV5" s="276"/>
      <c r="CW5" s="276"/>
      <c r="CX5" s="276"/>
      <c r="CY5" s="276"/>
      <c r="CZ5" s="250" t="s">
        <v>882</v>
      </c>
      <c r="DA5" s="250"/>
      <c r="DB5" s="250"/>
      <c r="DC5" s="250"/>
      <c r="DD5" s="250"/>
      <c r="DE5" s="250"/>
      <c r="DF5" s="250"/>
      <c r="DG5" s="250"/>
      <c r="DH5" s="250"/>
      <c r="DI5" s="250"/>
    </row>
    <row r="6" spans="1:116" s="250" customFormat="1" ht="18" customHeight="1">
      <c r="A6" s="284"/>
      <c r="C6" s="14" t="s">
        <v>10</v>
      </c>
      <c r="D6" s="285"/>
      <c r="E6" s="285"/>
      <c r="F6" s="285"/>
      <c r="G6" s="285"/>
      <c r="H6" s="285"/>
      <c r="I6" s="285"/>
      <c r="J6" s="285"/>
      <c r="K6" s="286"/>
      <c r="L6" s="286"/>
      <c r="M6" s="286"/>
      <c r="N6" s="286"/>
      <c r="O6" s="286"/>
      <c r="P6" s="286"/>
      <c r="Q6" s="286"/>
      <c r="R6" s="286"/>
      <c r="S6" s="286"/>
      <c r="T6" s="286"/>
      <c r="U6" s="286"/>
      <c r="V6" s="286"/>
      <c r="W6" s="286"/>
      <c r="X6" s="286"/>
      <c r="Y6" s="286"/>
      <c r="Z6" s="286"/>
      <c r="AA6" s="286"/>
      <c r="AB6" s="286"/>
      <c r="AC6" s="286"/>
      <c r="AD6" s="286"/>
      <c r="AE6" s="286"/>
      <c r="AF6" s="286"/>
      <c r="AG6" s="286"/>
      <c r="AH6" s="286"/>
      <c r="AI6" s="286"/>
      <c r="AJ6" s="286"/>
      <c r="AK6" s="286"/>
      <c r="AL6" s="286"/>
      <c r="AM6" s="286"/>
      <c r="AN6" s="286"/>
      <c r="AO6" s="286"/>
      <c r="AP6" s="286"/>
      <c r="AQ6" s="286"/>
      <c r="AR6" s="286"/>
      <c r="AS6" s="286"/>
      <c r="AT6" s="286"/>
      <c r="AU6" s="286"/>
      <c r="AV6" s="286"/>
      <c r="AW6" s="286"/>
      <c r="AX6" s="286"/>
      <c r="AY6" s="286"/>
      <c r="AZ6" s="286"/>
      <c r="BA6" s="286"/>
      <c r="BB6" s="286"/>
      <c r="BC6" s="286"/>
      <c r="BH6" s="287"/>
      <c r="BI6" s="288"/>
      <c r="BJ6" s="288"/>
      <c r="BP6" s="286"/>
      <c r="BQ6" s="286"/>
      <c r="BR6" s="286"/>
      <c r="BS6" s="286"/>
      <c r="BT6" s="286"/>
      <c r="BU6" s="286"/>
      <c r="BV6" s="286"/>
      <c r="BW6" s="286"/>
      <c r="BX6" s="286"/>
      <c r="BY6" s="286"/>
      <c r="BZ6" s="286"/>
      <c r="CA6" s="286"/>
      <c r="CB6" s="286"/>
      <c r="CC6" s="286"/>
      <c r="CD6" s="286"/>
      <c r="CE6" s="286"/>
      <c r="CF6" s="286"/>
      <c r="CG6" s="286"/>
      <c r="CH6" s="286"/>
      <c r="CI6" s="286"/>
      <c r="CJ6" s="286"/>
      <c r="CK6" s="286"/>
      <c r="CL6" s="286"/>
      <c r="CM6" s="286"/>
      <c r="CN6" s="286"/>
      <c r="CO6" s="286"/>
      <c r="CP6" s="286"/>
      <c r="CQ6" s="286"/>
      <c r="CR6" s="286"/>
      <c r="CS6" s="286"/>
      <c r="CT6" s="286"/>
      <c r="CU6" s="286"/>
      <c r="CV6" s="286"/>
      <c r="CW6" s="286"/>
      <c r="CX6" s="286"/>
      <c r="CY6" s="286"/>
      <c r="CZ6" s="250" t="s">
        <v>883</v>
      </c>
      <c r="DA6" s="289"/>
      <c r="DB6" s="289"/>
      <c r="DC6" s="289"/>
      <c r="DD6" s="289"/>
      <c r="DE6" s="289"/>
      <c r="DF6" s="289"/>
    </row>
    <row r="7" spans="1:116" s="250" customFormat="1" ht="18" customHeight="1">
      <c r="A7" s="284"/>
      <c r="C7" s="290" t="s">
        <v>884</v>
      </c>
      <c r="D7" s="291"/>
      <c r="E7" s="291"/>
      <c r="F7" s="291"/>
      <c r="G7" s="291"/>
      <c r="H7" s="291"/>
      <c r="I7" s="291"/>
      <c r="J7" s="291"/>
      <c r="K7" s="286"/>
      <c r="L7" s="286"/>
      <c r="M7" s="286"/>
      <c r="N7" s="286"/>
      <c r="O7" s="286"/>
      <c r="P7" s="286"/>
      <c r="Q7" s="286"/>
      <c r="R7" s="286"/>
      <c r="S7" s="286"/>
      <c r="T7" s="286"/>
      <c r="U7" s="286"/>
      <c r="V7" s="286"/>
      <c r="W7" s="286"/>
      <c r="X7" s="286"/>
      <c r="Y7" s="286"/>
      <c r="Z7" s="286"/>
      <c r="AA7" s="286"/>
      <c r="AB7" s="286"/>
      <c r="AC7" s="286"/>
      <c r="AD7" s="286"/>
      <c r="AE7" s="286"/>
      <c r="AF7" s="286"/>
      <c r="AG7" s="286"/>
      <c r="AH7" s="286"/>
      <c r="AI7" s="286"/>
      <c r="AJ7" s="286"/>
      <c r="AK7" s="286"/>
      <c r="AL7" s="286"/>
      <c r="AM7" s="286"/>
      <c r="AN7" s="286"/>
      <c r="AO7" s="286"/>
      <c r="AP7" s="286"/>
      <c r="AQ7" s="286"/>
      <c r="AR7" s="286"/>
      <c r="AS7" s="286"/>
      <c r="AT7" s="286"/>
      <c r="AU7" s="286"/>
      <c r="AV7" s="286"/>
      <c r="AW7" s="286"/>
      <c r="AX7" s="286"/>
      <c r="AY7" s="286"/>
      <c r="AZ7" s="286"/>
      <c r="BA7" s="286"/>
      <c r="BB7" s="286"/>
      <c r="BC7" s="286"/>
      <c r="BH7" s="287"/>
      <c r="BI7" s="288"/>
      <c r="BJ7" s="288"/>
      <c r="BP7" s="286"/>
      <c r="BQ7" s="286"/>
      <c r="BR7" s="286"/>
      <c r="BS7" s="286"/>
      <c r="BT7" s="286"/>
      <c r="BU7" s="286"/>
      <c r="BV7" s="286"/>
      <c r="BW7" s="286"/>
      <c r="BX7" s="286"/>
      <c r="BY7" s="286"/>
      <c r="BZ7" s="286"/>
      <c r="CA7" s="286"/>
      <c r="CB7" s="286"/>
      <c r="CC7" s="286"/>
      <c r="CD7" s="286"/>
      <c r="CE7" s="286"/>
      <c r="CF7" s="286"/>
      <c r="CG7" s="286"/>
      <c r="CH7" s="286"/>
      <c r="CI7" s="286"/>
      <c r="CJ7" s="286"/>
      <c r="CK7" s="286"/>
      <c r="CL7" s="286"/>
      <c r="CM7" s="286"/>
      <c r="CN7" s="286"/>
      <c r="CO7" s="286"/>
      <c r="CP7" s="286"/>
      <c r="CQ7" s="286"/>
      <c r="CR7" s="286"/>
      <c r="CS7" s="286"/>
      <c r="CT7" s="286"/>
      <c r="CU7" s="286"/>
      <c r="CV7" s="286"/>
      <c r="CW7" s="286"/>
      <c r="CX7" s="286"/>
      <c r="CY7" s="286"/>
      <c r="CZ7" s="250" t="s">
        <v>885</v>
      </c>
    </row>
    <row r="8" spans="1:116" s="250" customFormat="1" ht="16">
      <c r="A8" s="292"/>
      <c r="BD8" s="286"/>
      <c r="BE8" s="286"/>
      <c r="BF8" s="286"/>
      <c r="BG8" s="286"/>
      <c r="BH8" s="287"/>
      <c r="BI8" s="287"/>
      <c r="BJ8" s="288"/>
      <c r="BK8" s="288"/>
      <c r="BL8" s="288"/>
      <c r="BM8" s="288"/>
      <c r="BN8" s="288"/>
      <c r="BO8" s="288"/>
      <c r="CZ8" s="250" t="s">
        <v>886</v>
      </c>
      <c r="DG8" s="201"/>
      <c r="DH8" s="201"/>
      <c r="DI8" s="201"/>
      <c r="DJ8" s="201"/>
    </row>
    <row r="9" spans="1:116" s="250" customFormat="1" ht="28">
      <c r="A9" s="293"/>
      <c r="B9" s="294"/>
      <c r="C9" s="38" t="s">
        <v>887</v>
      </c>
      <c r="D9" s="38"/>
      <c r="E9" s="38"/>
      <c r="F9" s="38"/>
      <c r="G9" s="38"/>
      <c r="H9" s="38"/>
      <c r="I9" s="38"/>
      <c r="J9" s="38"/>
      <c r="K9" s="38"/>
      <c r="L9" s="38"/>
      <c r="M9" s="38"/>
      <c r="N9" s="38"/>
      <c r="O9" s="38"/>
      <c r="P9" s="38" t="s">
        <v>887</v>
      </c>
      <c r="Q9" s="38"/>
      <c r="R9" s="38"/>
      <c r="S9" s="38"/>
      <c r="T9" s="38"/>
      <c r="U9" s="38"/>
      <c r="V9" s="38"/>
      <c r="W9" s="38"/>
      <c r="X9" s="38"/>
      <c r="Y9" s="38"/>
      <c r="Z9" s="38"/>
      <c r="AA9" s="38"/>
      <c r="AB9" s="38"/>
      <c r="AC9" s="38"/>
      <c r="AD9" s="38"/>
      <c r="AE9" s="38"/>
      <c r="AF9" s="38"/>
      <c r="AG9" s="38" t="s">
        <v>887</v>
      </c>
      <c r="AH9" s="38"/>
      <c r="AI9" s="38"/>
      <c r="AJ9" s="38"/>
      <c r="AK9" s="38"/>
      <c r="AL9" s="38"/>
      <c r="AM9" s="38"/>
      <c r="AN9" s="38"/>
      <c r="AO9" s="38"/>
      <c r="AP9" s="38"/>
      <c r="AQ9" s="38"/>
      <c r="AR9" s="38"/>
      <c r="AS9" s="38"/>
      <c r="AT9" s="38"/>
      <c r="AU9" s="295" t="s">
        <v>888</v>
      </c>
      <c r="AV9" s="295"/>
      <c r="AW9" s="295"/>
      <c r="AX9" s="295"/>
      <c r="AY9" s="38" t="s">
        <v>889</v>
      </c>
      <c r="AZ9" s="38"/>
      <c r="BA9" s="38"/>
      <c r="BB9" s="38"/>
      <c r="BC9" s="38"/>
      <c r="BD9" s="38"/>
      <c r="BE9" s="38"/>
      <c r="BF9" s="38"/>
      <c r="BG9" s="38" t="s">
        <v>890</v>
      </c>
      <c r="BH9" s="38"/>
      <c r="BI9" s="38"/>
      <c r="BJ9" s="38"/>
      <c r="BK9" s="38"/>
      <c r="BL9" s="38"/>
      <c r="BM9" s="38"/>
      <c r="BN9" s="38"/>
      <c r="BO9" s="38"/>
      <c r="BP9" s="38"/>
      <c r="BQ9" s="38" t="s">
        <v>890</v>
      </c>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Z9" s="289"/>
      <c r="DA9" s="289"/>
    </row>
    <row r="10" spans="1:116" s="250" customFormat="1" ht="14.4" customHeight="1">
      <c r="A10" s="296" t="s">
        <v>746</v>
      </c>
      <c r="B10" s="296" t="s">
        <v>891</v>
      </c>
      <c r="C10" s="297" t="s">
        <v>892</v>
      </c>
      <c r="D10" s="297"/>
      <c r="E10" s="297"/>
      <c r="F10" s="297"/>
      <c r="G10" s="297"/>
      <c r="H10" s="297"/>
      <c r="I10" s="297"/>
      <c r="J10" s="297"/>
      <c r="K10" s="297"/>
      <c r="L10" s="297"/>
      <c r="M10" s="297"/>
      <c r="N10" s="297"/>
      <c r="O10" s="297"/>
      <c r="P10" s="297" t="s">
        <v>892</v>
      </c>
      <c r="Q10" s="297"/>
      <c r="R10" s="297"/>
      <c r="S10" s="297"/>
      <c r="T10" s="297"/>
      <c r="U10" s="297"/>
      <c r="V10" s="297"/>
      <c r="W10" s="297"/>
      <c r="X10" s="297"/>
      <c r="Y10" s="297"/>
      <c r="Z10" s="297"/>
      <c r="AA10" s="297"/>
      <c r="AB10" s="297"/>
      <c r="AC10" s="297"/>
      <c r="AD10" s="297"/>
      <c r="AE10" s="297"/>
      <c r="AF10" s="297"/>
      <c r="AG10" s="297" t="s">
        <v>892</v>
      </c>
      <c r="AH10" s="297"/>
      <c r="AI10" s="297"/>
      <c r="AJ10" s="297"/>
      <c r="AK10" s="297"/>
      <c r="AL10" s="297"/>
      <c r="AM10" s="297"/>
      <c r="AN10" s="297"/>
      <c r="AO10" s="297"/>
      <c r="AP10" s="297"/>
      <c r="AQ10" s="297"/>
      <c r="AR10" s="297"/>
      <c r="AS10" s="297"/>
      <c r="AT10" s="297"/>
      <c r="AU10" s="298" t="s">
        <v>765</v>
      </c>
      <c r="AV10" s="298" t="s">
        <v>747</v>
      </c>
      <c r="AW10" s="298" t="s">
        <v>766</v>
      </c>
      <c r="AX10" s="298" t="s">
        <v>769</v>
      </c>
      <c r="AY10" s="299" t="s">
        <v>893</v>
      </c>
      <c r="AZ10" s="299"/>
      <c r="BA10" s="299"/>
      <c r="BB10" s="299"/>
      <c r="BC10" s="299"/>
      <c r="BD10" s="299"/>
      <c r="BE10" s="299"/>
      <c r="BF10" s="299"/>
      <c r="BG10" s="299" t="s">
        <v>893</v>
      </c>
      <c r="BH10" s="299"/>
      <c r="BI10" s="299"/>
      <c r="BJ10" s="299"/>
      <c r="BK10" s="299"/>
      <c r="BL10" s="299"/>
      <c r="BM10" s="299"/>
      <c r="BN10" s="299"/>
      <c r="BO10" s="299"/>
      <c r="BP10" s="299"/>
      <c r="BQ10" s="299" t="s">
        <v>893</v>
      </c>
      <c r="BR10" s="299"/>
      <c r="BS10" s="299"/>
      <c r="BT10" s="299"/>
      <c r="BU10" s="299"/>
      <c r="BV10" s="299"/>
      <c r="BW10" s="299"/>
      <c r="BX10" s="299"/>
      <c r="BY10" s="299"/>
      <c r="BZ10" s="299"/>
      <c r="CA10" s="299"/>
      <c r="CB10" s="299"/>
      <c r="CC10" s="299"/>
      <c r="CD10" s="299"/>
      <c r="CE10" s="299"/>
      <c r="CF10" s="299"/>
      <c r="CG10" s="299"/>
      <c r="CH10" s="299"/>
      <c r="CI10" s="299"/>
      <c r="CJ10" s="299"/>
      <c r="CK10" s="299"/>
      <c r="CL10" s="299"/>
      <c r="CM10" s="299"/>
      <c r="CN10" s="299"/>
      <c r="CO10" s="299"/>
      <c r="CP10" s="299"/>
      <c r="CQ10" s="299"/>
      <c r="CR10" s="299"/>
      <c r="CS10" s="299"/>
      <c r="CT10" s="299"/>
      <c r="CU10" s="299"/>
      <c r="CV10" s="299"/>
      <c r="CW10" s="299"/>
      <c r="CX10" s="299"/>
      <c r="DB10" s="201"/>
      <c r="DC10" s="201"/>
    </row>
    <row r="11" spans="1:116" s="201" customFormat="1" ht="204">
      <c r="A11" s="296"/>
      <c r="B11" s="296"/>
      <c r="C11" s="300" t="s">
        <v>894</v>
      </c>
      <c r="D11" s="300"/>
      <c r="E11" s="300"/>
      <c r="F11" s="300" t="s">
        <v>895</v>
      </c>
      <c r="G11" s="300"/>
      <c r="H11" s="300"/>
      <c r="I11" s="300"/>
      <c r="J11" s="300"/>
      <c r="K11" s="300" t="s">
        <v>896</v>
      </c>
      <c r="L11" s="300"/>
      <c r="M11" s="300"/>
      <c r="N11" s="300"/>
      <c r="O11" s="300"/>
      <c r="P11" s="300" t="s">
        <v>897</v>
      </c>
      <c r="Q11" s="300"/>
      <c r="R11" s="300"/>
      <c r="S11" s="300"/>
      <c r="T11" s="300"/>
      <c r="U11" s="300"/>
      <c r="V11" s="300"/>
      <c r="W11" s="300" t="s">
        <v>898</v>
      </c>
      <c r="X11" s="300"/>
      <c r="Y11" s="300"/>
      <c r="Z11" s="300" t="s">
        <v>899</v>
      </c>
      <c r="AA11" s="300"/>
      <c r="AB11" s="300"/>
      <c r="AC11" s="300" t="s">
        <v>900</v>
      </c>
      <c r="AD11" s="300"/>
      <c r="AE11" s="300" t="s">
        <v>901</v>
      </c>
      <c r="AF11" s="300"/>
      <c r="AG11" s="296" t="s">
        <v>902</v>
      </c>
      <c r="AH11" s="300" t="s">
        <v>903</v>
      </c>
      <c r="AI11" s="300"/>
      <c r="AJ11" s="300"/>
      <c r="AK11" s="300"/>
      <c r="AL11" s="300"/>
      <c r="AM11" s="300"/>
      <c r="AN11" s="300"/>
      <c r="AO11" s="300"/>
      <c r="AP11" s="300"/>
      <c r="AQ11" s="300" t="s">
        <v>904</v>
      </c>
      <c r="AR11" s="300"/>
      <c r="AS11" s="300" t="s">
        <v>905</v>
      </c>
      <c r="AT11" s="300"/>
      <c r="AU11" s="298"/>
      <c r="AV11" s="298"/>
      <c r="AW11" s="298"/>
      <c r="AX11" s="298"/>
      <c r="AY11" s="301" t="s">
        <v>906</v>
      </c>
      <c r="AZ11" s="301" t="s">
        <v>907</v>
      </c>
      <c r="BA11" s="302" t="s">
        <v>908</v>
      </c>
      <c r="BB11" s="301" t="s">
        <v>909</v>
      </c>
      <c r="BC11" s="301" t="s">
        <v>910</v>
      </c>
      <c r="BD11" s="302" t="s">
        <v>911</v>
      </c>
      <c r="BE11" s="302" t="s">
        <v>912</v>
      </c>
      <c r="BF11" s="302" t="s">
        <v>913</v>
      </c>
      <c r="BG11" s="302" t="s">
        <v>914</v>
      </c>
      <c r="BH11" s="302" t="s">
        <v>914</v>
      </c>
      <c r="BI11" s="302" t="s">
        <v>914</v>
      </c>
      <c r="BJ11" s="302" t="s">
        <v>895</v>
      </c>
      <c r="BK11" s="302" t="s">
        <v>895</v>
      </c>
      <c r="BL11" s="302" t="s">
        <v>895</v>
      </c>
      <c r="BM11" s="302" t="s">
        <v>895</v>
      </c>
      <c r="BN11" s="302" t="s">
        <v>895</v>
      </c>
      <c r="BO11" s="302" t="s">
        <v>915</v>
      </c>
      <c r="BP11" s="302" t="s">
        <v>915</v>
      </c>
      <c r="BQ11" s="302" t="s">
        <v>915</v>
      </c>
      <c r="BR11" s="302" t="s">
        <v>915</v>
      </c>
      <c r="BS11" s="302" t="s">
        <v>915</v>
      </c>
      <c r="BT11" s="302" t="s">
        <v>916</v>
      </c>
      <c r="BU11" s="302" t="s">
        <v>916</v>
      </c>
      <c r="BV11" s="302" t="s">
        <v>916</v>
      </c>
      <c r="BW11" s="302" t="s">
        <v>916</v>
      </c>
      <c r="BX11" s="302" t="s">
        <v>916</v>
      </c>
      <c r="BY11" s="302" t="s">
        <v>916</v>
      </c>
      <c r="BZ11" s="302" t="s">
        <v>916</v>
      </c>
      <c r="CA11" s="302" t="s">
        <v>898</v>
      </c>
      <c r="CB11" s="302" t="s">
        <v>898</v>
      </c>
      <c r="CC11" s="302" t="s">
        <v>898</v>
      </c>
      <c r="CD11" s="302" t="s">
        <v>899</v>
      </c>
      <c r="CE11" s="302" t="s">
        <v>899</v>
      </c>
      <c r="CF11" s="302" t="s">
        <v>899</v>
      </c>
      <c r="CG11" s="302" t="s">
        <v>900</v>
      </c>
      <c r="CH11" s="302" t="s">
        <v>900</v>
      </c>
      <c r="CI11" s="302" t="s">
        <v>901</v>
      </c>
      <c r="CJ11" s="302" t="s">
        <v>901</v>
      </c>
      <c r="CK11" s="302" t="s">
        <v>917</v>
      </c>
      <c r="CL11" s="302" t="s">
        <v>918</v>
      </c>
      <c r="CM11" s="302" t="s">
        <v>918</v>
      </c>
      <c r="CN11" s="302" t="s">
        <v>918</v>
      </c>
      <c r="CO11" s="302" t="s">
        <v>918</v>
      </c>
      <c r="CP11" s="302" t="s">
        <v>918</v>
      </c>
      <c r="CQ11" s="302" t="s">
        <v>918</v>
      </c>
      <c r="CR11" s="302" t="s">
        <v>918</v>
      </c>
      <c r="CS11" s="302" t="s">
        <v>918</v>
      </c>
      <c r="CT11" s="302" t="s">
        <v>918</v>
      </c>
      <c r="CU11" s="302" t="s">
        <v>904</v>
      </c>
      <c r="CV11" s="302" t="s">
        <v>904</v>
      </c>
      <c r="CW11" s="302" t="s">
        <v>905</v>
      </c>
      <c r="CX11" s="302" t="s">
        <v>905</v>
      </c>
      <c r="CY11" s="250"/>
      <c r="CZ11" s="250"/>
      <c r="DA11" s="250"/>
      <c r="DB11" s="289"/>
      <c r="DC11" s="289"/>
    </row>
    <row r="12" spans="1:116" s="289" customFormat="1" ht="145.5">
      <c r="A12" s="296"/>
      <c r="B12" s="296"/>
      <c r="C12" s="178" t="s">
        <v>919</v>
      </c>
      <c r="D12" s="178" t="s">
        <v>920</v>
      </c>
      <c r="E12" s="178" t="s">
        <v>921</v>
      </c>
      <c r="F12" s="178" t="s">
        <v>922</v>
      </c>
      <c r="G12" s="178" t="s">
        <v>923</v>
      </c>
      <c r="H12" s="178" t="s">
        <v>924</v>
      </c>
      <c r="I12" s="178" t="s">
        <v>925</v>
      </c>
      <c r="J12" s="178" t="s">
        <v>926</v>
      </c>
      <c r="K12" s="178" t="s">
        <v>927</v>
      </c>
      <c r="L12" s="178" t="s">
        <v>928</v>
      </c>
      <c r="M12" s="178" t="s">
        <v>929</v>
      </c>
      <c r="N12" s="178" t="s">
        <v>930</v>
      </c>
      <c r="O12" s="178" t="s">
        <v>931</v>
      </c>
      <c r="P12" s="178" t="s">
        <v>932</v>
      </c>
      <c r="Q12" s="178" t="s">
        <v>933</v>
      </c>
      <c r="R12" s="178" t="s">
        <v>930</v>
      </c>
      <c r="S12" s="178" t="s">
        <v>931</v>
      </c>
      <c r="T12" s="178" t="s">
        <v>934</v>
      </c>
      <c r="U12" s="178" t="s">
        <v>935</v>
      </c>
      <c r="V12" s="178" t="s">
        <v>936</v>
      </c>
      <c r="W12" s="178" t="s">
        <v>920</v>
      </c>
      <c r="X12" s="178" t="s">
        <v>921</v>
      </c>
      <c r="Y12" s="178" t="s">
        <v>919</v>
      </c>
      <c r="Z12" s="178" t="s">
        <v>937</v>
      </c>
      <c r="AA12" s="178" t="s">
        <v>938</v>
      </c>
      <c r="AB12" s="178" t="s">
        <v>939</v>
      </c>
      <c r="AC12" s="178" t="s">
        <v>938</v>
      </c>
      <c r="AD12" s="178" t="s">
        <v>937</v>
      </c>
      <c r="AE12" s="178" t="s">
        <v>940</v>
      </c>
      <c r="AF12" s="178" t="s">
        <v>941</v>
      </c>
      <c r="AG12" s="296"/>
      <c r="AH12" s="178" t="s">
        <v>942</v>
      </c>
      <c r="AI12" s="178" t="s">
        <v>943</v>
      </c>
      <c r="AJ12" s="178" t="s">
        <v>944</v>
      </c>
      <c r="AK12" s="178" t="s">
        <v>945</v>
      </c>
      <c r="AL12" s="178" t="s">
        <v>946</v>
      </c>
      <c r="AM12" s="178" t="s">
        <v>947</v>
      </c>
      <c r="AN12" s="178" t="s">
        <v>948</v>
      </c>
      <c r="AO12" s="178" t="s">
        <v>949</v>
      </c>
      <c r="AP12" s="178" t="s">
        <v>950</v>
      </c>
      <c r="AQ12" s="178" t="s">
        <v>938</v>
      </c>
      <c r="AR12" s="178" t="s">
        <v>937</v>
      </c>
      <c r="AS12" s="178" t="s">
        <v>951</v>
      </c>
      <c r="AT12" s="178" t="s">
        <v>952</v>
      </c>
      <c r="AU12" s="298"/>
      <c r="AV12" s="298"/>
      <c r="AW12" s="298"/>
      <c r="AX12" s="298"/>
      <c r="AY12" s="302" t="s">
        <v>953</v>
      </c>
      <c r="AZ12" s="302" t="s">
        <v>954</v>
      </c>
      <c r="BA12" s="302" t="s">
        <v>955</v>
      </c>
      <c r="BB12" s="302" t="s">
        <v>956</v>
      </c>
      <c r="BC12" s="302" t="s">
        <v>956</v>
      </c>
      <c r="BD12" s="302" t="s">
        <v>956</v>
      </c>
      <c r="BE12" s="302" t="s">
        <v>957</v>
      </c>
      <c r="BF12" s="302" t="s">
        <v>958</v>
      </c>
      <c r="BG12" s="302" t="s">
        <v>919</v>
      </c>
      <c r="BH12" s="302" t="s">
        <v>920</v>
      </c>
      <c r="BI12" s="302" t="s">
        <v>921</v>
      </c>
      <c r="BJ12" s="302" t="s">
        <v>922</v>
      </c>
      <c r="BK12" s="302" t="s">
        <v>923</v>
      </c>
      <c r="BL12" s="302" t="s">
        <v>924</v>
      </c>
      <c r="BM12" s="302" t="s">
        <v>925</v>
      </c>
      <c r="BN12" s="302" t="s">
        <v>926</v>
      </c>
      <c r="BO12" s="302" t="s">
        <v>927</v>
      </c>
      <c r="BP12" s="302" t="s">
        <v>928</v>
      </c>
      <c r="BQ12" s="302" t="s">
        <v>929</v>
      </c>
      <c r="BR12" s="302" t="s">
        <v>930</v>
      </c>
      <c r="BS12" s="302" t="s">
        <v>931</v>
      </c>
      <c r="BT12" s="302" t="s">
        <v>932</v>
      </c>
      <c r="BU12" s="302" t="s">
        <v>933</v>
      </c>
      <c r="BV12" s="302" t="s">
        <v>930</v>
      </c>
      <c r="BW12" s="302" t="s">
        <v>931</v>
      </c>
      <c r="BX12" s="302" t="s">
        <v>934</v>
      </c>
      <c r="BY12" s="302" t="s">
        <v>935</v>
      </c>
      <c r="BZ12" s="302" t="s">
        <v>936</v>
      </c>
      <c r="CA12" s="302" t="s">
        <v>920</v>
      </c>
      <c r="CB12" s="302" t="s">
        <v>921</v>
      </c>
      <c r="CC12" s="302" t="s">
        <v>919</v>
      </c>
      <c r="CD12" s="302" t="s">
        <v>937</v>
      </c>
      <c r="CE12" s="302" t="s">
        <v>938</v>
      </c>
      <c r="CF12" s="302" t="s">
        <v>939</v>
      </c>
      <c r="CG12" s="302" t="s">
        <v>938</v>
      </c>
      <c r="CH12" s="302" t="s">
        <v>937</v>
      </c>
      <c r="CI12" s="302" t="s">
        <v>940</v>
      </c>
      <c r="CJ12" s="302" t="s">
        <v>941</v>
      </c>
      <c r="CK12" s="302" t="s">
        <v>959</v>
      </c>
      <c r="CL12" s="302" t="s">
        <v>942</v>
      </c>
      <c r="CM12" s="302" t="s">
        <v>943</v>
      </c>
      <c r="CN12" s="302" t="s">
        <v>944</v>
      </c>
      <c r="CO12" s="302" t="s">
        <v>945</v>
      </c>
      <c r="CP12" s="302" t="s">
        <v>946</v>
      </c>
      <c r="CQ12" s="302" t="s">
        <v>947</v>
      </c>
      <c r="CR12" s="302" t="s">
        <v>948</v>
      </c>
      <c r="CS12" s="302" t="s">
        <v>949</v>
      </c>
      <c r="CT12" s="302" t="s">
        <v>950</v>
      </c>
      <c r="CU12" s="302" t="s">
        <v>938</v>
      </c>
      <c r="CV12" s="302" t="s">
        <v>937</v>
      </c>
      <c r="CW12" s="302" t="s">
        <v>951</v>
      </c>
      <c r="CX12" s="302" t="s">
        <v>952</v>
      </c>
      <c r="CY12" s="250"/>
      <c r="CZ12" s="250"/>
      <c r="DA12" s="250"/>
      <c r="DB12" s="250"/>
      <c r="DC12" s="250"/>
      <c r="DD12" s="250"/>
      <c r="DE12" s="250"/>
      <c r="DF12" s="250"/>
      <c r="DG12" s="250"/>
      <c r="DH12" s="250"/>
      <c r="DI12" s="250"/>
      <c r="DJ12" s="250"/>
      <c r="DK12" s="250"/>
      <c r="DL12" s="250"/>
    </row>
    <row r="13" spans="1:116" s="250" customFormat="1" ht="18.75" customHeight="1">
      <c r="A13" s="303"/>
      <c r="B13" s="303"/>
      <c r="C13" s="304"/>
      <c r="D13" s="304"/>
      <c r="E13" s="304"/>
      <c r="F13" s="304"/>
      <c r="G13" s="304"/>
      <c r="H13" s="304"/>
      <c r="I13" s="304"/>
      <c r="J13" s="304"/>
      <c r="K13" s="304"/>
      <c r="L13" s="304"/>
      <c r="M13" s="304"/>
      <c r="N13" s="304"/>
      <c r="O13" s="304"/>
      <c r="P13" s="304"/>
      <c r="Q13" s="304"/>
      <c r="R13" s="304"/>
      <c r="S13" s="304"/>
      <c r="T13" s="304"/>
      <c r="U13" s="304"/>
      <c r="V13" s="304"/>
      <c r="W13" s="304"/>
      <c r="X13" s="304"/>
      <c r="Y13" s="304"/>
      <c r="Z13" s="304"/>
      <c r="AA13" s="304"/>
      <c r="AB13" s="304"/>
      <c r="AC13" s="304"/>
      <c r="AD13" s="304"/>
      <c r="AE13" s="304"/>
      <c r="AF13" s="304"/>
      <c r="AG13" s="304"/>
      <c r="AH13" s="304"/>
      <c r="AI13" s="304"/>
      <c r="AJ13" s="304"/>
      <c r="AK13" s="304"/>
      <c r="AL13" s="304"/>
      <c r="AM13" s="304"/>
      <c r="AN13" s="304"/>
      <c r="AO13" s="304"/>
      <c r="AP13" s="304"/>
      <c r="AQ13" s="304"/>
      <c r="AR13" s="304"/>
      <c r="AS13" s="304"/>
      <c r="AT13" s="304"/>
      <c r="AU13" s="180" t="str">
        <f>IF($A13="","",INDEX('Tank Data'!$1:$1048576,MATCH($A13,'Tank Data'!$A:$A,0),MATCH(AU$10,'Tank Data'!$9:$9,0)))</f>
        <v/>
      </c>
      <c r="AV13" s="180" t="str">
        <f>IF($A13="","",INDEX('Tank Data'!$1:$1048576,MATCH($A13,'Tank Data'!$A:$A,0),MATCH($AV$10,'Tank Data'!$9:$9,0)))</f>
        <v/>
      </c>
      <c r="AW13" s="305" t="str">
        <f>IF(OR($AV13="EFR",$AV13="DEFR"),INDEX('Tank Data'!$1:$1048576,MATCH($A13,'Tank Data'!$A:$A,0),MATCH($AW$10,'Tank Data'!$9:$9,0)),"")</f>
        <v/>
      </c>
      <c r="AX13" s="305" t="str">
        <f>IF($A13="","",INDEX('Tank Data'!$1:$1048576,MATCH($A13,'Tank Data'!$A:$A,0),MATCH($AX$10,'Tank Data'!$9:$9,0)))</f>
        <v/>
      </c>
      <c r="AY13" s="306">
        <f>IF($AV13="IFR",IF($AU13&gt;'Reference Tables'!$B$876,'Reference Tables'!$C$876,SUMPRODUCT(('Reference Tables'!$C$862:$C$876)*('Reference Tables'!$A$862:$A$876&lt;$AU13)*('Reference Tables'!$B$862:$B$876&gt;=$AU13))),0)</f>
        <v>0</v>
      </c>
      <c r="AZ13" s="306">
        <f>IF($AV13="IFR",1,IF(OR($AV13="EFR",$AV13="DEFR"),INDEX('Reference Tables'!$A$930:$C$938,MATCH(IF($AU13&lt;'Reference Tables'!$A$931,'Reference Tables'!$A$931,IF($AU13&gt;'Reference Tables'!$A$938,'Reference Tables'!$A$938,ROUND($AU13/50,0)*50)),'Reference Tables'!$A$930:$A$938,0),MATCH($AW13,'Reference Tables'!$A$930:$C$930,0)),0))</f>
        <v>0</v>
      </c>
      <c r="BA13" s="306">
        <f>IF(OR($AV13="EFR",$AV13="DEFR"),INDEX('Reference Tables'!$A$930:$D$938,MATCH(IF($AU13&lt;='Reference Tables'!$A$931,'Reference Tables'!$A$931,IF($AU13&gt;'Reference Tables'!$A$936,'Reference Tables'!$A$936,ROUND($AU13/50,0)*50)),'Reference Tables'!$A$930:$A$938,0),COLUMN('Reference Tables'!$D$930)),0)</f>
        <v>0</v>
      </c>
      <c r="BB13" s="306">
        <f>IF(AND(OR($AV13="EFR",$AV13="DEFR"),$AW13="Pontoon Roof"),INDEX('Reference Tables'!$A$943:$D$980,MATCH(IF($AU13&lt;'Reference Tables'!$A$943,'Reference Tables'!$A$943,IF($AU13&gt;'Reference Tables'!$A$980,'Reference Tables'!$A$980,ROUND($AU13,1))),'Reference Tables'!$A$943:$A$980,0),COLUMN('Reference Tables'!$B$942)),0)</f>
        <v>0</v>
      </c>
      <c r="BC13" s="306">
        <f>IF(AND(OR($AV13="EFR",$AV13="DEFR"),$AW13="Pontoon Roof"),INDEX('Reference Tables'!$A$943:$D$980,MATCH(IF($AU13&lt;'Reference Tables'!$A$943,'Reference Tables'!$A$943,IF($AU13&gt;'Reference Tables'!$A$980,'Reference Tables'!$A$980,ROUND($AU13,1))),'Reference Tables'!$A$943:$A$980,0),COLUMN('Reference Tables'!$C$942)),0)</f>
        <v>0</v>
      </c>
      <c r="BD13" s="306">
        <f>IF(AND(OR($AV13="EFR",$AV13="DEFR"),$AW13="Double-Deck Roof"),INDEX('Reference Tables'!$A$943:$D$980,MATCH(IF($AU13&lt;'Reference Tables'!$A$943,'Reference Tables'!$A$943,IF($AU13&gt;'Reference Tables'!$A$980,'Reference Tables'!$A$980,ROUND($AU13,1))),'Reference Tables'!$A$943:$A$980,0),COLUMN('Reference Tables'!$D$942)),0)</f>
        <v>0</v>
      </c>
      <c r="BE13" s="306">
        <f t="shared" ref="BE13:BE22" si="0">IF($AV13="IFR",5+$AU13/10+$AU13^2/600,0)</f>
        <v>0</v>
      </c>
      <c r="BF13" s="306">
        <f t="shared" ref="BF13:BF22" si="1">IF($AV13="IFR",$AU13^2/125,0)</f>
        <v>0</v>
      </c>
      <c r="BG13" s="306">
        <f>IF(BG$11&amp;BG$12=$AY$11,$AY13,IF(BG$11&amp;BG$12=$AZ$11,$AZ13,IF(BG$11&amp;BG$12=$BA$11,$BA13,IF(BG$11&amp;BG$12=$BB$11,$BB13,IF(BG$11&amp;BG$12=$BC$11,$BC13,IF(BG$11&amp;BG$12=$BD$11,$BD13,IF(BG$11&amp;BG$12=$BE$11,$BE13,IF(BG$11&amp;BG$12=$BF$11,$BF13,SUMIFS('Reference Tables'!$F$880:$F$925,'Reference Tables'!$A$880:$A$925,BG$11,'Reference Tables'!$B$880:$B$925,BG$12)))))))))</f>
        <v>1</v>
      </c>
      <c r="BH13" s="306">
        <f>IF(BH$11&amp;BH$12=$AY$11,$AY13,IF(BH$11&amp;BH$12=$AZ$11,$AZ13,IF(BH$11&amp;BH$12=$BA$11,$BA13,IF(BH$11&amp;BH$12=$BB$11,$BB13,IF(BH$11&amp;BH$12=$BC$11,$BC13,IF(BH$11&amp;BH$12=$BD$11,$BD13,IF(BH$11&amp;BH$12=$BE$11,$BE13,IF(BH$11&amp;BH$12=$BF$11,$BF13,SUMIFS('Reference Tables'!$F$880:$F$925,'Reference Tables'!$A$880:$A$925,BH$11,'Reference Tables'!$B$880:$B$925,BH$12)))))))))</f>
        <v>0</v>
      </c>
      <c r="BI13" s="306">
        <f>IF(BI$11&amp;BI$12=$AY$11,$AY13,IF(BI$11&amp;BI$12=$AZ$11,$AZ13,IF(BI$11&amp;BI$12=$BA$11,$BA13,IF(BI$11&amp;BI$12=$BB$11,$BB13,IF(BI$11&amp;BI$12=$BC$11,$BC13,IF(BI$11&amp;BI$12=$BD$11,$BD13,IF(BI$11&amp;BI$12=$BE$11,$BE13,IF(BI$11&amp;BI$12=$BF$11,$BF13,SUMIFS('Reference Tables'!$F$880:$F$925,'Reference Tables'!$A$880:$A$925,BI$11,'Reference Tables'!$B$880:$B$925,BI$12)))))))))</f>
        <v>0</v>
      </c>
      <c r="BJ13" s="306">
        <f>IF(BJ$11&amp;BJ$12=$AY$11,$AY13,IF(BJ$11&amp;BJ$12=$AZ$11,$AZ13,IF(BJ$11&amp;BJ$12=$BA$11,$BA13,IF(BJ$11&amp;BJ$12=$BB$11,$BB13,IF(BJ$11&amp;BJ$12=$BC$11,$BC13,IF(BJ$11&amp;BJ$12=$BD$11,$BD13,IF(BJ$11&amp;BJ$12=$BE$11,$BE13,IF(BJ$11&amp;BJ$12=$BF$11,$BF13,SUMIFS('Reference Tables'!$F$880:$F$925,'Reference Tables'!$A$880:$A$925,BJ$11,'Reference Tables'!$B$880:$B$925,BJ$12)))))))))</f>
        <v>0</v>
      </c>
      <c r="BK13" s="306">
        <f>IF(BK$11&amp;BK$12=$AY$11,$AY13,IF(BK$11&amp;BK$12=$AZ$11,$AZ13,IF(BK$11&amp;BK$12=$BA$11,$BA13,IF(BK$11&amp;BK$12=$BB$11,$BB13,IF(BK$11&amp;BK$12=$BC$11,$BC13,IF(BK$11&amp;BK$12=$BD$11,$BD13,IF(BK$11&amp;BK$12=$BE$11,$BE13,IF(BK$11&amp;BK$12=$BF$11,$BF13,SUMIFS('Reference Tables'!$F$880:$F$925,'Reference Tables'!$A$880:$A$925,BK$11,'Reference Tables'!$B$880:$B$925,BK$12)))))))))</f>
        <v>0</v>
      </c>
      <c r="BL13" s="306">
        <f>IF(BL$11&amp;BL$12=$AY$11,$AY13,IF(BL$11&amp;BL$12=$AZ$11,$AZ13,IF(BL$11&amp;BL$12=$BA$11,$BA13,IF(BL$11&amp;BL$12=$BB$11,$BB13,IF(BL$11&amp;BL$12=$BC$11,$BC13,IF(BL$11&amp;BL$12=$BD$11,$BD13,IF(BL$11&amp;BL$12=$BE$11,$BE13,IF(BL$11&amp;BL$12=$BF$11,$BF13,SUMIFS('Reference Tables'!$F$880:$F$925,'Reference Tables'!$A$880:$A$925,BL$11,'Reference Tables'!$B$880:$B$925,BL$12)))))))))</f>
        <v>0</v>
      </c>
      <c r="BM13" s="306">
        <f>IF(BM$11&amp;BM$12=$AY$11,$AY13,IF(BM$11&amp;BM$12=$AZ$11,$AZ13,IF(BM$11&amp;BM$12=$BA$11,$BA13,IF(BM$11&amp;BM$12=$BB$11,$BB13,IF(BM$11&amp;BM$12=$BC$11,$BC13,IF(BM$11&amp;BM$12=$BD$11,$BD13,IF(BM$11&amp;BM$12=$BE$11,$BE13,IF(BM$11&amp;BM$12=$BF$11,$BF13,SUMIFS('Reference Tables'!$F$880:$F$925,'Reference Tables'!$A$880:$A$925,BM$11,'Reference Tables'!$B$880:$B$925,BM$12)))))))))</f>
        <v>0</v>
      </c>
      <c r="BN13" s="306">
        <f>IF(BN$11&amp;BN$12=$AY$11,$AY13,IF(BN$11&amp;BN$12=$AZ$11,$AZ13,IF(BN$11&amp;BN$12=$BA$11,$BA13,IF(BN$11&amp;BN$12=$BB$11,$BB13,IF(BN$11&amp;BN$12=$BC$11,$BC13,IF(BN$11&amp;BN$12=$BD$11,$BD13,IF(BN$11&amp;BN$12=$BE$11,$BE13,IF(BN$11&amp;BN$12=$BF$11,$BF13,SUMIFS('Reference Tables'!$F$880:$F$925,'Reference Tables'!$A$880:$A$925,BN$11,'Reference Tables'!$B$880:$B$925,BN$12)))))))))</f>
        <v>0</v>
      </c>
      <c r="BO13" s="306">
        <f>IF(BO$11&amp;BO$12=$AY$11,$AY13,IF(BO$11&amp;BO$12=$AZ$11,$AZ13,IF(BO$11&amp;BO$12=$BA$11,$BA13,IF(BO$11&amp;BO$12=$BB$11,$BB13,IF(BO$11&amp;BO$12=$BC$11,$BC13,IF(BO$11&amp;BO$12=$BD$11,$BD13,IF(BO$11&amp;BO$12=$BE$11,$BE13,IF(BO$11&amp;BO$12=$BF$11,$BF13,SUMIFS('Reference Tables'!$F$880:$F$925,'Reference Tables'!$A$880:$A$925,BO$11,'Reference Tables'!$B$880:$B$925,BO$12)))))))))</f>
        <v>1</v>
      </c>
      <c r="BP13" s="306">
        <f>IF(BP$11&amp;BP$12=$AY$11,$AY13,IF(BP$11&amp;BP$12=$AZ$11,$AZ13,IF(BP$11&amp;BP$12=$BA$11,$BA13,IF(BP$11&amp;BP$12=$BB$11,$BB13,IF(BP$11&amp;BP$12=$BC$11,$BC13,IF(BP$11&amp;BP$12=$BD$11,$BD13,IF(BP$11&amp;BP$12=$BE$11,$BE13,IF(BP$11&amp;BP$12=$BF$11,$BF13,SUMIFS('Reference Tables'!$F$880:$F$925,'Reference Tables'!$A$880:$A$925,BP$11,'Reference Tables'!$B$880:$B$925,BP$12)))))))))</f>
        <v>0</v>
      </c>
      <c r="BQ13" s="306">
        <f>IF(BQ$11&amp;BQ$12=$AY$11,$AY13,IF(BQ$11&amp;BQ$12=$AZ$11,$AZ13,IF(BQ$11&amp;BQ$12=$BA$11,$BA13,IF(BQ$11&amp;BQ$12=$BB$11,$BB13,IF(BQ$11&amp;BQ$12=$BC$11,$BC13,IF(BQ$11&amp;BQ$12=$BD$11,$BD13,IF(BQ$11&amp;BQ$12=$BE$11,$BE13,IF(BQ$11&amp;BQ$12=$BF$11,$BF13,SUMIFS('Reference Tables'!$F$880:$F$925,'Reference Tables'!$A$880:$A$925,BQ$11,'Reference Tables'!$B$880:$B$925,BQ$12)))))))))</f>
        <v>0</v>
      </c>
      <c r="BR13" s="306">
        <f>IF(BR$11&amp;BR$12=$AY$11,$AY13,IF(BR$11&amp;BR$12=$AZ$11,$AZ13,IF(BR$11&amp;BR$12=$BA$11,$BA13,IF(BR$11&amp;BR$12=$BB$11,$BB13,IF(BR$11&amp;BR$12=$BC$11,$BC13,IF(BR$11&amp;BR$12=$BD$11,$BD13,IF(BR$11&amp;BR$12=$BE$11,$BE13,IF(BR$11&amp;BR$12=$BF$11,$BF13,SUMIFS('Reference Tables'!$F$880:$F$925,'Reference Tables'!$A$880:$A$925,BR$11,'Reference Tables'!$B$880:$B$925,BR$12)))))))))</f>
        <v>0</v>
      </c>
      <c r="BS13" s="306">
        <f>IF(BS$11&amp;BS$12=$AY$11,$AY13,IF(BS$11&amp;BS$12=$AZ$11,$AZ13,IF(BS$11&amp;BS$12=$BA$11,$BA13,IF(BS$11&amp;BS$12=$BB$11,$BB13,IF(BS$11&amp;BS$12=$BC$11,$BC13,IF(BS$11&amp;BS$12=$BD$11,$BD13,IF(BS$11&amp;BS$12=$BE$11,$BE13,IF(BS$11&amp;BS$12=$BF$11,$BF13,SUMIFS('Reference Tables'!$F$880:$F$925,'Reference Tables'!$A$880:$A$925,BS$11,'Reference Tables'!$B$880:$B$925,BS$12)))))))))</f>
        <v>0</v>
      </c>
      <c r="BT13" s="306">
        <f>IF(BT$11&amp;BT$12=$AY$11,$AY13,IF(BT$11&amp;BT$12=$AZ$11,$AZ13,IF(BT$11&amp;BT$12=$BA$11,$BA13,IF(BT$11&amp;BT$12=$BB$11,$BB13,IF(BT$11&amp;BT$12=$BC$11,$BC13,IF(BT$11&amp;BT$12=$BD$11,$BD13,IF(BT$11&amp;BT$12=$BE$11,$BE13,IF(BT$11&amp;BT$12=$BF$11,$BF13,SUMIFS('Reference Tables'!$F$880:$F$925,'Reference Tables'!$A$880:$A$925,BT$11,'Reference Tables'!$B$880:$B$925,BT$12)))))))))</f>
        <v>0</v>
      </c>
      <c r="BU13" s="306">
        <f>IF(BU$11&amp;BU$12=$AY$11,$AY13,IF(BU$11&amp;BU$12=$AZ$11,$AZ13,IF(BU$11&amp;BU$12=$BA$11,$BA13,IF(BU$11&amp;BU$12=$BB$11,$BB13,IF(BU$11&amp;BU$12=$BC$11,$BC13,IF(BU$11&amp;BU$12=$BD$11,$BD13,IF(BU$11&amp;BU$12=$BE$11,$BE13,IF(BU$11&amp;BU$12=$BF$11,$BF13,SUMIFS('Reference Tables'!$F$880:$F$925,'Reference Tables'!$A$880:$A$925,BU$11,'Reference Tables'!$B$880:$B$925,BU$12)))))))))</f>
        <v>0</v>
      </c>
      <c r="BV13" s="306">
        <f>IF(BV$11&amp;BV$12=$AY$11,$AY13,IF(BV$11&amp;BV$12=$AZ$11,$AZ13,IF(BV$11&amp;BV$12=$BA$11,$BA13,IF(BV$11&amp;BV$12=$BB$11,$BB13,IF(BV$11&amp;BV$12=$BC$11,$BC13,IF(BV$11&amp;BV$12=$BD$11,$BD13,IF(BV$11&amp;BV$12=$BE$11,$BE13,IF(BV$11&amp;BV$12=$BF$11,$BF13,SUMIFS('Reference Tables'!$F$880:$F$925,'Reference Tables'!$A$880:$A$925,BV$11,'Reference Tables'!$B$880:$B$925,BV$12)))))))))</f>
        <v>0</v>
      </c>
      <c r="BW13" s="306">
        <f>IF(BW$11&amp;BW$12=$AY$11,$AY13,IF(BW$11&amp;BW$12=$AZ$11,$AZ13,IF(BW$11&amp;BW$12=$BA$11,$BA13,IF(BW$11&amp;BW$12=$BB$11,$BB13,IF(BW$11&amp;BW$12=$BC$11,$BC13,IF(BW$11&amp;BW$12=$BD$11,$BD13,IF(BW$11&amp;BW$12=$BE$11,$BE13,IF(BW$11&amp;BW$12=$BF$11,$BF13,SUMIFS('Reference Tables'!$F$880:$F$925,'Reference Tables'!$A$880:$A$925,BW$11,'Reference Tables'!$B$880:$B$925,BW$12)))))))))</f>
        <v>0</v>
      </c>
      <c r="BX13" s="306">
        <f>IF(BX$11&amp;BX$12=$AY$11,$AY13,IF(BX$11&amp;BX$12=$AZ$11,$AZ13,IF(BX$11&amp;BX$12=$BA$11,$BA13,IF(BX$11&amp;BX$12=$BB$11,$BB13,IF(BX$11&amp;BX$12=$BC$11,$BC13,IF(BX$11&amp;BX$12=$BD$11,$BD13,IF(BX$11&amp;BX$12=$BE$11,$BE13,IF(BX$11&amp;BX$12=$BF$11,$BF13,SUMIFS('Reference Tables'!$F$880:$F$925,'Reference Tables'!$A$880:$A$925,BX$11,'Reference Tables'!$B$880:$B$925,BX$12)))))))))</f>
        <v>0</v>
      </c>
      <c r="BY13" s="306">
        <f>IF(BY$11&amp;BY$12=$AY$11,$AY13,IF(BY$11&amp;BY$12=$AZ$11,$AZ13,IF(BY$11&amp;BY$12=$BA$11,$BA13,IF(BY$11&amp;BY$12=$BB$11,$BB13,IF(BY$11&amp;BY$12=$BC$11,$BC13,IF(BY$11&amp;BY$12=$BD$11,$BD13,IF(BY$11&amp;BY$12=$BE$11,$BE13,IF(BY$11&amp;BY$12=$BF$11,$BF13,SUMIFS('Reference Tables'!$F$880:$F$925,'Reference Tables'!$A$880:$A$925,BY$11,'Reference Tables'!$B$880:$B$925,BY$12)))))))))</f>
        <v>0</v>
      </c>
      <c r="BZ13" s="306">
        <f>IF(BZ$11&amp;BZ$12=$AY$11,$AY13,IF(BZ$11&amp;BZ$12=$AZ$11,$AZ13,IF(BZ$11&amp;BZ$12=$BA$11,$BA13,IF(BZ$11&amp;BZ$12=$BB$11,$BB13,IF(BZ$11&amp;BZ$12=$BC$11,$BC13,IF(BZ$11&amp;BZ$12=$BD$11,$BD13,IF(BZ$11&amp;BZ$12=$BE$11,$BE13,IF(BZ$11&amp;BZ$12=$BF$11,$BF13,SUMIFS('Reference Tables'!$F$880:$F$925,'Reference Tables'!$A$880:$A$925,BZ$11,'Reference Tables'!$B$880:$B$925,BZ$12)))))))))</f>
        <v>0</v>
      </c>
      <c r="CA13" s="306">
        <f>IF(CA$11&amp;CA$12=$AY$11,$AY13,IF(CA$11&amp;CA$12=$AZ$11,$AZ13,IF(CA$11&amp;CA$12=$BA$11,$BA13,IF(CA$11&amp;CA$12=$BB$11,$BB13,IF(CA$11&amp;CA$12=$BC$11,$BC13,IF(CA$11&amp;CA$12=$BD$11,$BD13,IF(CA$11&amp;CA$12=$BE$11,$BE13,IF(CA$11&amp;CA$12=$BF$11,$BF13,SUMIFS('Reference Tables'!$F$880:$F$925,'Reference Tables'!$A$880:$A$925,CA$11,'Reference Tables'!$B$880:$B$925,CA$12)))))))))</f>
        <v>1</v>
      </c>
      <c r="CB13" s="306">
        <f>IF(CB$11&amp;CB$12=$AY$11,$AY13,IF(CB$11&amp;CB$12=$AZ$11,$AZ13,IF(CB$11&amp;CB$12=$BA$11,$BA13,IF(CB$11&amp;CB$12=$BB$11,$BB13,IF(CB$11&amp;CB$12=$BC$11,$BC13,IF(CB$11&amp;CB$12=$BD$11,$BD13,IF(CB$11&amp;CB$12=$BE$11,$BE13,IF(CB$11&amp;CB$12=$BF$11,$BF13,SUMIFS('Reference Tables'!$F$880:$F$925,'Reference Tables'!$A$880:$A$925,CB$11,'Reference Tables'!$B$880:$B$925,CB$12)))))))))</f>
        <v>0</v>
      </c>
      <c r="CC13" s="306">
        <f>IF(CC$11&amp;CC$12=$AY$11,$AY13,IF(CC$11&amp;CC$12=$AZ$11,$AZ13,IF(CC$11&amp;CC$12=$BA$11,$BA13,IF(CC$11&amp;CC$12=$BB$11,$BB13,IF(CC$11&amp;CC$12=$BC$11,$BC13,IF(CC$11&amp;CC$12=$BD$11,$BD13,IF(CC$11&amp;CC$12=$BE$11,$BE13,IF(CC$11&amp;CC$12=$BF$11,$BF13,SUMIFS('Reference Tables'!$F$880:$F$925,'Reference Tables'!$A$880:$A$925,CC$11,'Reference Tables'!$B$880:$B$925,CC$12)))))))))</f>
        <v>0</v>
      </c>
      <c r="CD13" s="306">
        <f>IF(CD$11&amp;CD$12=$AY$11,$AY13,IF(CD$11&amp;CD$12=$AZ$11,$AZ13,IF(CD$11&amp;CD$12=$BA$11,$BA13,IF(CD$11&amp;CD$12=$BB$11,$BB13,IF(CD$11&amp;CD$12=$BC$11,$BC13,IF(CD$11&amp;CD$12=$BD$11,$BD13,IF(CD$11&amp;CD$12=$BE$11,$BE13,IF(CD$11&amp;CD$12=$BF$11,$BF13,SUMIFS('Reference Tables'!$F$880:$F$925,'Reference Tables'!$A$880:$A$925,CD$11,'Reference Tables'!$B$880:$B$925,CD$12)))))))))</f>
        <v>1</v>
      </c>
      <c r="CE13" s="306">
        <f>IF(CE$11&amp;CE$12=$AY$11,$AY13,IF(CE$11&amp;CE$12=$AZ$11,$AZ13,IF(CE$11&amp;CE$12=$BA$11,$BA13,IF(CE$11&amp;CE$12=$BB$11,$BB13,IF(CE$11&amp;CE$12=$BC$11,$BC13,IF(CE$11&amp;CE$12=$BD$11,$BD13,IF(CE$11&amp;CE$12=$BE$11,$BE13,IF(CE$11&amp;CE$12=$BF$11,$BF13,SUMIFS('Reference Tables'!$F$880:$F$925,'Reference Tables'!$A$880:$A$925,CE$11,'Reference Tables'!$B$880:$B$925,CE$12)))))))))</f>
        <v>0</v>
      </c>
      <c r="CF13" s="306">
        <f>IF(CF$11&amp;CF$12=$AY$11,$AY13,IF(CF$11&amp;CF$12=$AZ$11,$AZ13,IF(CF$11&amp;CF$12=$BA$11,$BA13,IF(CF$11&amp;CF$12=$BB$11,$BB13,IF(CF$11&amp;CF$12=$BC$11,$BC13,IF(CF$11&amp;CF$12=$BD$11,$BD13,IF(CF$11&amp;CF$12=$BE$11,$BE13,IF(CF$11&amp;CF$12=$BF$11,$BF13,SUMIFS('Reference Tables'!$F$880:$F$925,'Reference Tables'!$A$880:$A$925,CF$11,'Reference Tables'!$B$880:$B$925,CF$12)))))))))</f>
        <v>0</v>
      </c>
      <c r="CG13" s="306">
        <f>IF(CG$11&amp;CG$12=$AY$11,$AY13,IF(CG$11&amp;CG$12=$AZ$11,$AZ13,IF(CG$11&amp;CG$12=$BA$11,$BA13,IF(CG$11&amp;CG$12=$BB$11,$BB13,IF(CG$11&amp;CG$12=$BC$11,$BC13,IF(CG$11&amp;CG$12=$BD$11,$BD13,IF(CG$11&amp;CG$12=$BE$11,$BE13,IF(CG$11&amp;CG$12=$BF$11,$BF13,SUMIFS('Reference Tables'!$F$880:$F$925,'Reference Tables'!$A$880:$A$925,CG$11,'Reference Tables'!$B$880:$B$925,CG$12)))))))))</f>
        <v>0</v>
      </c>
      <c r="CH13" s="306">
        <f>IF(CH$11&amp;CH$12=$AY$11,$AY13,IF(CH$11&amp;CH$12=$AZ$11,$AZ13,IF(CH$11&amp;CH$12=$BA$11,$BA13,IF(CH$11&amp;CH$12=$BB$11,$BB13,IF(CH$11&amp;CH$12=$BC$11,$BC13,IF(CH$11&amp;CH$12=$BD$11,$BD13,IF(CH$11&amp;CH$12=$BE$11,$BE13,IF(CH$11&amp;CH$12=$BF$11,$BF13,SUMIFS('Reference Tables'!$F$880:$F$925,'Reference Tables'!$A$880:$A$925,CH$11,'Reference Tables'!$B$880:$B$925,CH$12)))))))))</f>
        <v>0</v>
      </c>
      <c r="CI13" s="306">
        <f>IF(CI$11&amp;CI$12=$AY$11,$AY13,IF(CI$11&amp;CI$12=$AZ$11,$AZ13,IF(CI$11&amp;CI$12=$BA$11,$BA13,IF(CI$11&amp;CI$12=$BB$11,$BB13,IF(CI$11&amp;CI$12=$BC$11,$BC13,IF(CI$11&amp;CI$12=$BD$11,$BD13,IF(CI$11&amp;CI$12=$BE$11,$BE13,IF(CI$11&amp;CI$12=$BF$11,$BF13,SUMIFS('Reference Tables'!$F$880:$F$925,'Reference Tables'!$A$880:$A$925,CI$11,'Reference Tables'!$B$880:$B$925,CI$12)))))))))</f>
        <v>0</v>
      </c>
      <c r="CJ13" s="306">
        <f>IF(CJ$11&amp;CJ$12=$AY$11,$AY13,IF(CJ$11&amp;CJ$12=$AZ$11,$AZ13,IF(CJ$11&amp;CJ$12=$BA$11,$BA13,IF(CJ$11&amp;CJ$12=$BB$11,$BB13,IF(CJ$11&amp;CJ$12=$BC$11,$BC13,IF(CJ$11&amp;CJ$12=$BD$11,$BD13,IF(CJ$11&amp;CJ$12=$BE$11,$BE13,IF(CJ$11&amp;CJ$12=$BF$11,$BF13,SUMIFS('Reference Tables'!$F$880:$F$925,'Reference Tables'!$A$880:$A$925,CJ$11,'Reference Tables'!$B$880:$B$925,CJ$12)))))))))</f>
        <v>0</v>
      </c>
      <c r="CK13" s="306">
        <f>IF(CK$11&amp;CK$12=$AY$11,$AY13,IF(CK$11&amp;CK$12=$AZ$11,$AZ13,IF(CK$11&amp;CK$12=$BA$11,$BA13,IF(CK$11&amp;CK$12=$BB$11,$BB13,IF(CK$11&amp;CK$12=$BC$11,$BC13,IF(CK$11&amp;CK$12=$BD$11,$BD13,IF(CK$11&amp;CK$12=$BE$11,$BE13,IF(CK$11&amp;CK$12=$BF$11,$BF13,SUMIFS('Reference Tables'!$F$880:$F$925,'Reference Tables'!$A$880:$A$925,CK$11,'Reference Tables'!$B$880:$B$925,CK$12)))))))))</f>
        <v>0</v>
      </c>
      <c r="CL13" s="306">
        <f>IF(CL$11&amp;CL$12=$AY$11,$AY13,IF(CL$11&amp;CL$12=$AZ$11,$AZ13,IF(CL$11&amp;CL$12=$BA$11,$BA13,IF(CL$11&amp;CL$12=$BB$11,$BB13,IF(CL$11&amp;CL$12=$BC$11,$BC13,IF(CL$11&amp;CL$12=$BD$11,$BD13,IF(CL$11&amp;CL$12=$BE$11,$BE13,IF(CL$11&amp;CL$12=$BF$11,$BF13,SUMIFS('Reference Tables'!$F$880:$F$925,'Reference Tables'!$A$880:$A$925,CL$11,'Reference Tables'!$B$880:$B$925,CL$12)))))))))</f>
        <v>0</v>
      </c>
      <c r="CM13" s="306">
        <f>IF(CM$11&amp;CM$12=$AY$11,$AY13,IF(CM$11&amp;CM$12=$AZ$11,$AZ13,IF(CM$11&amp;CM$12=$BA$11,$BA13,IF(CM$11&amp;CM$12=$BB$11,$BB13,IF(CM$11&amp;CM$12=$BC$11,$BC13,IF(CM$11&amp;CM$12=$BD$11,$BD13,IF(CM$11&amp;CM$12=$BE$11,$BE13,IF(CM$11&amp;CM$12=$BF$11,$BF13,SUMIFS('Reference Tables'!$F$880:$F$925,'Reference Tables'!$A$880:$A$925,CM$11,'Reference Tables'!$B$880:$B$925,CM$12)))))))))</f>
        <v>0</v>
      </c>
      <c r="CN13" s="306">
        <f>IF(CN$11&amp;CN$12=$AY$11,$AY13,IF(CN$11&amp;CN$12=$AZ$11,$AZ13,IF(CN$11&amp;CN$12=$BA$11,$BA13,IF(CN$11&amp;CN$12=$BB$11,$BB13,IF(CN$11&amp;CN$12=$BC$11,$BC13,IF(CN$11&amp;CN$12=$BD$11,$BD13,IF(CN$11&amp;CN$12=$BE$11,$BE13,IF(CN$11&amp;CN$12=$BF$11,$BF13,SUMIFS('Reference Tables'!$F$880:$F$925,'Reference Tables'!$A$880:$A$925,CN$11,'Reference Tables'!$B$880:$B$925,CN$12)))))))))</f>
        <v>0</v>
      </c>
      <c r="CO13" s="306">
        <f>IF(CO$11&amp;CO$12=$AY$11,$AY13,IF(CO$11&amp;CO$12=$AZ$11,$AZ13,IF(CO$11&amp;CO$12=$BA$11,$BA13,IF(CO$11&amp;CO$12=$BB$11,$BB13,IF(CO$11&amp;CO$12=$BC$11,$BC13,IF(CO$11&amp;CO$12=$BD$11,$BD13,IF(CO$11&amp;CO$12=$BE$11,$BE13,IF(CO$11&amp;CO$12=$BF$11,$BF13,SUMIFS('Reference Tables'!$F$880:$F$925,'Reference Tables'!$A$880:$A$925,CO$11,'Reference Tables'!$B$880:$B$925,CO$12)))))))))</f>
        <v>0</v>
      </c>
      <c r="CP13" s="306">
        <f>IF(CP$11&amp;CP$12=$AY$11,$AY13,IF(CP$11&amp;CP$12=$AZ$11,$AZ13,IF(CP$11&amp;CP$12=$BA$11,$BA13,IF(CP$11&amp;CP$12=$BB$11,$BB13,IF(CP$11&amp;CP$12=$BC$11,$BC13,IF(CP$11&amp;CP$12=$BD$11,$BD13,IF(CP$11&amp;CP$12=$BE$11,$BE13,IF(CP$11&amp;CP$12=$BF$11,$BF13,SUMIFS('Reference Tables'!$F$880:$F$925,'Reference Tables'!$A$880:$A$925,CP$11,'Reference Tables'!$B$880:$B$925,CP$12)))))))))</f>
        <v>0</v>
      </c>
      <c r="CQ13" s="306">
        <f>IF(CQ$11&amp;CQ$12=$AY$11,$AY13,IF(CQ$11&amp;CQ$12=$AZ$11,$AZ13,IF(CQ$11&amp;CQ$12=$BA$11,$BA13,IF(CQ$11&amp;CQ$12=$BB$11,$BB13,IF(CQ$11&amp;CQ$12=$BC$11,$BC13,IF(CQ$11&amp;CQ$12=$BD$11,$BD13,IF(CQ$11&amp;CQ$12=$BE$11,$BE13,IF(CQ$11&amp;CQ$12=$BF$11,$BF13,SUMIFS('Reference Tables'!$F$880:$F$925,'Reference Tables'!$A$880:$A$925,CQ$11,'Reference Tables'!$B$880:$B$925,CQ$12)))))))))</f>
        <v>0</v>
      </c>
      <c r="CR13" s="306">
        <f>IF(CR$11&amp;CR$12=$AY$11,$AY13,IF(CR$11&amp;CR$12=$AZ$11,$AZ13,IF(CR$11&amp;CR$12=$BA$11,$BA13,IF(CR$11&amp;CR$12=$BB$11,$BB13,IF(CR$11&amp;CR$12=$BC$11,$BC13,IF(CR$11&amp;CR$12=$BD$11,$BD13,IF(CR$11&amp;CR$12=$BE$11,$BE13,IF(CR$11&amp;CR$12=$BF$11,$BF13,SUMIFS('Reference Tables'!$F$880:$F$925,'Reference Tables'!$A$880:$A$925,CR$11,'Reference Tables'!$B$880:$B$925,CR$12)))))))))</f>
        <v>0</v>
      </c>
      <c r="CS13" s="306">
        <f>IF(CS$11&amp;CS$12=$AY$11,$AY13,IF(CS$11&amp;CS$12=$AZ$11,$AZ13,IF(CS$11&amp;CS$12=$BA$11,$BA13,IF(CS$11&amp;CS$12=$BB$11,$BB13,IF(CS$11&amp;CS$12=$BC$11,$BC13,IF(CS$11&amp;CS$12=$BD$11,$BD13,IF(CS$11&amp;CS$12=$BE$11,$BE13,IF(CS$11&amp;CS$12=$BF$11,$BF13,SUMIFS('Reference Tables'!$F$880:$F$925,'Reference Tables'!$A$880:$A$925,CS$11,'Reference Tables'!$B$880:$B$925,CS$12)))))))))</f>
        <v>0</v>
      </c>
      <c r="CT13" s="306">
        <f>IF(CT$11&amp;CT$12=$AY$11,$AY13,IF(CT$11&amp;CT$12=$AZ$11,$AZ13,IF(CT$11&amp;CT$12=$BA$11,$BA13,IF(CT$11&amp;CT$12=$BB$11,$BB13,IF(CT$11&amp;CT$12=$BC$11,$BC13,IF(CT$11&amp;CT$12=$BD$11,$BD13,IF(CT$11&amp;CT$12=$BE$11,$BE13,IF(CT$11&amp;CT$12=$BF$11,$BF13,SUMIFS('Reference Tables'!$F$880:$F$925,'Reference Tables'!$A$880:$A$925,CT$11,'Reference Tables'!$B$880:$B$925,CT$12)))))))))</f>
        <v>0</v>
      </c>
      <c r="CU13" s="306">
        <f>IF(CU$11&amp;CU$12=$AY$11,$AY13,IF(CU$11&amp;CU$12=$AZ$11,$AZ13,IF(CU$11&amp;CU$12=$BA$11,$BA13,IF(CU$11&amp;CU$12=$BB$11,$BB13,IF(CU$11&amp;CU$12=$BC$11,$BC13,IF(CU$11&amp;CU$12=$BD$11,$BD13,IF(CU$11&amp;CU$12=$BE$11,$BE13,IF(CU$11&amp;CU$12=$BF$11,$BF13,SUMIFS('Reference Tables'!$F$880:$F$925,'Reference Tables'!$A$880:$A$925,CU$11,'Reference Tables'!$B$880:$B$925,CU$12)))))))))</f>
        <v>0</v>
      </c>
      <c r="CV13" s="306">
        <f>IF(CV$11&amp;CV$12=$AY$11,$AY13,IF(CV$11&amp;CV$12=$AZ$11,$AZ13,IF(CV$11&amp;CV$12=$BA$11,$BA13,IF(CV$11&amp;CV$12=$BB$11,$BB13,IF(CV$11&amp;CV$12=$BC$11,$BC13,IF(CV$11&amp;CV$12=$BD$11,$BD13,IF(CV$11&amp;CV$12=$BE$11,$BE13,IF(CV$11&amp;CV$12=$BF$11,$BF13,SUMIFS('Reference Tables'!$F$880:$F$925,'Reference Tables'!$A$880:$A$925,CV$11,'Reference Tables'!$B$880:$B$925,CV$12)))))))))</f>
        <v>1</v>
      </c>
      <c r="CW13" s="306">
        <f>IF(CW$11&amp;CW$12=$AY$11,$AY13,IF(CW$11&amp;CW$12=$AZ$11,$AZ13,IF(CW$11&amp;CW$12=$BA$11,$BA13,IF(CW$11&amp;CW$12=$BB$11,$BB13,IF(CW$11&amp;CW$12=$BC$11,$BC13,IF(CW$11&amp;CW$12=$BD$11,$BD13,IF(CW$11&amp;CW$12=$BE$11,$BE13,IF(CW$11&amp;CW$12=$BF$11,$BF13,SUMIFS('Reference Tables'!$F$880:$F$925,'Reference Tables'!$A$880:$A$925,CW$11,'Reference Tables'!$B$880:$B$925,CW$12)))))))))</f>
        <v>1</v>
      </c>
      <c r="CX13" s="306">
        <f>IF(CX$11&amp;CX$12=$AY$11,$AY13,IF(CX$11&amp;CX$12=$AZ$11,$AZ13,IF(CX$11&amp;CX$12=$BA$11,$BA13,IF(CX$11&amp;CX$12=$BB$11,$BB13,IF(CX$11&amp;CX$12=$BC$11,$BC13,IF(CX$11&amp;CX$12=$BD$11,$BD13,IF(CX$11&amp;CX$12=$BE$11,$BE13,IF(CX$11&amp;CX$12=$BF$11,$BF13,SUMIFS('Reference Tables'!$F$880:$F$925,'Reference Tables'!$A$880:$A$925,CX$11,'Reference Tables'!$B$880:$B$925,CX$12)))))))))</f>
        <v>0</v>
      </c>
    </row>
    <row r="14" spans="1:116" s="250" customFormat="1" ht="18.75" customHeight="1">
      <c r="A14" s="303"/>
      <c r="B14" s="303"/>
      <c r="C14" s="307"/>
      <c r="D14" s="307"/>
      <c r="E14" s="307"/>
      <c r="F14" s="307"/>
      <c r="G14" s="307"/>
      <c r="H14" s="307"/>
      <c r="I14" s="307"/>
      <c r="J14" s="307"/>
      <c r="K14" s="307"/>
      <c r="L14" s="307"/>
      <c r="M14" s="307"/>
      <c r="N14" s="307"/>
      <c r="O14" s="307"/>
      <c r="P14" s="307"/>
      <c r="Q14" s="307"/>
      <c r="R14" s="307"/>
      <c r="S14" s="307"/>
      <c r="T14" s="307"/>
      <c r="U14" s="307"/>
      <c r="V14" s="307"/>
      <c r="W14" s="307"/>
      <c r="X14" s="307"/>
      <c r="Y14" s="307"/>
      <c r="Z14" s="307"/>
      <c r="AA14" s="307"/>
      <c r="AB14" s="307"/>
      <c r="AC14" s="307"/>
      <c r="AD14" s="307"/>
      <c r="AE14" s="307"/>
      <c r="AF14" s="307"/>
      <c r="AG14" s="307"/>
      <c r="AH14" s="307"/>
      <c r="AI14" s="307"/>
      <c r="AJ14" s="307"/>
      <c r="AK14" s="307"/>
      <c r="AL14" s="307"/>
      <c r="AM14" s="307"/>
      <c r="AN14" s="307"/>
      <c r="AO14" s="307"/>
      <c r="AP14" s="307"/>
      <c r="AQ14" s="307"/>
      <c r="AR14" s="307"/>
      <c r="AS14" s="307"/>
      <c r="AT14" s="307"/>
      <c r="AU14" s="180" t="str">
        <f>IF($A14="","",INDEX('Tank Data'!$1:$1048576,MATCH($A14,'Tank Data'!$A:$A,0),MATCH(AU$10,'Tank Data'!$9:$9,0)))</f>
        <v/>
      </c>
      <c r="AV14" s="180" t="str">
        <f>IF($A14="","",INDEX('Tank Data'!$1:$1048576,MATCH($A14,'Tank Data'!$A:$A,0),MATCH($AV$10,'Tank Data'!$9:$9,0)))</f>
        <v/>
      </c>
      <c r="AW14" s="305" t="str">
        <f>IF(OR($AV14="EFR",$AV14="DEFR"),INDEX('Tank Data'!$1:$1048576,MATCH($A14,'Tank Data'!$A:$A,0),MATCH($AW$10,'Tank Data'!$9:$9,0)),"")</f>
        <v/>
      </c>
      <c r="AX14" s="305" t="str">
        <f>IF($A14="","",INDEX('Tank Data'!$1:$1048576,MATCH($A14,'Tank Data'!$A:$A,0),MATCH($AX$10,'Tank Data'!$9:$9,0)))</f>
        <v/>
      </c>
      <c r="AY14" s="306">
        <f>IF($AV14="IFR",IF($AU14&gt;'Reference Tables'!$B$876,'Reference Tables'!$C$876,SUMPRODUCT(('Reference Tables'!$C$862:$C$876)*('Reference Tables'!$A$862:$A$876&lt;$AU14)*('Reference Tables'!$B$862:$B$876&gt;=$AU14))),0)</f>
        <v>0</v>
      </c>
      <c r="AZ14" s="306">
        <f>IF($AV14="IFR",1,IF(OR($AV14="EFR",$AV14="DEFR"),INDEX('Reference Tables'!$A$930:$C$938,MATCH(IF($AU14&lt;'Reference Tables'!$A$931,'Reference Tables'!$A$931,IF($AU14&gt;'Reference Tables'!$A$938,'Reference Tables'!$A$938,ROUND($AU14/50,0)*50)),'Reference Tables'!$A$930:$A$938,0),MATCH($AW14,'Reference Tables'!$A$930:$C$930,0)),0))</f>
        <v>0</v>
      </c>
      <c r="BA14" s="306">
        <f>IF(OR($AV14="EFR",$AV14="DEFR"),INDEX('Reference Tables'!$A$930:$D$938,MATCH(IF($AU14&lt;='Reference Tables'!$A$931,'Reference Tables'!$A$931,IF($AU14&gt;'Reference Tables'!$A$936,'Reference Tables'!$A$936,ROUND($AU14/50,0)*50)),'Reference Tables'!$A$930:$A$938,0),COLUMN('Reference Tables'!$D$930)),0)</f>
        <v>0</v>
      </c>
      <c r="BB14" s="306">
        <f>IF(AND(OR($AV14="EFR",$AV14="DEFR"),$AW14="Pontoon Roof"),INDEX('Reference Tables'!$A$943:$D$980,MATCH(IF($AU14&lt;'Reference Tables'!$A$943,'Reference Tables'!$A$943,IF($AU14&gt;'Reference Tables'!$A$980,'Reference Tables'!$A$980,ROUND($AU14,1))),'Reference Tables'!$A$943:$A$980,0),COLUMN('Reference Tables'!$B$942)),0)</f>
        <v>0</v>
      </c>
      <c r="BC14" s="306">
        <f>IF(AND(OR($AV14="EFR",$AV14="DEFR"),$AW14="Pontoon Roof"),INDEX('Reference Tables'!$A$943:$D$980,MATCH(IF($AU14&lt;'Reference Tables'!$A$943,'Reference Tables'!$A$943,IF($AU14&gt;'Reference Tables'!$A$980,'Reference Tables'!$A$980,ROUND($AU14,1))),'Reference Tables'!$A$943:$A$980,0),COLUMN('Reference Tables'!$C$942)),0)</f>
        <v>0</v>
      </c>
      <c r="BD14" s="306">
        <f>IF(AND(OR($AV14="EFR",$AV14="DEFR"),$AW14="Double-Deck Roof"),INDEX('Reference Tables'!$A$943:$D$980,MATCH(IF($AU14&lt;'Reference Tables'!$A$943,'Reference Tables'!$A$943,IF($AU14&gt;'Reference Tables'!$A$980,'Reference Tables'!$A$980,ROUND($AU14,1))),'Reference Tables'!$A$943:$A$980,0),COLUMN('Reference Tables'!$D$942)),0)</f>
        <v>0</v>
      </c>
      <c r="BE14" s="306">
        <f t="shared" si="0"/>
        <v>0</v>
      </c>
      <c r="BF14" s="306">
        <f t="shared" si="1"/>
        <v>0</v>
      </c>
      <c r="BG14" s="306">
        <f>IF(BG$11&amp;BG$12=$AY$11,$AY14,IF(BG$11&amp;BG$12=$AZ$11,$AZ14,IF(BG$11&amp;BG$12=$BA$11,$BA14,IF(BG$11&amp;BG$12=$BB$11,$BB14,IF(BG$11&amp;BG$12=$BC$11,$BC14,IF(BG$11&amp;BG$12=$BD$11,$BD14,IF(BG$11&amp;BG$12=$BE$11,$BE14,IF(BG$11&amp;BG$12=$BF$11,$BF14,SUMIFS('Reference Tables'!$F$880:$F$925,'Reference Tables'!$A$880:$A$925,BG$11,'Reference Tables'!$B$880:$B$925,BG$12)))))))))</f>
        <v>1</v>
      </c>
      <c r="BH14" s="306">
        <f>IF(BH$11&amp;BH$12=$AY$11,$AY14,IF(BH$11&amp;BH$12=$AZ$11,$AZ14,IF(BH$11&amp;BH$12=$BA$11,$BA14,IF(BH$11&amp;BH$12=$BB$11,$BB14,IF(BH$11&amp;BH$12=$BC$11,$BC14,IF(BH$11&amp;BH$12=$BD$11,$BD14,IF(BH$11&amp;BH$12=$BE$11,$BE14,IF(BH$11&amp;BH$12=$BF$11,$BF14,SUMIFS('Reference Tables'!$F$880:$F$925,'Reference Tables'!$A$880:$A$925,BH$11,'Reference Tables'!$B$880:$B$925,BH$12)))))))))</f>
        <v>0</v>
      </c>
      <c r="BI14" s="306">
        <f>IF(BI$11&amp;BI$12=$AY$11,$AY14,IF(BI$11&amp;BI$12=$AZ$11,$AZ14,IF(BI$11&amp;BI$12=$BA$11,$BA14,IF(BI$11&amp;BI$12=$BB$11,$BB14,IF(BI$11&amp;BI$12=$BC$11,$BC14,IF(BI$11&amp;BI$12=$BD$11,$BD14,IF(BI$11&amp;BI$12=$BE$11,$BE14,IF(BI$11&amp;BI$12=$BF$11,$BF14,SUMIFS('Reference Tables'!$F$880:$F$925,'Reference Tables'!$A$880:$A$925,BI$11,'Reference Tables'!$B$880:$B$925,BI$12)))))))))</f>
        <v>0</v>
      </c>
      <c r="BJ14" s="306">
        <f>IF(BJ$11&amp;BJ$12=$AY$11,$AY14,IF(BJ$11&amp;BJ$12=$AZ$11,$AZ14,IF(BJ$11&amp;BJ$12=$BA$11,$BA14,IF(BJ$11&amp;BJ$12=$BB$11,$BB14,IF(BJ$11&amp;BJ$12=$BC$11,$BC14,IF(BJ$11&amp;BJ$12=$BD$11,$BD14,IF(BJ$11&amp;BJ$12=$BE$11,$BE14,IF(BJ$11&amp;BJ$12=$BF$11,$BF14,SUMIFS('Reference Tables'!$F$880:$F$925,'Reference Tables'!$A$880:$A$925,BJ$11,'Reference Tables'!$B$880:$B$925,BJ$12)))))))))</f>
        <v>0</v>
      </c>
      <c r="BK14" s="306">
        <f>IF(BK$11&amp;BK$12=$AY$11,$AY14,IF(BK$11&amp;BK$12=$AZ$11,$AZ14,IF(BK$11&amp;BK$12=$BA$11,$BA14,IF(BK$11&amp;BK$12=$BB$11,$BB14,IF(BK$11&amp;BK$12=$BC$11,$BC14,IF(BK$11&amp;BK$12=$BD$11,$BD14,IF(BK$11&amp;BK$12=$BE$11,$BE14,IF(BK$11&amp;BK$12=$BF$11,$BF14,SUMIFS('Reference Tables'!$F$880:$F$925,'Reference Tables'!$A$880:$A$925,BK$11,'Reference Tables'!$B$880:$B$925,BK$12)))))))))</f>
        <v>0</v>
      </c>
      <c r="BL14" s="306">
        <f>IF(BL$11&amp;BL$12=$AY$11,$AY14,IF(BL$11&amp;BL$12=$AZ$11,$AZ14,IF(BL$11&amp;BL$12=$BA$11,$BA14,IF(BL$11&amp;BL$12=$BB$11,$BB14,IF(BL$11&amp;BL$12=$BC$11,$BC14,IF(BL$11&amp;BL$12=$BD$11,$BD14,IF(BL$11&amp;BL$12=$BE$11,$BE14,IF(BL$11&amp;BL$12=$BF$11,$BF14,SUMIFS('Reference Tables'!$F$880:$F$925,'Reference Tables'!$A$880:$A$925,BL$11,'Reference Tables'!$B$880:$B$925,BL$12)))))))))</f>
        <v>0</v>
      </c>
      <c r="BM14" s="306">
        <f>IF(BM$11&amp;BM$12=$AY$11,$AY14,IF(BM$11&amp;BM$12=$AZ$11,$AZ14,IF(BM$11&amp;BM$12=$BA$11,$BA14,IF(BM$11&amp;BM$12=$BB$11,$BB14,IF(BM$11&amp;BM$12=$BC$11,$BC14,IF(BM$11&amp;BM$12=$BD$11,$BD14,IF(BM$11&amp;BM$12=$BE$11,$BE14,IF(BM$11&amp;BM$12=$BF$11,$BF14,SUMIFS('Reference Tables'!$F$880:$F$925,'Reference Tables'!$A$880:$A$925,BM$11,'Reference Tables'!$B$880:$B$925,BM$12)))))))))</f>
        <v>0</v>
      </c>
      <c r="BN14" s="306">
        <f>IF(BN$11&amp;BN$12=$AY$11,$AY14,IF(BN$11&amp;BN$12=$AZ$11,$AZ14,IF(BN$11&amp;BN$12=$BA$11,$BA14,IF(BN$11&amp;BN$12=$BB$11,$BB14,IF(BN$11&amp;BN$12=$BC$11,$BC14,IF(BN$11&amp;BN$12=$BD$11,$BD14,IF(BN$11&amp;BN$12=$BE$11,$BE14,IF(BN$11&amp;BN$12=$BF$11,$BF14,SUMIFS('Reference Tables'!$F$880:$F$925,'Reference Tables'!$A$880:$A$925,BN$11,'Reference Tables'!$B$880:$B$925,BN$12)))))))))</f>
        <v>0</v>
      </c>
      <c r="BO14" s="306">
        <f>IF(BO$11&amp;BO$12=$AY$11,$AY14,IF(BO$11&amp;BO$12=$AZ$11,$AZ14,IF(BO$11&amp;BO$12=$BA$11,$BA14,IF(BO$11&amp;BO$12=$BB$11,$BB14,IF(BO$11&amp;BO$12=$BC$11,$BC14,IF(BO$11&amp;BO$12=$BD$11,$BD14,IF(BO$11&amp;BO$12=$BE$11,$BE14,IF(BO$11&amp;BO$12=$BF$11,$BF14,SUMIFS('Reference Tables'!$F$880:$F$925,'Reference Tables'!$A$880:$A$925,BO$11,'Reference Tables'!$B$880:$B$925,BO$12)))))))))</f>
        <v>1</v>
      </c>
      <c r="BP14" s="306">
        <f>IF(BP$11&amp;BP$12=$AY$11,$AY14,IF(BP$11&amp;BP$12=$AZ$11,$AZ14,IF(BP$11&amp;BP$12=$BA$11,$BA14,IF(BP$11&amp;BP$12=$BB$11,$BB14,IF(BP$11&amp;BP$12=$BC$11,$BC14,IF(BP$11&amp;BP$12=$BD$11,$BD14,IF(BP$11&amp;BP$12=$BE$11,$BE14,IF(BP$11&amp;BP$12=$BF$11,$BF14,SUMIFS('Reference Tables'!$F$880:$F$925,'Reference Tables'!$A$880:$A$925,BP$11,'Reference Tables'!$B$880:$B$925,BP$12)))))))))</f>
        <v>0</v>
      </c>
      <c r="BQ14" s="306">
        <f>IF(BQ$11&amp;BQ$12=$AY$11,$AY14,IF(BQ$11&amp;BQ$12=$AZ$11,$AZ14,IF(BQ$11&amp;BQ$12=$BA$11,$BA14,IF(BQ$11&amp;BQ$12=$BB$11,$BB14,IF(BQ$11&amp;BQ$12=$BC$11,$BC14,IF(BQ$11&amp;BQ$12=$BD$11,$BD14,IF(BQ$11&amp;BQ$12=$BE$11,$BE14,IF(BQ$11&amp;BQ$12=$BF$11,$BF14,SUMIFS('Reference Tables'!$F$880:$F$925,'Reference Tables'!$A$880:$A$925,BQ$11,'Reference Tables'!$B$880:$B$925,BQ$12)))))))))</f>
        <v>0</v>
      </c>
      <c r="BR14" s="306">
        <f>IF(BR$11&amp;BR$12=$AY$11,$AY14,IF(BR$11&amp;BR$12=$AZ$11,$AZ14,IF(BR$11&amp;BR$12=$BA$11,$BA14,IF(BR$11&amp;BR$12=$BB$11,$BB14,IF(BR$11&amp;BR$12=$BC$11,$BC14,IF(BR$11&amp;BR$12=$BD$11,$BD14,IF(BR$11&amp;BR$12=$BE$11,$BE14,IF(BR$11&amp;BR$12=$BF$11,$BF14,SUMIFS('Reference Tables'!$F$880:$F$925,'Reference Tables'!$A$880:$A$925,BR$11,'Reference Tables'!$B$880:$B$925,BR$12)))))))))</f>
        <v>0</v>
      </c>
      <c r="BS14" s="306">
        <f>IF(BS$11&amp;BS$12=$AY$11,$AY14,IF(BS$11&amp;BS$12=$AZ$11,$AZ14,IF(BS$11&amp;BS$12=$BA$11,$BA14,IF(BS$11&amp;BS$12=$BB$11,$BB14,IF(BS$11&amp;BS$12=$BC$11,$BC14,IF(BS$11&amp;BS$12=$BD$11,$BD14,IF(BS$11&amp;BS$12=$BE$11,$BE14,IF(BS$11&amp;BS$12=$BF$11,$BF14,SUMIFS('Reference Tables'!$F$880:$F$925,'Reference Tables'!$A$880:$A$925,BS$11,'Reference Tables'!$B$880:$B$925,BS$12)))))))))</f>
        <v>0</v>
      </c>
      <c r="BT14" s="306">
        <f>IF(BT$11&amp;BT$12=$AY$11,$AY14,IF(BT$11&amp;BT$12=$AZ$11,$AZ14,IF(BT$11&amp;BT$12=$BA$11,$BA14,IF(BT$11&amp;BT$12=$BB$11,$BB14,IF(BT$11&amp;BT$12=$BC$11,$BC14,IF(BT$11&amp;BT$12=$BD$11,$BD14,IF(BT$11&amp;BT$12=$BE$11,$BE14,IF(BT$11&amp;BT$12=$BF$11,$BF14,SUMIFS('Reference Tables'!$F$880:$F$925,'Reference Tables'!$A$880:$A$925,BT$11,'Reference Tables'!$B$880:$B$925,BT$12)))))))))</f>
        <v>0</v>
      </c>
      <c r="BU14" s="306">
        <f>IF(BU$11&amp;BU$12=$AY$11,$AY14,IF(BU$11&amp;BU$12=$AZ$11,$AZ14,IF(BU$11&amp;BU$12=$BA$11,$BA14,IF(BU$11&amp;BU$12=$BB$11,$BB14,IF(BU$11&amp;BU$12=$BC$11,$BC14,IF(BU$11&amp;BU$12=$BD$11,$BD14,IF(BU$11&amp;BU$12=$BE$11,$BE14,IF(BU$11&amp;BU$12=$BF$11,$BF14,SUMIFS('Reference Tables'!$F$880:$F$925,'Reference Tables'!$A$880:$A$925,BU$11,'Reference Tables'!$B$880:$B$925,BU$12)))))))))</f>
        <v>0</v>
      </c>
      <c r="BV14" s="306">
        <f>IF(BV$11&amp;BV$12=$AY$11,$AY14,IF(BV$11&amp;BV$12=$AZ$11,$AZ14,IF(BV$11&amp;BV$12=$BA$11,$BA14,IF(BV$11&amp;BV$12=$BB$11,$BB14,IF(BV$11&amp;BV$12=$BC$11,$BC14,IF(BV$11&amp;BV$12=$BD$11,$BD14,IF(BV$11&amp;BV$12=$BE$11,$BE14,IF(BV$11&amp;BV$12=$BF$11,$BF14,SUMIFS('Reference Tables'!$F$880:$F$925,'Reference Tables'!$A$880:$A$925,BV$11,'Reference Tables'!$B$880:$B$925,BV$12)))))))))</f>
        <v>0</v>
      </c>
      <c r="BW14" s="306">
        <f>IF(BW$11&amp;BW$12=$AY$11,$AY14,IF(BW$11&amp;BW$12=$AZ$11,$AZ14,IF(BW$11&amp;BW$12=$BA$11,$BA14,IF(BW$11&amp;BW$12=$BB$11,$BB14,IF(BW$11&amp;BW$12=$BC$11,$BC14,IF(BW$11&amp;BW$12=$BD$11,$BD14,IF(BW$11&amp;BW$12=$BE$11,$BE14,IF(BW$11&amp;BW$12=$BF$11,$BF14,SUMIFS('Reference Tables'!$F$880:$F$925,'Reference Tables'!$A$880:$A$925,BW$11,'Reference Tables'!$B$880:$B$925,BW$12)))))))))</f>
        <v>0</v>
      </c>
      <c r="BX14" s="306">
        <f>IF(BX$11&amp;BX$12=$AY$11,$AY14,IF(BX$11&amp;BX$12=$AZ$11,$AZ14,IF(BX$11&amp;BX$12=$BA$11,$BA14,IF(BX$11&amp;BX$12=$BB$11,$BB14,IF(BX$11&amp;BX$12=$BC$11,$BC14,IF(BX$11&amp;BX$12=$BD$11,$BD14,IF(BX$11&amp;BX$12=$BE$11,$BE14,IF(BX$11&amp;BX$12=$BF$11,$BF14,SUMIFS('Reference Tables'!$F$880:$F$925,'Reference Tables'!$A$880:$A$925,BX$11,'Reference Tables'!$B$880:$B$925,BX$12)))))))))</f>
        <v>0</v>
      </c>
      <c r="BY14" s="306">
        <f>IF(BY$11&amp;BY$12=$AY$11,$AY14,IF(BY$11&amp;BY$12=$AZ$11,$AZ14,IF(BY$11&amp;BY$12=$BA$11,$BA14,IF(BY$11&amp;BY$12=$BB$11,$BB14,IF(BY$11&amp;BY$12=$BC$11,$BC14,IF(BY$11&amp;BY$12=$BD$11,$BD14,IF(BY$11&amp;BY$12=$BE$11,$BE14,IF(BY$11&amp;BY$12=$BF$11,$BF14,SUMIFS('Reference Tables'!$F$880:$F$925,'Reference Tables'!$A$880:$A$925,BY$11,'Reference Tables'!$B$880:$B$925,BY$12)))))))))</f>
        <v>0</v>
      </c>
      <c r="BZ14" s="306">
        <f>IF(BZ$11&amp;BZ$12=$AY$11,$AY14,IF(BZ$11&amp;BZ$12=$AZ$11,$AZ14,IF(BZ$11&amp;BZ$12=$BA$11,$BA14,IF(BZ$11&amp;BZ$12=$BB$11,$BB14,IF(BZ$11&amp;BZ$12=$BC$11,$BC14,IF(BZ$11&amp;BZ$12=$BD$11,$BD14,IF(BZ$11&amp;BZ$12=$BE$11,$BE14,IF(BZ$11&amp;BZ$12=$BF$11,$BF14,SUMIFS('Reference Tables'!$F$880:$F$925,'Reference Tables'!$A$880:$A$925,BZ$11,'Reference Tables'!$B$880:$B$925,BZ$12)))))))))</f>
        <v>0</v>
      </c>
      <c r="CA14" s="306">
        <f>IF(CA$11&amp;CA$12=$AY$11,$AY14,IF(CA$11&amp;CA$12=$AZ$11,$AZ14,IF(CA$11&amp;CA$12=$BA$11,$BA14,IF(CA$11&amp;CA$12=$BB$11,$BB14,IF(CA$11&amp;CA$12=$BC$11,$BC14,IF(CA$11&amp;CA$12=$BD$11,$BD14,IF(CA$11&amp;CA$12=$BE$11,$BE14,IF(CA$11&amp;CA$12=$BF$11,$BF14,SUMIFS('Reference Tables'!$F$880:$F$925,'Reference Tables'!$A$880:$A$925,CA$11,'Reference Tables'!$B$880:$B$925,CA$12)))))))))</f>
        <v>1</v>
      </c>
      <c r="CB14" s="306">
        <f>IF(CB$11&amp;CB$12=$AY$11,$AY14,IF(CB$11&amp;CB$12=$AZ$11,$AZ14,IF(CB$11&amp;CB$12=$BA$11,$BA14,IF(CB$11&amp;CB$12=$BB$11,$BB14,IF(CB$11&amp;CB$12=$BC$11,$BC14,IF(CB$11&amp;CB$12=$BD$11,$BD14,IF(CB$11&amp;CB$12=$BE$11,$BE14,IF(CB$11&amp;CB$12=$BF$11,$BF14,SUMIFS('Reference Tables'!$F$880:$F$925,'Reference Tables'!$A$880:$A$925,CB$11,'Reference Tables'!$B$880:$B$925,CB$12)))))))))</f>
        <v>0</v>
      </c>
      <c r="CC14" s="306">
        <f>IF(CC$11&amp;CC$12=$AY$11,$AY14,IF(CC$11&amp;CC$12=$AZ$11,$AZ14,IF(CC$11&amp;CC$12=$BA$11,$BA14,IF(CC$11&amp;CC$12=$BB$11,$BB14,IF(CC$11&amp;CC$12=$BC$11,$BC14,IF(CC$11&amp;CC$12=$BD$11,$BD14,IF(CC$11&amp;CC$12=$BE$11,$BE14,IF(CC$11&amp;CC$12=$BF$11,$BF14,SUMIFS('Reference Tables'!$F$880:$F$925,'Reference Tables'!$A$880:$A$925,CC$11,'Reference Tables'!$B$880:$B$925,CC$12)))))))))</f>
        <v>0</v>
      </c>
      <c r="CD14" s="306">
        <f>IF(CD$11&amp;CD$12=$AY$11,$AY14,IF(CD$11&amp;CD$12=$AZ$11,$AZ14,IF(CD$11&amp;CD$12=$BA$11,$BA14,IF(CD$11&amp;CD$12=$BB$11,$BB14,IF(CD$11&amp;CD$12=$BC$11,$BC14,IF(CD$11&amp;CD$12=$BD$11,$BD14,IF(CD$11&amp;CD$12=$BE$11,$BE14,IF(CD$11&amp;CD$12=$BF$11,$BF14,SUMIFS('Reference Tables'!$F$880:$F$925,'Reference Tables'!$A$880:$A$925,CD$11,'Reference Tables'!$B$880:$B$925,CD$12)))))))))</f>
        <v>1</v>
      </c>
      <c r="CE14" s="306">
        <f>IF(CE$11&amp;CE$12=$AY$11,$AY14,IF(CE$11&amp;CE$12=$AZ$11,$AZ14,IF(CE$11&amp;CE$12=$BA$11,$BA14,IF(CE$11&amp;CE$12=$BB$11,$BB14,IF(CE$11&amp;CE$12=$BC$11,$BC14,IF(CE$11&amp;CE$12=$BD$11,$BD14,IF(CE$11&amp;CE$12=$BE$11,$BE14,IF(CE$11&amp;CE$12=$BF$11,$BF14,SUMIFS('Reference Tables'!$F$880:$F$925,'Reference Tables'!$A$880:$A$925,CE$11,'Reference Tables'!$B$880:$B$925,CE$12)))))))))</f>
        <v>0</v>
      </c>
      <c r="CF14" s="306">
        <f>IF(CF$11&amp;CF$12=$AY$11,$AY14,IF(CF$11&amp;CF$12=$AZ$11,$AZ14,IF(CF$11&amp;CF$12=$BA$11,$BA14,IF(CF$11&amp;CF$12=$BB$11,$BB14,IF(CF$11&amp;CF$12=$BC$11,$BC14,IF(CF$11&amp;CF$12=$BD$11,$BD14,IF(CF$11&amp;CF$12=$BE$11,$BE14,IF(CF$11&amp;CF$12=$BF$11,$BF14,SUMIFS('Reference Tables'!$F$880:$F$925,'Reference Tables'!$A$880:$A$925,CF$11,'Reference Tables'!$B$880:$B$925,CF$12)))))))))</f>
        <v>0</v>
      </c>
      <c r="CG14" s="306">
        <f>IF(CG$11&amp;CG$12=$AY$11,$AY14,IF(CG$11&amp;CG$12=$AZ$11,$AZ14,IF(CG$11&amp;CG$12=$BA$11,$BA14,IF(CG$11&amp;CG$12=$BB$11,$BB14,IF(CG$11&amp;CG$12=$BC$11,$BC14,IF(CG$11&amp;CG$12=$BD$11,$BD14,IF(CG$11&amp;CG$12=$BE$11,$BE14,IF(CG$11&amp;CG$12=$BF$11,$BF14,SUMIFS('Reference Tables'!$F$880:$F$925,'Reference Tables'!$A$880:$A$925,CG$11,'Reference Tables'!$B$880:$B$925,CG$12)))))))))</f>
        <v>0</v>
      </c>
      <c r="CH14" s="306">
        <f>IF(CH$11&amp;CH$12=$AY$11,$AY14,IF(CH$11&amp;CH$12=$AZ$11,$AZ14,IF(CH$11&amp;CH$12=$BA$11,$BA14,IF(CH$11&amp;CH$12=$BB$11,$BB14,IF(CH$11&amp;CH$12=$BC$11,$BC14,IF(CH$11&amp;CH$12=$BD$11,$BD14,IF(CH$11&amp;CH$12=$BE$11,$BE14,IF(CH$11&amp;CH$12=$BF$11,$BF14,SUMIFS('Reference Tables'!$F$880:$F$925,'Reference Tables'!$A$880:$A$925,CH$11,'Reference Tables'!$B$880:$B$925,CH$12)))))))))</f>
        <v>0</v>
      </c>
      <c r="CI14" s="306">
        <f>IF(CI$11&amp;CI$12=$AY$11,$AY14,IF(CI$11&amp;CI$12=$AZ$11,$AZ14,IF(CI$11&amp;CI$12=$BA$11,$BA14,IF(CI$11&amp;CI$12=$BB$11,$BB14,IF(CI$11&amp;CI$12=$BC$11,$BC14,IF(CI$11&amp;CI$12=$BD$11,$BD14,IF(CI$11&amp;CI$12=$BE$11,$BE14,IF(CI$11&amp;CI$12=$BF$11,$BF14,SUMIFS('Reference Tables'!$F$880:$F$925,'Reference Tables'!$A$880:$A$925,CI$11,'Reference Tables'!$B$880:$B$925,CI$12)))))))))</f>
        <v>0</v>
      </c>
      <c r="CJ14" s="306">
        <f>IF(CJ$11&amp;CJ$12=$AY$11,$AY14,IF(CJ$11&amp;CJ$12=$AZ$11,$AZ14,IF(CJ$11&amp;CJ$12=$BA$11,$BA14,IF(CJ$11&amp;CJ$12=$BB$11,$BB14,IF(CJ$11&amp;CJ$12=$BC$11,$BC14,IF(CJ$11&amp;CJ$12=$BD$11,$BD14,IF(CJ$11&amp;CJ$12=$BE$11,$BE14,IF(CJ$11&amp;CJ$12=$BF$11,$BF14,SUMIFS('Reference Tables'!$F$880:$F$925,'Reference Tables'!$A$880:$A$925,CJ$11,'Reference Tables'!$B$880:$B$925,CJ$12)))))))))</f>
        <v>0</v>
      </c>
      <c r="CK14" s="306">
        <f>IF(CK$11&amp;CK$12=$AY$11,$AY14,IF(CK$11&amp;CK$12=$AZ$11,$AZ14,IF(CK$11&amp;CK$12=$BA$11,$BA14,IF(CK$11&amp;CK$12=$BB$11,$BB14,IF(CK$11&amp;CK$12=$BC$11,$BC14,IF(CK$11&amp;CK$12=$BD$11,$BD14,IF(CK$11&amp;CK$12=$BE$11,$BE14,IF(CK$11&amp;CK$12=$BF$11,$BF14,SUMIFS('Reference Tables'!$F$880:$F$925,'Reference Tables'!$A$880:$A$925,CK$11,'Reference Tables'!$B$880:$B$925,CK$12)))))))))</f>
        <v>0</v>
      </c>
      <c r="CL14" s="306">
        <f>IF(CL$11&amp;CL$12=$AY$11,$AY14,IF(CL$11&amp;CL$12=$AZ$11,$AZ14,IF(CL$11&amp;CL$12=$BA$11,$BA14,IF(CL$11&amp;CL$12=$BB$11,$BB14,IF(CL$11&amp;CL$12=$BC$11,$BC14,IF(CL$11&amp;CL$12=$BD$11,$BD14,IF(CL$11&amp;CL$12=$BE$11,$BE14,IF(CL$11&amp;CL$12=$BF$11,$BF14,SUMIFS('Reference Tables'!$F$880:$F$925,'Reference Tables'!$A$880:$A$925,CL$11,'Reference Tables'!$B$880:$B$925,CL$12)))))))))</f>
        <v>0</v>
      </c>
      <c r="CM14" s="306">
        <f>IF(CM$11&amp;CM$12=$AY$11,$AY14,IF(CM$11&amp;CM$12=$AZ$11,$AZ14,IF(CM$11&amp;CM$12=$BA$11,$BA14,IF(CM$11&amp;CM$12=$BB$11,$BB14,IF(CM$11&amp;CM$12=$BC$11,$BC14,IF(CM$11&amp;CM$12=$BD$11,$BD14,IF(CM$11&amp;CM$12=$BE$11,$BE14,IF(CM$11&amp;CM$12=$BF$11,$BF14,SUMIFS('Reference Tables'!$F$880:$F$925,'Reference Tables'!$A$880:$A$925,CM$11,'Reference Tables'!$B$880:$B$925,CM$12)))))))))</f>
        <v>0</v>
      </c>
      <c r="CN14" s="306">
        <f>IF(CN$11&amp;CN$12=$AY$11,$AY14,IF(CN$11&amp;CN$12=$AZ$11,$AZ14,IF(CN$11&amp;CN$12=$BA$11,$BA14,IF(CN$11&amp;CN$12=$BB$11,$BB14,IF(CN$11&amp;CN$12=$BC$11,$BC14,IF(CN$11&amp;CN$12=$BD$11,$BD14,IF(CN$11&amp;CN$12=$BE$11,$BE14,IF(CN$11&amp;CN$12=$BF$11,$BF14,SUMIFS('Reference Tables'!$F$880:$F$925,'Reference Tables'!$A$880:$A$925,CN$11,'Reference Tables'!$B$880:$B$925,CN$12)))))))))</f>
        <v>0</v>
      </c>
      <c r="CO14" s="306">
        <f>IF(CO$11&amp;CO$12=$AY$11,$AY14,IF(CO$11&amp;CO$12=$AZ$11,$AZ14,IF(CO$11&amp;CO$12=$BA$11,$BA14,IF(CO$11&amp;CO$12=$BB$11,$BB14,IF(CO$11&amp;CO$12=$BC$11,$BC14,IF(CO$11&amp;CO$12=$BD$11,$BD14,IF(CO$11&amp;CO$12=$BE$11,$BE14,IF(CO$11&amp;CO$12=$BF$11,$BF14,SUMIFS('Reference Tables'!$F$880:$F$925,'Reference Tables'!$A$880:$A$925,CO$11,'Reference Tables'!$B$880:$B$925,CO$12)))))))))</f>
        <v>0</v>
      </c>
      <c r="CP14" s="306">
        <f>IF(CP$11&amp;CP$12=$AY$11,$AY14,IF(CP$11&amp;CP$12=$AZ$11,$AZ14,IF(CP$11&amp;CP$12=$BA$11,$BA14,IF(CP$11&amp;CP$12=$BB$11,$BB14,IF(CP$11&amp;CP$12=$BC$11,$BC14,IF(CP$11&amp;CP$12=$BD$11,$BD14,IF(CP$11&amp;CP$12=$BE$11,$BE14,IF(CP$11&amp;CP$12=$BF$11,$BF14,SUMIFS('Reference Tables'!$F$880:$F$925,'Reference Tables'!$A$880:$A$925,CP$11,'Reference Tables'!$B$880:$B$925,CP$12)))))))))</f>
        <v>0</v>
      </c>
      <c r="CQ14" s="306">
        <f>IF(CQ$11&amp;CQ$12=$AY$11,$AY14,IF(CQ$11&amp;CQ$12=$AZ$11,$AZ14,IF(CQ$11&amp;CQ$12=$BA$11,$BA14,IF(CQ$11&amp;CQ$12=$BB$11,$BB14,IF(CQ$11&amp;CQ$12=$BC$11,$BC14,IF(CQ$11&amp;CQ$12=$BD$11,$BD14,IF(CQ$11&amp;CQ$12=$BE$11,$BE14,IF(CQ$11&amp;CQ$12=$BF$11,$BF14,SUMIFS('Reference Tables'!$F$880:$F$925,'Reference Tables'!$A$880:$A$925,CQ$11,'Reference Tables'!$B$880:$B$925,CQ$12)))))))))</f>
        <v>0</v>
      </c>
      <c r="CR14" s="306">
        <f>IF(CR$11&amp;CR$12=$AY$11,$AY14,IF(CR$11&amp;CR$12=$AZ$11,$AZ14,IF(CR$11&amp;CR$12=$BA$11,$BA14,IF(CR$11&amp;CR$12=$BB$11,$BB14,IF(CR$11&amp;CR$12=$BC$11,$BC14,IF(CR$11&amp;CR$12=$BD$11,$BD14,IF(CR$11&amp;CR$12=$BE$11,$BE14,IF(CR$11&amp;CR$12=$BF$11,$BF14,SUMIFS('Reference Tables'!$F$880:$F$925,'Reference Tables'!$A$880:$A$925,CR$11,'Reference Tables'!$B$880:$B$925,CR$12)))))))))</f>
        <v>0</v>
      </c>
      <c r="CS14" s="306">
        <f>IF(CS$11&amp;CS$12=$AY$11,$AY14,IF(CS$11&amp;CS$12=$AZ$11,$AZ14,IF(CS$11&amp;CS$12=$BA$11,$BA14,IF(CS$11&amp;CS$12=$BB$11,$BB14,IF(CS$11&amp;CS$12=$BC$11,$BC14,IF(CS$11&amp;CS$12=$BD$11,$BD14,IF(CS$11&amp;CS$12=$BE$11,$BE14,IF(CS$11&amp;CS$12=$BF$11,$BF14,SUMIFS('Reference Tables'!$F$880:$F$925,'Reference Tables'!$A$880:$A$925,CS$11,'Reference Tables'!$B$880:$B$925,CS$12)))))))))</f>
        <v>0</v>
      </c>
      <c r="CT14" s="306">
        <f>IF(CT$11&amp;CT$12=$AY$11,$AY14,IF(CT$11&amp;CT$12=$AZ$11,$AZ14,IF(CT$11&amp;CT$12=$BA$11,$BA14,IF(CT$11&amp;CT$12=$BB$11,$BB14,IF(CT$11&amp;CT$12=$BC$11,$BC14,IF(CT$11&amp;CT$12=$BD$11,$BD14,IF(CT$11&amp;CT$12=$BE$11,$BE14,IF(CT$11&amp;CT$12=$BF$11,$BF14,SUMIFS('Reference Tables'!$F$880:$F$925,'Reference Tables'!$A$880:$A$925,CT$11,'Reference Tables'!$B$880:$B$925,CT$12)))))))))</f>
        <v>0</v>
      </c>
      <c r="CU14" s="306">
        <f>IF(CU$11&amp;CU$12=$AY$11,$AY14,IF(CU$11&amp;CU$12=$AZ$11,$AZ14,IF(CU$11&amp;CU$12=$BA$11,$BA14,IF(CU$11&amp;CU$12=$BB$11,$BB14,IF(CU$11&amp;CU$12=$BC$11,$BC14,IF(CU$11&amp;CU$12=$BD$11,$BD14,IF(CU$11&amp;CU$12=$BE$11,$BE14,IF(CU$11&amp;CU$12=$BF$11,$BF14,SUMIFS('Reference Tables'!$F$880:$F$925,'Reference Tables'!$A$880:$A$925,CU$11,'Reference Tables'!$B$880:$B$925,CU$12)))))))))</f>
        <v>0</v>
      </c>
      <c r="CV14" s="306">
        <f>IF(CV$11&amp;CV$12=$AY$11,$AY14,IF(CV$11&amp;CV$12=$AZ$11,$AZ14,IF(CV$11&amp;CV$12=$BA$11,$BA14,IF(CV$11&amp;CV$12=$BB$11,$BB14,IF(CV$11&amp;CV$12=$BC$11,$BC14,IF(CV$11&amp;CV$12=$BD$11,$BD14,IF(CV$11&amp;CV$12=$BE$11,$BE14,IF(CV$11&amp;CV$12=$BF$11,$BF14,SUMIFS('Reference Tables'!$F$880:$F$925,'Reference Tables'!$A$880:$A$925,CV$11,'Reference Tables'!$B$880:$B$925,CV$12)))))))))</f>
        <v>1</v>
      </c>
      <c r="CW14" s="306">
        <f>IF(CW$11&amp;CW$12=$AY$11,$AY14,IF(CW$11&amp;CW$12=$AZ$11,$AZ14,IF(CW$11&amp;CW$12=$BA$11,$BA14,IF(CW$11&amp;CW$12=$BB$11,$BB14,IF(CW$11&amp;CW$12=$BC$11,$BC14,IF(CW$11&amp;CW$12=$BD$11,$BD14,IF(CW$11&amp;CW$12=$BE$11,$BE14,IF(CW$11&amp;CW$12=$BF$11,$BF14,SUMIFS('Reference Tables'!$F$880:$F$925,'Reference Tables'!$A$880:$A$925,CW$11,'Reference Tables'!$B$880:$B$925,CW$12)))))))))</f>
        <v>1</v>
      </c>
      <c r="CX14" s="306">
        <f>IF(CX$11&amp;CX$12=$AY$11,$AY14,IF(CX$11&amp;CX$12=$AZ$11,$AZ14,IF(CX$11&amp;CX$12=$BA$11,$BA14,IF(CX$11&amp;CX$12=$BB$11,$BB14,IF(CX$11&amp;CX$12=$BC$11,$BC14,IF(CX$11&amp;CX$12=$BD$11,$BD14,IF(CX$11&amp;CX$12=$BE$11,$BE14,IF(CX$11&amp;CX$12=$BF$11,$BF14,SUMIFS('Reference Tables'!$F$880:$F$925,'Reference Tables'!$A$880:$A$925,CX$11,'Reference Tables'!$B$880:$B$925,CX$12)))))))))</f>
        <v>0</v>
      </c>
    </row>
    <row r="15" spans="1:116" s="250" customFormat="1" ht="18.75" customHeight="1">
      <c r="A15" s="303"/>
      <c r="B15" s="303"/>
      <c r="C15" s="307"/>
      <c r="D15" s="307"/>
      <c r="E15" s="307"/>
      <c r="F15" s="307"/>
      <c r="G15" s="307"/>
      <c r="H15" s="307"/>
      <c r="I15" s="307"/>
      <c r="J15" s="307"/>
      <c r="K15" s="307"/>
      <c r="L15" s="307"/>
      <c r="M15" s="307"/>
      <c r="N15" s="307"/>
      <c r="O15" s="307"/>
      <c r="P15" s="307"/>
      <c r="Q15" s="307"/>
      <c r="R15" s="307"/>
      <c r="S15" s="307"/>
      <c r="T15" s="307"/>
      <c r="U15" s="307"/>
      <c r="V15" s="307"/>
      <c r="W15" s="307"/>
      <c r="X15" s="307"/>
      <c r="Y15" s="307"/>
      <c r="Z15" s="307"/>
      <c r="AA15" s="307"/>
      <c r="AB15" s="307"/>
      <c r="AC15" s="307"/>
      <c r="AD15" s="307"/>
      <c r="AE15" s="307"/>
      <c r="AF15" s="307"/>
      <c r="AG15" s="307"/>
      <c r="AH15" s="307"/>
      <c r="AI15" s="307"/>
      <c r="AJ15" s="307"/>
      <c r="AK15" s="307"/>
      <c r="AL15" s="307"/>
      <c r="AM15" s="307"/>
      <c r="AN15" s="307"/>
      <c r="AO15" s="307"/>
      <c r="AP15" s="307"/>
      <c r="AQ15" s="307"/>
      <c r="AR15" s="307"/>
      <c r="AS15" s="307"/>
      <c r="AT15" s="307"/>
      <c r="AU15" s="180" t="str">
        <f>IF($A15="","",INDEX('Tank Data'!$1:$1048576,MATCH($A15,'Tank Data'!$A:$A,0),MATCH(AU$10,'Tank Data'!$9:$9,0)))</f>
        <v/>
      </c>
      <c r="AV15" s="180" t="str">
        <f>IF($A15="","",INDEX('Tank Data'!$1:$1048576,MATCH($A15,'Tank Data'!$A:$A,0),MATCH($AV$10,'Tank Data'!$9:$9,0)))</f>
        <v/>
      </c>
      <c r="AW15" s="305" t="str">
        <f>IF(OR($AV15="EFR",$AV15="DEFR"),INDEX('Tank Data'!$1:$1048576,MATCH($A15,'Tank Data'!$A:$A,0),MATCH($AW$10,'Tank Data'!$9:$9,0)),"")</f>
        <v/>
      </c>
      <c r="AX15" s="305" t="str">
        <f>IF($A15="","",INDEX('Tank Data'!$1:$1048576,MATCH($A15,'Tank Data'!$A:$A,0),MATCH($AX$10,'Tank Data'!$9:$9,0)))</f>
        <v/>
      </c>
      <c r="AY15" s="304">
        <f>IF($AV15="IFR",IF($AU15&gt;'Reference Tables'!$B$876,'Reference Tables'!$C$876,SUMPRODUCT(('Reference Tables'!$C$862:$C$876)*('Reference Tables'!$A$862:$A$876&lt;$AU15)*('Reference Tables'!$B$862:$B$876&gt;=$AU15))),0)</f>
        <v>0</v>
      </c>
      <c r="AZ15" s="304">
        <f>IF($AV15="IFR",1,IF(OR($AV15="EFR",$AV15="DEFR"),INDEX('Reference Tables'!$A$930:$C$938,MATCH(IF($AU15&lt;'Reference Tables'!$A$931,'Reference Tables'!$A$931,IF($AU15&gt;'Reference Tables'!$A$938,'Reference Tables'!$A$938,ROUND($AU15/50,0)*50)),'Reference Tables'!$A$930:$A$938,0),MATCH($AW15,'Reference Tables'!$A$930:$C$930,0)),0))</f>
        <v>0</v>
      </c>
      <c r="BA15" s="304">
        <f>IF(OR($AV15="EFR",$AV15="DEFR"),INDEX('Reference Tables'!$A$930:$D$938,MATCH(IF($AU15&lt;='Reference Tables'!$A$931,'Reference Tables'!$A$931,IF($AU15&gt;'Reference Tables'!$A$936,'Reference Tables'!$A$936,ROUND($AU15/50,0)*50)),'Reference Tables'!$A$930:$A$938,0),COLUMN('Reference Tables'!$D$930)),0)</f>
        <v>0</v>
      </c>
      <c r="BB15" s="304">
        <f>IF(AND(OR($AV15="EFR",$AV15="DEFR"),$AW15="Pontoon Roof"),INDEX('Reference Tables'!$A$943:$D$980,MATCH(IF($AU15&lt;'Reference Tables'!$A$943,'Reference Tables'!$A$943,IF($AU15&gt;'Reference Tables'!$A$980,'Reference Tables'!$A$980,ROUND($AU15,1))),'Reference Tables'!$A$943:$A$980,0),COLUMN('Reference Tables'!$B$942)),0)</f>
        <v>0</v>
      </c>
      <c r="BC15" s="304">
        <f>IF(AND(OR($AV15="EFR",$AV15="DEFR"),$AW15="Pontoon Roof"),INDEX('Reference Tables'!$A$943:$D$980,MATCH(IF($AU15&lt;'Reference Tables'!$A$943,'Reference Tables'!$A$943,IF($AU15&gt;'Reference Tables'!$A$980,'Reference Tables'!$A$980,ROUND($AU15,1))),'Reference Tables'!$A$943:$A$980,0),COLUMN('Reference Tables'!$C$942)),0)</f>
        <v>0</v>
      </c>
      <c r="BD15" s="304">
        <f>IF(AND(OR($AV15="EFR",$AV15="DEFR"),$AW15="Double-Deck Roof"),INDEX('Reference Tables'!$A$943:$D$980,MATCH(IF($AU15&lt;'Reference Tables'!$A$943,'Reference Tables'!$A$943,IF($AU15&gt;'Reference Tables'!$A$980,'Reference Tables'!$A$980,ROUND($AU15,1))),'Reference Tables'!$A$943:$A$980,0),COLUMN('Reference Tables'!$D$942)),0)</f>
        <v>0</v>
      </c>
      <c r="BE15" s="306">
        <f t="shared" si="0"/>
        <v>0</v>
      </c>
      <c r="BF15" s="304">
        <f t="shared" si="1"/>
        <v>0</v>
      </c>
      <c r="BG15" s="306">
        <f>IF(BG$11&amp;BG$12=$AY$11,$AY15,IF(BG$11&amp;BG$12=$AZ$11,$AZ15,IF(BG$11&amp;BG$12=$BA$11,$BA15,IF(BG$11&amp;BG$12=$BB$11,$BB15,IF(BG$11&amp;BG$12=$BC$11,$BC15,IF(BG$11&amp;BG$12=$BD$11,$BD15,IF(BG$11&amp;BG$12=$BE$11,$BE15,IF(BG$11&amp;BG$12=$BF$11,$BF15,SUMIFS('Reference Tables'!$F$880:$F$925,'Reference Tables'!$A$880:$A$925,BG$11,'Reference Tables'!$B$880:$B$925,BG$12)))))))))</f>
        <v>1</v>
      </c>
      <c r="BH15" s="306">
        <f>IF(BH$11&amp;BH$12=$AY$11,$AY15,IF(BH$11&amp;BH$12=$AZ$11,$AZ15,IF(BH$11&amp;BH$12=$BA$11,$BA15,IF(BH$11&amp;BH$12=$BB$11,$BB15,IF(BH$11&amp;BH$12=$BC$11,$BC15,IF(BH$11&amp;BH$12=$BD$11,$BD15,IF(BH$11&amp;BH$12=$BE$11,$BE15,IF(BH$11&amp;BH$12=$BF$11,$BF15,SUMIFS('Reference Tables'!$F$880:$F$925,'Reference Tables'!$A$880:$A$925,BH$11,'Reference Tables'!$B$880:$B$925,BH$12)))))))))</f>
        <v>0</v>
      </c>
      <c r="BI15" s="306">
        <f>IF(BI$11&amp;BI$12=$AY$11,$AY15,IF(BI$11&amp;BI$12=$AZ$11,$AZ15,IF(BI$11&amp;BI$12=$BA$11,$BA15,IF(BI$11&amp;BI$12=$BB$11,$BB15,IF(BI$11&amp;BI$12=$BC$11,$BC15,IF(BI$11&amp;BI$12=$BD$11,$BD15,IF(BI$11&amp;BI$12=$BE$11,$BE15,IF(BI$11&amp;BI$12=$BF$11,$BF15,SUMIFS('Reference Tables'!$F$880:$F$925,'Reference Tables'!$A$880:$A$925,BI$11,'Reference Tables'!$B$880:$B$925,BI$12)))))))))</f>
        <v>0</v>
      </c>
      <c r="BJ15" s="306">
        <f>IF(BJ$11&amp;BJ$12=$AY$11,$AY15,IF(BJ$11&amp;BJ$12=$AZ$11,$AZ15,IF(BJ$11&amp;BJ$12=$BA$11,$BA15,IF(BJ$11&amp;BJ$12=$BB$11,$BB15,IF(BJ$11&amp;BJ$12=$BC$11,$BC15,IF(BJ$11&amp;BJ$12=$BD$11,$BD15,IF(BJ$11&amp;BJ$12=$BE$11,$BE15,IF(BJ$11&amp;BJ$12=$BF$11,$BF15,SUMIFS('Reference Tables'!$F$880:$F$925,'Reference Tables'!$A$880:$A$925,BJ$11,'Reference Tables'!$B$880:$B$925,BJ$12)))))))))</f>
        <v>0</v>
      </c>
      <c r="BK15" s="306">
        <f>IF(BK$11&amp;BK$12=$AY$11,$AY15,IF(BK$11&amp;BK$12=$AZ$11,$AZ15,IF(BK$11&amp;BK$12=$BA$11,$BA15,IF(BK$11&amp;BK$12=$BB$11,$BB15,IF(BK$11&amp;BK$12=$BC$11,$BC15,IF(BK$11&amp;BK$12=$BD$11,$BD15,IF(BK$11&amp;BK$12=$BE$11,$BE15,IF(BK$11&amp;BK$12=$BF$11,$BF15,SUMIFS('Reference Tables'!$F$880:$F$925,'Reference Tables'!$A$880:$A$925,BK$11,'Reference Tables'!$B$880:$B$925,BK$12)))))))))</f>
        <v>0</v>
      </c>
      <c r="BL15" s="306">
        <f>IF(BL$11&amp;BL$12=$AY$11,$AY15,IF(BL$11&amp;BL$12=$AZ$11,$AZ15,IF(BL$11&amp;BL$12=$BA$11,$BA15,IF(BL$11&amp;BL$12=$BB$11,$BB15,IF(BL$11&amp;BL$12=$BC$11,$BC15,IF(BL$11&amp;BL$12=$BD$11,$BD15,IF(BL$11&amp;BL$12=$BE$11,$BE15,IF(BL$11&amp;BL$12=$BF$11,$BF15,SUMIFS('Reference Tables'!$F$880:$F$925,'Reference Tables'!$A$880:$A$925,BL$11,'Reference Tables'!$B$880:$B$925,BL$12)))))))))</f>
        <v>0</v>
      </c>
      <c r="BM15" s="306">
        <f>IF(BM$11&amp;BM$12=$AY$11,$AY15,IF(BM$11&amp;BM$12=$AZ$11,$AZ15,IF(BM$11&amp;BM$12=$BA$11,$BA15,IF(BM$11&amp;BM$12=$BB$11,$BB15,IF(BM$11&amp;BM$12=$BC$11,$BC15,IF(BM$11&amp;BM$12=$BD$11,$BD15,IF(BM$11&amp;BM$12=$BE$11,$BE15,IF(BM$11&amp;BM$12=$BF$11,$BF15,SUMIFS('Reference Tables'!$F$880:$F$925,'Reference Tables'!$A$880:$A$925,BM$11,'Reference Tables'!$B$880:$B$925,BM$12)))))))))</f>
        <v>0</v>
      </c>
      <c r="BN15" s="306">
        <f>IF(BN$11&amp;BN$12=$AY$11,$AY15,IF(BN$11&amp;BN$12=$AZ$11,$AZ15,IF(BN$11&amp;BN$12=$BA$11,$BA15,IF(BN$11&amp;BN$12=$BB$11,$BB15,IF(BN$11&amp;BN$12=$BC$11,$BC15,IF(BN$11&amp;BN$12=$BD$11,$BD15,IF(BN$11&amp;BN$12=$BE$11,$BE15,IF(BN$11&amp;BN$12=$BF$11,$BF15,SUMIFS('Reference Tables'!$F$880:$F$925,'Reference Tables'!$A$880:$A$925,BN$11,'Reference Tables'!$B$880:$B$925,BN$12)))))))))</f>
        <v>0</v>
      </c>
      <c r="BO15" s="306">
        <f>IF(BO$11&amp;BO$12=$AY$11,$AY15,IF(BO$11&amp;BO$12=$AZ$11,$AZ15,IF(BO$11&amp;BO$12=$BA$11,$BA15,IF(BO$11&amp;BO$12=$BB$11,$BB15,IF(BO$11&amp;BO$12=$BC$11,$BC15,IF(BO$11&amp;BO$12=$BD$11,$BD15,IF(BO$11&amp;BO$12=$BE$11,$BE15,IF(BO$11&amp;BO$12=$BF$11,$BF15,SUMIFS('Reference Tables'!$F$880:$F$925,'Reference Tables'!$A$880:$A$925,BO$11,'Reference Tables'!$B$880:$B$925,BO$12)))))))))</f>
        <v>1</v>
      </c>
      <c r="BP15" s="306">
        <f>IF(BP$11&amp;BP$12=$AY$11,$AY15,IF(BP$11&amp;BP$12=$AZ$11,$AZ15,IF(BP$11&amp;BP$12=$BA$11,$BA15,IF(BP$11&amp;BP$12=$BB$11,$BB15,IF(BP$11&amp;BP$12=$BC$11,$BC15,IF(BP$11&amp;BP$12=$BD$11,$BD15,IF(BP$11&amp;BP$12=$BE$11,$BE15,IF(BP$11&amp;BP$12=$BF$11,$BF15,SUMIFS('Reference Tables'!$F$880:$F$925,'Reference Tables'!$A$880:$A$925,BP$11,'Reference Tables'!$B$880:$B$925,BP$12)))))))))</f>
        <v>0</v>
      </c>
      <c r="BQ15" s="306">
        <f>IF(BQ$11&amp;BQ$12=$AY$11,$AY15,IF(BQ$11&amp;BQ$12=$AZ$11,$AZ15,IF(BQ$11&amp;BQ$12=$BA$11,$BA15,IF(BQ$11&amp;BQ$12=$BB$11,$BB15,IF(BQ$11&amp;BQ$12=$BC$11,$BC15,IF(BQ$11&amp;BQ$12=$BD$11,$BD15,IF(BQ$11&amp;BQ$12=$BE$11,$BE15,IF(BQ$11&amp;BQ$12=$BF$11,$BF15,SUMIFS('Reference Tables'!$F$880:$F$925,'Reference Tables'!$A$880:$A$925,BQ$11,'Reference Tables'!$B$880:$B$925,BQ$12)))))))))</f>
        <v>0</v>
      </c>
      <c r="BR15" s="306">
        <f>IF(BR$11&amp;BR$12=$AY$11,$AY15,IF(BR$11&amp;BR$12=$AZ$11,$AZ15,IF(BR$11&amp;BR$12=$BA$11,$BA15,IF(BR$11&amp;BR$12=$BB$11,$BB15,IF(BR$11&amp;BR$12=$BC$11,$BC15,IF(BR$11&amp;BR$12=$BD$11,$BD15,IF(BR$11&amp;BR$12=$BE$11,$BE15,IF(BR$11&amp;BR$12=$BF$11,$BF15,SUMIFS('Reference Tables'!$F$880:$F$925,'Reference Tables'!$A$880:$A$925,BR$11,'Reference Tables'!$B$880:$B$925,BR$12)))))))))</f>
        <v>0</v>
      </c>
      <c r="BS15" s="306">
        <f>IF(BS$11&amp;BS$12=$AY$11,$AY15,IF(BS$11&amp;BS$12=$AZ$11,$AZ15,IF(BS$11&amp;BS$12=$BA$11,$BA15,IF(BS$11&amp;BS$12=$BB$11,$BB15,IF(BS$11&amp;BS$12=$BC$11,$BC15,IF(BS$11&amp;BS$12=$BD$11,$BD15,IF(BS$11&amp;BS$12=$BE$11,$BE15,IF(BS$11&amp;BS$12=$BF$11,$BF15,SUMIFS('Reference Tables'!$F$880:$F$925,'Reference Tables'!$A$880:$A$925,BS$11,'Reference Tables'!$B$880:$B$925,BS$12)))))))))</f>
        <v>0</v>
      </c>
      <c r="BT15" s="306">
        <f>IF(BT$11&amp;BT$12=$AY$11,$AY15,IF(BT$11&amp;BT$12=$AZ$11,$AZ15,IF(BT$11&amp;BT$12=$BA$11,$BA15,IF(BT$11&amp;BT$12=$BB$11,$BB15,IF(BT$11&amp;BT$12=$BC$11,$BC15,IF(BT$11&amp;BT$12=$BD$11,$BD15,IF(BT$11&amp;BT$12=$BE$11,$BE15,IF(BT$11&amp;BT$12=$BF$11,$BF15,SUMIFS('Reference Tables'!$F$880:$F$925,'Reference Tables'!$A$880:$A$925,BT$11,'Reference Tables'!$B$880:$B$925,BT$12)))))))))</f>
        <v>0</v>
      </c>
      <c r="BU15" s="306">
        <f>IF(BU$11&amp;BU$12=$AY$11,$AY15,IF(BU$11&amp;BU$12=$AZ$11,$AZ15,IF(BU$11&amp;BU$12=$BA$11,$BA15,IF(BU$11&amp;BU$12=$BB$11,$BB15,IF(BU$11&amp;BU$12=$BC$11,$BC15,IF(BU$11&amp;BU$12=$BD$11,$BD15,IF(BU$11&amp;BU$12=$BE$11,$BE15,IF(BU$11&amp;BU$12=$BF$11,$BF15,SUMIFS('Reference Tables'!$F$880:$F$925,'Reference Tables'!$A$880:$A$925,BU$11,'Reference Tables'!$B$880:$B$925,BU$12)))))))))</f>
        <v>0</v>
      </c>
      <c r="BV15" s="306">
        <f>IF(BV$11&amp;BV$12=$AY$11,$AY15,IF(BV$11&amp;BV$12=$AZ$11,$AZ15,IF(BV$11&amp;BV$12=$BA$11,$BA15,IF(BV$11&amp;BV$12=$BB$11,$BB15,IF(BV$11&amp;BV$12=$BC$11,$BC15,IF(BV$11&amp;BV$12=$BD$11,$BD15,IF(BV$11&amp;BV$12=$BE$11,$BE15,IF(BV$11&amp;BV$12=$BF$11,$BF15,SUMIFS('Reference Tables'!$F$880:$F$925,'Reference Tables'!$A$880:$A$925,BV$11,'Reference Tables'!$B$880:$B$925,BV$12)))))))))</f>
        <v>0</v>
      </c>
      <c r="BW15" s="306">
        <f>IF(BW$11&amp;BW$12=$AY$11,$AY15,IF(BW$11&amp;BW$12=$AZ$11,$AZ15,IF(BW$11&amp;BW$12=$BA$11,$BA15,IF(BW$11&amp;BW$12=$BB$11,$BB15,IF(BW$11&amp;BW$12=$BC$11,$BC15,IF(BW$11&amp;BW$12=$BD$11,$BD15,IF(BW$11&amp;BW$12=$BE$11,$BE15,IF(BW$11&amp;BW$12=$BF$11,$BF15,SUMIFS('Reference Tables'!$F$880:$F$925,'Reference Tables'!$A$880:$A$925,BW$11,'Reference Tables'!$B$880:$B$925,BW$12)))))))))</f>
        <v>0</v>
      </c>
      <c r="BX15" s="306">
        <f>IF(BX$11&amp;BX$12=$AY$11,$AY15,IF(BX$11&amp;BX$12=$AZ$11,$AZ15,IF(BX$11&amp;BX$12=$BA$11,$BA15,IF(BX$11&amp;BX$12=$BB$11,$BB15,IF(BX$11&amp;BX$12=$BC$11,$BC15,IF(BX$11&amp;BX$12=$BD$11,$BD15,IF(BX$11&amp;BX$12=$BE$11,$BE15,IF(BX$11&amp;BX$12=$BF$11,$BF15,SUMIFS('Reference Tables'!$F$880:$F$925,'Reference Tables'!$A$880:$A$925,BX$11,'Reference Tables'!$B$880:$B$925,BX$12)))))))))</f>
        <v>0</v>
      </c>
      <c r="BY15" s="306">
        <f>IF(BY$11&amp;BY$12=$AY$11,$AY15,IF(BY$11&amp;BY$12=$AZ$11,$AZ15,IF(BY$11&amp;BY$12=$BA$11,$BA15,IF(BY$11&amp;BY$12=$BB$11,$BB15,IF(BY$11&amp;BY$12=$BC$11,$BC15,IF(BY$11&amp;BY$12=$BD$11,$BD15,IF(BY$11&amp;BY$12=$BE$11,$BE15,IF(BY$11&amp;BY$12=$BF$11,$BF15,SUMIFS('Reference Tables'!$F$880:$F$925,'Reference Tables'!$A$880:$A$925,BY$11,'Reference Tables'!$B$880:$B$925,BY$12)))))))))</f>
        <v>0</v>
      </c>
      <c r="BZ15" s="306">
        <f>IF(BZ$11&amp;BZ$12=$AY$11,$AY15,IF(BZ$11&amp;BZ$12=$AZ$11,$AZ15,IF(BZ$11&amp;BZ$12=$BA$11,$BA15,IF(BZ$11&amp;BZ$12=$BB$11,$BB15,IF(BZ$11&amp;BZ$12=$BC$11,$BC15,IF(BZ$11&amp;BZ$12=$BD$11,$BD15,IF(BZ$11&amp;BZ$12=$BE$11,$BE15,IF(BZ$11&amp;BZ$12=$BF$11,$BF15,SUMIFS('Reference Tables'!$F$880:$F$925,'Reference Tables'!$A$880:$A$925,BZ$11,'Reference Tables'!$B$880:$B$925,BZ$12)))))))))</f>
        <v>0</v>
      </c>
      <c r="CA15" s="306">
        <f>IF(CA$11&amp;CA$12=$AY$11,$AY15,IF(CA$11&amp;CA$12=$AZ$11,$AZ15,IF(CA$11&amp;CA$12=$BA$11,$BA15,IF(CA$11&amp;CA$12=$BB$11,$BB15,IF(CA$11&amp;CA$12=$BC$11,$BC15,IF(CA$11&amp;CA$12=$BD$11,$BD15,IF(CA$11&amp;CA$12=$BE$11,$BE15,IF(CA$11&amp;CA$12=$BF$11,$BF15,SUMIFS('Reference Tables'!$F$880:$F$925,'Reference Tables'!$A$880:$A$925,CA$11,'Reference Tables'!$B$880:$B$925,CA$12)))))))))</f>
        <v>1</v>
      </c>
      <c r="CB15" s="306">
        <f>IF(CB$11&amp;CB$12=$AY$11,$AY15,IF(CB$11&amp;CB$12=$AZ$11,$AZ15,IF(CB$11&amp;CB$12=$BA$11,$BA15,IF(CB$11&amp;CB$12=$BB$11,$BB15,IF(CB$11&amp;CB$12=$BC$11,$BC15,IF(CB$11&amp;CB$12=$BD$11,$BD15,IF(CB$11&amp;CB$12=$BE$11,$BE15,IF(CB$11&amp;CB$12=$BF$11,$BF15,SUMIFS('Reference Tables'!$F$880:$F$925,'Reference Tables'!$A$880:$A$925,CB$11,'Reference Tables'!$B$880:$B$925,CB$12)))))))))</f>
        <v>0</v>
      </c>
      <c r="CC15" s="306">
        <f>IF(CC$11&amp;CC$12=$AY$11,$AY15,IF(CC$11&amp;CC$12=$AZ$11,$AZ15,IF(CC$11&amp;CC$12=$BA$11,$BA15,IF(CC$11&amp;CC$12=$BB$11,$BB15,IF(CC$11&amp;CC$12=$BC$11,$BC15,IF(CC$11&amp;CC$12=$BD$11,$BD15,IF(CC$11&amp;CC$12=$BE$11,$BE15,IF(CC$11&amp;CC$12=$BF$11,$BF15,SUMIFS('Reference Tables'!$F$880:$F$925,'Reference Tables'!$A$880:$A$925,CC$11,'Reference Tables'!$B$880:$B$925,CC$12)))))))))</f>
        <v>0</v>
      </c>
      <c r="CD15" s="306">
        <f>IF(CD$11&amp;CD$12=$AY$11,$AY15,IF(CD$11&amp;CD$12=$AZ$11,$AZ15,IF(CD$11&amp;CD$12=$BA$11,$BA15,IF(CD$11&amp;CD$12=$BB$11,$BB15,IF(CD$11&amp;CD$12=$BC$11,$BC15,IF(CD$11&amp;CD$12=$BD$11,$BD15,IF(CD$11&amp;CD$12=$BE$11,$BE15,IF(CD$11&amp;CD$12=$BF$11,$BF15,SUMIFS('Reference Tables'!$F$880:$F$925,'Reference Tables'!$A$880:$A$925,CD$11,'Reference Tables'!$B$880:$B$925,CD$12)))))))))</f>
        <v>1</v>
      </c>
      <c r="CE15" s="306">
        <f>IF(CE$11&amp;CE$12=$AY$11,$AY15,IF(CE$11&amp;CE$12=$AZ$11,$AZ15,IF(CE$11&amp;CE$12=$BA$11,$BA15,IF(CE$11&amp;CE$12=$BB$11,$BB15,IF(CE$11&amp;CE$12=$BC$11,$BC15,IF(CE$11&amp;CE$12=$BD$11,$BD15,IF(CE$11&amp;CE$12=$BE$11,$BE15,IF(CE$11&amp;CE$12=$BF$11,$BF15,SUMIFS('Reference Tables'!$F$880:$F$925,'Reference Tables'!$A$880:$A$925,CE$11,'Reference Tables'!$B$880:$B$925,CE$12)))))))))</f>
        <v>0</v>
      </c>
      <c r="CF15" s="306">
        <f>IF(CF$11&amp;CF$12=$AY$11,$AY15,IF(CF$11&amp;CF$12=$AZ$11,$AZ15,IF(CF$11&amp;CF$12=$BA$11,$BA15,IF(CF$11&amp;CF$12=$BB$11,$BB15,IF(CF$11&amp;CF$12=$BC$11,$BC15,IF(CF$11&amp;CF$12=$BD$11,$BD15,IF(CF$11&amp;CF$12=$BE$11,$BE15,IF(CF$11&amp;CF$12=$BF$11,$BF15,SUMIFS('Reference Tables'!$F$880:$F$925,'Reference Tables'!$A$880:$A$925,CF$11,'Reference Tables'!$B$880:$B$925,CF$12)))))))))</f>
        <v>0</v>
      </c>
      <c r="CG15" s="306">
        <f>IF(CG$11&amp;CG$12=$AY$11,$AY15,IF(CG$11&amp;CG$12=$AZ$11,$AZ15,IF(CG$11&amp;CG$12=$BA$11,$BA15,IF(CG$11&amp;CG$12=$BB$11,$BB15,IF(CG$11&amp;CG$12=$BC$11,$BC15,IF(CG$11&amp;CG$12=$BD$11,$BD15,IF(CG$11&amp;CG$12=$BE$11,$BE15,IF(CG$11&amp;CG$12=$BF$11,$BF15,SUMIFS('Reference Tables'!$F$880:$F$925,'Reference Tables'!$A$880:$A$925,CG$11,'Reference Tables'!$B$880:$B$925,CG$12)))))))))</f>
        <v>0</v>
      </c>
      <c r="CH15" s="306">
        <f>IF(CH$11&amp;CH$12=$AY$11,$AY15,IF(CH$11&amp;CH$12=$AZ$11,$AZ15,IF(CH$11&amp;CH$12=$BA$11,$BA15,IF(CH$11&amp;CH$12=$BB$11,$BB15,IF(CH$11&amp;CH$12=$BC$11,$BC15,IF(CH$11&amp;CH$12=$BD$11,$BD15,IF(CH$11&amp;CH$12=$BE$11,$BE15,IF(CH$11&amp;CH$12=$BF$11,$BF15,SUMIFS('Reference Tables'!$F$880:$F$925,'Reference Tables'!$A$880:$A$925,CH$11,'Reference Tables'!$B$880:$B$925,CH$12)))))))))</f>
        <v>0</v>
      </c>
      <c r="CI15" s="306">
        <f>IF(CI$11&amp;CI$12=$AY$11,$AY15,IF(CI$11&amp;CI$12=$AZ$11,$AZ15,IF(CI$11&amp;CI$12=$BA$11,$BA15,IF(CI$11&amp;CI$12=$BB$11,$BB15,IF(CI$11&amp;CI$12=$BC$11,$BC15,IF(CI$11&amp;CI$12=$BD$11,$BD15,IF(CI$11&amp;CI$12=$BE$11,$BE15,IF(CI$11&amp;CI$12=$BF$11,$BF15,SUMIFS('Reference Tables'!$F$880:$F$925,'Reference Tables'!$A$880:$A$925,CI$11,'Reference Tables'!$B$880:$B$925,CI$12)))))))))</f>
        <v>0</v>
      </c>
      <c r="CJ15" s="306">
        <f>IF(CJ$11&amp;CJ$12=$AY$11,$AY15,IF(CJ$11&amp;CJ$12=$AZ$11,$AZ15,IF(CJ$11&amp;CJ$12=$BA$11,$BA15,IF(CJ$11&amp;CJ$12=$BB$11,$BB15,IF(CJ$11&amp;CJ$12=$BC$11,$BC15,IF(CJ$11&amp;CJ$12=$BD$11,$BD15,IF(CJ$11&amp;CJ$12=$BE$11,$BE15,IF(CJ$11&amp;CJ$12=$BF$11,$BF15,SUMIFS('Reference Tables'!$F$880:$F$925,'Reference Tables'!$A$880:$A$925,CJ$11,'Reference Tables'!$B$880:$B$925,CJ$12)))))))))</f>
        <v>0</v>
      </c>
      <c r="CK15" s="306">
        <f>IF(CK$11&amp;CK$12=$AY$11,$AY15,IF(CK$11&amp;CK$12=$AZ$11,$AZ15,IF(CK$11&amp;CK$12=$BA$11,$BA15,IF(CK$11&amp;CK$12=$BB$11,$BB15,IF(CK$11&amp;CK$12=$BC$11,$BC15,IF(CK$11&amp;CK$12=$BD$11,$BD15,IF(CK$11&amp;CK$12=$BE$11,$BE15,IF(CK$11&amp;CK$12=$BF$11,$BF15,SUMIFS('Reference Tables'!$F$880:$F$925,'Reference Tables'!$A$880:$A$925,CK$11,'Reference Tables'!$B$880:$B$925,CK$12)))))))))</f>
        <v>0</v>
      </c>
      <c r="CL15" s="306">
        <f>IF(CL$11&amp;CL$12=$AY$11,$AY15,IF(CL$11&amp;CL$12=$AZ$11,$AZ15,IF(CL$11&amp;CL$12=$BA$11,$BA15,IF(CL$11&amp;CL$12=$BB$11,$BB15,IF(CL$11&amp;CL$12=$BC$11,$BC15,IF(CL$11&amp;CL$12=$BD$11,$BD15,IF(CL$11&amp;CL$12=$BE$11,$BE15,IF(CL$11&amp;CL$12=$BF$11,$BF15,SUMIFS('Reference Tables'!$F$880:$F$925,'Reference Tables'!$A$880:$A$925,CL$11,'Reference Tables'!$B$880:$B$925,CL$12)))))))))</f>
        <v>0</v>
      </c>
      <c r="CM15" s="306">
        <f>IF(CM$11&amp;CM$12=$AY$11,$AY15,IF(CM$11&amp;CM$12=$AZ$11,$AZ15,IF(CM$11&amp;CM$12=$BA$11,$BA15,IF(CM$11&amp;CM$12=$BB$11,$BB15,IF(CM$11&amp;CM$12=$BC$11,$BC15,IF(CM$11&amp;CM$12=$BD$11,$BD15,IF(CM$11&amp;CM$12=$BE$11,$BE15,IF(CM$11&amp;CM$12=$BF$11,$BF15,SUMIFS('Reference Tables'!$F$880:$F$925,'Reference Tables'!$A$880:$A$925,CM$11,'Reference Tables'!$B$880:$B$925,CM$12)))))))))</f>
        <v>0</v>
      </c>
      <c r="CN15" s="306">
        <f>IF(CN$11&amp;CN$12=$AY$11,$AY15,IF(CN$11&amp;CN$12=$AZ$11,$AZ15,IF(CN$11&amp;CN$12=$BA$11,$BA15,IF(CN$11&amp;CN$12=$BB$11,$BB15,IF(CN$11&amp;CN$12=$BC$11,$BC15,IF(CN$11&amp;CN$12=$BD$11,$BD15,IF(CN$11&amp;CN$12=$BE$11,$BE15,IF(CN$11&amp;CN$12=$BF$11,$BF15,SUMIFS('Reference Tables'!$F$880:$F$925,'Reference Tables'!$A$880:$A$925,CN$11,'Reference Tables'!$B$880:$B$925,CN$12)))))))))</f>
        <v>0</v>
      </c>
      <c r="CO15" s="306">
        <f>IF(CO$11&amp;CO$12=$AY$11,$AY15,IF(CO$11&amp;CO$12=$AZ$11,$AZ15,IF(CO$11&amp;CO$12=$BA$11,$BA15,IF(CO$11&amp;CO$12=$BB$11,$BB15,IF(CO$11&amp;CO$12=$BC$11,$BC15,IF(CO$11&amp;CO$12=$BD$11,$BD15,IF(CO$11&amp;CO$12=$BE$11,$BE15,IF(CO$11&amp;CO$12=$BF$11,$BF15,SUMIFS('Reference Tables'!$F$880:$F$925,'Reference Tables'!$A$880:$A$925,CO$11,'Reference Tables'!$B$880:$B$925,CO$12)))))))))</f>
        <v>0</v>
      </c>
      <c r="CP15" s="306">
        <f>IF(CP$11&amp;CP$12=$AY$11,$AY15,IF(CP$11&amp;CP$12=$AZ$11,$AZ15,IF(CP$11&amp;CP$12=$BA$11,$BA15,IF(CP$11&amp;CP$12=$BB$11,$BB15,IF(CP$11&amp;CP$12=$BC$11,$BC15,IF(CP$11&amp;CP$12=$BD$11,$BD15,IF(CP$11&amp;CP$12=$BE$11,$BE15,IF(CP$11&amp;CP$12=$BF$11,$BF15,SUMIFS('Reference Tables'!$F$880:$F$925,'Reference Tables'!$A$880:$A$925,CP$11,'Reference Tables'!$B$880:$B$925,CP$12)))))))))</f>
        <v>0</v>
      </c>
      <c r="CQ15" s="306">
        <f>IF(CQ$11&amp;CQ$12=$AY$11,$AY15,IF(CQ$11&amp;CQ$12=$AZ$11,$AZ15,IF(CQ$11&amp;CQ$12=$BA$11,$BA15,IF(CQ$11&amp;CQ$12=$BB$11,$BB15,IF(CQ$11&amp;CQ$12=$BC$11,$BC15,IF(CQ$11&amp;CQ$12=$BD$11,$BD15,IF(CQ$11&amp;CQ$12=$BE$11,$BE15,IF(CQ$11&amp;CQ$12=$BF$11,$BF15,SUMIFS('Reference Tables'!$F$880:$F$925,'Reference Tables'!$A$880:$A$925,CQ$11,'Reference Tables'!$B$880:$B$925,CQ$12)))))))))</f>
        <v>0</v>
      </c>
      <c r="CR15" s="306">
        <f>IF(CR$11&amp;CR$12=$AY$11,$AY15,IF(CR$11&amp;CR$12=$AZ$11,$AZ15,IF(CR$11&amp;CR$12=$BA$11,$BA15,IF(CR$11&amp;CR$12=$BB$11,$BB15,IF(CR$11&amp;CR$12=$BC$11,$BC15,IF(CR$11&amp;CR$12=$BD$11,$BD15,IF(CR$11&amp;CR$12=$BE$11,$BE15,IF(CR$11&amp;CR$12=$BF$11,$BF15,SUMIFS('Reference Tables'!$F$880:$F$925,'Reference Tables'!$A$880:$A$925,CR$11,'Reference Tables'!$B$880:$B$925,CR$12)))))))))</f>
        <v>0</v>
      </c>
      <c r="CS15" s="306">
        <f>IF(CS$11&amp;CS$12=$AY$11,$AY15,IF(CS$11&amp;CS$12=$AZ$11,$AZ15,IF(CS$11&amp;CS$12=$BA$11,$BA15,IF(CS$11&amp;CS$12=$BB$11,$BB15,IF(CS$11&amp;CS$12=$BC$11,$BC15,IF(CS$11&amp;CS$12=$BD$11,$BD15,IF(CS$11&amp;CS$12=$BE$11,$BE15,IF(CS$11&amp;CS$12=$BF$11,$BF15,SUMIFS('Reference Tables'!$F$880:$F$925,'Reference Tables'!$A$880:$A$925,CS$11,'Reference Tables'!$B$880:$B$925,CS$12)))))))))</f>
        <v>0</v>
      </c>
      <c r="CT15" s="306">
        <f>IF(CT$11&amp;CT$12=$AY$11,$AY15,IF(CT$11&amp;CT$12=$AZ$11,$AZ15,IF(CT$11&amp;CT$12=$BA$11,$BA15,IF(CT$11&amp;CT$12=$BB$11,$BB15,IF(CT$11&amp;CT$12=$BC$11,$BC15,IF(CT$11&amp;CT$12=$BD$11,$BD15,IF(CT$11&amp;CT$12=$BE$11,$BE15,IF(CT$11&amp;CT$12=$BF$11,$BF15,SUMIFS('Reference Tables'!$F$880:$F$925,'Reference Tables'!$A$880:$A$925,CT$11,'Reference Tables'!$B$880:$B$925,CT$12)))))))))</f>
        <v>0</v>
      </c>
      <c r="CU15" s="306">
        <f>IF(CU$11&amp;CU$12=$AY$11,$AY15,IF(CU$11&amp;CU$12=$AZ$11,$AZ15,IF(CU$11&amp;CU$12=$BA$11,$BA15,IF(CU$11&amp;CU$12=$BB$11,$BB15,IF(CU$11&amp;CU$12=$BC$11,$BC15,IF(CU$11&amp;CU$12=$BD$11,$BD15,IF(CU$11&amp;CU$12=$BE$11,$BE15,IF(CU$11&amp;CU$12=$BF$11,$BF15,SUMIFS('Reference Tables'!$F$880:$F$925,'Reference Tables'!$A$880:$A$925,CU$11,'Reference Tables'!$B$880:$B$925,CU$12)))))))))</f>
        <v>0</v>
      </c>
      <c r="CV15" s="306">
        <f>IF(CV$11&amp;CV$12=$AY$11,$AY15,IF(CV$11&amp;CV$12=$AZ$11,$AZ15,IF(CV$11&amp;CV$12=$BA$11,$BA15,IF(CV$11&amp;CV$12=$BB$11,$BB15,IF(CV$11&amp;CV$12=$BC$11,$BC15,IF(CV$11&amp;CV$12=$BD$11,$BD15,IF(CV$11&amp;CV$12=$BE$11,$BE15,IF(CV$11&amp;CV$12=$BF$11,$BF15,SUMIFS('Reference Tables'!$F$880:$F$925,'Reference Tables'!$A$880:$A$925,CV$11,'Reference Tables'!$B$880:$B$925,CV$12)))))))))</f>
        <v>1</v>
      </c>
      <c r="CW15" s="306">
        <f>IF(CW$11&amp;CW$12=$AY$11,$AY15,IF(CW$11&amp;CW$12=$AZ$11,$AZ15,IF(CW$11&amp;CW$12=$BA$11,$BA15,IF(CW$11&amp;CW$12=$BB$11,$BB15,IF(CW$11&amp;CW$12=$BC$11,$BC15,IF(CW$11&amp;CW$12=$BD$11,$BD15,IF(CW$11&amp;CW$12=$BE$11,$BE15,IF(CW$11&amp;CW$12=$BF$11,$BF15,SUMIFS('Reference Tables'!$F$880:$F$925,'Reference Tables'!$A$880:$A$925,CW$11,'Reference Tables'!$B$880:$B$925,CW$12)))))))))</f>
        <v>1</v>
      </c>
      <c r="CX15" s="306">
        <f>IF(CX$11&amp;CX$12=$AY$11,$AY15,IF(CX$11&amp;CX$12=$AZ$11,$AZ15,IF(CX$11&amp;CX$12=$BA$11,$BA15,IF(CX$11&amp;CX$12=$BB$11,$BB15,IF(CX$11&amp;CX$12=$BC$11,$BC15,IF(CX$11&amp;CX$12=$BD$11,$BD15,IF(CX$11&amp;CX$12=$BE$11,$BE15,IF(CX$11&amp;CX$12=$BF$11,$BF15,SUMIFS('Reference Tables'!$F$880:$F$925,'Reference Tables'!$A$880:$A$925,CX$11,'Reference Tables'!$B$880:$B$925,CX$12)))))))))</f>
        <v>0</v>
      </c>
    </row>
    <row r="16" spans="1:116" s="250" customFormat="1" ht="18.75" customHeight="1">
      <c r="A16" s="303"/>
      <c r="B16" s="303"/>
      <c r="C16" s="307"/>
      <c r="D16" s="307"/>
      <c r="E16" s="307"/>
      <c r="F16" s="307"/>
      <c r="G16" s="307"/>
      <c r="H16" s="307"/>
      <c r="I16" s="307"/>
      <c r="J16" s="307"/>
      <c r="K16" s="307"/>
      <c r="L16" s="307"/>
      <c r="M16" s="307"/>
      <c r="N16" s="307"/>
      <c r="O16" s="307"/>
      <c r="P16" s="307"/>
      <c r="Q16" s="307"/>
      <c r="R16" s="307"/>
      <c r="S16" s="307"/>
      <c r="T16" s="307"/>
      <c r="U16" s="307"/>
      <c r="V16" s="307"/>
      <c r="W16" s="307"/>
      <c r="X16" s="307"/>
      <c r="Y16" s="307"/>
      <c r="Z16" s="307"/>
      <c r="AA16" s="307"/>
      <c r="AB16" s="307"/>
      <c r="AC16" s="307"/>
      <c r="AD16" s="307"/>
      <c r="AE16" s="307"/>
      <c r="AF16" s="307"/>
      <c r="AG16" s="307"/>
      <c r="AH16" s="307"/>
      <c r="AI16" s="307"/>
      <c r="AJ16" s="307"/>
      <c r="AK16" s="307"/>
      <c r="AL16" s="307"/>
      <c r="AM16" s="307"/>
      <c r="AN16" s="307"/>
      <c r="AO16" s="307"/>
      <c r="AP16" s="307"/>
      <c r="AQ16" s="307"/>
      <c r="AR16" s="307"/>
      <c r="AS16" s="307"/>
      <c r="AT16" s="307"/>
      <c r="AU16" s="180" t="str">
        <f>IF($A16="","",INDEX('Tank Data'!$1:$1048576,MATCH($A16,'Tank Data'!$A:$A,0),MATCH(AU$10,'Tank Data'!$9:$9,0)))</f>
        <v/>
      </c>
      <c r="AV16" s="180" t="str">
        <f>IF($A16="","",INDEX('Tank Data'!$1:$1048576,MATCH($A16,'Tank Data'!$A:$A,0),MATCH($AV$10,'Tank Data'!$9:$9,0)))</f>
        <v/>
      </c>
      <c r="AW16" s="305" t="str">
        <f>IF(OR($AV16="EFR",$AV16="DEFR"),INDEX('Tank Data'!$1:$1048576,MATCH($A16,'Tank Data'!$A:$A,0),MATCH($AW$10,'Tank Data'!$9:$9,0)),"")</f>
        <v/>
      </c>
      <c r="AX16" s="305" t="str">
        <f>IF($A16="","",INDEX('Tank Data'!$1:$1048576,MATCH($A16,'Tank Data'!$A:$A,0),MATCH($AX$10,'Tank Data'!$9:$9,0)))</f>
        <v/>
      </c>
      <c r="AY16" s="306">
        <f>IF($AV16="IFR",IF($AU16&gt;'Reference Tables'!$B$876,'Reference Tables'!$C$876,SUMPRODUCT(('Reference Tables'!$C$862:$C$876)*('Reference Tables'!$A$862:$A$876&lt;$AU16)*('Reference Tables'!$B$862:$B$876&gt;=$AU16))),0)</f>
        <v>0</v>
      </c>
      <c r="AZ16" s="306">
        <f>IF($AV16="IFR",1,IF(OR($AV16="EFR",$AV16="DEFR"),INDEX('Reference Tables'!$A$930:$C$938,MATCH(IF($AU16&lt;'Reference Tables'!$A$931,'Reference Tables'!$A$931,IF($AU16&gt;'Reference Tables'!$A$938,'Reference Tables'!$A$938,ROUND($AU16/50,0)*50)),'Reference Tables'!$A$930:$A$938,0),MATCH($AW16,'Reference Tables'!$A$930:$C$930,0)),0))</f>
        <v>0</v>
      </c>
      <c r="BA16" s="306">
        <f>IF(OR($AV16="EFR",$AV16="DEFR"),INDEX('Reference Tables'!$A$930:$D$938,MATCH(IF($AU16&lt;='Reference Tables'!$A$931,'Reference Tables'!$A$931,IF($AU16&gt;'Reference Tables'!$A$936,'Reference Tables'!$A$936,ROUND($AU16/50,0)*50)),'Reference Tables'!$A$930:$A$938,0),COLUMN('Reference Tables'!$D$930)),0)</f>
        <v>0</v>
      </c>
      <c r="BB16" s="306">
        <f>IF(AND(OR($AV16="EFR",$AV16="DEFR"),$AW16="Pontoon Roof"),INDEX('Reference Tables'!$A$943:$D$980,MATCH(IF($AU16&lt;'Reference Tables'!$A$943,'Reference Tables'!$A$943,IF($AU16&gt;'Reference Tables'!$A$980,'Reference Tables'!$A$980,ROUND($AU16,1))),'Reference Tables'!$A$943:$A$980,0),COLUMN('Reference Tables'!$B$942)),0)</f>
        <v>0</v>
      </c>
      <c r="BC16" s="306">
        <f>IF(AND(OR($AV16="EFR",$AV16="DEFR"),$AW16="Pontoon Roof"),INDEX('Reference Tables'!$A$943:$D$980,MATCH(IF($AU16&lt;'Reference Tables'!$A$943,'Reference Tables'!$A$943,IF($AU16&gt;'Reference Tables'!$A$980,'Reference Tables'!$A$980,ROUND($AU16,1))),'Reference Tables'!$A$943:$A$980,0),COLUMN('Reference Tables'!$C$942)),0)</f>
        <v>0</v>
      </c>
      <c r="BD16" s="306">
        <f>IF(AND(OR($AV16="EFR",$AV16="DEFR"),$AW16="Double-Deck Roof"),INDEX('Reference Tables'!$A$943:$D$980,MATCH(IF($AU16&lt;'Reference Tables'!$A$943,'Reference Tables'!$A$943,IF($AU16&gt;'Reference Tables'!$A$980,'Reference Tables'!$A$980,ROUND($AU16,1))),'Reference Tables'!$A$943:$A$980,0),COLUMN('Reference Tables'!$D$942)),0)</f>
        <v>0</v>
      </c>
      <c r="BE16" s="306">
        <f>IF($AV16="IFR",5+$AU16/10+$AU16^2/600,0)</f>
        <v>0</v>
      </c>
      <c r="BF16" s="306">
        <f>IF($AV16="IFR",$AU16^2/125,0)</f>
        <v>0</v>
      </c>
      <c r="BG16" s="306">
        <f>IF(BG$11&amp;BG$12=$AY$11,$AY16,IF(BG$11&amp;BG$12=$AZ$11,$AZ16,IF(BG$11&amp;BG$12=$BA$11,$BA16,IF(BG$11&amp;BG$12=$BB$11,$BB16,IF(BG$11&amp;BG$12=$BC$11,$BC16,IF(BG$11&amp;BG$12=$BD$11,$BD16,IF(BG$11&amp;BG$12=$BE$11,$BE16,IF(BG$11&amp;BG$12=$BF$11,$BF16,SUMIFS('Reference Tables'!$F$880:$F$925,'Reference Tables'!$A$880:$A$925,BG$11,'Reference Tables'!$B$880:$B$925,BG$12)))))))))</f>
        <v>1</v>
      </c>
      <c r="BH16" s="306">
        <f>IF(BH$11&amp;BH$12=$AY$11,$AY16,IF(BH$11&amp;BH$12=$AZ$11,$AZ16,IF(BH$11&amp;BH$12=$BA$11,$BA16,IF(BH$11&amp;BH$12=$BB$11,$BB16,IF(BH$11&amp;BH$12=$BC$11,$BC16,IF(BH$11&amp;BH$12=$BD$11,$BD16,IF(BH$11&amp;BH$12=$BE$11,$BE16,IF(BH$11&amp;BH$12=$BF$11,$BF16,SUMIFS('Reference Tables'!$F$880:$F$925,'Reference Tables'!$A$880:$A$925,BH$11,'Reference Tables'!$B$880:$B$925,BH$12)))))))))</f>
        <v>0</v>
      </c>
      <c r="BI16" s="306">
        <f>IF(BI$11&amp;BI$12=$AY$11,$AY16,IF(BI$11&amp;BI$12=$AZ$11,$AZ16,IF(BI$11&amp;BI$12=$BA$11,$BA16,IF(BI$11&amp;BI$12=$BB$11,$BB16,IF(BI$11&amp;BI$12=$BC$11,$BC16,IF(BI$11&amp;BI$12=$BD$11,$BD16,IF(BI$11&amp;BI$12=$BE$11,$BE16,IF(BI$11&amp;BI$12=$BF$11,$BF16,SUMIFS('Reference Tables'!$F$880:$F$925,'Reference Tables'!$A$880:$A$925,BI$11,'Reference Tables'!$B$880:$B$925,BI$12)))))))))</f>
        <v>0</v>
      </c>
      <c r="BJ16" s="306">
        <f>IF(BJ$11&amp;BJ$12=$AY$11,$AY16,IF(BJ$11&amp;BJ$12=$AZ$11,$AZ16,IF(BJ$11&amp;BJ$12=$BA$11,$BA16,IF(BJ$11&amp;BJ$12=$BB$11,$BB16,IF(BJ$11&amp;BJ$12=$BC$11,$BC16,IF(BJ$11&amp;BJ$12=$BD$11,$BD16,IF(BJ$11&amp;BJ$12=$BE$11,$BE16,IF(BJ$11&amp;BJ$12=$BF$11,$BF16,SUMIFS('Reference Tables'!$F$880:$F$925,'Reference Tables'!$A$880:$A$925,BJ$11,'Reference Tables'!$B$880:$B$925,BJ$12)))))))))</f>
        <v>0</v>
      </c>
      <c r="BK16" s="306">
        <f>IF(BK$11&amp;BK$12=$AY$11,$AY16,IF(BK$11&amp;BK$12=$AZ$11,$AZ16,IF(BK$11&amp;BK$12=$BA$11,$BA16,IF(BK$11&amp;BK$12=$BB$11,$BB16,IF(BK$11&amp;BK$12=$BC$11,$BC16,IF(BK$11&amp;BK$12=$BD$11,$BD16,IF(BK$11&amp;BK$12=$BE$11,$BE16,IF(BK$11&amp;BK$12=$BF$11,$BF16,SUMIFS('Reference Tables'!$F$880:$F$925,'Reference Tables'!$A$880:$A$925,BK$11,'Reference Tables'!$B$880:$B$925,BK$12)))))))))</f>
        <v>0</v>
      </c>
      <c r="BL16" s="306">
        <f>IF(BL$11&amp;BL$12=$AY$11,$AY16,IF(BL$11&amp;BL$12=$AZ$11,$AZ16,IF(BL$11&amp;BL$12=$BA$11,$BA16,IF(BL$11&amp;BL$12=$BB$11,$BB16,IF(BL$11&amp;BL$12=$BC$11,$BC16,IF(BL$11&amp;BL$12=$BD$11,$BD16,IF(BL$11&amp;BL$12=$BE$11,$BE16,IF(BL$11&amp;BL$12=$BF$11,$BF16,SUMIFS('Reference Tables'!$F$880:$F$925,'Reference Tables'!$A$880:$A$925,BL$11,'Reference Tables'!$B$880:$B$925,BL$12)))))))))</f>
        <v>0</v>
      </c>
      <c r="BM16" s="306">
        <f>IF(BM$11&amp;BM$12=$AY$11,$AY16,IF(BM$11&amp;BM$12=$AZ$11,$AZ16,IF(BM$11&amp;BM$12=$BA$11,$BA16,IF(BM$11&amp;BM$12=$BB$11,$BB16,IF(BM$11&amp;BM$12=$BC$11,$BC16,IF(BM$11&amp;BM$12=$BD$11,$BD16,IF(BM$11&amp;BM$12=$BE$11,$BE16,IF(BM$11&amp;BM$12=$BF$11,$BF16,SUMIFS('Reference Tables'!$F$880:$F$925,'Reference Tables'!$A$880:$A$925,BM$11,'Reference Tables'!$B$880:$B$925,BM$12)))))))))</f>
        <v>0</v>
      </c>
      <c r="BN16" s="306">
        <f>IF(BN$11&amp;BN$12=$AY$11,$AY16,IF(BN$11&amp;BN$12=$AZ$11,$AZ16,IF(BN$11&amp;BN$12=$BA$11,$BA16,IF(BN$11&amp;BN$12=$BB$11,$BB16,IF(BN$11&amp;BN$12=$BC$11,$BC16,IF(BN$11&amp;BN$12=$BD$11,$BD16,IF(BN$11&amp;BN$12=$BE$11,$BE16,IF(BN$11&amp;BN$12=$BF$11,$BF16,SUMIFS('Reference Tables'!$F$880:$F$925,'Reference Tables'!$A$880:$A$925,BN$11,'Reference Tables'!$B$880:$B$925,BN$12)))))))))</f>
        <v>0</v>
      </c>
      <c r="BO16" s="306">
        <f>IF(BO$11&amp;BO$12=$AY$11,$AY16,IF(BO$11&amp;BO$12=$AZ$11,$AZ16,IF(BO$11&amp;BO$12=$BA$11,$BA16,IF(BO$11&amp;BO$12=$BB$11,$BB16,IF(BO$11&amp;BO$12=$BC$11,$BC16,IF(BO$11&amp;BO$12=$BD$11,$BD16,IF(BO$11&amp;BO$12=$BE$11,$BE16,IF(BO$11&amp;BO$12=$BF$11,$BF16,SUMIFS('Reference Tables'!$F$880:$F$925,'Reference Tables'!$A$880:$A$925,BO$11,'Reference Tables'!$B$880:$B$925,BO$12)))))))))</f>
        <v>1</v>
      </c>
      <c r="BP16" s="306">
        <f>IF(BP$11&amp;BP$12=$AY$11,$AY16,IF(BP$11&amp;BP$12=$AZ$11,$AZ16,IF(BP$11&amp;BP$12=$BA$11,$BA16,IF(BP$11&amp;BP$12=$BB$11,$BB16,IF(BP$11&amp;BP$12=$BC$11,$BC16,IF(BP$11&amp;BP$12=$BD$11,$BD16,IF(BP$11&amp;BP$12=$BE$11,$BE16,IF(BP$11&amp;BP$12=$BF$11,$BF16,SUMIFS('Reference Tables'!$F$880:$F$925,'Reference Tables'!$A$880:$A$925,BP$11,'Reference Tables'!$B$880:$B$925,BP$12)))))))))</f>
        <v>0</v>
      </c>
      <c r="BQ16" s="306">
        <f>IF(BQ$11&amp;BQ$12=$AY$11,$AY16,IF(BQ$11&amp;BQ$12=$AZ$11,$AZ16,IF(BQ$11&amp;BQ$12=$BA$11,$BA16,IF(BQ$11&amp;BQ$12=$BB$11,$BB16,IF(BQ$11&amp;BQ$12=$BC$11,$BC16,IF(BQ$11&amp;BQ$12=$BD$11,$BD16,IF(BQ$11&amp;BQ$12=$BE$11,$BE16,IF(BQ$11&amp;BQ$12=$BF$11,$BF16,SUMIFS('Reference Tables'!$F$880:$F$925,'Reference Tables'!$A$880:$A$925,BQ$11,'Reference Tables'!$B$880:$B$925,BQ$12)))))))))</f>
        <v>0</v>
      </c>
      <c r="BR16" s="306">
        <f>IF(BR$11&amp;BR$12=$AY$11,$AY16,IF(BR$11&amp;BR$12=$AZ$11,$AZ16,IF(BR$11&amp;BR$12=$BA$11,$BA16,IF(BR$11&amp;BR$12=$BB$11,$BB16,IF(BR$11&amp;BR$12=$BC$11,$BC16,IF(BR$11&amp;BR$12=$BD$11,$BD16,IF(BR$11&amp;BR$12=$BE$11,$BE16,IF(BR$11&amp;BR$12=$BF$11,$BF16,SUMIFS('Reference Tables'!$F$880:$F$925,'Reference Tables'!$A$880:$A$925,BR$11,'Reference Tables'!$B$880:$B$925,BR$12)))))))))</f>
        <v>0</v>
      </c>
      <c r="BS16" s="306">
        <f>IF(BS$11&amp;BS$12=$AY$11,$AY16,IF(BS$11&amp;BS$12=$AZ$11,$AZ16,IF(BS$11&amp;BS$12=$BA$11,$BA16,IF(BS$11&amp;BS$12=$BB$11,$BB16,IF(BS$11&amp;BS$12=$BC$11,$BC16,IF(BS$11&amp;BS$12=$BD$11,$BD16,IF(BS$11&amp;BS$12=$BE$11,$BE16,IF(BS$11&amp;BS$12=$BF$11,$BF16,SUMIFS('Reference Tables'!$F$880:$F$925,'Reference Tables'!$A$880:$A$925,BS$11,'Reference Tables'!$B$880:$B$925,BS$12)))))))))</f>
        <v>0</v>
      </c>
      <c r="BT16" s="306">
        <f>IF(BT$11&amp;BT$12=$AY$11,$AY16,IF(BT$11&amp;BT$12=$AZ$11,$AZ16,IF(BT$11&amp;BT$12=$BA$11,$BA16,IF(BT$11&amp;BT$12=$BB$11,$BB16,IF(BT$11&amp;BT$12=$BC$11,$BC16,IF(BT$11&amp;BT$12=$BD$11,$BD16,IF(BT$11&amp;BT$12=$BE$11,$BE16,IF(BT$11&amp;BT$12=$BF$11,$BF16,SUMIFS('Reference Tables'!$F$880:$F$925,'Reference Tables'!$A$880:$A$925,BT$11,'Reference Tables'!$B$880:$B$925,BT$12)))))))))</f>
        <v>0</v>
      </c>
      <c r="BU16" s="306">
        <f>IF(BU$11&amp;BU$12=$AY$11,$AY16,IF(BU$11&amp;BU$12=$AZ$11,$AZ16,IF(BU$11&amp;BU$12=$BA$11,$BA16,IF(BU$11&amp;BU$12=$BB$11,$BB16,IF(BU$11&amp;BU$12=$BC$11,$BC16,IF(BU$11&amp;BU$12=$BD$11,$BD16,IF(BU$11&amp;BU$12=$BE$11,$BE16,IF(BU$11&amp;BU$12=$BF$11,$BF16,SUMIFS('Reference Tables'!$F$880:$F$925,'Reference Tables'!$A$880:$A$925,BU$11,'Reference Tables'!$B$880:$B$925,BU$12)))))))))</f>
        <v>0</v>
      </c>
      <c r="BV16" s="306">
        <f>IF(BV$11&amp;BV$12=$AY$11,$AY16,IF(BV$11&amp;BV$12=$AZ$11,$AZ16,IF(BV$11&amp;BV$12=$BA$11,$BA16,IF(BV$11&amp;BV$12=$BB$11,$BB16,IF(BV$11&amp;BV$12=$BC$11,$BC16,IF(BV$11&amp;BV$12=$BD$11,$BD16,IF(BV$11&amp;BV$12=$BE$11,$BE16,IF(BV$11&amp;BV$12=$BF$11,$BF16,SUMIFS('Reference Tables'!$F$880:$F$925,'Reference Tables'!$A$880:$A$925,BV$11,'Reference Tables'!$B$880:$B$925,BV$12)))))))))</f>
        <v>0</v>
      </c>
      <c r="BW16" s="306">
        <f>IF(BW$11&amp;BW$12=$AY$11,$AY16,IF(BW$11&amp;BW$12=$AZ$11,$AZ16,IF(BW$11&amp;BW$12=$BA$11,$BA16,IF(BW$11&amp;BW$12=$BB$11,$BB16,IF(BW$11&amp;BW$12=$BC$11,$BC16,IF(BW$11&amp;BW$12=$BD$11,$BD16,IF(BW$11&amp;BW$12=$BE$11,$BE16,IF(BW$11&amp;BW$12=$BF$11,$BF16,SUMIFS('Reference Tables'!$F$880:$F$925,'Reference Tables'!$A$880:$A$925,BW$11,'Reference Tables'!$B$880:$B$925,BW$12)))))))))</f>
        <v>0</v>
      </c>
      <c r="BX16" s="306">
        <f>IF(BX$11&amp;BX$12=$AY$11,$AY16,IF(BX$11&amp;BX$12=$AZ$11,$AZ16,IF(BX$11&amp;BX$12=$BA$11,$BA16,IF(BX$11&amp;BX$12=$BB$11,$BB16,IF(BX$11&amp;BX$12=$BC$11,$BC16,IF(BX$11&amp;BX$12=$BD$11,$BD16,IF(BX$11&amp;BX$12=$BE$11,$BE16,IF(BX$11&amp;BX$12=$BF$11,$BF16,SUMIFS('Reference Tables'!$F$880:$F$925,'Reference Tables'!$A$880:$A$925,BX$11,'Reference Tables'!$B$880:$B$925,BX$12)))))))))</f>
        <v>0</v>
      </c>
      <c r="BY16" s="306">
        <f>IF(BY$11&amp;BY$12=$AY$11,$AY16,IF(BY$11&amp;BY$12=$AZ$11,$AZ16,IF(BY$11&amp;BY$12=$BA$11,$BA16,IF(BY$11&amp;BY$12=$BB$11,$BB16,IF(BY$11&amp;BY$12=$BC$11,$BC16,IF(BY$11&amp;BY$12=$BD$11,$BD16,IF(BY$11&amp;BY$12=$BE$11,$BE16,IF(BY$11&amp;BY$12=$BF$11,$BF16,SUMIFS('Reference Tables'!$F$880:$F$925,'Reference Tables'!$A$880:$A$925,BY$11,'Reference Tables'!$B$880:$B$925,BY$12)))))))))</f>
        <v>0</v>
      </c>
      <c r="BZ16" s="306">
        <f>IF(BZ$11&amp;BZ$12=$AY$11,$AY16,IF(BZ$11&amp;BZ$12=$AZ$11,$AZ16,IF(BZ$11&amp;BZ$12=$BA$11,$BA16,IF(BZ$11&amp;BZ$12=$BB$11,$BB16,IF(BZ$11&amp;BZ$12=$BC$11,$BC16,IF(BZ$11&amp;BZ$12=$BD$11,$BD16,IF(BZ$11&amp;BZ$12=$BE$11,$BE16,IF(BZ$11&amp;BZ$12=$BF$11,$BF16,SUMIFS('Reference Tables'!$F$880:$F$925,'Reference Tables'!$A$880:$A$925,BZ$11,'Reference Tables'!$B$880:$B$925,BZ$12)))))))))</f>
        <v>0</v>
      </c>
      <c r="CA16" s="306">
        <f>IF(CA$11&amp;CA$12=$AY$11,$AY16,IF(CA$11&amp;CA$12=$AZ$11,$AZ16,IF(CA$11&amp;CA$12=$BA$11,$BA16,IF(CA$11&amp;CA$12=$BB$11,$BB16,IF(CA$11&amp;CA$12=$BC$11,$BC16,IF(CA$11&amp;CA$12=$BD$11,$BD16,IF(CA$11&amp;CA$12=$BE$11,$BE16,IF(CA$11&amp;CA$12=$BF$11,$BF16,SUMIFS('Reference Tables'!$F$880:$F$925,'Reference Tables'!$A$880:$A$925,CA$11,'Reference Tables'!$B$880:$B$925,CA$12)))))))))</f>
        <v>1</v>
      </c>
      <c r="CB16" s="306">
        <f>IF(CB$11&amp;CB$12=$AY$11,$AY16,IF(CB$11&amp;CB$12=$AZ$11,$AZ16,IF(CB$11&amp;CB$12=$BA$11,$BA16,IF(CB$11&amp;CB$12=$BB$11,$BB16,IF(CB$11&amp;CB$12=$BC$11,$BC16,IF(CB$11&amp;CB$12=$BD$11,$BD16,IF(CB$11&amp;CB$12=$BE$11,$BE16,IF(CB$11&amp;CB$12=$BF$11,$BF16,SUMIFS('Reference Tables'!$F$880:$F$925,'Reference Tables'!$A$880:$A$925,CB$11,'Reference Tables'!$B$880:$B$925,CB$12)))))))))</f>
        <v>0</v>
      </c>
      <c r="CC16" s="306">
        <f>IF(CC$11&amp;CC$12=$AY$11,$AY16,IF(CC$11&amp;CC$12=$AZ$11,$AZ16,IF(CC$11&amp;CC$12=$BA$11,$BA16,IF(CC$11&amp;CC$12=$BB$11,$BB16,IF(CC$11&amp;CC$12=$BC$11,$BC16,IF(CC$11&amp;CC$12=$BD$11,$BD16,IF(CC$11&amp;CC$12=$BE$11,$BE16,IF(CC$11&amp;CC$12=$BF$11,$BF16,SUMIFS('Reference Tables'!$F$880:$F$925,'Reference Tables'!$A$880:$A$925,CC$11,'Reference Tables'!$B$880:$B$925,CC$12)))))))))</f>
        <v>0</v>
      </c>
      <c r="CD16" s="306">
        <f>IF(CD$11&amp;CD$12=$AY$11,$AY16,IF(CD$11&amp;CD$12=$AZ$11,$AZ16,IF(CD$11&amp;CD$12=$BA$11,$BA16,IF(CD$11&amp;CD$12=$BB$11,$BB16,IF(CD$11&amp;CD$12=$BC$11,$BC16,IF(CD$11&amp;CD$12=$BD$11,$BD16,IF(CD$11&amp;CD$12=$BE$11,$BE16,IF(CD$11&amp;CD$12=$BF$11,$BF16,SUMIFS('Reference Tables'!$F$880:$F$925,'Reference Tables'!$A$880:$A$925,CD$11,'Reference Tables'!$B$880:$B$925,CD$12)))))))))</f>
        <v>1</v>
      </c>
      <c r="CE16" s="306">
        <f>IF(CE$11&amp;CE$12=$AY$11,$AY16,IF(CE$11&amp;CE$12=$AZ$11,$AZ16,IF(CE$11&amp;CE$12=$BA$11,$BA16,IF(CE$11&amp;CE$12=$BB$11,$BB16,IF(CE$11&amp;CE$12=$BC$11,$BC16,IF(CE$11&amp;CE$12=$BD$11,$BD16,IF(CE$11&amp;CE$12=$BE$11,$BE16,IF(CE$11&amp;CE$12=$BF$11,$BF16,SUMIFS('Reference Tables'!$F$880:$F$925,'Reference Tables'!$A$880:$A$925,CE$11,'Reference Tables'!$B$880:$B$925,CE$12)))))))))</f>
        <v>0</v>
      </c>
      <c r="CF16" s="306">
        <f>IF(CF$11&amp;CF$12=$AY$11,$AY16,IF(CF$11&amp;CF$12=$AZ$11,$AZ16,IF(CF$11&amp;CF$12=$BA$11,$BA16,IF(CF$11&amp;CF$12=$BB$11,$BB16,IF(CF$11&amp;CF$12=$BC$11,$BC16,IF(CF$11&amp;CF$12=$BD$11,$BD16,IF(CF$11&amp;CF$12=$BE$11,$BE16,IF(CF$11&amp;CF$12=$BF$11,$BF16,SUMIFS('Reference Tables'!$F$880:$F$925,'Reference Tables'!$A$880:$A$925,CF$11,'Reference Tables'!$B$880:$B$925,CF$12)))))))))</f>
        <v>0</v>
      </c>
      <c r="CG16" s="306">
        <f>IF(CG$11&amp;CG$12=$AY$11,$AY16,IF(CG$11&amp;CG$12=$AZ$11,$AZ16,IF(CG$11&amp;CG$12=$BA$11,$BA16,IF(CG$11&amp;CG$12=$BB$11,$BB16,IF(CG$11&amp;CG$12=$BC$11,$BC16,IF(CG$11&amp;CG$12=$BD$11,$BD16,IF(CG$11&amp;CG$12=$BE$11,$BE16,IF(CG$11&amp;CG$12=$BF$11,$BF16,SUMIFS('Reference Tables'!$F$880:$F$925,'Reference Tables'!$A$880:$A$925,CG$11,'Reference Tables'!$B$880:$B$925,CG$12)))))))))</f>
        <v>0</v>
      </c>
      <c r="CH16" s="306">
        <f>IF(CH$11&amp;CH$12=$AY$11,$AY16,IF(CH$11&amp;CH$12=$AZ$11,$AZ16,IF(CH$11&amp;CH$12=$BA$11,$BA16,IF(CH$11&amp;CH$12=$BB$11,$BB16,IF(CH$11&amp;CH$12=$BC$11,$BC16,IF(CH$11&amp;CH$12=$BD$11,$BD16,IF(CH$11&amp;CH$12=$BE$11,$BE16,IF(CH$11&amp;CH$12=$BF$11,$BF16,SUMIFS('Reference Tables'!$F$880:$F$925,'Reference Tables'!$A$880:$A$925,CH$11,'Reference Tables'!$B$880:$B$925,CH$12)))))))))</f>
        <v>0</v>
      </c>
      <c r="CI16" s="306">
        <f>IF(CI$11&amp;CI$12=$AY$11,$AY16,IF(CI$11&amp;CI$12=$AZ$11,$AZ16,IF(CI$11&amp;CI$12=$BA$11,$BA16,IF(CI$11&amp;CI$12=$BB$11,$BB16,IF(CI$11&amp;CI$12=$BC$11,$BC16,IF(CI$11&amp;CI$12=$BD$11,$BD16,IF(CI$11&amp;CI$12=$BE$11,$BE16,IF(CI$11&amp;CI$12=$BF$11,$BF16,SUMIFS('Reference Tables'!$F$880:$F$925,'Reference Tables'!$A$880:$A$925,CI$11,'Reference Tables'!$B$880:$B$925,CI$12)))))))))</f>
        <v>0</v>
      </c>
      <c r="CJ16" s="306">
        <f>IF(CJ$11&amp;CJ$12=$AY$11,$AY16,IF(CJ$11&amp;CJ$12=$AZ$11,$AZ16,IF(CJ$11&amp;CJ$12=$BA$11,$BA16,IF(CJ$11&amp;CJ$12=$BB$11,$BB16,IF(CJ$11&amp;CJ$12=$BC$11,$BC16,IF(CJ$11&amp;CJ$12=$BD$11,$BD16,IF(CJ$11&amp;CJ$12=$BE$11,$BE16,IF(CJ$11&amp;CJ$12=$BF$11,$BF16,SUMIFS('Reference Tables'!$F$880:$F$925,'Reference Tables'!$A$880:$A$925,CJ$11,'Reference Tables'!$B$880:$B$925,CJ$12)))))))))</f>
        <v>0</v>
      </c>
      <c r="CK16" s="306">
        <f>IF(CK$11&amp;CK$12=$AY$11,$AY16,IF(CK$11&amp;CK$12=$AZ$11,$AZ16,IF(CK$11&amp;CK$12=$BA$11,$BA16,IF(CK$11&amp;CK$12=$BB$11,$BB16,IF(CK$11&amp;CK$12=$BC$11,$BC16,IF(CK$11&amp;CK$12=$BD$11,$BD16,IF(CK$11&amp;CK$12=$BE$11,$BE16,IF(CK$11&amp;CK$12=$BF$11,$BF16,SUMIFS('Reference Tables'!$F$880:$F$925,'Reference Tables'!$A$880:$A$925,CK$11,'Reference Tables'!$B$880:$B$925,CK$12)))))))))</f>
        <v>0</v>
      </c>
      <c r="CL16" s="306">
        <f>IF(CL$11&amp;CL$12=$AY$11,$AY16,IF(CL$11&amp;CL$12=$AZ$11,$AZ16,IF(CL$11&amp;CL$12=$BA$11,$BA16,IF(CL$11&amp;CL$12=$BB$11,$BB16,IF(CL$11&amp;CL$12=$BC$11,$BC16,IF(CL$11&amp;CL$12=$BD$11,$BD16,IF(CL$11&amp;CL$12=$BE$11,$BE16,IF(CL$11&amp;CL$12=$BF$11,$BF16,SUMIFS('Reference Tables'!$F$880:$F$925,'Reference Tables'!$A$880:$A$925,CL$11,'Reference Tables'!$B$880:$B$925,CL$12)))))))))</f>
        <v>0</v>
      </c>
      <c r="CM16" s="306">
        <f>IF(CM$11&amp;CM$12=$AY$11,$AY16,IF(CM$11&amp;CM$12=$AZ$11,$AZ16,IF(CM$11&amp;CM$12=$BA$11,$BA16,IF(CM$11&amp;CM$12=$BB$11,$BB16,IF(CM$11&amp;CM$12=$BC$11,$BC16,IF(CM$11&amp;CM$12=$BD$11,$BD16,IF(CM$11&amp;CM$12=$BE$11,$BE16,IF(CM$11&amp;CM$12=$BF$11,$BF16,SUMIFS('Reference Tables'!$F$880:$F$925,'Reference Tables'!$A$880:$A$925,CM$11,'Reference Tables'!$B$880:$B$925,CM$12)))))))))</f>
        <v>0</v>
      </c>
      <c r="CN16" s="306">
        <f>IF(CN$11&amp;CN$12=$AY$11,$AY16,IF(CN$11&amp;CN$12=$AZ$11,$AZ16,IF(CN$11&amp;CN$12=$BA$11,$BA16,IF(CN$11&amp;CN$12=$BB$11,$BB16,IF(CN$11&amp;CN$12=$BC$11,$BC16,IF(CN$11&amp;CN$12=$BD$11,$BD16,IF(CN$11&amp;CN$12=$BE$11,$BE16,IF(CN$11&amp;CN$12=$BF$11,$BF16,SUMIFS('Reference Tables'!$F$880:$F$925,'Reference Tables'!$A$880:$A$925,CN$11,'Reference Tables'!$B$880:$B$925,CN$12)))))))))</f>
        <v>0</v>
      </c>
      <c r="CO16" s="306">
        <f>IF(CO$11&amp;CO$12=$AY$11,$AY16,IF(CO$11&amp;CO$12=$AZ$11,$AZ16,IF(CO$11&amp;CO$12=$BA$11,$BA16,IF(CO$11&amp;CO$12=$BB$11,$BB16,IF(CO$11&amp;CO$12=$BC$11,$BC16,IF(CO$11&amp;CO$12=$BD$11,$BD16,IF(CO$11&amp;CO$12=$BE$11,$BE16,IF(CO$11&amp;CO$12=$BF$11,$BF16,SUMIFS('Reference Tables'!$F$880:$F$925,'Reference Tables'!$A$880:$A$925,CO$11,'Reference Tables'!$B$880:$B$925,CO$12)))))))))</f>
        <v>0</v>
      </c>
      <c r="CP16" s="306">
        <f>IF(CP$11&amp;CP$12=$AY$11,$AY16,IF(CP$11&amp;CP$12=$AZ$11,$AZ16,IF(CP$11&amp;CP$12=$BA$11,$BA16,IF(CP$11&amp;CP$12=$BB$11,$BB16,IF(CP$11&amp;CP$12=$BC$11,$BC16,IF(CP$11&amp;CP$12=$BD$11,$BD16,IF(CP$11&amp;CP$12=$BE$11,$BE16,IF(CP$11&amp;CP$12=$BF$11,$BF16,SUMIFS('Reference Tables'!$F$880:$F$925,'Reference Tables'!$A$880:$A$925,CP$11,'Reference Tables'!$B$880:$B$925,CP$12)))))))))</f>
        <v>0</v>
      </c>
      <c r="CQ16" s="306">
        <f>IF(CQ$11&amp;CQ$12=$AY$11,$AY16,IF(CQ$11&amp;CQ$12=$AZ$11,$AZ16,IF(CQ$11&amp;CQ$12=$BA$11,$BA16,IF(CQ$11&amp;CQ$12=$BB$11,$BB16,IF(CQ$11&amp;CQ$12=$BC$11,$BC16,IF(CQ$11&amp;CQ$12=$BD$11,$BD16,IF(CQ$11&amp;CQ$12=$BE$11,$BE16,IF(CQ$11&amp;CQ$12=$BF$11,$BF16,SUMIFS('Reference Tables'!$F$880:$F$925,'Reference Tables'!$A$880:$A$925,CQ$11,'Reference Tables'!$B$880:$B$925,CQ$12)))))))))</f>
        <v>0</v>
      </c>
      <c r="CR16" s="306">
        <f>IF(CR$11&amp;CR$12=$AY$11,$AY16,IF(CR$11&amp;CR$12=$AZ$11,$AZ16,IF(CR$11&amp;CR$12=$BA$11,$BA16,IF(CR$11&amp;CR$12=$BB$11,$BB16,IF(CR$11&amp;CR$12=$BC$11,$BC16,IF(CR$11&amp;CR$12=$BD$11,$BD16,IF(CR$11&amp;CR$12=$BE$11,$BE16,IF(CR$11&amp;CR$12=$BF$11,$BF16,SUMIFS('Reference Tables'!$F$880:$F$925,'Reference Tables'!$A$880:$A$925,CR$11,'Reference Tables'!$B$880:$B$925,CR$12)))))))))</f>
        <v>0</v>
      </c>
      <c r="CS16" s="306">
        <f>IF(CS$11&amp;CS$12=$AY$11,$AY16,IF(CS$11&amp;CS$12=$AZ$11,$AZ16,IF(CS$11&amp;CS$12=$BA$11,$BA16,IF(CS$11&amp;CS$12=$BB$11,$BB16,IF(CS$11&amp;CS$12=$BC$11,$BC16,IF(CS$11&amp;CS$12=$BD$11,$BD16,IF(CS$11&amp;CS$12=$BE$11,$BE16,IF(CS$11&amp;CS$12=$BF$11,$BF16,SUMIFS('Reference Tables'!$F$880:$F$925,'Reference Tables'!$A$880:$A$925,CS$11,'Reference Tables'!$B$880:$B$925,CS$12)))))))))</f>
        <v>0</v>
      </c>
      <c r="CT16" s="306">
        <f>IF(CT$11&amp;CT$12=$AY$11,$AY16,IF(CT$11&amp;CT$12=$AZ$11,$AZ16,IF(CT$11&amp;CT$12=$BA$11,$BA16,IF(CT$11&amp;CT$12=$BB$11,$BB16,IF(CT$11&amp;CT$12=$BC$11,$BC16,IF(CT$11&amp;CT$12=$BD$11,$BD16,IF(CT$11&amp;CT$12=$BE$11,$BE16,IF(CT$11&amp;CT$12=$BF$11,$BF16,SUMIFS('Reference Tables'!$F$880:$F$925,'Reference Tables'!$A$880:$A$925,CT$11,'Reference Tables'!$B$880:$B$925,CT$12)))))))))</f>
        <v>0</v>
      </c>
      <c r="CU16" s="306">
        <f>IF(CU$11&amp;CU$12=$AY$11,$AY16,IF(CU$11&amp;CU$12=$AZ$11,$AZ16,IF(CU$11&amp;CU$12=$BA$11,$BA16,IF(CU$11&amp;CU$12=$BB$11,$BB16,IF(CU$11&amp;CU$12=$BC$11,$BC16,IF(CU$11&amp;CU$12=$BD$11,$BD16,IF(CU$11&amp;CU$12=$BE$11,$BE16,IF(CU$11&amp;CU$12=$BF$11,$BF16,SUMIFS('Reference Tables'!$F$880:$F$925,'Reference Tables'!$A$880:$A$925,CU$11,'Reference Tables'!$B$880:$B$925,CU$12)))))))))</f>
        <v>0</v>
      </c>
      <c r="CV16" s="306">
        <f>IF(CV$11&amp;CV$12=$AY$11,$AY16,IF(CV$11&amp;CV$12=$AZ$11,$AZ16,IF(CV$11&amp;CV$12=$BA$11,$BA16,IF(CV$11&amp;CV$12=$BB$11,$BB16,IF(CV$11&amp;CV$12=$BC$11,$BC16,IF(CV$11&amp;CV$12=$BD$11,$BD16,IF(CV$11&amp;CV$12=$BE$11,$BE16,IF(CV$11&amp;CV$12=$BF$11,$BF16,SUMIFS('Reference Tables'!$F$880:$F$925,'Reference Tables'!$A$880:$A$925,CV$11,'Reference Tables'!$B$880:$B$925,CV$12)))))))))</f>
        <v>1</v>
      </c>
      <c r="CW16" s="306">
        <f>IF(CW$11&amp;CW$12=$AY$11,$AY16,IF(CW$11&amp;CW$12=$AZ$11,$AZ16,IF(CW$11&amp;CW$12=$BA$11,$BA16,IF(CW$11&amp;CW$12=$BB$11,$BB16,IF(CW$11&amp;CW$12=$BC$11,$BC16,IF(CW$11&amp;CW$12=$BD$11,$BD16,IF(CW$11&amp;CW$12=$BE$11,$BE16,IF(CW$11&amp;CW$12=$BF$11,$BF16,SUMIFS('Reference Tables'!$F$880:$F$925,'Reference Tables'!$A$880:$A$925,CW$11,'Reference Tables'!$B$880:$B$925,CW$12)))))))))</f>
        <v>1</v>
      </c>
      <c r="CX16" s="306">
        <f>IF(CX$11&amp;CX$12=$AY$11,$AY16,IF(CX$11&amp;CX$12=$AZ$11,$AZ16,IF(CX$11&amp;CX$12=$BA$11,$BA16,IF(CX$11&amp;CX$12=$BB$11,$BB16,IF(CX$11&amp;CX$12=$BC$11,$BC16,IF(CX$11&amp;CX$12=$BD$11,$BD16,IF(CX$11&amp;CX$12=$BE$11,$BE16,IF(CX$11&amp;CX$12=$BF$11,$BF16,SUMIFS('Reference Tables'!$F$880:$F$925,'Reference Tables'!$A$880:$A$925,CX$11,'Reference Tables'!$B$880:$B$925,CX$12)))))))))</f>
        <v>0</v>
      </c>
    </row>
    <row r="17" spans="1:102" s="250" customFormat="1" ht="18.75" customHeight="1">
      <c r="A17" s="303"/>
      <c r="B17" s="303"/>
      <c r="C17" s="307"/>
      <c r="D17" s="307"/>
      <c r="E17" s="307"/>
      <c r="F17" s="307"/>
      <c r="G17" s="307"/>
      <c r="H17" s="307"/>
      <c r="I17" s="307"/>
      <c r="J17" s="307"/>
      <c r="K17" s="307"/>
      <c r="L17" s="307"/>
      <c r="M17" s="307"/>
      <c r="N17" s="307"/>
      <c r="O17" s="307"/>
      <c r="P17" s="307"/>
      <c r="Q17" s="307"/>
      <c r="R17" s="307"/>
      <c r="S17" s="307"/>
      <c r="T17" s="307"/>
      <c r="U17" s="307"/>
      <c r="V17" s="307"/>
      <c r="W17" s="307"/>
      <c r="X17" s="307"/>
      <c r="Y17" s="307"/>
      <c r="Z17" s="307"/>
      <c r="AA17" s="307"/>
      <c r="AB17" s="307"/>
      <c r="AC17" s="307"/>
      <c r="AD17" s="307"/>
      <c r="AE17" s="307"/>
      <c r="AF17" s="307"/>
      <c r="AG17" s="307"/>
      <c r="AH17" s="307"/>
      <c r="AI17" s="307"/>
      <c r="AJ17" s="307"/>
      <c r="AK17" s="307"/>
      <c r="AL17" s="307"/>
      <c r="AM17" s="307"/>
      <c r="AN17" s="307"/>
      <c r="AO17" s="307"/>
      <c r="AP17" s="307"/>
      <c r="AQ17" s="307"/>
      <c r="AR17" s="307"/>
      <c r="AS17" s="307"/>
      <c r="AT17" s="307"/>
      <c r="AU17" s="180" t="str">
        <f>IF($A17="","",INDEX('Tank Data'!$1:$1048576,MATCH($A17,'Tank Data'!$A:$A,0),MATCH(AU$10,'Tank Data'!$9:$9,0)))</f>
        <v/>
      </c>
      <c r="AV17" s="180" t="str">
        <f>IF($A17="","",INDEX('Tank Data'!$1:$1048576,MATCH($A17,'Tank Data'!$A:$A,0),MATCH($AV$10,'Tank Data'!$9:$9,0)))</f>
        <v/>
      </c>
      <c r="AW17" s="305" t="str">
        <f>IF(OR($AV17="EFR",$AV17="DEFR"),INDEX('Tank Data'!$1:$1048576,MATCH($A17,'Tank Data'!$A:$A,0),MATCH($AW$10,'Tank Data'!$9:$9,0)),"")</f>
        <v/>
      </c>
      <c r="AX17" s="305" t="str">
        <f>IF($A17="","",INDEX('Tank Data'!$1:$1048576,MATCH($A17,'Tank Data'!$A:$A,0),MATCH($AX$10,'Tank Data'!$9:$9,0)))</f>
        <v/>
      </c>
      <c r="AY17" s="306">
        <f>IF($AV17="IFR",IF($AU17&gt;'Reference Tables'!$B$876,'Reference Tables'!$C$876,SUMPRODUCT(('Reference Tables'!$C$862:$C$876)*('Reference Tables'!$A$862:$A$876&lt;$AU17)*('Reference Tables'!$B$862:$B$876&gt;=$AU17))),0)</f>
        <v>0</v>
      </c>
      <c r="AZ17" s="306">
        <f>IF($AV17="IFR",1,IF(OR($AV17="EFR",$AV17="DEFR"),INDEX('Reference Tables'!$A$930:$C$938,MATCH(IF($AU17&lt;'Reference Tables'!$A$931,'Reference Tables'!$A$931,IF($AU17&gt;'Reference Tables'!$A$938,'Reference Tables'!$A$938,ROUND($AU17/50,0)*50)),'Reference Tables'!$A$930:$A$938,0),MATCH($AW17,'Reference Tables'!$A$930:$C$930,0)),0))</f>
        <v>0</v>
      </c>
      <c r="BA17" s="306">
        <f>IF(OR($AV17="EFR",$AV17="DEFR"),INDEX('Reference Tables'!$A$930:$D$938,MATCH(IF($AU17&lt;='Reference Tables'!$A$931,'Reference Tables'!$A$931,IF($AU17&gt;'Reference Tables'!$A$936,'Reference Tables'!$A$936,ROUND($AU17/50,0)*50)),'Reference Tables'!$A$930:$A$938,0),COLUMN('Reference Tables'!$D$930)),0)</f>
        <v>0</v>
      </c>
      <c r="BB17" s="306">
        <f>IF(AND(OR($AV17="EFR",$AV17="DEFR"),$AW17="Pontoon Roof"),INDEX('Reference Tables'!$A$943:$D$980,MATCH(IF($AU17&lt;'Reference Tables'!$A$943,'Reference Tables'!$A$943,IF($AU17&gt;'Reference Tables'!$A$980,'Reference Tables'!$A$980,ROUND($AU17,1))),'Reference Tables'!$A$943:$A$980,0),COLUMN('Reference Tables'!$B$942)),0)</f>
        <v>0</v>
      </c>
      <c r="BC17" s="306">
        <f>IF(AND(OR($AV17="EFR",$AV17="DEFR"),$AW17="Pontoon Roof"),INDEX('Reference Tables'!$A$943:$D$980,MATCH(IF($AU17&lt;'Reference Tables'!$A$943,'Reference Tables'!$A$943,IF($AU17&gt;'Reference Tables'!$A$980,'Reference Tables'!$A$980,ROUND($AU17,1))),'Reference Tables'!$A$943:$A$980,0),COLUMN('Reference Tables'!$C$942)),0)</f>
        <v>0</v>
      </c>
      <c r="BD17" s="306">
        <f>IF(AND(OR($AV17="EFR",$AV17="DEFR"),$AW17="Double-Deck Roof"),INDEX('Reference Tables'!$A$943:$D$980,MATCH(IF($AU17&lt;'Reference Tables'!$A$943,'Reference Tables'!$A$943,IF($AU17&gt;'Reference Tables'!$A$980,'Reference Tables'!$A$980,ROUND($AU17,1))),'Reference Tables'!$A$943:$A$980,0),COLUMN('Reference Tables'!$D$942)),0)</f>
        <v>0</v>
      </c>
      <c r="BE17" s="306">
        <f t="shared" si="0"/>
        <v>0</v>
      </c>
      <c r="BF17" s="306">
        <f t="shared" si="1"/>
        <v>0</v>
      </c>
      <c r="BG17" s="306">
        <f>IF(BG$11&amp;BG$12=$AY$11,$AY17,IF(BG$11&amp;BG$12=$AZ$11,$AZ17,IF(BG$11&amp;BG$12=$BA$11,$BA17,IF(BG$11&amp;BG$12=$BB$11,$BB17,IF(BG$11&amp;BG$12=$BC$11,$BC17,IF(BG$11&amp;BG$12=$BD$11,$BD17,IF(BG$11&amp;BG$12=$BE$11,$BE17,IF(BG$11&amp;BG$12=$BF$11,$BF17,SUMIFS('Reference Tables'!$F$880:$F$925,'Reference Tables'!$A$880:$A$925,BG$11,'Reference Tables'!$B$880:$B$925,BG$12)))))))))</f>
        <v>1</v>
      </c>
      <c r="BH17" s="306">
        <f>IF(BH$11&amp;BH$12=$AY$11,$AY17,IF(BH$11&amp;BH$12=$AZ$11,$AZ17,IF(BH$11&amp;BH$12=$BA$11,$BA17,IF(BH$11&amp;BH$12=$BB$11,$BB17,IF(BH$11&amp;BH$12=$BC$11,$BC17,IF(BH$11&amp;BH$12=$BD$11,$BD17,IF(BH$11&amp;BH$12=$BE$11,$BE17,IF(BH$11&amp;BH$12=$BF$11,$BF17,SUMIFS('Reference Tables'!$F$880:$F$925,'Reference Tables'!$A$880:$A$925,BH$11,'Reference Tables'!$B$880:$B$925,BH$12)))))))))</f>
        <v>0</v>
      </c>
      <c r="BI17" s="306">
        <f>IF(BI$11&amp;BI$12=$AY$11,$AY17,IF(BI$11&amp;BI$12=$AZ$11,$AZ17,IF(BI$11&amp;BI$12=$BA$11,$BA17,IF(BI$11&amp;BI$12=$BB$11,$BB17,IF(BI$11&amp;BI$12=$BC$11,$BC17,IF(BI$11&amp;BI$12=$BD$11,$BD17,IF(BI$11&amp;BI$12=$BE$11,$BE17,IF(BI$11&amp;BI$12=$BF$11,$BF17,SUMIFS('Reference Tables'!$F$880:$F$925,'Reference Tables'!$A$880:$A$925,BI$11,'Reference Tables'!$B$880:$B$925,BI$12)))))))))</f>
        <v>0</v>
      </c>
      <c r="BJ17" s="306">
        <f>IF(BJ$11&amp;BJ$12=$AY$11,$AY17,IF(BJ$11&amp;BJ$12=$AZ$11,$AZ17,IF(BJ$11&amp;BJ$12=$BA$11,$BA17,IF(BJ$11&amp;BJ$12=$BB$11,$BB17,IF(BJ$11&amp;BJ$12=$BC$11,$BC17,IF(BJ$11&amp;BJ$12=$BD$11,$BD17,IF(BJ$11&amp;BJ$12=$BE$11,$BE17,IF(BJ$11&amp;BJ$12=$BF$11,$BF17,SUMIFS('Reference Tables'!$F$880:$F$925,'Reference Tables'!$A$880:$A$925,BJ$11,'Reference Tables'!$B$880:$B$925,BJ$12)))))))))</f>
        <v>0</v>
      </c>
      <c r="BK17" s="306">
        <f>IF(BK$11&amp;BK$12=$AY$11,$AY17,IF(BK$11&amp;BK$12=$AZ$11,$AZ17,IF(BK$11&amp;BK$12=$BA$11,$BA17,IF(BK$11&amp;BK$12=$BB$11,$BB17,IF(BK$11&amp;BK$12=$BC$11,$BC17,IF(BK$11&amp;BK$12=$BD$11,$BD17,IF(BK$11&amp;BK$12=$BE$11,$BE17,IF(BK$11&amp;BK$12=$BF$11,$BF17,SUMIFS('Reference Tables'!$F$880:$F$925,'Reference Tables'!$A$880:$A$925,BK$11,'Reference Tables'!$B$880:$B$925,BK$12)))))))))</f>
        <v>0</v>
      </c>
      <c r="BL17" s="306">
        <f>IF(BL$11&amp;BL$12=$AY$11,$AY17,IF(BL$11&amp;BL$12=$AZ$11,$AZ17,IF(BL$11&amp;BL$12=$BA$11,$BA17,IF(BL$11&amp;BL$12=$BB$11,$BB17,IF(BL$11&amp;BL$12=$BC$11,$BC17,IF(BL$11&amp;BL$12=$BD$11,$BD17,IF(BL$11&amp;BL$12=$BE$11,$BE17,IF(BL$11&amp;BL$12=$BF$11,$BF17,SUMIFS('Reference Tables'!$F$880:$F$925,'Reference Tables'!$A$880:$A$925,BL$11,'Reference Tables'!$B$880:$B$925,BL$12)))))))))</f>
        <v>0</v>
      </c>
      <c r="BM17" s="306">
        <f>IF(BM$11&amp;BM$12=$AY$11,$AY17,IF(BM$11&amp;BM$12=$AZ$11,$AZ17,IF(BM$11&amp;BM$12=$BA$11,$BA17,IF(BM$11&amp;BM$12=$BB$11,$BB17,IF(BM$11&amp;BM$12=$BC$11,$BC17,IF(BM$11&amp;BM$12=$BD$11,$BD17,IF(BM$11&amp;BM$12=$BE$11,$BE17,IF(BM$11&amp;BM$12=$BF$11,$BF17,SUMIFS('Reference Tables'!$F$880:$F$925,'Reference Tables'!$A$880:$A$925,BM$11,'Reference Tables'!$B$880:$B$925,BM$12)))))))))</f>
        <v>0</v>
      </c>
      <c r="BN17" s="306">
        <f>IF(BN$11&amp;BN$12=$AY$11,$AY17,IF(BN$11&amp;BN$12=$AZ$11,$AZ17,IF(BN$11&amp;BN$12=$BA$11,$BA17,IF(BN$11&amp;BN$12=$BB$11,$BB17,IF(BN$11&amp;BN$12=$BC$11,$BC17,IF(BN$11&amp;BN$12=$BD$11,$BD17,IF(BN$11&amp;BN$12=$BE$11,$BE17,IF(BN$11&amp;BN$12=$BF$11,$BF17,SUMIFS('Reference Tables'!$F$880:$F$925,'Reference Tables'!$A$880:$A$925,BN$11,'Reference Tables'!$B$880:$B$925,BN$12)))))))))</f>
        <v>0</v>
      </c>
      <c r="BO17" s="306">
        <f>IF(BO$11&amp;BO$12=$AY$11,$AY17,IF(BO$11&amp;BO$12=$AZ$11,$AZ17,IF(BO$11&amp;BO$12=$BA$11,$BA17,IF(BO$11&amp;BO$12=$BB$11,$BB17,IF(BO$11&amp;BO$12=$BC$11,$BC17,IF(BO$11&amp;BO$12=$BD$11,$BD17,IF(BO$11&amp;BO$12=$BE$11,$BE17,IF(BO$11&amp;BO$12=$BF$11,$BF17,SUMIFS('Reference Tables'!$F$880:$F$925,'Reference Tables'!$A$880:$A$925,BO$11,'Reference Tables'!$B$880:$B$925,BO$12)))))))))</f>
        <v>1</v>
      </c>
      <c r="BP17" s="306">
        <f>IF(BP$11&amp;BP$12=$AY$11,$AY17,IF(BP$11&amp;BP$12=$AZ$11,$AZ17,IF(BP$11&amp;BP$12=$BA$11,$BA17,IF(BP$11&amp;BP$12=$BB$11,$BB17,IF(BP$11&amp;BP$12=$BC$11,$BC17,IF(BP$11&amp;BP$12=$BD$11,$BD17,IF(BP$11&amp;BP$12=$BE$11,$BE17,IF(BP$11&amp;BP$12=$BF$11,$BF17,SUMIFS('Reference Tables'!$F$880:$F$925,'Reference Tables'!$A$880:$A$925,BP$11,'Reference Tables'!$B$880:$B$925,BP$12)))))))))</f>
        <v>0</v>
      </c>
      <c r="BQ17" s="306">
        <f>IF(BQ$11&amp;BQ$12=$AY$11,$AY17,IF(BQ$11&amp;BQ$12=$AZ$11,$AZ17,IF(BQ$11&amp;BQ$12=$BA$11,$BA17,IF(BQ$11&amp;BQ$12=$BB$11,$BB17,IF(BQ$11&amp;BQ$12=$BC$11,$BC17,IF(BQ$11&amp;BQ$12=$BD$11,$BD17,IF(BQ$11&amp;BQ$12=$BE$11,$BE17,IF(BQ$11&amp;BQ$12=$BF$11,$BF17,SUMIFS('Reference Tables'!$F$880:$F$925,'Reference Tables'!$A$880:$A$925,BQ$11,'Reference Tables'!$B$880:$B$925,BQ$12)))))))))</f>
        <v>0</v>
      </c>
      <c r="BR17" s="306">
        <f>IF(BR$11&amp;BR$12=$AY$11,$AY17,IF(BR$11&amp;BR$12=$AZ$11,$AZ17,IF(BR$11&amp;BR$12=$BA$11,$BA17,IF(BR$11&amp;BR$12=$BB$11,$BB17,IF(BR$11&amp;BR$12=$BC$11,$BC17,IF(BR$11&amp;BR$12=$BD$11,$BD17,IF(BR$11&amp;BR$12=$BE$11,$BE17,IF(BR$11&amp;BR$12=$BF$11,$BF17,SUMIFS('Reference Tables'!$F$880:$F$925,'Reference Tables'!$A$880:$A$925,BR$11,'Reference Tables'!$B$880:$B$925,BR$12)))))))))</f>
        <v>0</v>
      </c>
      <c r="BS17" s="306">
        <f>IF(BS$11&amp;BS$12=$AY$11,$AY17,IF(BS$11&amp;BS$12=$AZ$11,$AZ17,IF(BS$11&amp;BS$12=$BA$11,$BA17,IF(BS$11&amp;BS$12=$BB$11,$BB17,IF(BS$11&amp;BS$12=$BC$11,$BC17,IF(BS$11&amp;BS$12=$BD$11,$BD17,IF(BS$11&amp;BS$12=$BE$11,$BE17,IF(BS$11&amp;BS$12=$BF$11,$BF17,SUMIFS('Reference Tables'!$F$880:$F$925,'Reference Tables'!$A$880:$A$925,BS$11,'Reference Tables'!$B$880:$B$925,BS$12)))))))))</f>
        <v>0</v>
      </c>
      <c r="BT17" s="306">
        <f>IF(BT$11&amp;BT$12=$AY$11,$AY17,IF(BT$11&amp;BT$12=$AZ$11,$AZ17,IF(BT$11&amp;BT$12=$BA$11,$BA17,IF(BT$11&amp;BT$12=$BB$11,$BB17,IF(BT$11&amp;BT$12=$BC$11,$BC17,IF(BT$11&amp;BT$12=$BD$11,$BD17,IF(BT$11&amp;BT$12=$BE$11,$BE17,IF(BT$11&amp;BT$12=$BF$11,$BF17,SUMIFS('Reference Tables'!$F$880:$F$925,'Reference Tables'!$A$880:$A$925,BT$11,'Reference Tables'!$B$880:$B$925,BT$12)))))))))</f>
        <v>0</v>
      </c>
      <c r="BU17" s="306">
        <f>IF(BU$11&amp;BU$12=$AY$11,$AY17,IF(BU$11&amp;BU$12=$AZ$11,$AZ17,IF(BU$11&amp;BU$12=$BA$11,$BA17,IF(BU$11&amp;BU$12=$BB$11,$BB17,IF(BU$11&amp;BU$12=$BC$11,$BC17,IF(BU$11&amp;BU$12=$BD$11,$BD17,IF(BU$11&amp;BU$12=$BE$11,$BE17,IF(BU$11&amp;BU$12=$BF$11,$BF17,SUMIFS('Reference Tables'!$F$880:$F$925,'Reference Tables'!$A$880:$A$925,BU$11,'Reference Tables'!$B$880:$B$925,BU$12)))))))))</f>
        <v>0</v>
      </c>
      <c r="BV17" s="306">
        <f>IF(BV$11&amp;BV$12=$AY$11,$AY17,IF(BV$11&amp;BV$12=$AZ$11,$AZ17,IF(BV$11&amp;BV$12=$BA$11,$BA17,IF(BV$11&amp;BV$12=$BB$11,$BB17,IF(BV$11&amp;BV$12=$BC$11,$BC17,IF(BV$11&amp;BV$12=$BD$11,$BD17,IF(BV$11&amp;BV$12=$BE$11,$BE17,IF(BV$11&amp;BV$12=$BF$11,$BF17,SUMIFS('Reference Tables'!$F$880:$F$925,'Reference Tables'!$A$880:$A$925,BV$11,'Reference Tables'!$B$880:$B$925,BV$12)))))))))</f>
        <v>0</v>
      </c>
      <c r="BW17" s="306">
        <f>IF(BW$11&amp;BW$12=$AY$11,$AY17,IF(BW$11&amp;BW$12=$AZ$11,$AZ17,IF(BW$11&amp;BW$12=$BA$11,$BA17,IF(BW$11&amp;BW$12=$BB$11,$BB17,IF(BW$11&amp;BW$12=$BC$11,$BC17,IF(BW$11&amp;BW$12=$BD$11,$BD17,IF(BW$11&amp;BW$12=$BE$11,$BE17,IF(BW$11&amp;BW$12=$BF$11,$BF17,SUMIFS('Reference Tables'!$F$880:$F$925,'Reference Tables'!$A$880:$A$925,BW$11,'Reference Tables'!$B$880:$B$925,BW$12)))))))))</f>
        <v>0</v>
      </c>
      <c r="BX17" s="306">
        <f>IF(BX$11&amp;BX$12=$AY$11,$AY17,IF(BX$11&amp;BX$12=$AZ$11,$AZ17,IF(BX$11&amp;BX$12=$BA$11,$BA17,IF(BX$11&amp;BX$12=$BB$11,$BB17,IF(BX$11&amp;BX$12=$BC$11,$BC17,IF(BX$11&amp;BX$12=$BD$11,$BD17,IF(BX$11&amp;BX$12=$BE$11,$BE17,IF(BX$11&amp;BX$12=$BF$11,$BF17,SUMIFS('Reference Tables'!$F$880:$F$925,'Reference Tables'!$A$880:$A$925,BX$11,'Reference Tables'!$B$880:$B$925,BX$12)))))))))</f>
        <v>0</v>
      </c>
      <c r="BY17" s="306">
        <f>IF(BY$11&amp;BY$12=$AY$11,$AY17,IF(BY$11&amp;BY$12=$AZ$11,$AZ17,IF(BY$11&amp;BY$12=$BA$11,$BA17,IF(BY$11&amp;BY$12=$BB$11,$BB17,IF(BY$11&amp;BY$12=$BC$11,$BC17,IF(BY$11&amp;BY$12=$BD$11,$BD17,IF(BY$11&amp;BY$12=$BE$11,$BE17,IF(BY$11&amp;BY$12=$BF$11,$BF17,SUMIFS('Reference Tables'!$F$880:$F$925,'Reference Tables'!$A$880:$A$925,BY$11,'Reference Tables'!$B$880:$B$925,BY$12)))))))))</f>
        <v>0</v>
      </c>
      <c r="BZ17" s="306">
        <f>IF(BZ$11&amp;BZ$12=$AY$11,$AY17,IF(BZ$11&amp;BZ$12=$AZ$11,$AZ17,IF(BZ$11&amp;BZ$12=$BA$11,$BA17,IF(BZ$11&amp;BZ$12=$BB$11,$BB17,IF(BZ$11&amp;BZ$12=$BC$11,$BC17,IF(BZ$11&amp;BZ$12=$BD$11,$BD17,IF(BZ$11&amp;BZ$12=$BE$11,$BE17,IF(BZ$11&amp;BZ$12=$BF$11,$BF17,SUMIFS('Reference Tables'!$F$880:$F$925,'Reference Tables'!$A$880:$A$925,BZ$11,'Reference Tables'!$B$880:$B$925,BZ$12)))))))))</f>
        <v>0</v>
      </c>
      <c r="CA17" s="306">
        <f>IF(CA$11&amp;CA$12=$AY$11,$AY17,IF(CA$11&amp;CA$12=$AZ$11,$AZ17,IF(CA$11&amp;CA$12=$BA$11,$BA17,IF(CA$11&amp;CA$12=$BB$11,$BB17,IF(CA$11&amp;CA$12=$BC$11,$BC17,IF(CA$11&amp;CA$12=$BD$11,$BD17,IF(CA$11&amp;CA$12=$BE$11,$BE17,IF(CA$11&amp;CA$12=$BF$11,$BF17,SUMIFS('Reference Tables'!$F$880:$F$925,'Reference Tables'!$A$880:$A$925,CA$11,'Reference Tables'!$B$880:$B$925,CA$12)))))))))</f>
        <v>1</v>
      </c>
      <c r="CB17" s="306">
        <f>IF(CB$11&amp;CB$12=$AY$11,$AY17,IF(CB$11&amp;CB$12=$AZ$11,$AZ17,IF(CB$11&amp;CB$12=$BA$11,$BA17,IF(CB$11&amp;CB$12=$BB$11,$BB17,IF(CB$11&amp;CB$12=$BC$11,$BC17,IF(CB$11&amp;CB$12=$BD$11,$BD17,IF(CB$11&amp;CB$12=$BE$11,$BE17,IF(CB$11&amp;CB$12=$BF$11,$BF17,SUMIFS('Reference Tables'!$F$880:$F$925,'Reference Tables'!$A$880:$A$925,CB$11,'Reference Tables'!$B$880:$B$925,CB$12)))))))))</f>
        <v>0</v>
      </c>
      <c r="CC17" s="306">
        <f>IF(CC$11&amp;CC$12=$AY$11,$AY17,IF(CC$11&amp;CC$12=$AZ$11,$AZ17,IF(CC$11&amp;CC$12=$BA$11,$BA17,IF(CC$11&amp;CC$12=$BB$11,$BB17,IF(CC$11&amp;CC$12=$BC$11,$BC17,IF(CC$11&amp;CC$12=$BD$11,$BD17,IF(CC$11&amp;CC$12=$BE$11,$BE17,IF(CC$11&amp;CC$12=$BF$11,$BF17,SUMIFS('Reference Tables'!$F$880:$F$925,'Reference Tables'!$A$880:$A$925,CC$11,'Reference Tables'!$B$880:$B$925,CC$12)))))))))</f>
        <v>0</v>
      </c>
      <c r="CD17" s="306">
        <f>IF(CD$11&amp;CD$12=$AY$11,$AY17,IF(CD$11&amp;CD$12=$AZ$11,$AZ17,IF(CD$11&amp;CD$12=$BA$11,$BA17,IF(CD$11&amp;CD$12=$BB$11,$BB17,IF(CD$11&amp;CD$12=$BC$11,$BC17,IF(CD$11&amp;CD$12=$BD$11,$BD17,IF(CD$11&amp;CD$12=$BE$11,$BE17,IF(CD$11&amp;CD$12=$BF$11,$BF17,SUMIFS('Reference Tables'!$F$880:$F$925,'Reference Tables'!$A$880:$A$925,CD$11,'Reference Tables'!$B$880:$B$925,CD$12)))))))))</f>
        <v>1</v>
      </c>
      <c r="CE17" s="306">
        <f>IF(CE$11&amp;CE$12=$AY$11,$AY17,IF(CE$11&amp;CE$12=$AZ$11,$AZ17,IF(CE$11&amp;CE$12=$BA$11,$BA17,IF(CE$11&amp;CE$12=$BB$11,$BB17,IF(CE$11&amp;CE$12=$BC$11,$BC17,IF(CE$11&amp;CE$12=$BD$11,$BD17,IF(CE$11&amp;CE$12=$BE$11,$BE17,IF(CE$11&amp;CE$12=$BF$11,$BF17,SUMIFS('Reference Tables'!$F$880:$F$925,'Reference Tables'!$A$880:$A$925,CE$11,'Reference Tables'!$B$880:$B$925,CE$12)))))))))</f>
        <v>0</v>
      </c>
      <c r="CF17" s="306">
        <f>IF(CF$11&amp;CF$12=$AY$11,$AY17,IF(CF$11&amp;CF$12=$AZ$11,$AZ17,IF(CF$11&amp;CF$12=$BA$11,$BA17,IF(CF$11&amp;CF$12=$BB$11,$BB17,IF(CF$11&amp;CF$12=$BC$11,$BC17,IF(CF$11&amp;CF$12=$BD$11,$BD17,IF(CF$11&amp;CF$12=$BE$11,$BE17,IF(CF$11&amp;CF$12=$BF$11,$BF17,SUMIFS('Reference Tables'!$F$880:$F$925,'Reference Tables'!$A$880:$A$925,CF$11,'Reference Tables'!$B$880:$B$925,CF$12)))))))))</f>
        <v>0</v>
      </c>
      <c r="CG17" s="306">
        <f>IF(CG$11&amp;CG$12=$AY$11,$AY17,IF(CG$11&amp;CG$12=$AZ$11,$AZ17,IF(CG$11&amp;CG$12=$BA$11,$BA17,IF(CG$11&amp;CG$12=$BB$11,$BB17,IF(CG$11&amp;CG$12=$BC$11,$BC17,IF(CG$11&amp;CG$12=$BD$11,$BD17,IF(CG$11&amp;CG$12=$BE$11,$BE17,IF(CG$11&amp;CG$12=$BF$11,$BF17,SUMIFS('Reference Tables'!$F$880:$F$925,'Reference Tables'!$A$880:$A$925,CG$11,'Reference Tables'!$B$880:$B$925,CG$12)))))))))</f>
        <v>0</v>
      </c>
      <c r="CH17" s="306">
        <f>IF(CH$11&amp;CH$12=$AY$11,$AY17,IF(CH$11&amp;CH$12=$AZ$11,$AZ17,IF(CH$11&amp;CH$12=$BA$11,$BA17,IF(CH$11&amp;CH$12=$BB$11,$BB17,IF(CH$11&amp;CH$12=$BC$11,$BC17,IF(CH$11&amp;CH$12=$BD$11,$BD17,IF(CH$11&amp;CH$12=$BE$11,$BE17,IF(CH$11&amp;CH$12=$BF$11,$BF17,SUMIFS('Reference Tables'!$F$880:$F$925,'Reference Tables'!$A$880:$A$925,CH$11,'Reference Tables'!$B$880:$B$925,CH$12)))))))))</f>
        <v>0</v>
      </c>
      <c r="CI17" s="306">
        <f>IF(CI$11&amp;CI$12=$AY$11,$AY17,IF(CI$11&amp;CI$12=$AZ$11,$AZ17,IF(CI$11&amp;CI$12=$BA$11,$BA17,IF(CI$11&amp;CI$12=$BB$11,$BB17,IF(CI$11&amp;CI$12=$BC$11,$BC17,IF(CI$11&amp;CI$12=$BD$11,$BD17,IF(CI$11&amp;CI$12=$BE$11,$BE17,IF(CI$11&amp;CI$12=$BF$11,$BF17,SUMIFS('Reference Tables'!$F$880:$F$925,'Reference Tables'!$A$880:$A$925,CI$11,'Reference Tables'!$B$880:$B$925,CI$12)))))))))</f>
        <v>0</v>
      </c>
      <c r="CJ17" s="306">
        <f>IF(CJ$11&amp;CJ$12=$AY$11,$AY17,IF(CJ$11&amp;CJ$12=$AZ$11,$AZ17,IF(CJ$11&amp;CJ$12=$BA$11,$BA17,IF(CJ$11&amp;CJ$12=$BB$11,$BB17,IF(CJ$11&amp;CJ$12=$BC$11,$BC17,IF(CJ$11&amp;CJ$12=$BD$11,$BD17,IF(CJ$11&amp;CJ$12=$BE$11,$BE17,IF(CJ$11&amp;CJ$12=$BF$11,$BF17,SUMIFS('Reference Tables'!$F$880:$F$925,'Reference Tables'!$A$880:$A$925,CJ$11,'Reference Tables'!$B$880:$B$925,CJ$12)))))))))</f>
        <v>0</v>
      </c>
      <c r="CK17" s="306">
        <f>IF(CK$11&amp;CK$12=$AY$11,$AY17,IF(CK$11&amp;CK$12=$AZ$11,$AZ17,IF(CK$11&amp;CK$12=$BA$11,$BA17,IF(CK$11&amp;CK$12=$BB$11,$BB17,IF(CK$11&amp;CK$12=$BC$11,$BC17,IF(CK$11&amp;CK$12=$BD$11,$BD17,IF(CK$11&amp;CK$12=$BE$11,$BE17,IF(CK$11&amp;CK$12=$BF$11,$BF17,SUMIFS('Reference Tables'!$F$880:$F$925,'Reference Tables'!$A$880:$A$925,CK$11,'Reference Tables'!$B$880:$B$925,CK$12)))))))))</f>
        <v>0</v>
      </c>
      <c r="CL17" s="306">
        <f>IF(CL$11&amp;CL$12=$AY$11,$AY17,IF(CL$11&amp;CL$12=$AZ$11,$AZ17,IF(CL$11&amp;CL$12=$BA$11,$BA17,IF(CL$11&amp;CL$12=$BB$11,$BB17,IF(CL$11&amp;CL$12=$BC$11,$BC17,IF(CL$11&amp;CL$12=$BD$11,$BD17,IF(CL$11&amp;CL$12=$BE$11,$BE17,IF(CL$11&amp;CL$12=$BF$11,$BF17,SUMIFS('Reference Tables'!$F$880:$F$925,'Reference Tables'!$A$880:$A$925,CL$11,'Reference Tables'!$B$880:$B$925,CL$12)))))))))</f>
        <v>0</v>
      </c>
      <c r="CM17" s="306">
        <f>IF(CM$11&amp;CM$12=$AY$11,$AY17,IF(CM$11&amp;CM$12=$AZ$11,$AZ17,IF(CM$11&amp;CM$12=$BA$11,$BA17,IF(CM$11&amp;CM$12=$BB$11,$BB17,IF(CM$11&amp;CM$12=$BC$11,$BC17,IF(CM$11&amp;CM$12=$BD$11,$BD17,IF(CM$11&amp;CM$12=$BE$11,$BE17,IF(CM$11&amp;CM$12=$BF$11,$BF17,SUMIFS('Reference Tables'!$F$880:$F$925,'Reference Tables'!$A$880:$A$925,CM$11,'Reference Tables'!$B$880:$B$925,CM$12)))))))))</f>
        <v>0</v>
      </c>
      <c r="CN17" s="306">
        <f>IF(CN$11&amp;CN$12=$AY$11,$AY17,IF(CN$11&amp;CN$12=$AZ$11,$AZ17,IF(CN$11&amp;CN$12=$BA$11,$BA17,IF(CN$11&amp;CN$12=$BB$11,$BB17,IF(CN$11&amp;CN$12=$BC$11,$BC17,IF(CN$11&amp;CN$12=$BD$11,$BD17,IF(CN$11&amp;CN$12=$BE$11,$BE17,IF(CN$11&amp;CN$12=$BF$11,$BF17,SUMIFS('Reference Tables'!$F$880:$F$925,'Reference Tables'!$A$880:$A$925,CN$11,'Reference Tables'!$B$880:$B$925,CN$12)))))))))</f>
        <v>0</v>
      </c>
      <c r="CO17" s="306">
        <f>IF(CO$11&amp;CO$12=$AY$11,$AY17,IF(CO$11&amp;CO$12=$AZ$11,$AZ17,IF(CO$11&amp;CO$12=$BA$11,$BA17,IF(CO$11&amp;CO$12=$BB$11,$BB17,IF(CO$11&amp;CO$12=$BC$11,$BC17,IF(CO$11&amp;CO$12=$BD$11,$BD17,IF(CO$11&amp;CO$12=$BE$11,$BE17,IF(CO$11&amp;CO$12=$BF$11,$BF17,SUMIFS('Reference Tables'!$F$880:$F$925,'Reference Tables'!$A$880:$A$925,CO$11,'Reference Tables'!$B$880:$B$925,CO$12)))))))))</f>
        <v>0</v>
      </c>
      <c r="CP17" s="306">
        <f>IF(CP$11&amp;CP$12=$AY$11,$AY17,IF(CP$11&amp;CP$12=$AZ$11,$AZ17,IF(CP$11&amp;CP$12=$BA$11,$BA17,IF(CP$11&amp;CP$12=$BB$11,$BB17,IF(CP$11&amp;CP$12=$BC$11,$BC17,IF(CP$11&amp;CP$12=$BD$11,$BD17,IF(CP$11&amp;CP$12=$BE$11,$BE17,IF(CP$11&amp;CP$12=$BF$11,$BF17,SUMIFS('Reference Tables'!$F$880:$F$925,'Reference Tables'!$A$880:$A$925,CP$11,'Reference Tables'!$B$880:$B$925,CP$12)))))))))</f>
        <v>0</v>
      </c>
      <c r="CQ17" s="306">
        <f>IF(CQ$11&amp;CQ$12=$AY$11,$AY17,IF(CQ$11&amp;CQ$12=$AZ$11,$AZ17,IF(CQ$11&amp;CQ$12=$BA$11,$BA17,IF(CQ$11&amp;CQ$12=$BB$11,$BB17,IF(CQ$11&amp;CQ$12=$BC$11,$BC17,IF(CQ$11&amp;CQ$12=$BD$11,$BD17,IF(CQ$11&amp;CQ$12=$BE$11,$BE17,IF(CQ$11&amp;CQ$12=$BF$11,$BF17,SUMIFS('Reference Tables'!$F$880:$F$925,'Reference Tables'!$A$880:$A$925,CQ$11,'Reference Tables'!$B$880:$B$925,CQ$12)))))))))</f>
        <v>0</v>
      </c>
      <c r="CR17" s="306">
        <f>IF(CR$11&amp;CR$12=$AY$11,$AY17,IF(CR$11&amp;CR$12=$AZ$11,$AZ17,IF(CR$11&amp;CR$12=$BA$11,$BA17,IF(CR$11&amp;CR$12=$BB$11,$BB17,IF(CR$11&amp;CR$12=$BC$11,$BC17,IF(CR$11&amp;CR$12=$BD$11,$BD17,IF(CR$11&amp;CR$12=$BE$11,$BE17,IF(CR$11&amp;CR$12=$BF$11,$BF17,SUMIFS('Reference Tables'!$F$880:$F$925,'Reference Tables'!$A$880:$A$925,CR$11,'Reference Tables'!$B$880:$B$925,CR$12)))))))))</f>
        <v>0</v>
      </c>
      <c r="CS17" s="306">
        <f>IF(CS$11&amp;CS$12=$AY$11,$AY17,IF(CS$11&amp;CS$12=$AZ$11,$AZ17,IF(CS$11&amp;CS$12=$BA$11,$BA17,IF(CS$11&amp;CS$12=$BB$11,$BB17,IF(CS$11&amp;CS$12=$BC$11,$BC17,IF(CS$11&amp;CS$12=$BD$11,$BD17,IF(CS$11&amp;CS$12=$BE$11,$BE17,IF(CS$11&amp;CS$12=$BF$11,$BF17,SUMIFS('Reference Tables'!$F$880:$F$925,'Reference Tables'!$A$880:$A$925,CS$11,'Reference Tables'!$B$880:$B$925,CS$12)))))))))</f>
        <v>0</v>
      </c>
      <c r="CT17" s="306">
        <f>IF(CT$11&amp;CT$12=$AY$11,$AY17,IF(CT$11&amp;CT$12=$AZ$11,$AZ17,IF(CT$11&amp;CT$12=$BA$11,$BA17,IF(CT$11&amp;CT$12=$BB$11,$BB17,IF(CT$11&amp;CT$12=$BC$11,$BC17,IF(CT$11&amp;CT$12=$BD$11,$BD17,IF(CT$11&amp;CT$12=$BE$11,$BE17,IF(CT$11&amp;CT$12=$BF$11,$BF17,SUMIFS('Reference Tables'!$F$880:$F$925,'Reference Tables'!$A$880:$A$925,CT$11,'Reference Tables'!$B$880:$B$925,CT$12)))))))))</f>
        <v>0</v>
      </c>
      <c r="CU17" s="306">
        <f>IF(CU$11&amp;CU$12=$AY$11,$AY17,IF(CU$11&amp;CU$12=$AZ$11,$AZ17,IF(CU$11&amp;CU$12=$BA$11,$BA17,IF(CU$11&amp;CU$12=$BB$11,$BB17,IF(CU$11&amp;CU$12=$BC$11,$BC17,IF(CU$11&amp;CU$12=$BD$11,$BD17,IF(CU$11&amp;CU$12=$BE$11,$BE17,IF(CU$11&amp;CU$12=$BF$11,$BF17,SUMIFS('Reference Tables'!$F$880:$F$925,'Reference Tables'!$A$880:$A$925,CU$11,'Reference Tables'!$B$880:$B$925,CU$12)))))))))</f>
        <v>0</v>
      </c>
      <c r="CV17" s="306">
        <f>IF(CV$11&amp;CV$12=$AY$11,$AY17,IF(CV$11&amp;CV$12=$AZ$11,$AZ17,IF(CV$11&amp;CV$12=$BA$11,$BA17,IF(CV$11&amp;CV$12=$BB$11,$BB17,IF(CV$11&amp;CV$12=$BC$11,$BC17,IF(CV$11&amp;CV$12=$BD$11,$BD17,IF(CV$11&amp;CV$12=$BE$11,$BE17,IF(CV$11&amp;CV$12=$BF$11,$BF17,SUMIFS('Reference Tables'!$F$880:$F$925,'Reference Tables'!$A$880:$A$925,CV$11,'Reference Tables'!$B$880:$B$925,CV$12)))))))))</f>
        <v>1</v>
      </c>
      <c r="CW17" s="306">
        <f>IF(CW$11&amp;CW$12=$AY$11,$AY17,IF(CW$11&amp;CW$12=$AZ$11,$AZ17,IF(CW$11&amp;CW$12=$BA$11,$BA17,IF(CW$11&amp;CW$12=$BB$11,$BB17,IF(CW$11&amp;CW$12=$BC$11,$BC17,IF(CW$11&amp;CW$12=$BD$11,$BD17,IF(CW$11&amp;CW$12=$BE$11,$BE17,IF(CW$11&amp;CW$12=$BF$11,$BF17,SUMIFS('Reference Tables'!$F$880:$F$925,'Reference Tables'!$A$880:$A$925,CW$11,'Reference Tables'!$B$880:$B$925,CW$12)))))))))</f>
        <v>1</v>
      </c>
      <c r="CX17" s="306">
        <f>IF(CX$11&amp;CX$12=$AY$11,$AY17,IF(CX$11&amp;CX$12=$AZ$11,$AZ17,IF(CX$11&amp;CX$12=$BA$11,$BA17,IF(CX$11&amp;CX$12=$BB$11,$BB17,IF(CX$11&amp;CX$12=$BC$11,$BC17,IF(CX$11&amp;CX$12=$BD$11,$BD17,IF(CX$11&amp;CX$12=$BE$11,$BE17,IF(CX$11&amp;CX$12=$BF$11,$BF17,SUMIFS('Reference Tables'!$F$880:$F$925,'Reference Tables'!$A$880:$A$925,CX$11,'Reference Tables'!$B$880:$B$925,CX$12)))))))))</f>
        <v>0</v>
      </c>
    </row>
    <row r="18" spans="1:102" s="250" customFormat="1" ht="18.75" customHeight="1">
      <c r="A18" s="303"/>
      <c r="B18" s="303"/>
      <c r="C18" s="307"/>
      <c r="D18" s="307"/>
      <c r="E18" s="307"/>
      <c r="F18" s="307"/>
      <c r="G18" s="307"/>
      <c r="H18" s="307"/>
      <c r="I18" s="307"/>
      <c r="J18" s="307"/>
      <c r="K18" s="307"/>
      <c r="L18" s="307"/>
      <c r="M18" s="307"/>
      <c r="N18" s="307"/>
      <c r="O18" s="307"/>
      <c r="P18" s="307"/>
      <c r="Q18" s="307"/>
      <c r="R18" s="307"/>
      <c r="S18" s="307"/>
      <c r="T18" s="307"/>
      <c r="U18" s="307"/>
      <c r="V18" s="307"/>
      <c r="W18" s="307"/>
      <c r="X18" s="307"/>
      <c r="Y18" s="307"/>
      <c r="Z18" s="307"/>
      <c r="AA18" s="307"/>
      <c r="AB18" s="307"/>
      <c r="AC18" s="307"/>
      <c r="AD18" s="307"/>
      <c r="AE18" s="307"/>
      <c r="AF18" s="307"/>
      <c r="AG18" s="307"/>
      <c r="AH18" s="307"/>
      <c r="AI18" s="307"/>
      <c r="AJ18" s="307"/>
      <c r="AK18" s="307"/>
      <c r="AL18" s="307"/>
      <c r="AM18" s="307"/>
      <c r="AN18" s="307"/>
      <c r="AO18" s="307"/>
      <c r="AP18" s="307"/>
      <c r="AQ18" s="307"/>
      <c r="AR18" s="307"/>
      <c r="AS18" s="307"/>
      <c r="AT18" s="307"/>
      <c r="AU18" s="180" t="str">
        <f>IF($A18="","",INDEX('Tank Data'!$1:$1048576,MATCH($A18,'Tank Data'!$A:$A,0),MATCH(AU$10,'Tank Data'!$9:$9,0)))</f>
        <v/>
      </c>
      <c r="AV18" s="180" t="str">
        <f>IF($A18="","",INDEX('Tank Data'!$1:$1048576,MATCH($A18,'Tank Data'!$A:$A,0),MATCH($AV$10,'Tank Data'!$9:$9,0)))</f>
        <v/>
      </c>
      <c r="AW18" s="305" t="str">
        <f>IF(OR($AV18="EFR",$AV18="DEFR"),INDEX('Tank Data'!$1:$1048576,MATCH($A18,'Tank Data'!$A:$A,0),MATCH($AW$10,'Tank Data'!$9:$9,0)),"")</f>
        <v/>
      </c>
      <c r="AX18" s="305" t="str">
        <f>IF($A18="","",INDEX('Tank Data'!$1:$1048576,MATCH($A18,'Tank Data'!$A:$A,0),MATCH($AX$10,'Tank Data'!$9:$9,0)))</f>
        <v/>
      </c>
      <c r="AY18" s="306">
        <f>IF($AV18="IFR",IF($AU18&gt;'Reference Tables'!$B$876,'Reference Tables'!$C$876,SUMPRODUCT(('Reference Tables'!$C$862:$C$876)*('Reference Tables'!$A$862:$A$876&lt;$AU18)*('Reference Tables'!$B$862:$B$876&gt;=$AU18))),0)</f>
        <v>0</v>
      </c>
      <c r="AZ18" s="306">
        <f>IF($AV18="IFR",1,IF(OR($AV18="EFR",$AV18="DEFR"),INDEX('Reference Tables'!$A$930:$C$938,MATCH(IF($AU18&lt;'Reference Tables'!$A$931,'Reference Tables'!$A$931,IF($AU18&gt;'Reference Tables'!$A$938,'Reference Tables'!$A$938,ROUND($AU18/50,0)*50)),'Reference Tables'!$A$930:$A$938,0),MATCH($AW18,'Reference Tables'!$A$930:$C$930,0)),0))</f>
        <v>0</v>
      </c>
      <c r="BA18" s="306">
        <f>IF(OR($AV18="EFR",$AV18="DEFR"),INDEX('Reference Tables'!$A$930:$D$938,MATCH(IF($AU18&lt;='Reference Tables'!$A$931,'Reference Tables'!$A$931,IF($AU18&gt;'Reference Tables'!$A$936,'Reference Tables'!$A$936,ROUND($AU18/50,0)*50)),'Reference Tables'!$A$930:$A$938,0),COLUMN('Reference Tables'!$D$930)),0)</f>
        <v>0</v>
      </c>
      <c r="BB18" s="306">
        <f>IF(AND(OR($AV18="EFR",$AV18="DEFR"),$AW18="Pontoon Roof"),INDEX('Reference Tables'!$A$943:$D$980,MATCH(IF($AU18&lt;'Reference Tables'!$A$943,'Reference Tables'!$A$943,IF($AU18&gt;'Reference Tables'!$A$980,'Reference Tables'!$A$980,ROUND($AU18,1))),'Reference Tables'!$A$943:$A$980,0),COLUMN('Reference Tables'!$B$942)),0)</f>
        <v>0</v>
      </c>
      <c r="BC18" s="306">
        <f>IF(AND(OR($AV18="EFR",$AV18="DEFR"),$AW18="Pontoon Roof"),INDEX('Reference Tables'!$A$943:$D$980,MATCH(IF($AU18&lt;'Reference Tables'!$A$943,'Reference Tables'!$A$943,IF($AU18&gt;'Reference Tables'!$A$980,'Reference Tables'!$A$980,ROUND($AU18,1))),'Reference Tables'!$A$943:$A$980,0),COLUMN('Reference Tables'!$C$942)),0)</f>
        <v>0</v>
      </c>
      <c r="BD18" s="306">
        <f>IF(AND(OR($AV18="EFR",$AV18="DEFR"),$AW18="Double-Deck Roof"),INDEX('Reference Tables'!$A$943:$D$980,MATCH(IF($AU18&lt;'Reference Tables'!$A$943,'Reference Tables'!$A$943,IF($AU18&gt;'Reference Tables'!$A$980,'Reference Tables'!$A$980,ROUND($AU18,1))),'Reference Tables'!$A$943:$A$980,0),COLUMN('Reference Tables'!$D$942)),0)</f>
        <v>0</v>
      </c>
      <c r="BE18" s="306">
        <f t="shared" si="0"/>
        <v>0</v>
      </c>
      <c r="BF18" s="306">
        <f t="shared" si="1"/>
        <v>0</v>
      </c>
      <c r="BG18" s="306">
        <f>IF(BG$11&amp;BG$12=$AY$11,$AY18,IF(BG$11&amp;BG$12=$AZ$11,$AZ18,IF(BG$11&amp;BG$12=$BA$11,$BA18,IF(BG$11&amp;BG$12=$BB$11,$BB18,IF(BG$11&amp;BG$12=$BC$11,$BC18,IF(BG$11&amp;BG$12=$BD$11,$BD18,IF(BG$11&amp;BG$12=$BE$11,$BE18,IF(BG$11&amp;BG$12=$BF$11,$BF18,SUMIFS('Reference Tables'!$F$880:$F$925,'Reference Tables'!$A$880:$A$925,BG$11,'Reference Tables'!$B$880:$B$925,BG$12)))))))))</f>
        <v>1</v>
      </c>
      <c r="BH18" s="306">
        <f>IF(BH$11&amp;BH$12=$AY$11,$AY18,IF(BH$11&amp;BH$12=$AZ$11,$AZ18,IF(BH$11&amp;BH$12=$BA$11,$BA18,IF(BH$11&amp;BH$12=$BB$11,$BB18,IF(BH$11&amp;BH$12=$BC$11,$BC18,IF(BH$11&amp;BH$12=$BD$11,$BD18,IF(BH$11&amp;BH$12=$BE$11,$BE18,IF(BH$11&amp;BH$12=$BF$11,$BF18,SUMIFS('Reference Tables'!$F$880:$F$925,'Reference Tables'!$A$880:$A$925,BH$11,'Reference Tables'!$B$880:$B$925,BH$12)))))))))</f>
        <v>0</v>
      </c>
      <c r="BI18" s="306">
        <f>IF(BI$11&amp;BI$12=$AY$11,$AY18,IF(BI$11&amp;BI$12=$AZ$11,$AZ18,IF(BI$11&amp;BI$12=$BA$11,$BA18,IF(BI$11&amp;BI$12=$BB$11,$BB18,IF(BI$11&amp;BI$12=$BC$11,$BC18,IF(BI$11&amp;BI$12=$BD$11,$BD18,IF(BI$11&amp;BI$12=$BE$11,$BE18,IF(BI$11&amp;BI$12=$BF$11,$BF18,SUMIFS('Reference Tables'!$F$880:$F$925,'Reference Tables'!$A$880:$A$925,BI$11,'Reference Tables'!$B$880:$B$925,BI$12)))))))))</f>
        <v>0</v>
      </c>
      <c r="BJ18" s="306">
        <f>IF(BJ$11&amp;BJ$12=$AY$11,$AY18,IF(BJ$11&amp;BJ$12=$AZ$11,$AZ18,IF(BJ$11&amp;BJ$12=$BA$11,$BA18,IF(BJ$11&amp;BJ$12=$BB$11,$BB18,IF(BJ$11&amp;BJ$12=$BC$11,$BC18,IF(BJ$11&amp;BJ$12=$BD$11,$BD18,IF(BJ$11&amp;BJ$12=$BE$11,$BE18,IF(BJ$11&amp;BJ$12=$BF$11,$BF18,SUMIFS('Reference Tables'!$F$880:$F$925,'Reference Tables'!$A$880:$A$925,BJ$11,'Reference Tables'!$B$880:$B$925,BJ$12)))))))))</f>
        <v>0</v>
      </c>
      <c r="BK18" s="306">
        <f>IF(BK$11&amp;BK$12=$AY$11,$AY18,IF(BK$11&amp;BK$12=$AZ$11,$AZ18,IF(BK$11&amp;BK$12=$BA$11,$BA18,IF(BK$11&amp;BK$12=$BB$11,$BB18,IF(BK$11&amp;BK$12=$BC$11,$BC18,IF(BK$11&amp;BK$12=$BD$11,$BD18,IF(BK$11&amp;BK$12=$BE$11,$BE18,IF(BK$11&amp;BK$12=$BF$11,$BF18,SUMIFS('Reference Tables'!$F$880:$F$925,'Reference Tables'!$A$880:$A$925,BK$11,'Reference Tables'!$B$880:$B$925,BK$12)))))))))</f>
        <v>0</v>
      </c>
      <c r="BL18" s="306">
        <f>IF(BL$11&amp;BL$12=$AY$11,$AY18,IF(BL$11&amp;BL$12=$AZ$11,$AZ18,IF(BL$11&amp;BL$12=$BA$11,$BA18,IF(BL$11&amp;BL$12=$BB$11,$BB18,IF(BL$11&amp;BL$12=$BC$11,$BC18,IF(BL$11&amp;BL$12=$BD$11,$BD18,IF(BL$11&amp;BL$12=$BE$11,$BE18,IF(BL$11&amp;BL$12=$BF$11,$BF18,SUMIFS('Reference Tables'!$F$880:$F$925,'Reference Tables'!$A$880:$A$925,BL$11,'Reference Tables'!$B$880:$B$925,BL$12)))))))))</f>
        <v>0</v>
      </c>
      <c r="BM18" s="306">
        <f>IF(BM$11&amp;BM$12=$AY$11,$AY18,IF(BM$11&amp;BM$12=$AZ$11,$AZ18,IF(BM$11&amp;BM$12=$BA$11,$BA18,IF(BM$11&amp;BM$12=$BB$11,$BB18,IF(BM$11&amp;BM$12=$BC$11,$BC18,IF(BM$11&amp;BM$12=$BD$11,$BD18,IF(BM$11&amp;BM$12=$BE$11,$BE18,IF(BM$11&amp;BM$12=$BF$11,$BF18,SUMIFS('Reference Tables'!$F$880:$F$925,'Reference Tables'!$A$880:$A$925,BM$11,'Reference Tables'!$B$880:$B$925,BM$12)))))))))</f>
        <v>0</v>
      </c>
      <c r="BN18" s="306">
        <f>IF(BN$11&amp;BN$12=$AY$11,$AY18,IF(BN$11&amp;BN$12=$AZ$11,$AZ18,IF(BN$11&amp;BN$12=$BA$11,$BA18,IF(BN$11&amp;BN$12=$BB$11,$BB18,IF(BN$11&amp;BN$12=$BC$11,$BC18,IF(BN$11&amp;BN$12=$BD$11,$BD18,IF(BN$11&amp;BN$12=$BE$11,$BE18,IF(BN$11&amp;BN$12=$BF$11,$BF18,SUMIFS('Reference Tables'!$F$880:$F$925,'Reference Tables'!$A$880:$A$925,BN$11,'Reference Tables'!$B$880:$B$925,BN$12)))))))))</f>
        <v>0</v>
      </c>
      <c r="BO18" s="306">
        <f>IF(BO$11&amp;BO$12=$AY$11,$AY18,IF(BO$11&amp;BO$12=$AZ$11,$AZ18,IF(BO$11&amp;BO$12=$BA$11,$BA18,IF(BO$11&amp;BO$12=$BB$11,$BB18,IF(BO$11&amp;BO$12=$BC$11,$BC18,IF(BO$11&amp;BO$12=$BD$11,$BD18,IF(BO$11&amp;BO$12=$BE$11,$BE18,IF(BO$11&amp;BO$12=$BF$11,$BF18,SUMIFS('Reference Tables'!$F$880:$F$925,'Reference Tables'!$A$880:$A$925,BO$11,'Reference Tables'!$B$880:$B$925,BO$12)))))))))</f>
        <v>1</v>
      </c>
      <c r="BP18" s="306">
        <f>IF(BP$11&amp;BP$12=$AY$11,$AY18,IF(BP$11&amp;BP$12=$AZ$11,$AZ18,IF(BP$11&amp;BP$12=$BA$11,$BA18,IF(BP$11&amp;BP$12=$BB$11,$BB18,IF(BP$11&amp;BP$12=$BC$11,$BC18,IF(BP$11&amp;BP$12=$BD$11,$BD18,IF(BP$11&amp;BP$12=$BE$11,$BE18,IF(BP$11&amp;BP$12=$BF$11,$BF18,SUMIFS('Reference Tables'!$F$880:$F$925,'Reference Tables'!$A$880:$A$925,BP$11,'Reference Tables'!$B$880:$B$925,BP$12)))))))))</f>
        <v>0</v>
      </c>
      <c r="BQ18" s="306">
        <f>IF(BQ$11&amp;BQ$12=$AY$11,$AY18,IF(BQ$11&amp;BQ$12=$AZ$11,$AZ18,IF(BQ$11&amp;BQ$12=$BA$11,$BA18,IF(BQ$11&amp;BQ$12=$BB$11,$BB18,IF(BQ$11&amp;BQ$12=$BC$11,$BC18,IF(BQ$11&amp;BQ$12=$BD$11,$BD18,IF(BQ$11&amp;BQ$12=$BE$11,$BE18,IF(BQ$11&amp;BQ$12=$BF$11,$BF18,SUMIFS('Reference Tables'!$F$880:$F$925,'Reference Tables'!$A$880:$A$925,BQ$11,'Reference Tables'!$B$880:$B$925,BQ$12)))))))))</f>
        <v>0</v>
      </c>
      <c r="BR18" s="306">
        <f>IF(BR$11&amp;BR$12=$AY$11,$AY18,IF(BR$11&amp;BR$12=$AZ$11,$AZ18,IF(BR$11&amp;BR$12=$BA$11,$BA18,IF(BR$11&amp;BR$12=$BB$11,$BB18,IF(BR$11&amp;BR$12=$BC$11,$BC18,IF(BR$11&amp;BR$12=$BD$11,$BD18,IF(BR$11&amp;BR$12=$BE$11,$BE18,IF(BR$11&amp;BR$12=$BF$11,$BF18,SUMIFS('Reference Tables'!$F$880:$F$925,'Reference Tables'!$A$880:$A$925,BR$11,'Reference Tables'!$B$880:$B$925,BR$12)))))))))</f>
        <v>0</v>
      </c>
      <c r="BS18" s="306">
        <f>IF(BS$11&amp;BS$12=$AY$11,$AY18,IF(BS$11&amp;BS$12=$AZ$11,$AZ18,IF(BS$11&amp;BS$12=$BA$11,$BA18,IF(BS$11&amp;BS$12=$BB$11,$BB18,IF(BS$11&amp;BS$12=$BC$11,$BC18,IF(BS$11&amp;BS$12=$BD$11,$BD18,IF(BS$11&amp;BS$12=$BE$11,$BE18,IF(BS$11&amp;BS$12=$BF$11,$BF18,SUMIFS('Reference Tables'!$F$880:$F$925,'Reference Tables'!$A$880:$A$925,BS$11,'Reference Tables'!$B$880:$B$925,BS$12)))))))))</f>
        <v>0</v>
      </c>
      <c r="BT18" s="306">
        <f>IF(BT$11&amp;BT$12=$AY$11,$AY18,IF(BT$11&amp;BT$12=$AZ$11,$AZ18,IF(BT$11&amp;BT$12=$BA$11,$BA18,IF(BT$11&amp;BT$12=$BB$11,$BB18,IF(BT$11&amp;BT$12=$BC$11,$BC18,IF(BT$11&amp;BT$12=$BD$11,$BD18,IF(BT$11&amp;BT$12=$BE$11,$BE18,IF(BT$11&amp;BT$12=$BF$11,$BF18,SUMIFS('Reference Tables'!$F$880:$F$925,'Reference Tables'!$A$880:$A$925,BT$11,'Reference Tables'!$B$880:$B$925,BT$12)))))))))</f>
        <v>0</v>
      </c>
      <c r="BU18" s="306">
        <f>IF(BU$11&amp;BU$12=$AY$11,$AY18,IF(BU$11&amp;BU$12=$AZ$11,$AZ18,IF(BU$11&amp;BU$12=$BA$11,$BA18,IF(BU$11&amp;BU$12=$BB$11,$BB18,IF(BU$11&amp;BU$12=$BC$11,$BC18,IF(BU$11&amp;BU$12=$BD$11,$BD18,IF(BU$11&amp;BU$12=$BE$11,$BE18,IF(BU$11&amp;BU$12=$BF$11,$BF18,SUMIFS('Reference Tables'!$F$880:$F$925,'Reference Tables'!$A$880:$A$925,BU$11,'Reference Tables'!$B$880:$B$925,BU$12)))))))))</f>
        <v>0</v>
      </c>
      <c r="BV18" s="306">
        <f>IF(BV$11&amp;BV$12=$AY$11,$AY18,IF(BV$11&amp;BV$12=$AZ$11,$AZ18,IF(BV$11&amp;BV$12=$BA$11,$BA18,IF(BV$11&amp;BV$12=$BB$11,$BB18,IF(BV$11&amp;BV$12=$BC$11,$BC18,IF(BV$11&amp;BV$12=$BD$11,$BD18,IF(BV$11&amp;BV$12=$BE$11,$BE18,IF(BV$11&amp;BV$12=$BF$11,$BF18,SUMIFS('Reference Tables'!$F$880:$F$925,'Reference Tables'!$A$880:$A$925,BV$11,'Reference Tables'!$B$880:$B$925,BV$12)))))))))</f>
        <v>0</v>
      </c>
      <c r="BW18" s="306">
        <f>IF(BW$11&amp;BW$12=$AY$11,$AY18,IF(BW$11&amp;BW$12=$AZ$11,$AZ18,IF(BW$11&amp;BW$12=$BA$11,$BA18,IF(BW$11&amp;BW$12=$BB$11,$BB18,IF(BW$11&amp;BW$12=$BC$11,$BC18,IF(BW$11&amp;BW$12=$BD$11,$BD18,IF(BW$11&amp;BW$12=$BE$11,$BE18,IF(BW$11&amp;BW$12=$BF$11,$BF18,SUMIFS('Reference Tables'!$F$880:$F$925,'Reference Tables'!$A$880:$A$925,BW$11,'Reference Tables'!$B$880:$B$925,BW$12)))))))))</f>
        <v>0</v>
      </c>
      <c r="BX18" s="306">
        <f>IF(BX$11&amp;BX$12=$AY$11,$AY18,IF(BX$11&amp;BX$12=$AZ$11,$AZ18,IF(BX$11&amp;BX$12=$BA$11,$BA18,IF(BX$11&amp;BX$12=$BB$11,$BB18,IF(BX$11&amp;BX$12=$BC$11,$BC18,IF(BX$11&amp;BX$12=$BD$11,$BD18,IF(BX$11&amp;BX$12=$BE$11,$BE18,IF(BX$11&amp;BX$12=$BF$11,$BF18,SUMIFS('Reference Tables'!$F$880:$F$925,'Reference Tables'!$A$880:$A$925,BX$11,'Reference Tables'!$B$880:$B$925,BX$12)))))))))</f>
        <v>0</v>
      </c>
      <c r="BY18" s="306">
        <f>IF(BY$11&amp;BY$12=$AY$11,$AY18,IF(BY$11&amp;BY$12=$AZ$11,$AZ18,IF(BY$11&amp;BY$12=$BA$11,$BA18,IF(BY$11&amp;BY$12=$BB$11,$BB18,IF(BY$11&amp;BY$12=$BC$11,$BC18,IF(BY$11&amp;BY$12=$BD$11,$BD18,IF(BY$11&amp;BY$12=$BE$11,$BE18,IF(BY$11&amp;BY$12=$BF$11,$BF18,SUMIFS('Reference Tables'!$F$880:$F$925,'Reference Tables'!$A$880:$A$925,BY$11,'Reference Tables'!$B$880:$B$925,BY$12)))))))))</f>
        <v>0</v>
      </c>
      <c r="BZ18" s="306">
        <f>IF(BZ$11&amp;BZ$12=$AY$11,$AY18,IF(BZ$11&amp;BZ$12=$AZ$11,$AZ18,IF(BZ$11&amp;BZ$12=$BA$11,$BA18,IF(BZ$11&amp;BZ$12=$BB$11,$BB18,IF(BZ$11&amp;BZ$12=$BC$11,$BC18,IF(BZ$11&amp;BZ$12=$BD$11,$BD18,IF(BZ$11&amp;BZ$12=$BE$11,$BE18,IF(BZ$11&amp;BZ$12=$BF$11,$BF18,SUMIFS('Reference Tables'!$F$880:$F$925,'Reference Tables'!$A$880:$A$925,BZ$11,'Reference Tables'!$B$880:$B$925,BZ$12)))))))))</f>
        <v>0</v>
      </c>
      <c r="CA18" s="306">
        <f>IF(CA$11&amp;CA$12=$AY$11,$AY18,IF(CA$11&amp;CA$12=$AZ$11,$AZ18,IF(CA$11&amp;CA$12=$BA$11,$BA18,IF(CA$11&amp;CA$12=$BB$11,$BB18,IF(CA$11&amp;CA$12=$BC$11,$BC18,IF(CA$11&amp;CA$12=$BD$11,$BD18,IF(CA$11&amp;CA$12=$BE$11,$BE18,IF(CA$11&amp;CA$12=$BF$11,$BF18,SUMIFS('Reference Tables'!$F$880:$F$925,'Reference Tables'!$A$880:$A$925,CA$11,'Reference Tables'!$B$880:$B$925,CA$12)))))))))</f>
        <v>1</v>
      </c>
      <c r="CB18" s="306">
        <f>IF(CB$11&amp;CB$12=$AY$11,$AY18,IF(CB$11&amp;CB$12=$AZ$11,$AZ18,IF(CB$11&amp;CB$12=$BA$11,$BA18,IF(CB$11&amp;CB$12=$BB$11,$BB18,IF(CB$11&amp;CB$12=$BC$11,$BC18,IF(CB$11&amp;CB$12=$BD$11,$BD18,IF(CB$11&amp;CB$12=$BE$11,$BE18,IF(CB$11&amp;CB$12=$BF$11,$BF18,SUMIFS('Reference Tables'!$F$880:$F$925,'Reference Tables'!$A$880:$A$925,CB$11,'Reference Tables'!$B$880:$B$925,CB$12)))))))))</f>
        <v>0</v>
      </c>
      <c r="CC18" s="306">
        <f>IF(CC$11&amp;CC$12=$AY$11,$AY18,IF(CC$11&amp;CC$12=$AZ$11,$AZ18,IF(CC$11&amp;CC$12=$BA$11,$BA18,IF(CC$11&amp;CC$12=$BB$11,$BB18,IF(CC$11&amp;CC$12=$BC$11,$BC18,IF(CC$11&amp;CC$12=$BD$11,$BD18,IF(CC$11&amp;CC$12=$BE$11,$BE18,IF(CC$11&amp;CC$12=$BF$11,$BF18,SUMIFS('Reference Tables'!$F$880:$F$925,'Reference Tables'!$A$880:$A$925,CC$11,'Reference Tables'!$B$880:$B$925,CC$12)))))))))</f>
        <v>0</v>
      </c>
      <c r="CD18" s="306">
        <f>IF(CD$11&amp;CD$12=$AY$11,$AY18,IF(CD$11&amp;CD$12=$AZ$11,$AZ18,IF(CD$11&amp;CD$12=$BA$11,$BA18,IF(CD$11&amp;CD$12=$BB$11,$BB18,IF(CD$11&amp;CD$12=$BC$11,$BC18,IF(CD$11&amp;CD$12=$BD$11,$BD18,IF(CD$11&amp;CD$12=$BE$11,$BE18,IF(CD$11&amp;CD$12=$BF$11,$BF18,SUMIFS('Reference Tables'!$F$880:$F$925,'Reference Tables'!$A$880:$A$925,CD$11,'Reference Tables'!$B$880:$B$925,CD$12)))))))))</f>
        <v>1</v>
      </c>
      <c r="CE18" s="306">
        <f>IF(CE$11&amp;CE$12=$AY$11,$AY18,IF(CE$11&amp;CE$12=$AZ$11,$AZ18,IF(CE$11&amp;CE$12=$BA$11,$BA18,IF(CE$11&amp;CE$12=$BB$11,$BB18,IF(CE$11&amp;CE$12=$BC$11,$BC18,IF(CE$11&amp;CE$12=$BD$11,$BD18,IF(CE$11&amp;CE$12=$BE$11,$BE18,IF(CE$11&amp;CE$12=$BF$11,$BF18,SUMIFS('Reference Tables'!$F$880:$F$925,'Reference Tables'!$A$880:$A$925,CE$11,'Reference Tables'!$B$880:$B$925,CE$12)))))))))</f>
        <v>0</v>
      </c>
      <c r="CF18" s="306">
        <f>IF(CF$11&amp;CF$12=$AY$11,$AY18,IF(CF$11&amp;CF$12=$AZ$11,$AZ18,IF(CF$11&amp;CF$12=$BA$11,$BA18,IF(CF$11&amp;CF$12=$BB$11,$BB18,IF(CF$11&amp;CF$12=$BC$11,$BC18,IF(CF$11&amp;CF$12=$BD$11,$BD18,IF(CF$11&amp;CF$12=$BE$11,$BE18,IF(CF$11&amp;CF$12=$BF$11,$BF18,SUMIFS('Reference Tables'!$F$880:$F$925,'Reference Tables'!$A$880:$A$925,CF$11,'Reference Tables'!$B$880:$B$925,CF$12)))))))))</f>
        <v>0</v>
      </c>
      <c r="CG18" s="306">
        <f>IF(CG$11&amp;CG$12=$AY$11,$AY18,IF(CG$11&amp;CG$12=$AZ$11,$AZ18,IF(CG$11&amp;CG$12=$BA$11,$BA18,IF(CG$11&amp;CG$12=$BB$11,$BB18,IF(CG$11&amp;CG$12=$BC$11,$BC18,IF(CG$11&amp;CG$12=$BD$11,$BD18,IF(CG$11&amp;CG$12=$BE$11,$BE18,IF(CG$11&amp;CG$12=$BF$11,$BF18,SUMIFS('Reference Tables'!$F$880:$F$925,'Reference Tables'!$A$880:$A$925,CG$11,'Reference Tables'!$B$880:$B$925,CG$12)))))))))</f>
        <v>0</v>
      </c>
      <c r="CH18" s="306">
        <f>IF(CH$11&amp;CH$12=$AY$11,$AY18,IF(CH$11&amp;CH$12=$AZ$11,$AZ18,IF(CH$11&amp;CH$12=$BA$11,$BA18,IF(CH$11&amp;CH$12=$BB$11,$BB18,IF(CH$11&amp;CH$12=$BC$11,$BC18,IF(CH$11&amp;CH$12=$BD$11,$BD18,IF(CH$11&amp;CH$12=$BE$11,$BE18,IF(CH$11&amp;CH$12=$BF$11,$BF18,SUMIFS('Reference Tables'!$F$880:$F$925,'Reference Tables'!$A$880:$A$925,CH$11,'Reference Tables'!$B$880:$B$925,CH$12)))))))))</f>
        <v>0</v>
      </c>
      <c r="CI18" s="306">
        <f>IF(CI$11&amp;CI$12=$AY$11,$AY18,IF(CI$11&amp;CI$12=$AZ$11,$AZ18,IF(CI$11&amp;CI$12=$BA$11,$BA18,IF(CI$11&amp;CI$12=$BB$11,$BB18,IF(CI$11&amp;CI$12=$BC$11,$BC18,IF(CI$11&amp;CI$12=$BD$11,$BD18,IF(CI$11&amp;CI$12=$BE$11,$BE18,IF(CI$11&amp;CI$12=$BF$11,$BF18,SUMIFS('Reference Tables'!$F$880:$F$925,'Reference Tables'!$A$880:$A$925,CI$11,'Reference Tables'!$B$880:$B$925,CI$12)))))))))</f>
        <v>0</v>
      </c>
      <c r="CJ18" s="306">
        <f>IF(CJ$11&amp;CJ$12=$AY$11,$AY18,IF(CJ$11&amp;CJ$12=$AZ$11,$AZ18,IF(CJ$11&amp;CJ$12=$BA$11,$BA18,IF(CJ$11&amp;CJ$12=$BB$11,$BB18,IF(CJ$11&amp;CJ$12=$BC$11,$BC18,IF(CJ$11&amp;CJ$12=$BD$11,$BD18,IF(CJ$11&amp;CJ$12=$BE$11,$BE18,IF(CJ$11&amp;CJ$12=$BF$11,$BF18,SUMIFS('Reference Tables'!$F$880:$F$925,'Reference Tables'!$A$880:$A$925,CJ$11,'Reference Tables'!$B$880:$B$925,CJ$12)))))))))</f>
        <v>0</v>
      </c>
      <c r="CK18" s="306">
        <f>IF(CK$11&amp;CK$12=$AY$11,$AY18,IF(CK$11&amp;CK$12=$AZ$11,$AZ18,IF(CK$11&amp;CK$12=$BA$11,$BA18,IF(CK$11&amp;CK$12=$BB$11,$BB18,IF(CK$11&amp;CK$12=$BC$11,$BC18,IF(CK$11&amp;CK$12=$BD$11,$BD18,IF(CK$11&amp;CK$12=$BE$11,$BE18,IF(CK$11&amp;CK$12=$BF$11,$BF18,SUMIFS('Reference Tables'!$F$880:$F$925,'Reference Tables'!$A$880:$A$925,CK$11,'Reference Tables'!$B$880:$B$925,CK$12)))))))))</f>
        <v>0</v>
      </c>
      <c r="CL18" s="306">
        <f>IF(CL$11&amp;CL$12=$AY$11,$AY18,IF(CL$11&amp;CL$12=$AZ$11,$AZ18,IF(CL$11&amp;CL$12=$BA$11,$BA18,IF(CL$11&amp;CL$12=$BB$11,$BB18,IF(CL$11&amp;CL$12=$BC$11,$BC18,IF(CL$11&amp;CL$12=$BD$11,$BD18,IF(CL$11&amp;CL$12=$BE$11,$BE18,IF(CL$11&amp;CL$12=$BF$11,$BF18,SUMIFS('Reference Tables'!$F$880:$F$925,'Reference Tables'!$A$880:$A$925,CL$11,'Reference Tables'!$B$880:$B$925,CL$12)))))))))</f>
        <v>0</v>
      </c>
      <c r="CM18" s="306">
        <f>IF(CM$11&amp;CM$12=$AY$11,$AY18,IF(CM$11&amp;CM$12=$AZ$11,$AZ18,IF(CM$11&amp;CM$12=$BA$11,$BA18,IF(CM$11&amp;CM$12=$BB$11,$BB18,IF(CM$11&amp;CM$12=$BC$11,$BC18,IF(CM$11&amp;CM$12=$BD$11,$BD18,IF(CM$11&amp;CM$12=$BE$11,$BE18,IF(CM$11&amp;CM$12=$BF$11,$BF18,SUMIFS('Reference Tables'!$F$880:$F$925,'Reference Tables'!$A$880:$A$925,CM$11,'Reference Tables'!$B$880:$B$925,CM$12)))))))))</f>
        <v>0</v>
      </c>
      <c r="CN18" s="306">
        <f>IF(CN$11&amp;CN$12=$AY$11,$AY18,IF(CN$11&amp;CN$12=$AZ$11,$AZ18,IF(CN$11&amp;CN$12=$BA$11,$BA18,IF(CN$11&amp;CN$12=$BB$11,$BB18,IF(CN$11&amp;CN$12=$BC$11,$BC18,IF(CN$11&amp;CN$12=$BD$11,$BD18,IF(CN$11&amp;CN$12=$BE$11,$BE18,IF(CN$11&amp;CN$12=$BF$11,$BF18,SUMIFS('Reference Tables'!$F$880:$F$925,'Reference Tables'!$A$880:$A$925,CN$11,'Reference Tables'!$B$880:$B$925,CN$12)))))))))</f>
        <v>0</v>
      </c>
      <c r="CO18" s="306">
        <f>IF(CO$11&amp;CO$12=$AY$11,$AY18,IF(CO$11&amp;CO$12=$AZ$11,$AZ18,IF(CO$11&amp;CO$12=$BA$11,$BA18,IF(CO$11&amp;CO$12=$BB$11,$BB18,IF(CO$11&amp;CO$12=$BC$11,$BC18,IF(CO$11&amp;CO$12=$BD$11,$BD18,IF(CO$11&amp;CO$12=$BE$11,$BE18,IF(CO$11&amp;CO$12=$BF$11,$BF18,SUMIFS('Reference Tables'!$F$880:$F$925,'Reference Tables'!$A$880:$A$925,CO$11,'Reference Tables'!$B$880:$B$925,CO$12)))))))))</f>
        <v>0</v>
      </c>
      <c r="CP18" s="306">
        <f>IF(CP$11&amp;CP$12=$AY$11,$AY18,IF(CP$11&amp;CP$12=$AZ$11,$AZ18,IF(CP$11&amp;CP$12=$BA$11,$BA18,IF(CP$11&amp;CP$12=$BB$11,$BB18,IF(CP$11&amp;CP$12=$BC$11,$BC18,IF(CP$11&amp;CP$12=$BD$11,$BD18,IF(CP$11&amp;CP$12=$BE$11,$BE18,IF(CP$11&amp;CP$12=$BF$11,$BF18,SUMIFS('Reference Tables'!$F$880:$F$925,'Reference Tables'!$A$880:$A$925,CP$11,'Reference Tables'!$B$880:$B$925,CP$12)))))))))</f>
        <v>0</v>
      </c>
      <c r="CQ18" s="306">
        <f>IF(CQ$11&amp;CQ$12=$AY$11,$AY18,IF(CQ$11&amp;CQ$12=$AZ$11,$AZ18,IF(CQ$11&amp;CQ$12=$BA$11,$BA18,IF(CQ$11&amp;CQ$12=$BB$11,$BB18,IF(CQ$11&amp;CQ$12=$BC$11,$BC18,IF(CQ$11&amp;CQ$12=$BD$11,$BD18,IF(CQ$11&amp;CQ$12=$BE$11,$BE18,IF(CQ$11&amp;CQ$12=$BF$11,$BF18,SUMIFS('Reference Tables'!$F$880:$F$925,'Reference Tables'!$A$880:$A$925,CQ$11,'Reference Tables'!$B$880:$B$925,CQ$12)))))))))</f>
        <v>0</v>
      </c>
      <c r="CR18" s="306">
        <f>IF(CR$11&amp;CR$12=$AY$11,$AY18,IF(CR$11&amp;CR$12=$AZ$11,$AZ18,IF(CR$11&amp;CR$12=$BA$11,$BA18,IF(CR$11&amp;CR$12=$BB$11,$BB18,IF(CR$11&amp;CR$12=$BC$11,$BC18,IF(CR$11&amp;CR$12=$BD$11,$BD18,IF(CR$11&amp;CR$12=$BE$11,$BE18,IF(CR$11&amp;CR$12=$BF$11,$BF18,SUMIFS('Reference Tables'!$F$880:$F$925,'Reference Tables'!$A$880:$A$925,CR$11,'Reference Tables'!$B$880:$B$925,CR$12)))))))))</f>
        <v>0</v>
      </c>
      <c r="CS18" s="306">
        <f>IF(CS$11&amp;CS$12=$AY$11,$AY18,IF(CS$11&amp;CS$12=$AZ$11,$AZ18,IF(CS$11&amp;CS$12=$BA$11,$BA18,IF(CS$11&amp;CS$12=$BB$11,$BB18,IF(CS$11&amp;CS$12=$BC$11,$BC18,IF(CS$11&amp;CS$12=$BD$11,$BD18,IF(CS$11&amp;CS$12=$BE$11,$BE18,IF(CS$11&amp;CS$12=$BF$11,$BF18,SUMIFS('Reference Tables'!$F$880:$F$925,'Reference Tables'!$A$880:$A$925,CS$11,'Reference Tables'!$B$880:$B$925,CS$12)))))))))</f>
        <v>0</v>
      </c>
      <c r="CT18" s="306">
        <f>IF(CT$11&amp;CT$12=$AY$11,$AY18,IF(CT$11&amp;CT$12=$AZ$11,$AZ18,IF(CT$11&amp;CT$12=$BA$11,$BA18,IF(CT$11&amp;CT$12=$BB$11,$BB18,IF(CT$11&amp;CT$12=$BC$11,$BC18,IF(CT$11&amp;CT$12=$BD$11,$BD18,IF(CT$11&amp;CT$12=$BE$11,$BE18,IF(CT$11&amp;CT$12=$BF$11,$BF18,SUMIFS('Reference Tables'!$F$880:$F$925,'Reference Tables'!$A$880:$A$925,CT$11,'Reference Tables'!$B$880:$B$925,CT$12)))))))))</f>
        <v>0</v>
      </c>
      <c r="CU18" s="306">
        <f>IF(CU$11&amp;CU$12=$AY$11,$AY18,IF(CU$11&amp;CU$12=$AZ$11,$AZ18,IF(CU$11&amp;CU$12=$BA$11,$BA18,IF(CU$11&amp;CU$12=$BB$11,$BB18,IF(CU$11&amp;CU$12=$BC$11,$BC18,IF(CU$11&amp;CU$12=$BD$11,$BD18,IF(CU$11&amp;CU$12=$BE$11,$BE18,IF(CU$11&amp;CU$12=$BF$11,$BF18,SUMIFS('Reference Tables'!$F$880:$F$925,'Reference Tables'!$A$880:$A$925,CU$11,'Reference Tables'!$B$880:$B$925,CU$12)))))))))</f>
        <v>0</v>
      </c>
      <c r="CV18" s="306">
        <f>IF(CV$11&amp;CV$12=$AY$11,$AY18,IF(CV$11&amp;CV$12=$AZ$11,$AZ18,IF(CV$11&amp;CV$12=$BA$11,$BA18,IF(CV$11&amp;CV$12=$BB$11,$BB18,IF(CV$11&amp;CV$12=$BC$11,$BC18,IF(CV$11&amp;CV$12=$BD$11,$BD18,IF(CV$11&amp;CV$12=$BE$11,$BE18,IF(CV$11&amp;CV$12=$BF$11,$BF18,SUMIFS('Reference Tables'!$F$880:$F$925,'Reference Tables'!$A$880:$A$925,CV$11,'Reference Tables'!$B$880:$B$925,CV$12)))))))))</f>
        <v>1</v>
      </c>
      <c r="CW18" s="306">
        <f>IF(CW$11&amp;CW$12=$AY$11,$AY18,IF(CW$11&amp;CW$12=$AZ$11,$AZ18,IF(CW$11&amp;CW$12=$BA$11,$BA18,IF(CW$11&amp;CW$12=$BB$11,$BB18,IF(CW$11&amp;CW$12=$BC$11,$BC18,IF(CW$11&amp;CW$12=$BD$11,$BD18,IF(CW$11&amp;CW$12=$BE$11,$BE18,IF(CW$11&amp;CW$12=$BF$11,$BF18,SUMIFS('Reference Tables'!$F$880:$F$925,'Reference Tables'!$A$880:$A$925,CW$11,'Reference Tables'!$B$880:$B$925,CW$12)))))))))</f>
        <v>1</v>
      </c>
      <c r="CX18" s="306">
        <f>IF(CX$11&amp;CX$12=$AY$11,$AY18,IF(CX$11&amp;CX$12=$AZ$11,$AZ18,IF(CX$11&amp;CX$12=$BA$11,$BA18,IF(CX$11&amp;CX$12=$BB$11,$BB18,IF(CX$11&amp;CX$12=$BC$11,$BC18,IF(CX$11&amp;CX$12=$BD$11,$BD18,IF(CX$11&amp;CX$12=$BE$11,$BE18,IF(CX$11&amp;CX$12=$BF$11,$BF18,SUMIFS('Reference Tables'!$F$880:$F$925,'Reference Tables'!$A$880:$A$925,CX$11,'Reference Tables'!$B$880:$B$925,CX$12)))))))))</f>
        <v>0</v>
      </c>
    </row>
    <row r="19" spans="1:102" s="250" customFormat="1" ht="18.75" customHeight="1">
      <c r="A19" s="303"/>
      <c r="B19" s="303"/>
      <c r="C19" s="307"/>
      <c r="D19" s="307"/>
      <c r="E19" s="307"/>
      <c r="F19" s="307"/>
      <c r="G19" s="307"/>
      <c r="H19" s="307"/>
      <c r="I19" s="307"/>
      <c r="J19" s="307"/>
      <c r="K19" s="307"/>
      <c r="L19" s="307"/>
      <c r="M19" s="307"/>
      <c r="N19" s="307"/>
      <c r="O19" s="307"/>
      <c r="P19" s="307"/>
      <c r="Q19" s="307"/>
      <c r="R19" s="307"/>
      <c r="S19" s="307"/>
      <c r="T19" s="307"/>
      <c r="U19" s="307"/>
      <c r="V19" s="307"/>
      <c r="W19" s="307"/>
      <c r="X19" s="307"/>
      <c r="Y19" s="307"/>
      <c r="Z19" s="307"/>
      <c r="AA19" s="307"/>
      <c r="AB19" s="307"/>
      <c r="AC19" s="307"/>
      <c r="AD19" s="307"/>
      <c r="AE19" s="307"/>
      <c r="AF19" s="307"/>
      <c r="AG19" s="307"/>
      <c r="AH19" s="307"/>
      <c r="AI19" s="307"/>
      <c r="AJ19" s="307"/>
      <c r="AK19" s="307"/>
      <c r="AL19" s="307"/>
      <c r="AM19" s="307"/>
      <c r="AN19" s="307"/>
      <c r="AO19" s="307"/>
      <c r="AP19" s="307"/>
      <c r="AQ19" s="307"/>
      <c r="AR19" s="307"/>
      <c r="AS19" s="307"/>
      <c r="AT19" s="307"/>
      <c r="AU19" s="180" t="str">
        <f>IF($A19="","",INDEX('Tank Data'!$1:$1048576,MATCH($A19,'Tank Data'!$A:$A,0),MATCH(AU$10,'Tank Data'!$9:$9,0)))</f>
        <v/>
      </c>
      <c r="AV19" s="180" t="str">
        <f>IF($A19="","",INDEX('Tank Data'!$1:$1048576,MATCH($A19,'Tank Data'!$A:$A,0),MATCH($AV$10,'Tank Data'!$9:$9,0)))</f>
        <v/>
      </c>
      <c r="AW19" s="305" t="str">
        <f>IF(OR($AV19="EFR",$AV19="DEFR"),INDEX('Tank Data'!$1:$1048576,MATCH($A19,'Tank Data'!$A:$A,0),MATCH($AW$10,'Tank Data'!$9:$9,0)),"")</f>
        <v/>
      </c>
      <c r="AX19" s="305" t="str">
        <f>IF($A19="","",INDEX('Tank Data'!$1:$1048576,MATCH($A19,'Tank Data'!$A:$A,0),MATCH($AX$10,'Tank Data'!$9:$9,0)))</f>
        <v/>
      </c>
      <c r="AY19" s="306">
        <f>IF($AV19="IFR",IF($AU19&gt;'Reference Tables'!$B$876,'Reference Tables'!$C$876,SUMPRODUCT(('Reference Tables'!$C$862:$C$876)*('Reference Tables'!$A$862:$A$876&lt;$AU19)*('Reference Tables'!$B$862:$B$876&gt;=$AU19))),0)</f>
        <v>0</v>
      </c>
      <c r="AZ19" s="306">
        <f>IF($AV19="IFR",1,IF(OR($AV19="EFR",$AV19="DEFR"),INDEX('Reference Tables'!$A$930:$C$938,MATCH(IF($AU19&lt;'Reference Tables'!$A$931,'Reference Tables'!$A$931,IF($AU19&gt;'Reference Tables'!$A$938,'Reference Tables'!$A$938,ROUND($AU19/50,0)*50)),'Reference Tables'!$A$930:$A$938,0),MATCH($AW19,'Reference Tables'!$A$930:$C$930,0)),0))</f>
        <v>0</v>
      </c>
      <c r="BA19" s="306">
        <f>IF(OR($AV19="EFR",$AV19="DEFR"),INDEX('Reference Tables'!$A$930:$D$938,MATCH(IF($AU19&lt;='Reference Tables'!$A$931,'Reference Tables'!$A$931,IF($AU19&gt;'Reference Tables'!$A$936,'Reference Tables'!$A$936,ROUND($AU19/50,0)*50)),'Reference Tables'!$A$930:$A$938,0),COLUMN('Reference Tables'!$D$930)),0)</f>
        <v>0</v>
      </c>
      <c r="BB19" s="306">
        <f>IF(AND(OR($AV19="EFR",$AV19="DEFR"),$AW19="Pontoon Roof"),INDEX('Reference Tables'!$A$943:$D$980,MATCH(IF($AU19&lt;'Reference Tables'!$A$943,'Reference Tables'!$A$943,IF($AU19&gt;'Reference Tables'!$A$980,'Reference Tables'!$A$980,ROUND($AU19,1))),'Reference Tables'!$A$943:$A$980,0),COLUMN('Reference Tables'!$B$942)),0)</f>
        <v>0</v>
      </c>
      <c r="BC19" s="306">
        <f>IF(AND(OR($AV19="EFR",$AV19="DEFR"),$AW19="Pontoon Roof"),INDEX('Reference Tables'!$A$943:$D$980,MATCH(IF($AU19&lt;'Reference Tables'!$A$943,'Reference Tables'!$A$943,IF($AU19&gt;'Reference Tables'!$A$980,'Reference Tables'!$A$980,ROUND($AU19,1))),'Reference Tables'!$A$943:$A$980,0),COLUMN('Reference Tables'!$C$942)),0)</f>
        <v>0</v>
      </c>
      <c r="BD19" s="306">
        <f>IF(AND(OR($AV19="EFR",$AV19="DEFR"),$AW19="Double-Deck Roof"),INDEX('Reference Tables'!$A$943:$D$980,MATCH(IF($AU19&lt;'Reference Tables'!$A$943,'Reference Tables'!$A$943,IF($AU19&gt;'Reference Tables'!$A$980,'Reference Tables'!$A$980,ROUND($AU19,1))),'Reference Tables'!$A$943:$A$980,0),COLUMN('Reference Tables'!$D$942)),0)</f>
        <v>0</v>
      </c>
      <c r="BE19" s="306">
        <f t="shared" si="0"/>
        <v>0</v>
      </c>
      <c r="BF19" s="306">
        <f t="shared" si="1"/>
        <v>0</v>
      </c>
      <c r="BG19" s="306">
        <f>IF(BG$11&amp;BG$12=$AY$11,$AY19,IF(BG$11&amp;BG$12=$AZ$11,$AZ19,IF(BG$11&amp;BG$12=$BA$11,$BA19,IF(BG$11&amp;BG$12=$BB$11,$BB19,IF(BG$11&amp;BG$12=$BC$11,$BC19,IF(BG$11&amp;BG$12=$BD$11,$BD19,IF(BG$11&amp;BG$12=$BE$11,$BE19,IF(BG$11&amp;BG$12=$BF$11,$BF19,SUMIFS('Reference Tables'!$F$880:$F$925,'Reference Tables'!$A$880:$A$925,BG$11,'Reference Tables'!$B$880:$B$925,BG$12)))))))))</f>
        <v>1</v>
      </c>
      <c r="BH19" s="306">
        <f>IF(BH$11&amp;BH$12=$AY$11,$AY19,IF(BH$11&amp;BH$12=$AZ$11,$AZ19,IF(BH$11&amp;BH$12=$BA$11,$BA19,IF(BH$11&amp;BH$12=$BB$11,$BB19,IF(BH$11&amp;BH$12=$BC$11,$BC19,IF(BH$11&amp;BH$12=$BD$11,$BD19,IF(BH$11&amp;BH$12=$BE$11,$BE19,IF(BH$11&amp;BH$12=$BF$11,$BF19,SUMIFS('Reference Tables'!$F$880:$F$925,'Reference Tables'!$A$880:$A$925,BH$11,'Reference Tables'!$B$880:$B$925,BH$12)))))))))</f>
        <v>0</v>
      </c>
      <c r="BI19" s="306">
        <f>IF(BI$11&amp;BI$12=$AY$11,$AY19,IF(BI$11&amp;BI$12=$AZ$11,$AZ19,IF(BI$11&amp;BI$12=$BA$11,$BA19,IF(BI$11&amp;BI$12=$BB$11,$BB19,IF(BI$11&amp;BI$12=$BC$11,$BC19,IF(BI$11&amp;BI$12=$BD$11,$BD19,IF(BI$11&amp;BI$12=$BE$11,$BE19,IF(BI$11&amp;BI$12=$BF$11,$BF19,SUMIFS('Reference Tables'!$F$880:$F$925,'Reference Tables'!$A$880:$A$925,BI$11,'Reference Tables'!$B$880:$B$925,BI$12)))))))))</f>
        <v>0</v>
      </c>
      <c r="BJ19" s="306">
        <f>IF(BJ$11&amp;BJ$12=$AY$11,$AY19,IF(BJ$11&amp;BJ$12=$AZ$11,$AZ19,IF(BJ$11&amp;BJ$12=$BA$11,$BA19,IF(BJ$11&amp;BJ$12=$BB$11,$BB19,IF(BJ$11&amp;BJ$12=$BC$11,$BC19,IF(BJ$11&amp;BJ$12=$BD$11,$BD19,IF(BJ$11&amp;BJ$12=$BE$11,$BE19,IF(BJ$11&amp;BJ$12=$BF$11,$BF19,SUMIFS('Reference Tables'!$F$880:$F$925,'Reference Tables'!$A$880:$A$925,BJ$11,'Reference Tables'!$B$880:$B$925,BJ$12)))))))))</f>
        <v>0</v>
      </c>
      <c r="BK19" s="306">
        <f>IF(BK$11&amp;BK$12=$AY$11,$AY19,IF(BK$11&amp;BK$12=$AZ$11,$AZ19,IF(BK$11&amp;BK$12=$BA$11,$BA19,IF(BK$11&amp;BK$12=$BB$11,$BB19,IF(BK$11&amp;BK$12=$BC$11,$BC19,IF(BK$11&amp;BK$12=$BD$11,$BD19,IF(BK$11&amp;BK$12=$BE$11,$BE19,IF(BK$11&amp;BK$12=$BF$11,$BF19,SUMIFS('Reference Tables'!$F$880:$F$925,'Reference Tables'!$A$880:$A$925,BK$11,'Reference Tables'!$B$880:$B$925,BK$12)))))))))</f>
        <v>0</v>
      </c>
      <c r="BL19" s="306">
        <f>IF(BL$11&amp;BL$12=$AY$11,$AY19,IF(BL$11&amp;BL$12=$AZ$11,$AZ19,IF(BL$11&amp;BL$12=$BA$11,$BA19,IF(BL$11&amp;BL$12=$BB$11,$BB19,IF(BL$11&amp;BL$12=$BC$11,$BC19,IF(BL$11&amp;BL$12=$BD$11,$BD19,IF(BL$11&amp;BL$12=$BE$11,$BE19,IF(BL$11&amp;BL$12=$BF$11,$BF19,SUMIFS('Reference Tables'!$F$880:$F$925,'Reference Tables'!$A$880:$A$925,BL$11,'Reference Tables'!$B$880:$B$925,BL$12)))))))))</f>
        <v>0</v>
      </c>
      <c r="BM19" s="306">
        <f>IF(BM$11&amp;BM$12=$AY$11,$AY19,IF(BM$11&amp;BM$12=$AZ$11,$AZ19,IF(BM$11&amp;BM$12=$BA$11,$BA19,IF(BM$11&amp;BM$12=$BB$11,$BB19,IF(BM$11&amp;BM$12=$BC$11,$BC19,IF(BM$11&amp;BM$12=$BD$11,$BD19,IF(BM$11&amp;BM$12=$BE$11,$BE19,IF(BM$11&amp;BM$12=$BF$11,$BF19,SUMIFS('Reference Tables'!$F$880:$F$925,'Reference Tables'!$A$880:$A$925,BM$11,'Reference Tables'!$B$880:$B$925,BM$12)))))))))</f>
        <v>0</v>
      </c>
      <c r="BN19" s="306">
        <f>IF(BN$11&amp;BN$12=$AY$11,$AY19,IF(BN$11&amp;BN$12=$AZ$11,$AZ19,IF(BN$11&amp;BN$12=$BA$11,$BA19,IF(BN$11&amp;BN$12=$BB$11,$BB19,IF(BN$11&amp;BN$12=$BC$11,$BC19,IF(BN$11&amp;BN$12=$BD$11,$BD19,IF(BN$11&amp;BN$12=$BE$11,$BE19,IF(BN$11&amp;BN$12=$BF$11,$BF19,SUMIFS('Reference Tables'!$F$880:$F$925,'Reference Tables'!$A$880:$A$925,BN$11,'Reference Tables'!$B$880:$B$925,BN$12)))))))))</f>
        <v>0</v>
      </c>
      <c r="BO19" s="306">
        <f>IF(BO$11&amp;BO$12=$AY$11,$AY19,IF(BO$11&amp;BO$12=$AZ$11,$AZ19,IF(BO$11&amp;BO$12=$BA$11,$BA19,IF(BO$11&amp;BO$12=$BB$11,$BB19,IF(BO$11&amp;BO$12=$BC$11,$BC19,IF(BO$11&amp;BO$12=$BD$11,$BD19,IF(BO$11&amp;BO$12=$BE$11,$BE19,IF(BO$11&amp;BO$12=$BF$11,$BF19,SUMIFS('Reference Tables'!$F$880:$F$925,'Reference Tables'!$A$880:$A$925,BO$11,'Reference Tables'!$B$880:$B$925,BO$12)))))))))</f>
        <v>1</v>
      </c>
      <c r="BP19" s="306">
        <f>IF(BP$11&amp;BP$12=$AY$11,$AY19,IF(BP$11&amp;BP$12=$AZ$11,$AZ19,IF(BP$11&amp;BP$12=$BA$11,$BA19,IF(BP$11&amp;BP$12=$BB$11,$BB19,IF(BP$11&amp;BP$12=$BC$11,$BC19,IF(BP$11&amp;BP$12=$BD$11,$BD19,IF(BP$11&amp;BP$12=$BE$11,$BE19,IF(BP$11&amp;BP$12=$BF$11,$BF19,SUMIFS('Reference Tables'!$F$880:$F$925,'Reference Tables'!$A$880:$A$925,BP$11,'Reference Tables'!$B$880:$B$925,BP$12)))))))))</f>
        <v>0</v>
      </c>
      <c r="BQ19" s="306">
        <f>IF(BQ$11&amp;BQ$12=$AY$11,$AY19,IF(BQ$11&amp;BQ$12=$AZ$11,$AZ19,IF(BQ$11&amp;BQ$12=$BA$11,$BA19,IF(BQ$11&amp;BQ$12=$BB$11,$BB19,IF(BQ$11&amp;BQ$12=$BC$11,$BC19,IF(BQ$11&amp;BQ$12=$BD$11,$BD19,IF(BQ$11&amp;BQ$12=$BE$11,$BE19,IF(BQ$11&amp;BQ$12=$BF$11,$BF19,SUMIFS('Reference Tables'!$F$880:$F$925,'Reference Tables'!$A$880:$A$925,BQ$11,'Reference Tables'!$B$880:$B$925,BQ$12)))))))))</f>
        <v>0</v>
      </c>
      <c r="BR19" s="306">
        <f>IF(BR$11&amp;BR$12=$AY$11,$AY19,IF(BR$11&amp;BR$12=$AZ$11,$AZ19,IF(BR$11&amp;BR$12=$BA$11,$BA19,IF(BR$11&amp;BR$12=$BB$11,$BB19,IF(BR$11&amp;BR$12=$BC$11,$BC19,IF(BR$11&amp;BR$12=$BD$11,$BD19,IF(BR$11&amp;BR$12=$BE$11,$BE19,IF(BR$11&amp;BR$12=$BF$11,$BF19,SUMIFS('Reference Tables'!$F$880:$F$925,'Reference Tables'!$A$880:$A$925,BR$11,'Reference Tables'!$B$880:$B$925,BR$12)))))))))</f>
        <v>0</v>
      </c>
      <c r="BS19" s="306">
        <f>IF(BS$11&amp;BS$12=$AY$11,$AY19,IF(BS$11&amp;BS$12=$AZ$11,$AZ19,IF(BS$11&amp;BS$12=$BA$11,$BA19,IF(BS$11&amp;BS$12=$BB$11,$BB19,IF(BS$11&amp;BS$12=$BC$11,$BC19,IF(BS$11&amp;BS$12=$BD$11,$BD19,IF(BS$11&amp;BS$12=$BE$11,$BE19,IF(BS$11&amp;BS$12=$BF$11,$BF19,SUMIFS('Reference Tables'!$F$880:$F$925,'Reference Tables'!$A$880:$A$925,BS$11,'Reference Tables'!$B$880:$B$925,BS$12)))))))))</f>
        <v>0</v>
      </c>
      <c r="BT19" s="306">
        <f>IF(BT$11&amp;BT$12=$AY$11,$AY19,IF(BT$11&amp;BT$12=$AZ$11,$AZ19,IF(BT$11&amp;BT$12=$BA$11,$BA19,IF(BT$11&amp;BT$12=$BB$11,$BB19,IF(BT$11&amp;BT$12=$BC$11,$BC19,IF(BT$11&amp;BT$12=$BD$11,$BD19,IF(BT$11&amp;BT$12=$BE$11,$BE19,IF(BT$11&amp;BT$12=$BF$11,$BF19,SUMIFS('Reference Tables'!$F$880:$F$925,'Reference Tables'!$A$880:$A$925,BT$11,'Reference Tables'!$B$880:$B$925,BT$12)))))))))</f>
        <v>0</v>
      </c>
      <c r="BU19" s="306">
        <f>IF(BU$11&amp;BU$12=$AY$11,$AY19,IF(BU$11&amp;BU$12=$AZ$11,$AZ19,IF(BU$11&amp;BU$12=$BA$11,$BA19,IF(BU$11&amp;BU$12=$BB$11,$BB19,IF(BU$11&amp;BU$12=$BC$11,$BC19,IF(BU$11&amp;BU$12=$BD$11,$BD19,IF(BU$11&amp;BU$12=$BE$11,$BE19,IF(BU$11&amp;BU$12=$BF$11,$BF19,SUMIFS('Reference Tables'!$F$880:$F$925,'Reference Tables'!$A$880:$A$925,BU$11,'Reference Tables'!$B$880:$B$925,BU$12)))))))))</f>
        <v>0</v>
      </c>
      <c r="BV19" s="306">
        <f>IF(BV$11&amp;BV$12=$AY$11,$AY19,IF(BV$11&amp;BV$12=$AZ$11,$AZ19,IF(BV$11&amp;BV$12=$BA$11,$BA19,IF(BV$11&amp;BV$12=$BB$11,$BB19,IF(BV$11&amp;BV$12=$BC$11,$BC19,IF(BV$11&amp;BV$12=$BD$11,$BD19,IF(BV$11&amp;BV$12=$BE$11,$BE19,IF(BV$11&amp;BV$12=$BF$11,$BF19,SUMIFS('Reference Tables'!$F$880:$F$925,'Reference Tables'!$A$880:$A$925,BV$11,'Reference Tables'!$B$880:$B$925,BV$12)))))))))</f>
        <v>0</v>
      </c>
      <c r="BW19" s="306">
        <f>IF(BW$11&amp;BW$12=$AY$11,$AY19,IF(BW$11&amp;BW$12=$AZ$11,$AZ19,IF(BW$11&amp;BW$12=$BA$11,$BA19,IF(BW$11&amp;BW$12=$BB$11,$BB19,IF(BW$11&amp;BW$12=$BC$11,$BC19,IF(BW$11&amp;BW$12=$BD$11,$BD19,IF(BW$11&amp;BW$12=$BE$11,$BE19,IF(BW$11&amp;BW$12=$BF$11,$BF19,SUMIFS('Reference Tables'!$F$880:$F$925,'Reference Tables'!$A$880:$A$925,BW$11,'Reference Tables'!$B$880:$B$925,BW$12)))))))))</f>
        <v>0</v>
      </c>
      <c r="BX19" s="306">
        <f>IF(BX$11&amp;BX$12=$AY$11,$AY19,IF(BX$11&amp;BX$12=$AZ$11,$AZ19,IF(BX$11&amp;BX$12=$BA$11,$BA19,IF(BX$11&amp;BX$12=$BB$11,$BB19,IF(BX$11&amp;BX$12=$BC$11,$BC19,IF(BX$11&amp;BX$12=$BD$11,$BD19,IF(BX$11&amp;BX$12=$BE$11,$BE19,IF(BX$11&amp;BX$12=$BF$11,$BF19,SUMIFS('Reference Tables'!$F$880:$F$925,'Reference Tables'!$A$880:$A$925,BX$11,'Reference Tables'!$B$880:$B$925,BX$12)))))))))</f>
        <v>0</v>
      </c>
      <c r="BY19" s="306">
        <f>IF(BY$11&amp;BY$12=$AY$11,$AY19,IF(BY$11&amp;BY$12=$AZ$11,$AZ19,IF(BY$11&amp;BY$12=$BA$11,$BA19,IF(BY$11&amp;BY$12=$BB$11,$BB19,IF(BY$11&amp;BY$12=$BC$11,$BC19,IF(BY$11&amp;BY$12=$BD$11,$BD19,IF(BY$11&amp;BY$12=$BE$11,$BE19,IF(BY$11&amp;BY$12=$BF$11,$BF19,SUMIFS('Reference Tables'!$F$880:$F$925,'Reference Tables'!$A$880:$A$925,BY$11,'Reference Tables'!$B$880:$B$925,BY$12)))))))))</f>
        <v>0</v>
      </c>
      <c r="BZ19" s="306">
        <f>IF(BZ$11&amp;BZ$12=$AY$11,$AY19,IF(BZ$11&amp;BZ$12=$AZ$11,$AZ19,IF(BZ$11&amp;BZ$12=$BA$11,$BA19,IF(BZ$11&amp;BZ$12=$BB$11,$BB19,IF(BZ$11&amp;BZ$12=$BC$11,$BC19,IF(BZ$11&amp;BZ$12=$BD$11,$BD19,IF(BZ$11&amp;BZ$12=$BE$11,$BE19,IF(BZ$11&amp;BZ$12=$BF$11,$BF19,SUMIFS('Reference Tables'!$F$880:$F$925,'Reference Tables'!$A$880:$A$925,BZ$11,'Reference Tables'!$B$880:$B$925,BZ$12)))))))))</f>
        <v>0</v>
      </c>
      <c r="CA19" s="306">
        <f>IF(CA$11&amp;CA$12=$AY$11,$AY19,IF(CA$11&amp;CA$12=$AZ$11,$AZ19,IF(CA$11&amp;CA$12=$BA$11,$BA19,IF(CA$11&amp;CA$12=$BB$11,$BB19,IF(CA$11&amp;CA$12=$BC$11,$BC19,IF(CA$11&amp;CA$12=$BD$11,$BD19,IF(CA$11&amp;CA$12=$BE$11,$BE19,IF(CA$11&amp;CA$12=$BF$11,$BF19,SUMIFS('Reference Tables'!$F$880:$F$925,'Reference Tables'!$A$880:$A$925,CA$11,'Reference Tables'!$B$880:$B$925,CA$12)))))))))</f>
        <v>1</v>
      </c>
      <c r="CB19" s="306">
        <f>IF(CB$11&amp;CB$12=$AY$11,$AY19,IF(CB$11&amp;CB$12=$AZ$11,$AZ19,IF(CB$11&amp;CB$12=$BA$11,$BA19,IF(CB$11&amp;CB$12=$BB$11,$BB19,IF(CB$11&amp;CB$12=$BC$11,$BC19,IF(CB$11&amp;CB$12=$BD$11,$BD19,IF(CB$11&amp;CB$12=$BE$11,$BE19,IF(CB$11&amp;CB$12=$BF$11,$BF19,SUMIFS('Reference Tables'!$F$880:$F$925,'Reference Tables'!$A$880:$A$925,CB$11,'Reference Tables'!$B$880:$B$925,CB$12)))))))))</f>
        <v>0</v>
      </c>
      <c r="CC19" s="306">
        <f>IF(CC$11&amp;CC$12=$AY$11,$AY19,IF(CC$11&amp;CC$12=$AZ$11,$AZ19,IF(CC$11&amp;CC$12=$BA$11,$BA19,IF(CC$11&amp;CC$12=$BB$11,$BB19,IF(CC$11&amp;CC$12=$BC$11,$BC19,IF(CC$11&amp;CC$12=$BD$11,$BD19,IF(CC$11&amp;CC$12=$BE$11,$BE19,IF(CC$11&amp;CC$12=$BF$11,$BF19,SUMIFS('Reference Tables'!$F$880:$F$925,'Reference Tables'!$A$880:$A$925,CC$11,'Reference Tables'!$B$880:$B$925,CC$12)))))))))</f>
        <v>0</v>
      </c>
      <c r="CD19" s="306">
        <f>IF(CD$11&amp;CD$12=$AY$11,$AY19,IF(CD$11&amp;CD$12=$AZ$11,$AZ19,IF(CD$11&amp;CD$12=$BA$11,$BA19,IF(CD$11&amp;CD$12=$BB$11,$BB19,IF(CD$11&amp;CD$12=$BC$11,$BC19,IF(CD$11&amp;CD$12=$BD$11,$BD19,IF(CD$11&amp;CD$12=$BE$11,$BE19,IF(CD$11&amp;CD$12=$BF$11,$BF19,SUMIFS('Reference Tables'!$F$880:$F$925,'Reference Tables'!$A$880:$A$925,CD$11,'Reference Tables'!$B$880:$B$925,CD$12)))))))))</f>
        <v>1</v>
      </c>
      <c r="CE19" s="306">
        <f>IF(CE$11&amp;CE$12=$AY$11,$AY19,IF(CE$11&amp;CE$12=$AZ$11,$AZ19,IF(CE$11&amp;CE$12=$BA$11,$BA19,IF(CE$11&amp;CE$12=$BB$11,$BB19,IF(CE$11&amp;CE$12=$BC$11,$BC19,IF(CE$11&amp;CE$12=$BD$11,$BD19,IF(CE$11&amp;CE$12=$BE$11,$BE19,IF(CE$11&amp;CE$12=$BF$11,$BF19,SUMIFS('Reference Tables'!$F$880:$F$925,'Reference Tables'!$A$880:$A$925,CE$11,'Reference Tables'!$B$880:$B$925,CE$12)))))))))</f>
        <v>0</v>
      </c>
      <c r="CF19" s="306">
        <f>IF(CF$11&amp;CF$12=$AY$11,$AY19,IF(CF$11&amp;CF$12=$AZ$11,$AZ19,IF(CF$11&amp;CF$12=$BA$11,$BA19,IF(CF$11&amp;CF$12=$BB$11,$BB19,IF(CF$11&amp;CF$12=$BC$11,$BC19,IF(CF$11&amp;CF$12=$BD$11,$BD19,IF(CF$11&amp;CF$12=$BE$11,$BE19,IF(CF$11&amp;CF$12=$BF$11,$BF19,SUMIFS('Reference Tables'!$F$880:$F$925,'Reference Tables'!$A$880:$A$925,CF$11,'Reference Tables'!$B$880:$B$925,CF$12)))))))))</f>
        <v>0</v>
      </c>
      <c r="CG19" s="306">
        <f>IF(CG$11&amp;CG$12=$AY$11,$AY19,IF(CG$11&amp;CG$12=$AZ$11,$AZ19,IF(CG$11&amp;CG$12=$BA$11,$BA19,IF(CG$11&amp;CG$12=$BB$11,$BB19,IF(CG$11&amp;CG$12=$BC$11,$BC19,IF(CG$11&amp;CG$12=$BD$11,$BD19,IF(CG$11&amp;CG$12=$BE$11,$BE19,IF(CG$11&amp;CG$12=$BF$11,$BF19,SUMIFS('Reference Tables'!$F$880:$F$925,'Reference Tables'!$A$880:$A$925,CG$11,'Reference Tables'!$B$880:$B$925,CG$12)))))))))</f>
        <v>0</v>
      </c>
      <c r="CH19" s="306">
        <f>IF(CH$11&amp;CH$12=$AY$11,$AY19,IF(CH$11&amp;CH$12=$AZ$11,$AZ19,IF(CH$11&amp;CH$12=$BA$11,$BA19,IF(CH$11&amp;CH$12=$BB$11,$BB19,IF(CH$11&amp;CH$12=$BC$11,$BC19,IF(CH$11&amp;CH$12=$BD$11,$BD19,IF(CH$11&amp;CH$12=$BE$11,$BE19,IF(CH$11&amp;CH$12=$BF$11,$BF19,SUMIFS('Reference Tables'!$F$880:$F$925,'Reference Tables'!$A$880:$A$925,CH$11,'Reference Tables'!$B$880:$B$925,CH$12)))))))))</f>
        <v>0</v>
      </c>
      <c r="CI19" s="306">
        <f>IF(CI$11&amp;CI$12=$AY$11,$AY19,IF(CI$11&amp;CI$12=$AZ$11,$AZ19,IF(CI$11&amp;CI$12=$BA$11,$BA19,IF(CI$11&amp;CI$12=$BB$11,$BB19,IF(CI$11&amp;CI$12=$BC$11,$BC19,IF(CI$11&amp;CI$12=$BD$11,$BD19,IF(CI$11&amp;CI$12=$BE$11,$BE19,IF(CI$11&amp;CI$12=$BF$11,$BF19,SUMIFS('Reference Tables'!$F$880:$F$925,'Reference Tables'!$A$880:$A$925,CI$11,'Reference Tables'!$B$880:$B$925,CI$12)))))))))</f>
        <v>0</v>
      </c>
      <c r="CJ19" s="306">
        <f>IF(CJ$11&amp;CJ$12=$AY$11,$AY19,IF(CJ$11&amp;CJ$12=$AZ$11,$AZ19,IF(CJ$11&amp;CJ$12=$BA$11,$BA19,IF(CJ$11&amp;CJ$12=$BB$11,$BB19,IF(CJ$11&amp;CJ$12=$BC$11,$BC19,IF(CJ$11&amp;CJ$12=$BD$11,$BD19,IF(CJ$11&amp;CJ$12=$BE$11,$BE19,IF(CJ$11&amp;CJ$12=$BF$11,$BF19,SUMIFS('Reference Tables'!$F$880:$F$925,'Reference Tables'!$A$880:$A$925,CJ$11,'Reference Tables'!$B$880:$B$925,CJ$12)))))))))</f>
        <v>0</v>
      </c>
      <c r="CK19" s="306">
        <f>IF(CK$11&amp;CK$12=$AY$11,$AY19,IF(CK$11&amp;CK$12=$AZ$11,$AZ19,IF(CK$11&amp;CK$12=$BA$11,$BA19,IF(CK$11&amp;CK$12=$BB$11,$BB19,IF(CK$11&amp;CK$12=$BC$11,$BC19,IF(CK$11&amp;CK$12=$BD$11,$BD19,IF(CK$11&amp;CK$12=$BE$11,$BE19,IF(CK$11&amp;CK$12=$BF$11,$BF19,SUMIFS('Reference Tables'!$F$880:$F$925,'Reference Tables'!$A$880:$A$925,CK$11,'Reference Tables'!$B$880:$B$925,CK$12)))))))))</f>
        <v>0</v>
      </c>
      <c r="CL19" s="306">
        <f>IF(CL$11&amp;CL$12=$AY$11,$AY19,IF(CL$11&amp;CL$12=$AZ$11,$AZ19,IF(CL$11&amp;CL$12=$BA$11,$BA19,IF(CL$11&amp;CL$12=$BB$11,$BB19,IF(CL$11&amp;CL$12=$BC$11,$BC19,IF(CL$11&amp;CL$12=$BD$11,$BD19,IF(CL$11&amp;CL$12=$BE$11,$BE19,IF(CL$11&amp;CL$12=$BF$11,$BF19,SUMIFS('Reference Tables'!$F$880:$F$925,'Reference Tables'!$A$880:$A$925,CL$11,'Reference Tables'!$B$880:$B$925,CL$12)))))))))</f>
        <v>0</v>
      </c>
      <c r="CM19" s="306">
        <f>IF(CM$11&amp;CM$12=$AY$11,$AY19,IF(CM$11&amp;CM$12=$AZ$11,$AZ19,IF(CM$11&amp;CM$12=$BA$11,$BA19,IF(CM$11&amp;CM$12=$BB$11,$BB19,IF(CM$11&amp;CM$12=$BC$11,$BC19,IF(CM$11&amp;CM$12=$BD$11,$BD19,IF(CM$11&amp;CM$12=$BE$11,$BE19,IF(CM$11&amp;CM$12=$BF$11,$BF19,SUMIFS('Reference Tables'!$F$880:$F$925,'Reference Tables'!$A$880:$A$925,CM$11,'Reference Tables'!$B$880:$B$925,CM$12)))))))))</f>
        <v>0</v>
      </c>
      <c r="CN19" s="306">
        <f>IF(CN$11&amp;CN$12=$AY$11,$AY19,IF(CN$11&amp;CN$12=$AZ$11,$AZ19,IF(CN$11&amp;CN$12=$BA$11,$BA19,IF(CN$11&amp;CN$12=$BB$11,$BB19,IF(CN$11&amp;CN$12=$BC$11,$BC19,IF(CN$11&amp;CN$12=$BD$11,$BD19,IF(CN$11&amp;CN$12=$BE$11,$BE19,IF(CN$11&amp;CN$12=$BF$11,$BF19,SUMIFS('Reference Tables'!$F$880:$F$925,'Reference Tables'!$A$880:$A$925,CN$11,'Reference Tables'!$B$880:$B$925,CN$12)))))))))</f>
        <v>0</v>
      </c>
      <c r="CO19" s="306">
        <f>IF(CO$11&amp;CO$12=$AY$11,$AY19,IF(CO$11&amp;CO$12=$AZ$11,$AZ19,IF(CO$11&amp;CO$12=$BA$11,$BA19,IF(CO$11&amp;CO$12=$BB$11,$BB19,IF(CO$11&amp;CO$12=$BC$11,$BC19,IF(CO$11&amp;CO$12=$BD$11,$BD19,IF(CO$11&amp;CO$12=$BE$11,$BE19,IF(CO$11&amp;CO$12=$BF$11,$BF19,SUMIFS('Reference Tables'!$F$880:$F$925,'Reference Tables'!$A$880:$A$925,CO$11,'Reference Tables'!$B$880:$B$925,CO$12)))))))))</f>
        <v>0</v>
      </c>
      <c r="CP19" s="306">
        <f>IF(CP$11&amp;CP$12=$AY$11,$AY19,IF(CP$11&amp;CP$12=$AZ$11,$AZ19,IF(CP$11&amp;CP$12=$BA$11,$BA19,IF(CP$11&amp;CP$12=$BB$11,$BB19,IF(CP$11&amp;CP$12=$BC$11,$BC19,IF(CP$11&amp;CP$12=$BD$11,$BD19,IF(CP$11&amp;CP$12=$BE$11,$BE19,IF(CP$11&amp;CP$12=$BF$11,$BF19,SUMIFS('Reference Tables'!$F$880:$F$925,'Reference Tables'!$A$880:$A$925,CP$11,'Reference Tables'!$B$880:$B$925,CP$12)))))))))</f>
        <v>0</v>
      </c>
      <c r="CQ19" s="306">
        <f>IF(CQ$11&amp;CQ$12=$AY$11,$AY19,IF(CQ$11&amp;CQ$12=$AZ$11,$AZ19,IF(CQ$11&amp;CQ$12=$BA$11,$BA19,IF(CQ$11&amp;CQ$12=$BB$11,$BB19,IF(CQ$11&amp;CQ$12=$BC$11,$BC19,IF(CQ$11&amp;CQ$12=$BD$11,$BD19,IF(CQ$11&amp;CQ$12=$BE$11,$BE19,IF(CQ$11&amp;CQ$12=$BF$11,$BF19,SUMIFS('Reference Tables'!$F$880:$F$925,'Reference Tables'!$A$880:$A$925,CQ$11,'Reference Tables'!$B$880:$B$925,CQ$12)))))))))</f>
        <v>0</v>
      </c>
      <c r="CR19" s="306">
        <f>IF(CR$11&amp;CR$12=$AY$11,$AY19,IF(CR$11&amp;CR$12=$AZ$11,$AZ19,IF(CR$11&amp;CR$12=$BA$11,$BA19,IF(CR$11&amp;CR$12=$BB$11,$BB19,IF(CR$11&amp;CR$12=$BC$11,$BC19,IF(CR$11&amp;CR$12=$BD$11,$BD19,IF(CR$11&amp;CR$12=$BE$11,$BE19,IF(CR$11&amp;CR$12=$BF$11,$BF19,SUMIFS('Reference Tables'!$F$880:$F$925,'Reference Tables'!$A$880:$A$925,CR$11,'Reference Tables'!$B$880:$B$925,CR$12)))))))))</f>
        <v>0</v>
      </c>
      <c r="CS19" s="306">
        <f>IF(CS$11&amp;CS$12=$AY$11,$AY19,IF(CS$11&amp;CS$12=$AZ$11,$AZ19,IF(CS$11&amp;CS$12=$BA$11,$BA19,IF(CS$11&amp;CS$12=$BB$11,$BB19,IF(CS$11&amp;CS$12=$BC$11,$BC19,IF(CS$11&amp;CS$12=$BD$11,$BD19,IF(CS$11&amp;CS$12=$BE$11,$BE19,IF(CS$11&amp;CS$12=$BF$11,$BF19,SUMIFS('Reference Tables'!$F$880:$F$925,'Reference Tables'!$A$880:$A$925,CS$11,'Reference Tables'!$B$880:$B$925,CS$12)))))))))</f>
        <v>0</v>
      </c>
      <c r="CT19" s="306">
        <f>IF(CT$11&amp;CT$12=$AY$11,$AY19,IF(CT$11&amp;CT$12=$AZ$11,$AZ19,IF(CT$11&amp;CT$12=$BA$11,$BA19,IF(CT$11&amp;CT$12=$BB$11,$BB19,IF(CT$11&amp;CT$12=$BC$11,$BC19,IF(CT$11&amp;CT$12=$BD$11,$BD19,IF(CT$11&amp;CT$12=$BE$11,$BE19,IF(CT$11&amp;CT$12=$BF$11,$BF19,SUMIFS('Reference Tables'!$F$880:$F$925,'Reference Tables'!$A$880:$A$925,CT$11,'Reference Tables'!$B$880:$B$925,CT$12)))))))))</f>
        <v>0</v>
      </c>
      <c r="CU19" s="306">
        <f>IF(CU$11&amp;CU$12=$AY$11,$AY19,IF(CU$11&amp;CU$12=$AZ$11,$AZ19,IF(CU$11&amp;CU$12=$BA$11,$BA19,IF(CU$11&amp;CU$12=$BB$11,$BB19,IF(CU$11&amp;CU$12=$BC$11,$BC19,IF(CU$11&amp;CU$12=$BD$11,$BD19,IF(CU$11&amp;CU$12=$BE$11,$BE19,IF(CU$11&amp;CU$12=$BF$11,$BF19,SUMIFS('Reference Tables'!$F$880:$F$925,'Reference Tables'!$A$880:$A$925,CU$11,'Reference Tables'!$B$880:$B$925,CU$12)))))))))</f>
        <v>0</v>
      </c>
      <c r="CV19" s="306">
        <f>IF(CV$11&amp;CV$12=$AY$11,$AY19,IF(CV$11&amp;CV$12=$AZ$11,$AZ19,IF(CV$11&amp;CV$12=$BA$11,$BA19,IF(CV$11&amp;CV$12=$BB$11,$BB19,IF(CV$11&amp;CV$12=$BC$11,$BC19,IF(CV$11&amp;CV$12=$BD$11,$BD19,IF(CV$11&amp;CV$12=$BE$11,$BE19,IF(CV$11&amp;CV$12=$BF$11,$BF19,SUMIFS('Reference Tables'!$F$880:$F$925,'Reference Tables'!$A$880:$A$925,CV$11,'Reference Tables'!$B$880:$B$925,CV$12)))))))))</f>
        <v>1</v>
      </c>
      <c r="CW19" s="306">
        <f>IF(CW$11&amp;CW$12=$AY$11,$AY19,IF(CW$11&amp;CW$12=$AZ$11,$AZ19,IF(CW$11&amp;CW$12=$BA$11,$BA19,IF(CW$11&amp;CW$12=$BB$11,$BB19,IF(CW$11&amp;CW$12=$BC$11,$BC19,IF(CW$11&amp;CW$12=$BD$11,$BD19,IF(CW$11&amp;CW$12=$BE$11,$BE19,IF(CW$11&amp;CW$12=$BF$11,$BF19,SUMIFS('Reference Tables'!$F$880:$F$925,'Reference Tables'!$A$880:$A$925,CW$11,'Reference Tables'!$B$880:$B$925,CW$12)))))))))</f>
        <v>1</v>
      </c>
      <c r="CX19" s="306">
        <f>IF(CX$11&amp;CX$12=$AY$11,$AY19,IF(CX$11&amp;CX$12=$AZ$11,$AZ19,IF(CX$11&amp;CX$12=$BA$11,$BA19,IF(CX$11&amp;CX$12=$BB$11,$BB19,IF(CX$11&amp;CX$12=$BC$11,$BC19,IF(CX$11&amp;CX$12=$BD$11,$BD19,IF(CX$11&amp;CX$12=$BE$11,$BE19,IF(CX$11&amp;CX$12=$BF$11,$BF19,SUMIFS('Reference Tables'!$F$880:$F$925,'Reference Tables'!$A$880:$A$925,CX$11,'Reference Tables'!$B$880:$B$925,CX$12)))))))))</f>
        <v>0</v>
      </c>
    </row>
    <row r="20" spans="1:102" s="250" customFormat="1" ht="18.75" customHeight="1">
      <c r="A20" s="303"/>
      <c r="B20" s="303"/>
      <c r="C20" s="307"/>
      <c r="D20" s="307"/>
      <c r="E20" s="307"/>
      <c r="F20" s="307"/>
      <c r="G20" s="307"/>
      <c r="H20" s="307"/>
      <c r="I20" s="307"/>
      <c r="J20" s="307"/>
      <c r="K20" s="307"/>
      <c r="L20" s="307"/>
      <c r="M20" s="307"/>
      <c r="N20" s="307"/>
      <c r="O20" s="307"/>
      <c r="P20" s="307"/>
      <c r="Q20" s="307"/>
      <c r="R20" s="307"/>
      <c r="S20" s="307"/>
      <c r="T20" s="307"/>
      <c r="U20" s="307"/>
      <c r="V20" s="307"/>
      <c r="W20" s="307"/>
      <c r="X20" s="307"/>
      <c r="Y20" s="307"/>
      <c r="Z20" s="307"/>
      <c r="AA20" s="307"/>
      <c r="AB20" s="307"/>
      <c r="AC20" s="307"/>
      <c r="AD20" s="307"/>
      <c r="AE20" s="307"/>
      <c r="AF20" s="307"/>
      <c r="AG20" s="307"/>
      <c r="AH20" s="307"/>
      <c r="AI20" s="307"/>
      <c r="AJ20" s="307"/>
      <c r="AK20" s="307"/>
      <c r="AL20" s="307"/>
      <c r="AM20" s="307"/>
      <c r="AN20" s="307"/>
      <c r="AO20" s="307"/>
      <c r="AP20" s="307"/>
      <c r="AQ20" s="307"/>
      <c r="AR20" s="307"/>
      <c r="AS20" s="307"/>
      <c r="AT20" s="307"/>
      <c r="AU20" s="180" t="str">
        <f>IF($A20="","",INDEX('Tank Data'!$1:$1048576,MATCH($A20,'Tank Data'!$A:$A,0),MATCH(AU$10,'Tank Data'!$9:$9,0)))</f>
        <v/>
      </c>
      <c r="AV20" s="180" t="str">
        <f>IF($A20="","",INDEX('Tank Data'!$1:$1048576,MATCH($A20,'Tank Data'!$A:$A,0),MATCH($AV$10,'Tank Data'!$9:$9,0)))</f>
        <v/>
      </c>
      <c r="AW20" s="305" t="str">
        <f>IF(OR($AV20="EFR",$AV20="DEFR"),INDEX('Tank Data'!$1:$1048576,MATCH($A20,'Tank Data'!$A:$A,0),MATCH($AW$10,'Tank Data'!$9:$9,0)),"")</f>
        <v/>
      </c>
      <c r="AX20" s="305" t="str">
        <f>IF($A20="","",INDEX('Tank Data'!$1:$1048576,MATCH($A20,'Tank Data'!$A:$A,0),MATCH($AX$10,'Tank Data'!$9:$9,0)))</f>
        <v/>
      </c>
      <c r="AY20" s="306">
        <f>IF($AV20="IFR",IF($AU20&gt;'Reference Tables'!$B$876,'Reference Tables'!$C$876,SUMPRODUCT(('Reference Tables'!$C$862:$C$876)*('Reference Tables'!$A$862:$A$876&lt;$AU20)*('Reference Tables'!$B$862:$B$876&gt;=$AU20))),0)</f>
        <v>0</v>
      </c>
      <c r="AZ20" s="306">
        <f>IF($AV20="IFR",1,IF(OR($AV20="EFR",$AV20="DEFR"),INDEX('Reference Tables'!$A$930:$C$938,MATCH(IF($AU20&lt;'Reference Tables'!$A$931,'Reference Tables'!$A$931,IF($AU20&gt;'Reference Tables'!$A$938,'Reference Tables'!$A$938,ROUND($AU20/50,0)*50)),'Reference Tables'!$A$930:$A$938,0),MATCH($AW20,'Reference Tables'!$A$930:$C$930,0)),0))</f>
        <v>0</v>
      </c>
      <c r="BA20" s="306">
        <f>IF(OR($AV20="EFR",$AV20="DEFR"),INDEX('Reference Tables'!$A$930:$D$938,MATCH(IF($AU20&lt;='Reference Tables'!$A$931,'Reference Tables'!$A$931,IF($AU20&gt;'Reference Tables'!$A$936,'Reference Tables'!$A$936,ROUND($AU20/50,0)*50)),'Reference Tables'!$A$930:$A$938,0),COLUMN('Reference Tables'!$D$930)),0)</f>
        <v>0</v>
      </c>
      <c r="BB20" s="306">
        <f>IF(AND(OR($AV20="EFR",$AV20="DEFR"),$AW20="Pontoon Roof"),INDEX('Reference Tables'!$A$943:$D$980,MATCH(IF($AU20&lt;'Reference Tables'!$A$943,'Reference Tables'!$A$943,IF($AU20&gt;'Reference Tables'!$A$980,'Reference Tables'!$A$980,ROUND($AU20,1))),'Reference Tables'!$A$943:$A$980,0),COLUMN('Reference Tables'!$B$942)),0)</f>
        <v>0</v>
      </c>
      <c r="BC20" s="306">
        <f>IF(AND(OR($AV20="EFR",$AV20="DEFR"),$AW20="Pontoon Roof"),INDEX('Reference Tables'!$A$943:$D$980,MATCH(IF($AU20&lt;'Reference Tables'!$A$943,'Reference Tables'!$A$943,IF($AU20&gt;'Reference Tables'!$A$980,'Reference Tables'!$A$980,ROUND($AU20,1))),'Reference Tables'!$A$943:$A$980,0),COLUMN('Reference Tables'!$C$942)),0)</f>
        <v>0</v>
      </c>
      <c r="BD20" s="306">
        <f>IF(AND(OR($AV20="EFR",$AV20="DEFR"),$AW20="Double-Deck Roof"),INDEX('Reference Tables'!$A$943:$D$980,MATCH(IF($AU20&lt;'Reference Tables'!$A$943,'Reference Tables'!$A$943,IF($AU20&gt;'Reference Tables'!$A$980,'Reference Tables'!$A$980,ROUND($AU20,1))),'Reference Tables'!$A$943:$A$980,0),COLUMN('Reference Tables'!$D$942)),0)</f>
        <v>0</v>
      </c>
      <c r="BE20" s="306">
        <f t="shared" si="0"/>
        <v>0</v>
      </c>
      <c r="BF20" s="306">
        <f t="shared" si="1"/>
        <v>0</v>
      </c>
      <c r="BG20" s="306">
        <f>IF(BG$11&amp;BG$12=$AY$11,$AY20,IF(BG$11&amp;BG$12=$AZ$11,$AZ20,IF(BG$11&amp;BG$12=$BA$11,$BA20,IF(BG$11&amp;BG$12=$BB$11,$BB20,IF(BG$11&amp;BG$12=$BC$11,$BC20,IF(BG$11&amp;BG$12=$BD$11,$BD20,IF(BG$11&amp;BG$12=$BE$11,$BE20,IF(BG$11&amp;BG$12=$BF$11,$BF20,SUMIFS('Reference Tables'!$F$880:$F$925,'Reference Tables'!$A$880:$A$925,BG$11,'Reference Tables'!$B$880:$B$925,BG$12)))))))))</f>
        <v>1</v>
      </c>
      <c r="BH20" s="306">
        <f>IF(BH$11&amp;BH$12=$AY$11,$AY20,IF(BH$11&amp;BH$12=$AZ$11,$AZ20,IF(BH$11&amp;BH$12=$BA$11,$BA20,IF(BH$11&amp;BH$12=$BB$11,$BB20,IF(BH$11&amp;BH$12=$BC$11,$BC20,IF(BH$11&amp;BH$12=$BD$11,$BD20,IF(BH$11&amp;BH$12=$BE$11,$BE20,IF(BH$11&amp;BH$12=$BF$11,$BF20,SUMIFS('Reference Tables'!$F$880:$F$925,'Reference Tables'!$A$880:$A$925,BH$11,'Reference Tables'!$B$880:$B$925,BH$12)))))))))</f>
        <v>0</v>
      </c>
      <c r="BI20" s="306">
        <f>IF(BI$11&amp;BI$12=$AY$11,$AY20,IF(BI$11&amp;BI$12=$AZ$11,$AZ20,IF(BI$11&amp;BI$12=$BA$11,$BA20,IF(BI$11&amp;BI$12=$BB$11,$BB20,IF(BI$11&amp;BI$12=$BC$11,$BC20,IF(BI$11&amp;BI$12=$BD$11,$BD20,IF(BI$11&amp;BI$12=$BE$11,$BE20,IF(BI$11&amp;BI$12=$BF$11,$BF20,SUMIFS('Reference Tables'!$F$880:$F$925,'Reference Tables'!$A$880:$A$925,BI$11,'Reference Tables'!$B$880:$B$925,BI$12)))))))))</f>
        <v>0</v>
      </c>
      <c r="BJ20" s="306">
        <f>IF(BJ$11&amp;BJ$12=$AY$11,$AY20,IF(BJ$11&amp;BJ$12=$AZ$11,$AZ20,IF(BJ$11&amp;BJ$12=$BA$11,$BA20,IF(BJ$11&amp;BJ$12=$BB$11,$BB20,IF(BJ$11&amp;BJ$12=$BC$11,$BC20,IF(BJ$11&amp;BJ$12=$BD$11,$BD20,IF(BJ$11&amp;BJ$12=$BE$11,$BE20,IF(BJ$11&amp;BJ$12=$BF$11,$BF20,SUMIFS('Reference Tables'!$F$880:$F$925,'Reference Tables'!$A$880:$A$925,BJ$11,'Reference Tables'!$B$880:$B$925,BJ$12)))))))))</f>
        <v>0</v>
      </c>
      <c r="BK20" s="306">
        <f>IF(BK$11&amp;BK$12=$AY$11,$AY20,IF(BK$11&amp;BK$12=$AZ$11,$AZ20,IF(BK$11&amp;BK$12=$BA$11,$BA20,IF(BK$11&amp;BK$12=$BB$11,$BB20,IF(BK$11&amp;BK$12=$BC$11,$BC20,IF(BK$11&amp;BK$12=$BD$11,$BD20,IF(BK$11&amp;BK$12=$BE$11,$BE20,IF(BK$11&amp;BK$12=$BF$11,$BF20,SUMIFS('Reference Tables'!$F$880:$F$925,'Reference Tables'!$A$880:$A$925,BK$11,'Reference Tables'!$B$880:$B$925,BK$12)))))))))</f>
        <v>0</v>
      </c>
      <c r="BL20" s="306">
        <f>IF(BL$11&amp;BL$12=$AY$11,$AY20,IF(BL$11&amp;BL$12=$AZ$11,$AZ20,IF(BL$11&amp;BL$12=$BA$11,$BA20,IF(BL$11&amp;BL$12=$BB$11,$BB20,IF(BL$11&amp;BL$12=$BC$11,$BC20,IF(BL$11&amp;BL$12=$BD$11,$BD20,IF(BL$11&amp;BL$12=$BE$11,$BE20,IF(BL$11&amp;BL$12=$BF$11,$BF20,SUMIFS('Reference Tables'!$F$880:$F$925,'Reference Tables'!$A$880:$A$925,BL$11,'Reference Tables'!$B$880:$B$925,BL$12)))))))))</f>
        <v>0</v>
      </c>
      <c r="BM20" s="306">
        <f>IF(BM$11&amp;BM$12=$AY$11,$AY20,IF(BM$11&amp;BM$12=$AZ$11,$AZ20,IF(BM$11&amp;BM$12=$BA$11,$BA20,IF(BM$11&amp;BM$12=$BB$11,$BB20,IF(BM$11&amp;BM$12=$BC$11,$BC20,IF(BM$11&amp;BM$12=$BD$11,$BD20,IF(BM$11&amp;BM$12=$BE$11,$BE20,IF(BM$11&amp;BM$12=$BF$11,$BF20,SUMIFS('Reference Tables'!$F$880:$F$925,'Reference Tables'!$A$880:$A$925,BM$11,'Reference Tables'!$B$880:$B$925,BM$12)))))))))</f>
        <v>0</v>
      </c>
      <c r="BN20" s="306">
        <f>IF(BN$11&amp;BN$12=$AY$11,$AY20,IF(BN$11&amp;BN$12=$AZ$11,$AZ20,IF(BN$11&amp;BN$12=$BA$11,$BA20,IF(BN$11&amp;BN$12=$BB$11,$BB20,IF(BN$11&amp;BN$12=$BC$11,$BC20,IF(BN$11&amp;BN$12=$BD$11,$BD20,IF(BN$11&amp;BN$12=$BE$11,$BE20,IF(BN$11&amp;BN$12=$BF$11,$BF20,SUMIFS('Reference Tables'!$F$880:$F$925,'Reference Tables'!$A$880:$A$925,BN$11,'Reference Tables'!$B$880:$B$925,BN$12)))))))))</f>
        <v>0</v>
      </c>
      <c r="BO20" s="306">
        <f>IF(BO$11&amp;BO$12=$AY$11,$AY20,IF(BO$11&amp;BO$12=$AZ$11,$AZ20,IF(BO$11&amp;BO$12=$BA$11,$BA20,IF(BO$11&amp;BO$12=$BB$11,$BB20,IF(BO$11&amp;BO$12=$BC$11,$BC20,IF(BO$11&amp;BO$12=$BD$11,$BD20,IF(BO$11&amp;BO$12=$BE$11,$BE20,IF(BO$11&amp;BO$12=$BF$11,$BF20,SUMIFS('Reference Tables'!$F$880:$F$925,'Reference Tables'!$A$880:$A$925,BO$11,'Reference Tables'!$B$880:$B$925,BO$12)))))))))</f>
        <v>1</v>
      </c>
      <c r="BP20" s="306">
        <f>IF(BP$11&amp;BP$12=$AY$11,$AY20,IF(BP$11&amp;BP$12=$AZ$11,$AZ20,IF(BP$11&amp;BP$12=$BA$11,$BA20,IF(BP$11&amp;BP$12=$BB$11,$BB20,IF(BP$11&amp;BP$12=$BC$11,$BC20,IF(BP$11&amp;BP$12=$BD$11,$BD20,IF(BP$11&amp;BP$12=$BE$11,$BE20,IF(BP$11&amp;BP$12=$BF$11,$BF20,SUMIFS('Reference Tables'!$F$880:$F$925,'Reference Tables'!$A$880:$A$925,BP$11,'Reference Tables'!$B$880:$B$925,BP$12)))))))))</f>
        <v>0</v>
      </c>
      <c r="BQ20" s="306">
        <f>IF(BQ$11&amp;BQ$12=$AY$11,$AY20,IF(BQ$11&amp;BQ$12=$AZ$11,$AZ20,IF(BQ$11&amp;BQ$12=$BA$11,$BA20,IF(BQ$11&amp;BQ$12=$BB$11,$BB20,IF(BQ$11&amp;BQ$12=$BC$11,$BC20,IF(BQ$11&amp;BQ$12=$BD$11,$BD20,IF(BQ$11&amp;BQ$12=$BE$11,$BE20,IF(BQ$11&amp;BQ$12=$BF$11,$BF20,SUMIFS('Reference Tables'!$F$880:$F$925,'Reference Tables'!$A$880:$A$925,BQ$11,'Reference Tables'!$B$880:$B$925,BQ$12)))))))))</f>
        <v>0</v>
      </c>
      <c r="BR20" s="306">
        <f>IF(BR$11&amp;BR$12=$AY$11,$AY20,IF(BR$11&amp;BR$12=$AZ$11,$AZ20,IF(BR$11&amp;BR$12=$BA$11,$BA20,IF(BR$11&amp;BR$12=$BB$11,$BB20,IF(BR$11&amp;BR$12=$BC$11,$BC20,IF(BR$11&amp;BR$12=$BD$11,$BD20,IF(BR$11&amp;BR$12=$BE$11,$BE20,IF(BR$11&amp;BR$12=$BF$11,$BF20,SUMIFS('Reference Tables'!$F$880:$F$925,'Reference Tables'!$A$880:$A$925,BR$11,'Reference Tables'!$B$880:$B$925,BR$12)))))))))</f>
        <v>0</v>
      </c>
      <c r="BS20" s="306">
        <f>IF(BS$11&amp;BS$12=$AY$11,$AY20,IF(BS$11&amp;BS$12=$AZ$11,$AZ20,IF(BS$11&amp;BS$12=$BA$11,$BA20,IF(BS$11&amp;BS$12=$BB$11,$BB20,IF(BS$11&amp;BS$12=$BC$11,$BC20,IF(BS$11&amp;BS$12=$BD$11,$BD20,IF(BS$11&amp;BS$12=$BE$11,$BE20,IF(BS$11&amp;BS$12=$BF$11,$BF20,SUMIFS('Reference Tables'!$F$880:$F$925,'Reference Tables'!$A$880:$A$925,BS$11,'Reference Tables'!$B$880:$B$925,BS$12)))))))))</f>
        <v>0</v>
      </c>
      <c r="BT20" s="306">
        <f>IF(BT$11&amp;BT$12=$AY$11,$AY20,IF(BT$11&amp;BT$12=$AZ$11,$AZ20,IF(BT$11&amp;BT$12=$BA$11,$BA20,IF(BT$11&amp;BT$12=$BB$11,$BB20,IF(BT$11&amp;BT$12=$BC$11,$BC20,IF(BT$11&amp;BT$12=$BD$11,$BD20,IF(BT$11&amp;BT$12=$BE$11,$BE20,IF(BT$11&amp;BT$12=$BF$11,$BF20,SUMIFS('Reference Tables'!$F$880:$F$925,'Reference Tables'!$A$880:$A$925,BT$11,'Reference Tables'!$B$880:$B$925,BT$12)))))))))</f>
        <v>0</v>
      </c>
      <c r="BU20" s="306">
        <f>IF(BU$11&amp;BU$12=$AY$11,$AY20,IF(BU$11&amp;BU$12=$AZ$11,$AZ20,IF(BU$11&amp;BU$12=$BA$11,$BA20,IF(BU$11&amp;BU$12=$BB$11,$BB20,IF(BU$11&amp;BU$12=$BC$11,$BC20,IF(BU$11&amp;BU$12=$BD$11,$BD20,IF(BU$11&amp;BU$12=$BE$11,$BE20,IF(BU$11&amp;BU$12=$BF$11,$BF20,SUMIFS('Reference Tables'!$F$880:$F$925,'Reference Tables'!$A$880:$A$925,BU$11,'Reference Tables'!$B$880:$B$925,BU$12)))))))))</f>
        <v>0</v>
      </c>
      <c r="BV20" s="306">
        <f>IF(BV$11&amp;BV$12=$AY$11,$AY20,IF(BV$11&amp;BV$12=$AZ$11,$AZ20,IF(BV$11&amp;BV$12=$BA$11,$BA20,IF(BV$11&amp;BV$12=$BB$11,$BB20,IF(BV$11&amp;BV$12=$BC$11,$BC20,IF(BV$11&amp;BV$12=$BD$11,$BD20,IF(BV$11&amp;BV$12=$BE$11,$BE20,IF(BV$11&amp;BV$12=$BF$11,$BF20,SUMIFS('Reference Tables'!$F$880:$F$925,'Reference Tables'!$A$880:$A$925,BV$11,'Reference Tables'!$B$880:$B$925,BV$12)))))))))</f>
        <v>0</v>
      </c>
      <c r="BW20" s="306">
        <f>IF(BW$11&amp;BW$12=$AY$11,$AY20,IF(BW$11&amp;BW$12=$AZ$11,$AZ20,IF(BW$11&amp;BW$12=$BA$11,$BA20,IF(BW$11&amp;BW$12=$BB$11,$BB20,IF(BW$11&amp;BW$12=$BC$11,$BC20,IF(BW$11&amp;BW$12=$BD$11,$BD20,IF(BW$11&amp;BW$12=$BE$11,$BE20,IF(BW$11&amp;BW$12=$BF$11,$BF20,SUMIFS('Reference Tables'!$F$880:$F$925,'Reference Tables'!$A$880:$A$925,BW$11,'Reference Tables'!$B$880:$B$925,BW$12)))))))))</f>
        <v>0</v>
      </c>
      <c r="BX20" s="306">
        <f>IF(BX$11&amp;BX$12=$AY$11,$AY20,IF(BX$11&amp;BX$12=$AZ$11,$AZ20,IF(BX$11&amp;BX$12=$BA$11,$BA20,IF(BX$11&amp;BX$12=$BB$11,$BB20,IF(BX$11&amp;BX$12=$BC$11,$BC20,IF(BX$11&amp;BX$12=$BD$11,$BD20,IF(BX$11&amp;BX$12=$BE$11,$BE20,IF(BX$11&amp;BX$12=$BF$11,$BF20,SUMIFS('Reference Tables'!$F$880:$F$925,'Reference Tables'!$A$880:$A$925,BX$11,'Reference Tables'!$B$880:$B$925,BX$12)))))))))</f>
        <v>0</v>
      </c>
      <c r="BY20" s="306">
        <f>IF(BY$11&amp;BY$12=$AY$11,$AY20,IF(BY$11&amp;BY$12=$AZ$11,$AZ20,IF(BY$11&amp;BY$12=$BA$11,$BA20,IF(BY$11&amp;BY$12=$BB$11,$BB20,IF(BY$11&amp;BY$12=$BC$11,$BC20,IF(BY$11&amp;BY$12=$BD$11,$BD20,IF(BY$11&amp;BY$12=$BE$11,$BE20,IF(BY$11&amp;BY$12=$BF$11,$BF20,SUMIFS('Reference Tables'!$F$880:$F$925,'Reference Tables'!$A$880:$A$925,BY$11,'Reference Tables'!$B$880:$B$925,BY$12)))))))))</f>
        <v>0</v>
      </c>
      <c r="BZ20" s="306">
        <f>IF(BZ$11&amp;BZ$12=$AY$11,$AY20,IF(BZ$11&amp;BZ$12=$AZ$11,$AZ20,IF(BZ$11&amp;BZ$12=$BA$11,$BA20,IF(BZ$11&amp;BZ$12=$BB$11,$BB20,IF(BZ$11&amp;BZ$12=$BC$11,$BC20,IF(BZ$11&amp;BZ$12=$BD$11,$BD20,IF(BZ$11&amp;BZ$12=$BE$11,$BE20,IF(BZ$11&amp;BZ$12=$BF$11,$BF20,SUMIFS('Reference Tables'!$F$880:$F$925,'Reference Tables'!$A$880:$A$925,BZ$11,'Reference Tables'!$B$880:$B$925,BZ$12)))))))))</f>
        <v>0</v>
      </c>
      <c r="CA20" s="306">
        <f>IF(CA$11&amp;CA$12=$AY$11,$AY20,IF(CA$11&amp;CA$12=$AZ$11,$AZ20,IF(CA$11&amp;CA$12=$BA$11,$BA20,IF(CA$11&amp;CA$12=$BB$11,$BB20,IF(CA$11&amp;CA$12=$BC$11,$BC20,IF(CA$11&amp;CA$12=$BD$11,$BD20,IF(CA$11&amp;CA$12=$BE$11,$BE20,IF(CA$11&amp;CA$12=$BF$11,$BF20,SUMIFS('Reference Tables'!$F$880:$F$925,'Reference Tables'!$A$880:$A$925,CA$11,'Reference Tables'!$B$880:$B$925,CA$12)))))))))</f>
        <v>1</v>
      </c>
      <c r="CB20" s="306">
        <f>IF(CB$11&amp;CB$12=$AY$11,$AY20,IF(CB$11&amp;CB$12=$AZ$11,$AZ20,IF(CB$11&amp;CB$12=$BA$11,$BA20,IF(CB$11&amp;CB$12=$BB$11,$BB20,IF(CB$11&amp;CB$12=$BC$11,$BC20,IF(CB$11&amp;CB$12=$BD$11,$BD20,IF(CB$11&amp;CB$12=$BE$11,$BE20,IF(CB$11&amp;CB$12=$BF$11,$BF20,SUMIFS('Reference Tables'!$F$880:$F$925,'Reference Tables'!$A$880:$A$925,CB$11,'Reference Tables'!$B$880:$B$925,CB$12)))))))))</f>
        <v>0</v>
      </c>
      <c r="CC20" s="306">
        <f>IF(CC$11&amp;CC$12=$AY$11,$AY20,IF(CC$11&amp;CC$12=$AZ$11,$AZ20,IF(CC$11&amp;CC$12=$BA$11,$BA20,IF(CC$11&amp;CC$12=$BB$11,$BB20,IF(CC$11&amp;CC$12=$BC$11,$BC20,IF(CC$11&amp;CC$12=$BD$11,$BD20,IF(CC$11&amp;CC$12=$BE$11,$BE20,IF(CC$11&amp;CC$12=$BF$11,$BF20,SUMIFS('Reference Tables'!$F$880:$F$925,'Reference Tables'!$A$880:$A$925,CC$11,'Reference Tables'!$B$880:$B$925,CC$12)))))))))</f>
        <v>0</v>
      </c>
      <c r="CD20" s="306">
        <f>IF(CD$11&amp;CD$12=$AY$11,$AY20,IF(CD$11&amp;CD$12=$AZ$11,$AZ20,IF(CD$11&amp;CD$12=$BA$11,$BA20,IF(CD$11&amp;CD$12=$BB$11,$BB20,IF(CD$11&amp;CD$12=$BC$11,$BC20,IF(CD$11&amp;CD$12=$BD$11,$BD20,IF(CD$11&amp;CD$12=$BE$11,$BE20,IF(CD$11&amp;CD$12=$BF$11,$BF20,SUMIFS('Reference Tables'!$F$880:$F$925,'Reference Tables'!$A$880:$A$925,CD$11,'Reference Tables'!$B$880:$B$925,CD$12)))))))))</f>
        <v>1</v>
      </c>
      <c r="CE20" s="306">
        <f>IF(CE$11&amp;CE$12=$AY$11,$AY20,IF(CE$11&amp;CE$12=$AZ$11,$AZ20,IF(CE$11&amp;CE$12=$BA$11,$BA20,IF(CE$11&amp;CE$12=$BB$11,$BB20,IF(CE$11&amp;CE$12=$BC$11,$BC20,IF(CE$11&amp;CE$12=$BD$11,$BD20,IF(CE$11&amp;CE$12=$BE$11,$BE20,IF(CE$11&amp;CE$12=$BF$11,$BF20,SUMIFS('Reference Tables'!$F$880:$F$925,'Reference Tables'!$A$880:$A$925,CE$11,'Reference Tables'!$B$880:$B$925,CE$12)))))))))</f>
        <v>0</v>
      </c>
      <c r="CF20" s="306">
        <f>IF(CF$11&amp;CF$12=$AY$11,$AY20,IF(CF$11&amp;CF$12=$AZ$11,$AZ20,IF(CF$11&amp;CF$12=$BA$11,$BA20,IF(CF$11&amp;CF$12=$BB$11,$BB20,IF(CF$11&amp;CF$12=$BC$11,$BC20,IF(CF$11&amp;CF$12=$BD$11,$BD20,IF(CF$11&amp;CF$12=$BE$11,$BE20,IF(CF$11&amp;CF$12=$BF$11,$BF20,SUMIFS('Reference Tables'!$F$880:$F$925,'Reference Tables'!$A$880:$A$925,CF$11,'Reference Tables'!$B$880:$B$925,CF$12)))))))))</f>
        <v>0</v>
      </c>
      <c r="CG20" s="306">
        <f>IF(CG$11&amp;CG$12=$AY$11,$AY20,IF(CG$11&amp;CG$12=$AZ$11,$AZ20,IF(CG$11&amp;CG$12=$BA$11,$BA20,IF(CG$11&amp;CG$12=$BB$11,$BB20,IF(CG$11&amp;CG$12=$BC$11,$BC20,IF(CG$11&amp;CG$12=$BD$11,$BD20,IF(CG$11&amp;CG$12=$BE$11,$BE20,IF(CG$11&amp;CG$12=$BF$11,$BF20,SUMIFS('Reference Tables'!$F$880:$F$925,'Reference Tables'!$A$880:$A$925,CG$11,'Reference Tables'!$B$880:$B$925,CG$12)))))))))</f>
        <v>0</v>
      </c>
      <c r="CH20" s="306">
        <f>IF(CH$11&amp;CH$12=$AY$11,$AY20,IF(CH$11&amp;CH$12=$AZ$11,$AZ20,IF(CH$11&amp;CH$12=$BA$11,$BA20,IF(CH$11&amp;CH$12=$BB$11,$BB20,IF(CH$11&amp;CH$12=$BC$11,$BC20,IF(CH$11&amp;CH$12=$BD$11,$BD20,IF(CH$11&amp;CH$12=$BE$11,$BE20,IF(CH$11&amp;CH$12=$BF$11,$BF20,SUMIFS('Reference Tables'!$F$880:$F$925,'Reference Tables'!$A$880:$A$925,CH$11,'Reference Tables'!$B$880:$B$925,CH$12)))))))))</f>
        <v>0</v>
      </c>
      <c r="CI20" s="306">
        <f>IF(CI$11&amp;CI$12=$AY$11,$AY20,IF(CI$11&amp;CI$12=$AZ$11,$AZ20,IF(CI$11&amp;CI$12=$BA$11,$BA20,IF(CI$11&amp;CI$12=$BB$11,$BB20,IF(CI$11&amp;CI$12=$BC$11,$BC20,IF(CI$11&amp;CI$12=$BD$11,$BD20,IF(CI$11&amp;CI$12=$BE$11,$BE20,IF(CI$11&amp;CI$12=$BF$11,$BF20,SUMIFS('Reference Tables'!$F$880:$F$925,'Reference Tables'!$A$880:$A$925,CI$11,'Reference Tables'!$B$880:$B$925,CI$12)))))))))</f>
        <v>0</v>
      </c>
      <c r="CJ20" s="306">
        <f>IF(CJ$11&amp;CJ$12=$AY$11,$AY20,IF(CJ$11&amp;CJ$12=$AZ$11,$AZ20,IF(CJ$11&amp;CJ$12=$BA$11,$BA20,IF(CJ$11&amp;CJ$12=$BB$11,$BB20,IF(CJ$11&amp;CJ$12=$BC$11,$BC20,IF(CJ$11&amp;CJ$12=$BD$11,$BD20,IF(CJ$11&amp;CJ$12=$BE$11,$BE20,IF(CJ$11&amp;CJ$12=$BF$11,$BF20,SUMIFS('Reference Tables'!$F$880:$F$925,'Reference Tables'!$A$880:$A$925,CJ$11,'Reference Tables'!$B$880:$B$925,CJ$12)))))))))</f>
        <v>0</v>
      </c>
      <c r="CK20" s="306">
        <f>IF(CK$11&amp;CK$12=$AY$11,$AY20,IF(CK$11&amp;CK$12=$AZ$11,$AZ20,IF(CK$11&amp;CK$12=$BA$11,$BA20,IF(CK$11&amp;CK$12=$BB$11,$BB20,IF(CK$11&amp;CK$12=$BC$11,$BC20,IF(CK$11&amp;CK$12=$BD$11,$BD20,IF(CK$11&amp;CK$12=$BE$11,$BE20,IF(CK$11&amp;CK$12=$BF$11,$BF20,SUMIFS('Reference Tables'!$F$880:$F$925,'Reference Tables'!$A$880:$A$925,CK$11,'Reference Tables'!$B$880:$B$925,CK$12)))))))))</f>
        <v>0</v>
      </c>
      <c r="CL20" s="306">
        <f>IF(CL$11&amp;CL$12=$AY$11,$AY20,IF(CL$11&amp;CL$12=$AZ$11,$AZ20,IF(CL$11&amp;CL$12=$BA$11,$BA20,IF(CL$11&amp;CL$12=$BB$11,$BB20,IF(CL$11&amp;CL$12=$BC$11,$BC20,IF(CL$11&amp;CL$12=$BD$11,$BD20,IF(CL$11&amp;CL$12=$BE$11,$BE20,IF(CL$11&amp;CL$12=$BF$11,$BF20,SUMIFS('Reference Tables'!$F$880:$F$925,'Reference Tables'!$A$880:$A$925,CL$11,'Reference Tables'!$B$880:$B$925,CL$12)))))))))</f>
        <v>0</v>
      </c>
      <c r="CM20" s="306">
        <f>IF(CM$11&amp;CM$12=$AY$11,$AY20,IF(CM$11&amp;CM$12=$AZ$11,$AZ20,IF(CM$11&amp;CM$12=$BA$11,$BA20,IF(CM$11&amp;CM$12=$BB$11,$BB20,IF(CM$11&amp;CM$12=$BC$11,$BC20,IF(CM$11&amp;CM$12=$BD$11,$BD20,IF(CM$11&amp;CM$12=$BE$11,$BE20,IF(CM$11&amp;CM$12=$BF$11,$BF20,SUMIFS('Reference Tables'!$F$880:$F$925,'Reference Tables'!$A$880:$A$925,CM$11,'Reference Tables'!$B$880:$B$925,CM$12)))))))))</f>
        <v>0</v>
      </c>
      <c r="CN20" s="306">
        <f>IF(CN$11&amp;CN$12=$AY$11,$AY20,IF(CN$11&amp;CN$12=$AZ$11,$AZ20,IF(CN$11&amp;CN$12=$BA$11,$BA20,IF(CN$11&amp;CN$12=$BB$11,$BB20,IF(CN$11&amp;CN$12=$BC$11,$BC20,IF(CN$11&amp;CN$12=$BD$11,$BD20,IF(CN$11&amp;CN$12=$BE$11,$BE20,IF(CN$11&amp;CN$12=$BF$11,$BF20,SUMIFS('Reference Tables'!$F$880:$F$925,'Reference Tables'!$A$880:$A$925,CN$11,'Reference Tables'!$B$880:$B$925,CN$12)))))))))</f>
        <v>0</v>
      </c>
      <c r="CO20" s="306">
        <f>IF(CO$11&amp;CO$12=$AY$11,$AY20,IF(CO$11&amp;CO$12=$AZ$11,$AZ20,IF(CO$11&amp;CO$12=$BA$11,$BA20,IF(CO$11&amp;CO$12=$BB$11,$BB20,IF(CO$11&amp;CO$12=$BC$11,$BC20,IF(CO$11&amp;CO$12=$BD$11,$BD20,IF(CO$11&amp;CO$12=$BE$11,$BE20,IF(CO$11&amp;CO$12=$BF$11,$BF20,SUMIFS('Reference Tables'!$F$880:$F$925,'Reference Tables'!$A$880:$A$925,CO$11,'Reference Tables'!$B$880:$B$925,CO$12)))))))))</f>
        <v>0</v>
      </c>
      <c r="CP20" s="306">
        <f>IF(CP$11&amp;CP$12=$AY$11,$AY20,IF(CP$11&amp;CP$12=$AZ$11,$AZ20,IF(CP$11&amp;CP$12=$BA$11,$BA20,IF(CP$11&amp;CP$12=$BB$11,$BB20,IF(CP$11&amp;CP$12=$BC$11,$BC20,IF(CP$11&amp;CP$12=$BD$11,$BD20,IF(CP$11&amp;CP$12=$BE$11,$BE20,IF(CP$11&amp;CP$12=$BF$11,$BF20,SUMIFS('Reference Tables'!$F$880:$F$925,'Reference Tables'!$A$880:$A$925,CP$11,'Reference Tables'!$B$880:$B$925,CP$12)))))))))</f>
        <v>0</v>
      </c>
      <c r="CQ20" s="306">
        <f>IF(CQ$11&amp;CQ$12=$AY$11,$AY20,IF(CQ$11&amp;CQ$12=$AZ$11,$AZ20,IF(CQ$11&amp;CQ$12=$BA$11,$BA20,IF(CQ$11&amp;CQ$12=$BB$11,$BB20,IF(CQ$11&amp;CQ$12=$BC$11,$BC20,IF(CQ$11&amp;CQ$12=$BD$11,$BD20,IF(CQ$11&amp;CQ$12=$BE$11,$BE20,IF(CQ$11&amp;CQ$12=$BF$11,$BF20,SUMIFS('Reference Tables'!$F$880:$F$925,'Reference Tables'!$A$880:$A$925,CQ$11,'Reference Tables'!$B$880:$B$925,CQ$12)))))))))</f>
        <v>0</v>
      </c>
      <c r="CR20" s="306">
        <f>IF(CR$11&amp;CR$12=$AY$11,$AY20,IF(CR$11&amp;CR$12=$AZ$11,$AZ20,IF(CR$11&amp;CR$12=$BA$11,$BA20,IF(CR$11&amp;CR$12=$BB$11,$BB20,IF(CR$11&amp;CR$12=$BC$11,$BC20,IF(CR$11&amp;CR$12=$BD$11,$BD20,IF(CR$11&amp;CR$12=$BE$11,$BE20,IF(CR$11&amp;CR$12=$BF$11,$BF20,SUMIFS('Reference Tables'!$F$880:$F$925,'Reference Tables'!$A$880:$A$925,CR$11,'Reference Tables'!$B$880:$B$925,CR$12)))))))))</f>
        <v>0</v>
      </c>
      <c r="CS20" s="306">
        <f>IF(CS$11&amp;CS$12=$AY$11,$AY20,IF(CS$11&amp;CS$12=$AZ$11,$AZ20,IF(CS$11&amp;CS$12=$BA$11,$BA20,IF(CS$11&amp;CS$12=$BB$11,$BB20,IF(CS$11&amp;CS$12=$BC$11,$BC20,IF(CS$11&amp;CS$12=$BD$11,$BD20,IF(CS$11&amp;CS$12=$BE$11,$BE20,IF(CS$11&amp;CS$12=$BF$11,$BF20,SUMIFS('Reference Tables'!$F$880:$F$925,'Reference Tables'!$A$880:$A$925,CS$11,'Reference Tables'!$B$880:$B$925,CS$12)))))))))</f>
        <v>0</v>
      </c>
      <c r="CT20" s="306">
        <f>IF(CT$11&amp;CT$12=$AY$11,$AY20,IF(CT$11&amp;CT$12=$AZ$11,$AZ20,IF(CT$11&amp;CT$12=$BA$11,$BA20,IF(CT$11&amp;CT$12=$BB$11,$BB20,IF(CT$11&amp;CT$12=$BC$11,$BC20,IF(CT$11&amp;CT$12=$BD$11,$BD20,IF(CT$11&amp;CT$12=$BE$11,$BE20,IF(CT$11&amp;CT$12=$BF$11,$BF20,SUMIFS('Reference Tables'!$F$880:$F$925,'Reference Tables'!$A$880:$A$925,CT$11,'Reference Tables'!$B$880:$B$925,CT$12)))))))))</f>
        <v>0</v>
      </c>
      <c r="CU20" s="306">
        <f>IF(CU$11&amp;CU$12=$AY$11,$AY20,IF(CU$11&amp;CU$12=$AZ$11,$AZ20,IF(CU$11&amp;CU$12=$BA$11,$BA20,IF(CU$11&amp;CU$12=$BB$11,$BB20,IF(CU$11&amp;CU$12=$BC$11,$BC20,IF(CU$11&amp;CU$12=$BD$11,$BD20,IF(CU$11&amp;CU$12=$BE$11,$BE20,IF(CU$11&amp;CU$12=$BF$11,$BF20,SUMIFS('Reference Tables'!$F$880:$F$925,'Reference Tables'!$A$880:$A$925,CU$11,'Reference Tables'!$B$880:$B$925,CU$12)))))))))</f>
        <v>0</v>
      </c>
      <c r="CV20" s="306">
        <f>IF(CV$11&amp;CV$12=$AY$11,$AY20,IF(CV$11&amp;CV$12=$AZ$11,$AZ20,IF(CV$11&amp;CV$12=$BA$11,$BA20,IF(CV$11&amp;CV$12=$BB$11,$BB20,IF(CV$11&amp;CV$12=$BC$11,$BC20,IF(CV$11&amp;CV$12=$BD$11,$BD20,IF(CV$11&amp;CV$12=$BE$11,$BE20,IF(CV$11&amp;CV$12=$BF$11,$BF20,SUMIFS('Reference Tables'!$F$880:$F$925,'Reference Tables'!$A$880:$A$925,CV$11,'Reference Tables'!$B$880:$B$925,CV$12)))))))))</f>
        <v>1</v>
      </c>
      <c r="CW20" s="306">
        <f>IF(CW$11&amp;CW$12=$AY$11,$AY20,IF(CW$11&amp;CW$12=$AZ$11,$AZ20,IF(CW$11&amp;CW$12=$BA$11,$BA20,IF(CW$11&amp;CW$12=$BB$11,$BB20,IF(CW$11&amp;CW$12=$BC$11,$BC20,IF(CW$11&amp;CW$12=$BD$11,$BD20,IF(CW$11&amp;CW$12=$BE$11,$BE20,IF(CW$11&amp;CW$12=$BF$11,$BF20,SUMIFS('Reference Tables'!$F$880:$F$925,'Reference Tables'!$A$880:$A$925,CW$11,'Reference Tables'!$B$880:$B$925,CW$12)))))))))</f>
        <v>1</v>
      </c>
      <c r="CX20" s="306">
        <f>IF(CX$11&amp;CX$12=$AY$11,$AY20,IF(CX$11&amp;CX$12=$AZ$11,$AZ20,IF(CX$11&amp;CX$12=$BA$11,$BA20,IF(CX$11&amp;CX$12=$BB$11,$BB20,IF(CX$11&amp;CX$12=$BC$11,$BC20,IF(CX$11&amp;CX$12=$BD$11,$BD20,IF(CX$11&amp;CX$12=$BE$11,$BE20,IF(CX$11&amp;CX$12=$BF$11,$BF20,SUMIFS('Reference Tables'!$F$880:$F$925,'Reference Tables'!$A$880:$A$925,CX$11,'Reference Tables'!$B$880:$B$925,CX$12)))))))))</f>
        <v>0</v>
      </c>
    </row>
    <row r="21" spans="1:102" s="250" customFormat="1" ht="18.75" customHeight="1">
      <c r="A21" s="303"/>
      <c r="B21" s="303"/>
      <c r="C21" s="307"/>
      <c r="D21" s="307"/>
      <c r="E21" s="307"/>
      <c r="F21" s="307"/>
      <c r="G21" s="307"/>
      <c r="H21" s="307"/>
      <c r="I21" s="307"/>
      <c r="J21" s="307"/>
      <c r="K21" s="307"/>
      <c r="L21" s="307"/>
      <c r="M21" s="307"/>
      <c r="N21" s="307"/>
      <c r="O21" s="307"/>
      <c r="P21" s="307"/>
      <c r="Q21" s="307"/>
      <c r="R21" s="307"/>
      <c r="S21" s="307"/>
      <c r="T21" s="307"/>
      <c r="U21" s="307"/>
      <c r="V21" s="307"/>
      <c r="W21" s="307"/>
      <c r="X21" s="307"/>
      <c r="Y21" s="307"/>
      <c r="Z21" s="307"/>
      <c r="AA21" s="307"/>
      <c r="AB21" s="307"/>
      <c r="AC21" s="307"/>
      <c r="AD21" s="307"/>
      <c r="AE21" s="307"/>
      <c r="AF21" s="307"/>
      <c r="AG21" s="307"/>
      <c r="AH21" s="307"/>
      <c r="AI21" s="307"/>
      <c r="AJ21" s="307"/>
      <c r="AK21" s="307"/>
      <c r="AL21" s="307"/>
      <c r="AM21" s="307"/>
      <c r="AN21" s="307"/>
      <c r="AO21" s="307"/>
      <c r="AP21" s="307"/>
      <c r="AQ21" s="307"/>
      <c r="AR21" s="307"/>
      <c r="AS21" s="307"/>
      <c r="AT21" s="307"/>
      <c r="AU21" s="180" t="str">
        <f>IF($A21="","",INDEX('Tank Data'!$1:$1048576,MATCH($A21,'Tank Data'!$A:$A,0),MATCH(AU$10,'Tank Data'!$9:$9,0)))</f>
        <v/>
      </c>
      <c r="AV21" s="180" t="str">
        <f>IF($A21="","",INDEX('Tank Data'!$1:$1048576,MATCH($A21,'Tank Data'!$A:$A,0),MATCH($AV$10,'Tank Data'!$9:$9,0)))</f>
        <v/>
      </c>
      <c r="AW21" s="305" t="str">
        <f>IF(OR($AV21="EFR",$AV21="DEFR"),INDEX('Tank Data'!$1:$1048576,MATCH($A21,'Tank Data'!$A:$A,0),MATCH($AW$10,'Tank Data'!$9:$9,0)),"")</f>
        <v/>
      </c>
      <c r="AX21" s="180" t="str">
        <f>IF($A21="","",INDEX('Tank Data'!$1:$1048576,MATCH($A21,'Tank Data'!$A:$A,0),MATCH($AX$10,'Tank Data'!$9:$9,0)))</f>
        <v/>
      </c>
      <c r="AY21" s="304">
        <f>IF($AV21="IFR",IF($AU21&gt;'Reference Tables'!$B$876,'Reference Tables'!$C$876,SUMPRODUCT(('Reference Tables'!$C$862:$C$876)*('Reference Tables'!$A$862:$A$876&lt;$AU21)*('Reference Tables'!$B$862:$B$876&gt;=$AU21))),0)</f>
        <v>0</v>
      </c>
      <c r="AZ21" s="304">
        <f>IF($AV21="IFR",1,IF(OR($AV21="EFR",$AV21="DEFR"),INDEX('Reference Tables'!$A$930:$C$938,MATCH(IF($AU21&lt;'Reference Tables'!$A$931,'Reference Tables'!$A$931,IF($AU21&gt;'Reference Tables'!$A$938,'Reference Tables'!$A$938,ROUND($AU21/50,0)*50)),'Reference Tables'!$A$930:$A$938,0),MATCH($AW21,'Reference Tables'!$A$930:$C$930,0)),0))</f>
        <v>0</v>
      </c>
      <c r="BA21" s="304">
        <f>IF(OR($AV21="EFR",$AV21="DEFR"),INDEX('Reference Tables'!$A$930:$D$938,MATCH(IF($AU21&lt;='Reference Tables'!$A$931,'Reference Tables'!$A$931,IF($AU21&gt;'Reference Tables'!$A$936,'Reference Tables'!$A$936,ROUND($AU21/50,0)*50)),'Reference Tables'!$A$930:$A$938,0),COLUMN('Reference Tables'!$D$930)),0)</f>
        <v>0</v>
      </c>
      <c r="BB21" s="304">
        <f>IF(AND(OR($AV21="EFR",$AV21="DEFR"),$AW21="Pontoon Roof"),INDEX('Reference Tables'!$A$943:$D$980,MATCH(IF($AU21&lt;'Reference Tables'!$A$943,'Reference Tables'!$A$943,IF($AU21&gt;'Reference Tables'!$A$980,'Reference Tables'!$A$980,ROUND($AU21,1))),'Reference Tables'!$A$943:$A$980,0),COLUMN('Reference Tables'!$B$942)),0)</f>
        <v>0</v>
      </c>
      <c r="BC21" s="304">
        <f>IF(AND(OR($AV21="EFR",$AV21="DEFR"),$AW21="Pontoon Roof"),INDEX('Reference Tables'!$A$943:$D$980,MATCH(IF($AU21&lt;'Reference Tables'!$A$943,'Reference Tables'!$A$943,IF($AU21&gt;'Reference Tables'!$A$980,'Reference Tables'!$A$980,ROUND($AU21,1))),'Reference Tables'!$A$943:$A$980,0),COLUMN('Reference Tables'!$C$942)),0)</f>
        <v>0</v>
      </c>
      <c r="BD21" s="304">
        <f>IF(AND(OR($AV21="EFR",$AV21="DEFR"),$AW21="Double-Deck Roof"),INDEX('Reference Tables'!$A$943:$D$980,MATCH(IF($AU21&lt;'Reference Tables'!$A$943,'Reference Tables'!$A$943,IF($AU21&gt;'Reference Tables'!$A$980,'Reference Tables'!$A$980,ROUND($AU21,1))),'Reference Tables'!$A$943:$A$980,0),COLUMN('Reference Tables'!$D$942)),0)</f>
        <v>0</v>
      </c>
      <c r="BE21" s="306">
        <f t="shared" si="0"/>
        <v>0</v>
      </c>
      <c r="BF21" s="306">
        <f t="shared" si="1"/>
        <v>0</v>
      </c>
      <c r="BG21" s="304">
        <f>IF(BG$11&amp;BG$12=$AY$11,$AY21,IF(BG$11&amp;BG$12=$AZ$11,$AZ21,IF(BG$11&amp;BG$12=$BA$11,$BA21,IF(BG$11&amp;BG$12=$BB$11,$BB21,IF(BG$11&amp;BG$12=$BC$11,$BC21,IF(BG$11&amp;BG$12=$BD$11,$BD21,IF(BG$11&amp;BG$12=$BE$11,$BE21,IF(BG$11&amp;BG$12=$BF$11,$BF21,SUMIFS('Reference Tables'!$F$880:$F$925,'Reference Tables'!$A$880:$A$925,BG$11,'Reference Tables'!$B$880:$B$925,BG$12)))))))))</f>
        <v>1</v>
      </c>
      <c r="BH21" s="304">
        <f>IF(BH$11&amp;BH$12=$AY$11,$AY21,IF(BH$11&amp;BH$12=$AZ$11,$AZ21,IF(BH$11&amp;BH$12=$BA$11,$BA21,IF(BH$11&amp;BH$12=$BB$11,$BB21,IF(BH$11&amp;BH$12=$BC$11,$BC21,IF(BH$11&amp;BH$12=$BD$11,$BD21,IF(BH$11&amp;BH$12=$BE$11,$BE21,IF(BH$11&amp;BH$12=$BF$11,$BF21,SUMIFS('Reference Tables'!$F$880:$F$925,'Reference Tables'!$A$880:$A$925,BH$11,'Reference Tables'!$B$880:$B$925,BH$12)))))))))</f>
        <v>0</v>
      </c>
      <c r="BI21" s="304">
        <f>IF(BI$11&amp;BI$12=$AY$11,$AY21,IF(BI$11&amp;BI$12=$AZ$11,$AZ21,IF(BI$11&amp;BI$12=$BA$11,$BA21,IF(BI$11&amp;BI$12=$BB$11,$BB21,IF(BI$11&amp;BI$12=$BC$11,$BC21,IF(BI$11&amp;BI$12=$BD$11,$BD21,IF(BI$11&amp;BI$12=$BE$11,$BE21,IF(BI$11&amp;BI$12=$BF$11,$BF21,SUMIFS('Reference Tables'!$F$880:$F$925,'Reference Tables'!$A$880:$A$925,BI$11,'Reference Tables'!$B$880:$B$925,BI$12)))))))))</f>
        <v>0</v>
      </c>
      <c r="BJ21" s="304">
        <f>IF(BJ$11&amp;BJ$12=$AY$11,$AY21,IF(BJ$11&amp;BJ$12=$AZ$11,$AZ21,IF(BJ$11&amp;BJ$12=$BA$11,$BA21,IF(BJ$11&amp;BJ$12=$BB$11,$BB21,IF(BJ$11&amp;BJ$12=$BC$11,$BC21,IF(BJ$11&amp;BJ$12=$BD$11,$BD21,IF(BJ$11&amp;BJ$12=$BE$11,$BE21,IF(BJ$11&amp;BJ$12=$BF$11,$BF21,SUMIFS('Reference Tables'!$F$880:$F$925,'Reference Tables'!$A$880:$A$925,BJ$11,'Reference Tables'!$B$880:$B$925,BJ$12)))))))))</f>
        <v>0</v>
      </c>
      <c r="BK21" s="304">
        <f>IF(BK$11&amp;BK$12=$AY$11,$AY21,IF(BK$11&amp;BK$12=$AZ$11,$AZ21,IF(BK$11&amp;BK$12=$BA$11,$BA21,IF(BK$11&amp;BK$12=$BB$11,$BB21,IF(BK$11&amp;BK$12=$BC$11,$BC21,IF(BK$11&amp;BK$12=$BD$11,$BD21,IF(BK$11&amp;BK$12=$BE$11,$BE21,IF(BK$11&amp;BK$12=$BF$11,$BF21,SUMIFS('Reference Tables'!$F$880:$F$925,'Reference Tables'!$A$880:$A$925,BK$11,'Reference Tables'!$B$880:$B$925,BK$12)))))))))</f>
        <v>0</v>
      </c>
      <c r="BL21" s="304">
        <f>IF(BL$11&amp;BL$12=$AY$11,$AY21,IF(BL$11&amp;BL$12=$AZ$11,$AZ21,IF(BL$11&amp;BL$12=$BA$11,$BA21,IF(BL$11&amp;BL$12=$BB$11,$BB21,IF(BL$11&amp;BL$12=$BC$11,$BC21,IF(BL$11&amp;BL$12=$BD$11,$BD21,IF(BL$11&amp;BL$12=$BE$11,$BE21,IF(BL$11&amp;BL$12=$BF$11,$BF21,SUMIFS('Reference Tables'!$F$880:$F$925,'Reference Tables'!$A$880:$A$925,BL$11,'Reference Tables'!$B$880:$B$925,BL$12)))))))))</f>
        <v>0</v>
      </c>
      <c r="BM21" s="304">
        <f>IF(BM$11&amp;BM$12=$AY$11,$AY21,IF(BM$11&amp;BM$12=$AZ$11,$AZ21,IF(BM$11&amp;BM$12=$BA$11,$BA21,IF(BM$11&amp;BM$12=$BB$11,$BB21,IF(BM$11&amp;BM$12=$BC$11,$BC21,IF(BM$11&amp;BM$12=$BD$11,$BD21,IF(BM$11&amp;BM$12=$BE$11,$BE21,IF(BM$11&amp;BM$12=$BF$11,$BF21,SUMIFS('Reference Tables'!$F$880:$F$925,'Reference Tables'!$A$880:$A$925,BM$11,'Reference Tables'!$B$880:$B$925,BM$12)))))))))</f>
        <v>0</v>
      </c>
      <c r="BN21" s="304">
        <f>IF(BN$11&amp;BN$12=$AY$11,$AY21,IF(BN$11&amp;BN$12=$AZ$11,$AZ21,IF(BN$11&amp;BN$12=$BA$11,$BA21,IF(BN$11&amp;BN$12=$BB$11,$BB21,IF(BN$11&amp;BN$12=$BC$11,$BC21,IF(BN$11&amp;BN$12=$BD$11,$BD21,IF(BN$11&amp;BN$12=$BE$11,$BE21,IF(BN$11&amp;BN$12=$BF$11,$BF21,SUMIFS('Reference Tables'!$F$880:$F$925,'Reference Tables'!$A$880:$A$925,BN$11,'Reference Tables'!$B$880:$B$925,BN$12)))))))))</f>
        <v>0</v>
      </c>
      <c r="BO21" s="304">
        <f>IF(BO$11&amp;BO$12=$AY$11,$AY21,IF(BO$11&amp;BO$12=$AZ$11,$AZ21,IF(BO$11&amp;BO$12=$BA$11,$BA21,IF(BO$11&amp;BO$12=$BB$11,$BB21,IF(BO$11&amp;BO$12=$BC$11,$BC21,IF(BO$11&amp;BO$12=$BD$11,$BD21,IF(BO$11&amp;BO$12=$BE$11,$BE21,IF(BO$11&amp;BO$12=$BF$11,$BF21,SUMIFS('Reference Tables'!$F$880:$F$925,'Reference Tables'!$A$880:$A$925,BO$11,'Reference Tables'!$B$880:$B$925,BO$12)))))))))</f>
        <v>1</v>
      </c>
      <c r="BP21" s="304">
        <f>IF(BP$11&amp;BP$12=$AY$11,$AY21,IF(BP$11&amp;BP$12=$AZ$11,$AZ21,IF(BP$11&amp;BP$12=$BA$11,$BA21,IF(BP$11&amp;BP$12=$BB$11,$BB21,IF(BP$11&amp;BP$12=$BC$11,$BC21,IF(BP$11&amp;BP$12=$BD$11,$BD21,IF(BP$11&amp;BP$12=$BE$11,$BE21,IF(BP$11&amp;BP$12=$BF$11,$BF21,SUMIFS('Reference Tables'!$F$880:$F$925,'Reference Tables'!$A$880:$A$925,BP$11,'Reference Tables'!$B$880:$B$925,BP$12)))))))))</f>
        <v>0</v>
      </c>
      <c r="BQ21" s="304">
        <f>IF(BQ$11&amp;BQ$12=$AY$11,$AY21,IF(BQ$11&amp;BQ$12=$AZ$11,$AZ21,IF(BQ$11&amp;BQ$12=$BA$11,$BA21,IF(BQ$11&amp;BQ$12=$BB$11,$BB21,IF(BQ$11&amp;BQ$12=$BC$11,$BC21,IF(BQ$11&amp;BQ$12=$BD$11,$BD21,IF(BQ$11&amp;BQ$12=$BE$11,$BE21,IF(BQ$11&amp;BQ$12=$BF$11,$BF21,SUMIFS('Reference Tables'!$F$880:$F$925,'Reference Tables'!$A$880:$A$925,BQ$11,'Reference Tables'!$B$880:$B$925,BQ$12)))))))))</f>
        <v>0</v>
      </c>
      <c r="BR21" s="304">
        <f>IF(BR$11&amp;BR$12=$AY$11,$AY21,IF(BR$11&amp;BR$12=$AZ$11,$AZ21,IF(BR$11&amp;BR$12=$BA$11,$BA21,IF(BR$11&amp;BR$12=$BB$11,$BB21,IF(BR$11&amp;BR$12=$BC$11,$BC21,IF(BR$11&amp;BR$12=$BD$11,$BD21,IF(BR$11&amp;BR$12=$BE$11,$BE21,IF(BR$11&amp;BR$12=$BF$11,$BF21,SUMIFS('Reference Tables'!$F$880:$F$925,'Reference Tables'!$A$880:$A$925,BR$11,'Reference Tables'!$B$880:$B$925,BR$12)))))))))</f>
        <v>0</v>
      </c>
      <c r="BS21" s="304">
        <f>IF(BS$11&amp;BS$12=$AY$11,$AY21,IF(BS$11&amp;BS$12=$AZ$11,$AZ21,IF(BS$11&amp;BS$12=$BA$11,$BA21,IF(BS$11&amp;BS$12=$BB$11,$BB21,IF(BS$11&amp;BS$12=$BC$11,$BC21,IF(BS$11&amp;BS$12=$BD$11,$BD21,IF(BS$11&amp;BS$12=$BE$11,$BE21,IF(BS$11&amp;BS$12=$BF$11,$BF21,SUMIFS('Reference Tables'!$F$880:$F$925,'Reference Tables'!$A$880:$A$925,BS$11,'Reference Tables'!$B$880:$B$925,BS$12)))))))))</f>
        <v>0</v>
      </c>
      <c r="BT21" s="304">
        <f>IF(BT$11&amp;BT$12=$AY$11,$AY21,IF(BT$11&amp;BT$12=$AZ$11,$AZ21,IF(BT$11&amp;BT$12=$BA$11,$BA21,IF(BT$11&amp;BT$12=$BB$11,$BB21,IF(BT$11&amp;BT$12=$BC$11,$BC21,IF(BT$11&amp;BT$12=$BD$11,$BD21,IF(BT$11&amp;BT$12=$BE$11,$BE21,IF(BT$11&amp;BT$12=$BF$11,$BF21,SUMIFS('Reference Tables'!$F$880:$F$925,'Reference Tables'!$A$880:$A$925,BT$11,'Reference Tables'!$B$880:$B$925,BT$12)))))))))</f>
        <v>0</v>
      </c>
      <c r="BU21" s="304">
        <f>IF(BU$11&amp;BU$12=$AY$11,$AY21,IF(BU$11&amp;BU$12=$AZ$11,$AZ21,IF(BU$11&amp;BU$12=$BA$11,$BA21,IF(BU$11&amp;BU$12=$BB$11,$BB21,IF(BU$11&amp;BU$12=$BC$11,$BC21,IF(BU$11&amp;BU$12=$BD$11,$BD21,IF(BU$11&amp;BU$12=$BE$11,$BE21,IF(BU$11&amp;BU$12=$BF$11,$BF21,SUMIFS('Reference Tables'!$F$880:$F$925,'Reference Tables'!$A$880:$A$925,BU$11,'Reference Tables'!$B$880:$B$925,BU$12)))))))))</f>
        <v>0</v>
      </c>
      <c r="BV21" s="304">
        <f>IF(BV$11&amp;BV$12=$AY$11,$AY21,IF(BV$11&amp;BV$12=$AZ$11,$AZ21,IF(BV$11&amp;BV$12=$BA$11,$BA21,IF(BV$11&amp;BV$12=$BB$11,$BB21,IF(BV$11&amp;BV$12=$BC$11,$BC21,IF(BV$11&amp;BV$12=$BD$11,$BD21,IF(BV$11&amp;BV$12=$BE$11,$BE21,IF(BV$11&amp;BV$12=$BF$11,$BF21,SUMIFS('Reference Tables'!$F$880:$F$925,'Reference Tables'!$A$880:$A$925,BV$11,'Reference Tables'!$B$880:$B$925,BV$12)))))))))</f>
        <v>0</v>
      </c>
      <c r="BW21" s="304">
        <f>IF(BW$11&amp;BW$12=$AY$11,$AY21,IF(BW$11&amp;BW$12=$AZ$11,$AZ21,IF(BW$11&amp;BW$12=$BA$11,$BA21,IF(BW$11&amp;BW$12=$BB$11,$BB21,IF(BW$11&amp;BW$12=$BC$11,$BC21,IF(BW$11&amp;BW$12=$BD$11,$BD21,IF(BW$11&amp;BW$12=$BE$11,$BE21,IF(BW$11&amp;BW$12=$BF$11,$BF21,SUMIFS('Reference Tables'!$F$880:$F$925,'Reference Tables'!$A$880:$A$925,BW$11,'Reference Tables'!$B$880:$B$925,BW$12)))))))))</f>
        <v>0</v>
      </c>
      <c r="BX21" s="304">
        <f>IF(BX$11&amp;BX$12=$AY$11,$AY21,IF(BX$11&amp;BX$12=$AZ$11,$AZ21,IF(BX$11&amp;BX$12=$BA$11,$BA21,IF(BX$11&amp;BX$12=$BB$11,$BB21,IF(BX$11&amp;BX$12=$BC$11,$BC21,IF(BX$11&amp;BX$12=$BD$11,$BD21,IF(BX$11&amp;BX$12=$BE$11,$BE21,IF(BX$11&amp;BX$12=$BF$11,$BF21,SUMIFS('Reference Tables'!$F$880:$F$925,'Reference Tables'!$A$880:$A$925,BX$11,'Reference Tables'!$B$880:$B$925,BX$12)))))))))</f>
        <v>0</v>
      </c>
      <c r="BY21" s="304">
        <f>IF(BY$11&amp;BY$12=$AY$11,$AY21,IF(BY$11&amp;BY$12=$AZ$11,$AZ21,IF(BY$11&amp;BY$12=$BA$11,$BA21,IF(BY$11&amp;BY$12=$BB$11,$BB21,IF(BY$11&amp;BY$12=$BC$11,$BC21,IF(BY$11&amp;BY$12=$BD$11,$BD21,IF(BY$11&amp;BY$12=$BE$11,$BE21,IF(BY$11&amp;BY$12=$BF$11,$BF21,SUMIFS('Reference Tables'!$F$880:$F$925,'Reference Tables'!$A$880:$A$925,BY$11,'Reference Tables'!$B$880:$B$925,BY$12)))))))))</f>
        <v>0</v>
      </c>
      <c r="BZ21" s="304">
        <f>IF(BZ$11&amp;BZ$12=$AY$11,$AY21,IF(BZ$11&amp;BZ$12=$AZ$11,$AZ21,IF(BZ$11&amp;BZ$12=$BA$11,$BA21,IF(BZ$11&amp;BZ$12=$BB$11,$BB21,IF(BZ$11&amp;BZ$12=$BC$11,$BC21,IF(BZ$11&amp;BZ$12=$BD$11,$BD21,IF(BZ$11&amp;BZ$12=$BE$11,$BE21,IF(BZ$11&amp;BZ$12=$BF$11,$BF21,SUMIFS('Reference Tables'!$F$880:$F$925,'Reference Tables'!$A$880:$A$925,BZ$11,'Reference Tables'!$B$880:$B$925,BZ$12)))))))))</f>
        <v>0</v>
      </c>
      <c r="CA21" s="304">
        <f>IF(CA$11&amp;CA$12=$AY$11,$AY21,IF(CA$11&amp;CA$12=$AZ$11,$AZ21,IF(CA$11&amp;CA$12=$BA$11,$BA21,IF(CA$11&amp;CA$12=$BB$11,$BB21,IF(CA$11&amp;CA$12=$BC$11,$BC21,IF(CA$11&amp;CA$12=$BD$11,$BD21,IF(CA$11&amp;CA$12=$BE$11,$BE21,IF(CA$11&amp;CA$12=$BF$11,$BF21,SUMIFS('Reference Tables'!$F$880:$F$925,'Reference Tables'!$A$880:$A$925,CA$11,'Reference Tables'!$B$880:$B$925,CA$12)))))))))</f>
        <v>1</v>
      </c>
      <c r="CB21" s="304">
        <f>IF(CB$11&amp;CB$12=$AY$11,$AY21,IF(CB$11&amp;CB$12=$AZ$11,$AZ21,IF(CB$11&amp;CB$12=$BA$11,$BA21,IF(CB$11&amp;CB$12=$BB$11,$BB21,IF(CB$11&amp;CB$12=$BC$11,$BC21,IF(CB$11&amp;CB$12=$BD$11,$BD21,IF(CB$11&amp;CB$12=$BE$11,$BE21,IF(CB$11&amp;CB$12=$BF$11,$BF21,SUMIFS('Reference Tables'!$F$880:$F$925,'Reference Tables'!$A$880:$A$925,CB$11,'Reference Tables'!$B$880:$B$925,CB$12)))))))))</f>
        <v>0</v>
      </c>
      <c r="CC21" s="304">
        <f>IF(CC$11&amp;CC$12=$AY$11,$AY21,IF(CC$11&amp;CC$12=$AZ$11,$AZ21,IF(CC$11&amp;CC$12=$BA$11,$BA21,IF(CC$11&amp;CC$12=$BB$11,$BB21,IF(CC$11&amp;CC$12=$BC$11,$BC21,IF(CC$11&amp;CC$12=$BD$11,$BD21,IF(CC$11&amp;CC$12=$BE$11,$BE21,IF(CC$11&amp;CC$12=$BF$11,$BF21,SUMIFS('Reference Tables'!$F$880:$F$925,'Reference Tables'!$A$880:$A$925,CC$11,'Reference Tables'!$B$880:$B$925,CC$12)))))))))</f>
        <v>0</v>
      </c>
      <c r="CD21" s="304">
        <f>IF(CD$11&amp;CD$12=$AY$11,$AY21,IF(CD$11&amp;CD$12=$AZ$11,$AZ21,IF(CD$11&amp;CD$12=$BA$11,$BA21,IF(CD$11&amp;CD$12=$BB$11,$BB21,IF(CD$11&amp;CD$12=$BC$11,$BC21,IF(CD$11&amp;CD$12=$BD$11,$BD21,IF(CD$11&amp;CD$12=$BE$11,$BE21,IF(CD$11&amp;CD$12=$BF$11,$BF21,SUMIFS('Reference Tables'!$F$880:$F$925,'Reference Tables'!$A$880:$A$925,CD$11,'Reference Tables'!$B$880:$B$925,CD$12)))))))))</f>
        <v>1</v>
      </c>
      <c r="CE21" s="304">
        <f>IF(CE$11&amp;CE$12=$AY$11,$AY21,IF(CE$11&amp;CE$12=$AZ$11,$AZ21,IF(CE$11&amp;CE$12=$BA$11,$BA21,IF(CE$11&amp;CE$12=$BB$11,$BB21,IF(CE$11&amp;CE$12=$BC$11,$BC21,IF(CE$11&amp;CE$12=$BD$11,$BD21,IF(CE$11&amp;CE$12=$BE$11,$BE21,IF(CE$11&amp;CE$12=$BF$11,$BF21,SUMIFS('Reference Tables'!$F$880:$F$925,'Reference Tables'!$A$880:$A$925,CE$11,'Reference Tables'!$B$880:$B$925,CE$12)))))))))</f>
        <v>0</v>
      </c>
      <c r="CF21" s="304">
        <f>IF(CF$11&amp;CF$12=$AY$11,$AY21,IF(CF$11&amp;CF$12=$AZ$11,$AZ21,IF(CF$11&amp;CF$12=$BA$11,$BA21,IF(CF$11&amp;CF$12=$BB$11,$BB21,IF(CF$11&amp;CF$12=$BC$11,$BC21,IF(CF$11&amp;CF$12=$BD$11,$BD21,IF(CF$11&amp;CF$12=$BE$11,$BE21,IF(CF$11&amp;CF$12=$BF$11,$BF21,SUMIFS('Reference Tables'!$F$880:$F$925,'Reference Tables'!$A$880:$A$925,CF$11,'Reference Tables'!$B$880:$B$925,CF$12)))))))))</f>
        <v>0</v>
      </c>
      <c r="CG21" s="304">
        <f>IF(CG$11&amp;CG$12=$AY$11,$AY21,IF(CG$11&amp;CG$12=$AZ$11,$AZ21,IF(CG$11&amp;CG$12=$BA$11,$BA21,IF(CG$11&amp;CG$12=$BB$11,$BB21,IF(CG$11&amp;CG$12=$BC$11,$BC21,IF(CG$11&amp;CG$12=$BD$11,$BD21,IF(CG$11&amp;CG$12=$BE$11,$BE21,IF(CG$11&amp;CG$12=$BF$11,$BF21,SUMIFS('Reference Tables'!$F$880:$F$925,'Reference Tables'!$A$880:$A$925,CG$11,'Reference Tables'!$B$880:$B$925,CG$12)))))))))</f>
        <v>0</v>
      </c>
      <c r="CH21" s="304">
        <f>IF(CH$11&amp;CH$12=$AY$11,$AY21,IF(CH$11&amp;CH$12=$AZ$11,$AZ21,IF(CH$11&amp;CH$12=$BA$11,$BA21,IF(CH$11&amp;CH$12=$BB$11,$BB21,IF(CH$11&amp;CH$12=$BC$11,$BC21,IF(CH$11&amp;CH$12=$BD$11,$BD21,IF(CH$11&amp;CH$12=$BE$11,$BE21,IF(CH$11&amp;CH$12=$BF$11,$BF21,SUMIFS('Reference Tables'!$F$880:$F$925,'Reference Tables'!$A$880:$A$925,CH$11,'Reference Tables'!$B$880:$B$925,CH$12)))))))))</f>
        <v>0</v>
      </c>
      <c r="CI21" s="304">
        <f>IF(CI$11&amp;CI$12=$AY$11,$AY21,IF(CI$11&amp;CI$12=$AZ$11,$AZ21,IF(CI$11&amp;CI$12=$BA$11,$BA21,IF(CI$11&amp;CI$12=$BB$11,$BB21,IF(CI$11&amp;CI$12=$BC$11,$BC21,IF(CI$11&amp;CI$12=$BD$11,$BD21,IF(CI$11&amp;CI$12=$BE$11,$BE21,IF(CI$11&amp;CI$12=$BF$11,$BF21,SUMIFS('Reference Tables'!$F$880:$F$925,'Reference Tables'!$A$880:$A$925,CI$11,'Reference Tables'!$B$880:$B$925,CI$12)))))))))</f>
        <v>0</v>
      </c>
      <c r="CJ21" s="304">
        <f>IF(CJ$11&amp;CJ$12=$AY$11,$AY21,IF(CJ$11&amp;CJ$12=$AZ$11,$AZ21,IF(CJ$11&amp;CJ$12=$BA$11,$BA21,IF(CJ$11&amp;CJ$12=$BB$11,$BB21,IF(CJ$11&amp;CJ$12=$BC$11,$BC21,IF(CJ$11&amp;CJ$12=$BD$11,$BD21,IF(CJ$11&amp;CJ$12=$BE$11,$BE21,IF(CJ$11&amp;CJ$12=$BF$11,$BF21,SUMIFS('Reference Tables'!$F$880:$F$925,'Reference Tables'!$A$880:$A$925,CJ$11,'Reference Tables'!$B$880:$B$925,CJ$12)))))))))</f>
        <v>0</v>
      </c>
      <c r="CK21" s="304">
        <f>IF(CK$11&amp;CK$12=$AY$11,$AY21,IF(CK$11&amp;CK$12=$AZ$11,$AZ21,IF(CK$11&amp;CK$12=$BA$11,$BA21,IF(CK$11&amp;CK$12=$BB$11,$BB21,IF(CK$11&amp;CK$12=$BC$11,$BC21,IF(CK$11&amp;CK$12=$BD$11,$BD21,IF(CK$11&amp;CK$12=$BE$11,$BE21,IF(CK$11&amp;CK$12=$BF$11,$BF21,SUMIFS('Reference Tables'!$F$880:$F$925,'Reference Tables'!$A$880:$A$925,CK$11,'Reference Tables'!$B$880:$B$925,CK$12)))))))))</f>
        <v>0</v>
      </c>
      <c r="CL21" s="304">
        <f>IF(CL$11&amp;CL$12=$AY$11,$AY21,IF(CL$11&amp;CL$12=$AZ$11,$AZ21,IF(CL$11&amp;CL$12=$BA$11,$BA21,IF(CL$11&amp;CL$12=$BB$11,$BB21,IF(CL$11&amp;CL$12=$BC$11,$BC21,IF(CL$11&amp;CL$12=$BD$11,$BD21,IF(CL$11&amp;CL$12=$BE$11,$BE21,IF(CL$11&amp;CL$12=$BF$11,$BF21,SUMIFS('Reference Tables'!$F$880:$F$925,'Reference Tables'!$A$880:$A$925,CL$11,'Reference Tables'!$B$880:$B$925,CL$12)))))))))</f>
        <v>0</v>
      </c>
      <c r="CM21" s="304">
        <f>IF(CM$11&amp;CM$12=$AY$11,$AY21,IF(CM$11&amp;CM$12=$AZ$11,$AZ21,IF(CM$11&amp;CM$12=$BA$11,$BA21,IF(CM$11&amp;CM$12=$BB$11,$BB21,IF(CM$11&amp;CM$12=$BC$11,$BC21,IF(CM$11&amp;CM$12=$BD$11,$BD21,IF(CM$11&amp;CM$12=$BE$11,$BE21,IF(CM$11&amp;CM$12=$BF$11,$BF21,SUMIFS('Reference Tables'!$F$880:$F$925,'Reference Tables'!$A$880:$A$925,CM$11,'Reference Tables'!$B$880:$B$925,CM$12)))))))))</f>
        <v>0</v>
      </c>
      <c r="CN21" s="304">
        <f>IF(CN$11&amp;CN$12=$AY$11,$AY21,IF(CN$11&amp;CN$12=$AZ$11,$AZ21,IF(CN$11&amp;CN$12=$BA$11,$BA21,IF(CN$11&amp;CN$12=$BB$11,$BB21,IF(CN$11&amp;CN$12=$BC$11,$BC21,IF(CN$11&amp;CN$12=$BD$11,$BD21,IF(CN$11&amp;CN$12=$BE$11,$BE21,IF(CN$11&amp;CN$12=$BF$11,$BF21,SUMIFS('Reference Tables'!$F$880:$F$925,'Reference Tables'!$A$880:$A$925,CN$11,'Reference Tables'!$B$880:$B$925,CN$12)))))))))</f>
        <v>0</v>
      </c>
      <c r="CO21" s="304">
        <f>IF(CO$11&amp;CO$12=$AY$11,$AY21,IF(CO$11&amp;CO$12=$AZ$11,$AZ21,IF(CO$11&amp;CO$12=$BA$11,$BA21,IF(CO$11&amp;CO$12=$BB$11,$BB21,IF(CO$11&amp;CO$12=$BC$11,$BC21,IF(CO$11&amp;CO$12=$BD$11,$BD21,IF(CO$11&amp;CO$12=$BE$11,$BE21,IF(CO$11&amp;CO$12=$BF$11,$BF21,SUMIFS('Reference Tables'!$F$880:$F$925,'Reference Tables'!$A$880:$A$925,CO$11,'Reference Tables'!$B$880:$B$925,CO$12)))))))))</f>
        <v>0</v>
      </c>
      <c r="CP21" s="304">
        <f>IF(CP$11&amp;CP$12=$AY$11,$AY21,IF(CP$11&amp;CP$12=$AZ$11,$AZ21,IF(CP$11&amp;CP$12=$BA$11,$BA21,IF(CP$11&amp;CP$12=$BB$11,$BB21,IF(CP$11&amp;CP$12=$BC$11,$BC21,IF(CP$11&amp;CP$12=$BD$11,$BD21,IF(CP$11&amp;CP$12=$BE$11,$BE21,IF(CP$11&amp;CP$12=$BF$11,$BF21,SUMIFS('Reference Tables'!$F$880:$F$925,'Reference Tables'!$A$880:$A$925,CP$11,'Reference Tables'!$B$880:$B$925,CP$12)))))))))</f>
        <v>0</v>
      </c>
      <c r="CQ21" s="304">
        <f>IF(CQ$11&amp;CQ$12=$AY$11,$AY21,IF(CQ$11&amp;CQ$12=$AZ$11,$AZ21,IF(CQ$11&amp;CQ$12=$BA$11,$BA21,IF(CQ$11&amp;CQ$12=$BB$11,$BB21,IF(CQ$11&amp;CQ$12=$BC$11,$BC21,IF(CQ$11&amp;CQ$12=$BD$11,$BD21,IF(CQ$11&amp;CQ$12=$BE$11,$BE21,IF(CQ$11&amp;CQ$12=$BF$11,$BF21,SUMIFS('Reference Tables'!$F$880:$F$925,'Reference Tables'!$A$880:$A$925,CQ$11,'Reference Tables'!$B$880:$B$925,CQ$12)))))))))</f>
        <v>0</v>
      </c>
      <c r="CR21" s="304">
        <f>IF(CR$11&amp;CR$12=$AY$11,$AY21,IF(CR$11&amp;CR$12=$AZ$11,$AZ21,IF(CR$11&amp;CR$12=$BA$11,$BA21,IF(CR$11&amp;CR$12=$BB$11,$BB21,IF(CR$11&amp;CR$12=$BC$11,$BC21,IF(CR$11&amp;CR$12=$BD$11,$BD21,IF(CR$11&amp;CR$12=$BE$11,$BE21,IF(CR$11&amp;CR$12=$BF$11,$BF21,SUMIFS('Reference Tables'!$F$880:$F$925,'Reference Tables'!$A$880:$A$925,CR$11,'Reference Tables'!$B$880:$B$925,CR$12)))))))))</f>
        <v>0</v>
      </c>
      <c r="CS21" s="304">
        <f>IF(CS$11&amp;CS$12=$AY$11,$AY21,IF(CS$11&amp;CS$12=$AZ$11,$AZ21,IF(CS$11&amp;CS$12=$BA$11,$BA21,IF(CS$11&amp;CS$12=$BB$11,$BB21,IF(CS$11&amp;CS$12=$BC$11,$BC21,IF(CS$11&amp;CS$12=$BD$11,$BD21,IF(CS$11&amp;CS$12=$BE$11,$BE21,IF(CS$11&amp;CS$12=$BF$11,$BF21,SUMIFS('Reference Tables'!$F$880:$F$925,'Reference Tables'!$A$880:$A$925,CS$11,'Reference Tables'!$B$880:$B$925,CS$12)))))))))</f>
        <v>0</v>
      </c>
      <c r="CT21" s="304">
        <f>IF(CT$11&amp;CT$12=$AY$11,$AY21,IF(CT$11&amp;CT$12=$AZ$11,$AZ21,IF(CT$11&amp;CT$12=$BA$11,$BA21,IF(CT$11&amp;CT$12=$BB$11,$BB21,IF(CT$11&amp;CT$12=$BC$11,$BC21,IF(CT$11&amp;CT$12=$BD$11,$BD21,IF(CT$11&amp;CT$12=$BE$11,$BE21,IF(CT$11&amp;CT$12=$BF$11,$BF21,SUMIFS('Reference Tables'!$F$880:$F$925,'Reference Tables'!$A$880:$A$925,CT$11,'Reference Tables'!$B$880:$B$925,CT$12)))))))))</f>
        <v>0</v>
      </c>
      <c r="CU21" s="304">
        <f>IF(CU$11&amp;CU$12=$AY$11,$AY21,IF(CU$11&amp;CU$12=$AZ$11,$AZ21,IF(CU$11&amp;CU$12=$BA$11,$BA21,IF(CU$11&amp;CU$12=$BB$11,$BB21,IF(CU$11&amp;CU$12=$BC$11,$BC21,IF(CU$11&amp;CU$12=$BD$11,$BD21,IF(CU$11&amp;CU$12=$BE$11,$BE21,IF(CU$11&amp;CU$12=$BF$11,$BF21,SUMIFS('Reference Tables'!$F$880:$F$925,'Reference Tables'!$A$880:$A$925,CU$11,'Reference Tables'!$B$880:$B$925,CU$12)))))))))</f>
        <v>0</v>
      </c>
      <c r="CV21" s="304">
        <f>IF(CV$11&amp;CV$12=$AY$11,$AY21,IF(CV$11&amp;CV$12=$AZ$11,$AZ21,IF(CV$11&amp;CV$12=$BA$11,$BA21,IF(CV$11&amp;CV$12=$BB$11,$BB21,IF(CV$11&amp;CV$12=$BC$11,$BC21,IF(CV$11&amp;CV$12=$BD$11,$BD21,IF(CV$11&amp;CV$12=$BE$11,$BE21,IF(CV$11&amp;CV$12=$BF$11,$BF21,SUMIFS('Reference Tables'!$F$880:$F$925,'Reference Tables'!$A$880:$A$925,CV$11,'Reference Tables'!$B$880:$B$925,CV$12)))))))))</f>
        <v>1</v>
      </c>
      <c r="CW21" s="304">
        <f>IF(CW$11&amp;CW$12=$AY$11,$AY21,IF(CW$11&amp;CW$12=$AZ$11,$AZ21,IF(CW$11&amp;CW$12=$BA$11,$BA21,IF(CW$11&amp;CW$12=$BB$11,$BB21,IF(CW$11&amp;CW$12=$BC$11,$BC21,IF(CW$11&amp;CW$12=$BD$11,$BD21,IF(CW$11&amp;CW$12=$BE$11,$BE21,IF(CW$11&amp;CW$12=$BF$11,$BF21,SUMIFS('Reference Tables'!$F$880:$F$925,'Reference Tables'!$A$880:$A$925,CW$11,'Reference Tables'!$B$880:$B$925,CW$12)))))))))</f>
        <v>1</v>
      </c>
      <c r="CX21" s="304">
        <f>IF(CX$11&amp;CX$12=$AY$11,$AY21,IF(CX$11&amp;CX$12=$AZ$11,$AZ21,IF(CX$11&amp;CX$12=$BA$11,$BA21,IF(CX$11&amp;CX$12=$BB$11,$BB21,IF(CX$11&amp;CX$12=$BC$11,$BC21,IF(CX$11&amp;CX$12=$BD$11,$BD21,IF(CX$11&amp;CX$12=$BE$11,$BE21,IF(CX$11&amp;CX$12=$BF$11,$BF21,SUMIFS('Reference Tables'!$F$880:$F$925,'Reference Tables'!$A$880:$A$925,CX$11,'Reference Tables'!$B$880:$B$925,CX$12)))))))))</f>
        <v>0</v>
      </c>
    </row>
    <row r="22" spans="1:102" s="250" customFormat="1" ht="18.75" customHeight="1">
      <c r="A22" s="303"/>
      <c r="B22" s="303"/>
      <c r="C22" s="307"/>
      <c r="D22" s="307"/>
      <c r="E22" s="307"/>
      <c r="F22" s="307"/>
      <c r="G22" s="307"/>
      <c r="H22" s="307"/>
      <c r="I22" s="307"/>
      <c r="J22" s="307"/>
      <c r="K22" s="307"/>
      <c r="L22" s="307"/>
      <c r="M22" s="307"/>
      <c r="N22" s="307"/>
      <c r="O22" s="307"/>
      <c r="P22" s="307"/>
      <c r="Q22" s="307"/>
      <c r="R22" s="307"/>
      <c r="S22" s="307"/>
      <c r="T22" s="307"/>
      <c r="U22" s="307"/>
      <c r="V22" s="307"/>
      <c r="W22" s="307"/>
      <c r="X22" s="307"/>
      <c r="Y22" s="307"/>
      <c r="Z22" s="307"/>
      <c r="AA22" s="307"/>
      <c r="AB22" s="307"/>
      <c r="AC22" s="307"/>
      <c r="AD22" s="307"/>
      <c r="AE22" s="307"/>
      <c r="AF22" s="307"/>
      <c r="AG22" s="307"/>
      <c r="AH22" s="307"/>
      <c r="AI22" s="307"/>
      <c r="AJ22" s="307"/>
      <c r="AK22" s="307"/>
      <c r="AL22" s="307"/>
      <c r="AM22" s="307"/>
      <c r="AN22" s="307"/>
      <c r="AO22" s="307"/>
      <c r="AP22" s="307"/>
      <c r="AQ22" s="307"/>
      <c r="AR22" s="307"/>
      <c r="AS22" s="307"/>
      <c r="AT22" s="307"/>
      <c r="AU22" s="180" t="str">
        <f>IF($A22="","",INDEX('Tank Data'!$1:$1048576,MATCH($A22,'Tank Data'!$A:$A,0),MATCH(AU$10,'Tank Data'!$9:$9,0)))</f>
        <v/>
      </c>
      <c r="AV22" s="180" t="str">
        <f>IF($A22="","",INDEX('Tank Data'!$1:$1048576,MATCH($A22,'Tank Data'!$A:$A,0),MATCH($AV$10,'Tank Data'!$9:$9,0)))</f>
        <v/>
      </c>
      <c r="AW22" s="305" t="str">
        <f>IF(OR($AV22="EFR",$AV22="DEFR"),INDEX('Tank Data'!$1:$1048576,MATCH($A22,'Tank Data'!$A:$A,0),MATCH($AW$10,'Tank Data'!$9:$9,0)),"")</f>
        <v/>
      </c>
      <c r="AX22" s="180" t="str">
        <f>IF($A22="","",INDEX('Tank Data'!$1:$1048576,MATCH($A22,'Tank Data'!$A:$A,0),MATCH($AX$10,'Tank Data'!$9:$9,0)))</f>
        <v/>
      </c>
      <c r="AY22" s="304">
        <f>IF($AV22="IFR",IF($AU22&gt;'Reference Tables'!$B$876,'Reference Tables'!$C$876,SUMPRODUCT(('Reference Tables'!$C$862:$C$876)*('Reference Tables'!$A$862:$A$876&lt;$AU22)*('Reference Tables'!$B$862:$B$876&gt;=$AU22))),0)</f>
        <v>0</v>
      </c>
      <c r="AZ22" s="304">
        <f>IF($AV22="IFR",1,IF(OR($AV22="EFR",$AV22="DEFR"),INDEX('Reference Tables'!$A$930:$C$938,MATCH(IF($AU22&lt;'Reference Tables'!$A$931,'Reference Tables'!$A$931,IF($AU22&gt;'Reference Tables'!$A$938,'Reference Tables'!$A$938,ROUND($AU22/50,0)*50)),'Reference Tables'!$A$930:$A$938,0),MATCH($AW22,'Reference Tables'!$A$930:$C$930,0)),0))</f>
        <v>0</v>
      </c>
      <c r="BA22" s="304">
        <f>IF(OR($AV22="EFR",$AV22="DEFR"),INDEX('Reference Tables'!$A$930:$D$938,MATCH(IF($AU22&lt;='Reference Tables'!$A$931,'Reference Tables'!$A$931,IF($AU22&gt;'Reference Tables'!$A$936,'Reference Tables'!$A$936,ROUND($AU22/50,0)*50)),'Reference Tables'!$A$930:$A$938,0),COLUMN('Reference Tables'!$D$930)),0)</f>
        <v>0</v>
      </c>
      <c r="BB22" s="304">
        <f>IF(AND(OR($AV22="EFR",$AV22="DEFR"),$AW22="Pontoon Roof"),INDEX('Reference Tables'!$A$943:$D$980,MATCH(IF($AU22&lt;'Reference Tables'!$A$943,'Reference Tables'!$A$943,IF($AU22&gt;'Reference Tables'!$A$980,'Reference Tables'!$A$980,ROUND($AU22,1))),'Reference Tables'!$A$943:$A$980,0),COLUMN('Reference Tables'!$B$942)),0)</f>
        <v>0</v>
      </c>
      <c r="BC22" s="304">
        <f>IF(AND(OR($AV22="EFR",$AV22="DEFR"),$AW22="Pontoon Roof"),INDEX('Reference Tables'!$A$943:$D$980,MATCH(IF($AU22&lt;'Reference Tables'!$A$943,'Reference Tables'!$A$943,IF($AU22&gt;'Reference Tables'!$A$980,'Reference Tables'!$A$980,ROUND($AU22,1))),'Reference Tables'!$A$943:$A$980,0),COLUMN('Reference Tables'!$C$942)),0)</f>
        <v>0</v>
      </c>
      <c r="BD22" s="304">
        <f>IF(AND(OR($AV22="EFR",$AV22="DEFR"),$AW22="Double-Deck Roof"),INDEX('Reference Tables'!$A$943:$D$980,MATCH(IF($AU22&lt;'Reference Tables'!$A$943,'Reference Tables'!$A$943,IF($AU22&gt;'Reference Tables'!$A$980,'Reference Tables'!$A$980,ROUND($AU22,1))),'Reference Tables'!$A$943:$A$980,0),COLUMN('Reference Tables'!$D$942)),0)</f>
        <v>0</v>
      </c>
      <c r="BE22" s="306">
        <f t="shared" si="0"/>
        <v>0</v>
      </c>
      <c r="BF22" s="306">
        <f t="shared" si="1"/>
        <v>0</v>
      </c>
      <c r="BG22" s="304">
        <f>IF(BG$11&amp;BG$12=$AY$11,$AY22,IF(BG$11&amp;BG$12=$AZ$11,$AZ22,IF(BG$11&amp;BG$12=$BA$11,$BA22,IF(BG$11&amp;BG$12=$BB$11,$BB22,IF(BG$11&amp;BG$12=$BC$11,$BC22,IF(BG$11&amp;BG$12=$BD$11,$BD22,IF(BG$11&amp;BG$12=$BE$11,$BE22,IF(BG$11&amp;BG$12=$BF$11,$BF22,SUMIFS('Reference Tables'!$F$880:$F$925,'Reference Tables'!$A$880:$A$925,BG$11,'Reference Tables'!$B$880:$B$925,BG$12)))))))))</f>
        <v>1</v>
      </c>
      <c r="BH22" s="304">
        <f>IF(BH$11&amp;BH$12=$AY$11,$AY22,IF(BH$11&amp;BH$12=$AZ$11,$AZ22,IF(BH$11&amp;BH$12=$BA$11,$BA22,IF(BH$11&amp;BH$12=$BB$11,$BB22,IF(BH$11&amp;BH$12=$BC$11,$BC22,IF(BH$11&amp;BH$12=$BD$11,$BD22,IF(BH$11&amp;BH$12=$BE$11,$BE22,IF(BH$11&amp;BH$12=$BF$11,$BF22,SUMIFS('Reference Tables'!$F$880:$F$925,'Reference Tables'!$A$880:$A$925,BH$11,'Reference Tables'!$B$880:$B$925,BH$12)))))))))</f>
        <v>0</v>
      </c>
      <c r="BI22" s="304">
        <f>IF(BI$11&amp;BI$12=$AY$11,$AY22,IF(BI$11&amp;BI$12=$AZ$11,$AZ22,IF(BI$11&amp;BI$12=$BA$11,$BA22,IF(BI$11&amp;BI$12=$BB$11,$BB22,IF(BI$11&amp;BI$12=$BC$11,$BC22,IF(BI$11&amp;BI$12=$BD$11,$BD22,IF(BI$11&amp;BI$12=$BE$11,$BE22,IF(BI$11&amp;BI$12=$BF$11,$BF22,SUMIFS('Reference Tables'!$F$880:$F$925,'Reference Tables'!$A$880:$A$925,BI$11,'Reference Tables'!$B$880:$B$925,BI$12)))))))))</f>
        <v>0</v>
      </c>
      <c r="BJ22" s="304">
        <f>IF(BJ$11&amp;BJ$12=$AY$11,$AY22,IF(BJ$11&amp;BJ$12=$AZ$11,$AZ22,IF(BJ$11&amp;BJ$12=$BA$11,$BA22,IF(BJ$11&amp;BJ$12=$BB$11,$BB22,IF(BJ$11&amp;BJ$12=$BC$11,$BC22,IF(BJ$11&amp;BJ$12=$BD$11,$BD22,IF(BJ$11&amp;BJ$12=$BE$11,$BE22,IF(BJ$11&amp;BJ$12=$BF$11,$BF22,SUMIFS('Reference Tables'!$F$880:$F$925,'Reference Tables'!$A$880:$A$925,BJ$11,'Reference Tables'!$B$880:$B$925,BJ$12)))))))))</f>
        <v>0</v>
      </c>
      <c r="BK22" s="304">
        <f>IF(BK$11&amp;BK$12=$AY$11,$AY22,IF(BK$11&amp;BK$12=$AZ$11,$AZ22,IF(BK$11&amp;BK$12=$BA$11,$BA22,IF(BK$11&amp;BK$12=$BB$11,$BB22,IF(BK$11&amp;BK$12=$BC$11,$BC22,IF(BK$11&amp;BK$12=$BD$11,$BD22,IF(BK$11&amp;BK$12=$BE$11,$BE22,IF(BK$11&amp;BK$12=$BF$11,$BF22,SUMIFS('Reference Tables'!$F$880:$F$925,'Reference Tables'!$A$880:$A$925,BK$11,'Reference Tables'!$B$880:$B$925,BK$12)))))))))</f>
        <v>0</v>
      </c>
      <c r="BL22" s="304">
        <f>IF(BL$11&amp;BL$12=$AY$11,$AY22,IF(BL$11&amp;BL$12=$AZ$11,$AZ22,IF(BL$11&amp;BL$12=$BA$11,$BA22,IF(BL$11&amp;BL$12=$BB$11,$BB22,IF(BL$11&amp;BL$12=$BC$11,$BC22,IF(BL$11&amp;BL$12=$BD$11,$BD22,IF(BL$11&amp;BL$12=$BE$11,$BE22,IF(BL$11&amp;BL$12=$BF$11,$BF22,SUMIFS('Reference Tables'!$F$880:$F$925,'Reference Tables'!$A$880:$A$925,BL$11,'Reference Tables'!$B$880:$B$925,BL$12)))))))))</f>
        <v>0</v>
      </c>
      <c r="BM22" s="304">
        <f>IF(BM$11&amp;BM$12=$AY$11,$AY22,IF(BM$11&amp;BM$12=$AZ$11,$AZ22,IF(BM$11&amp;BM$12=$BA$11,$BA22,IF(BM$11&amp;BM$12=$BB$11,$BB22,IF(BM$11&amp;BM$12=$BC$11,$BC22,IF(BM$11&amp;BM$12=$BD$11,$BD22,IF(BM$11&amp;BM$12=$BE$11,$BE22,IF(BM$11&amp;BM$12=$BF$11,$BF22,SUMIFS('Reference Tables'!$F$880:$F$925,'Reference Tables'!$A$880:$A$925,BM$11,'Reference Tables'!$B$880:$B$925,BM$12)))))))))</f>
        <v>0</v>
      </c>
      <c r="BN22" s="304">
        <f>IF(BN$11&amp;BN$12=$AY$11,$AY22,IF(BN$11&amp;BN$12=$AZ$11,$AZ22,IF(BN$11&amp;BN$12=$BA$11,$BA22,IF(BN$11&amp;BN$12=$BB$11,$BB22,IF(BN$11&amp;BN$12=$BC$11,$BC22,IF(BN$11&amp;BN$12=$BD$11,$BD22,IF(BN$11&amp;BN$12=$BE$11,$BE22,IF(BN$11&amp;BN$12=$BF$11,$BF22,SUMIFS('Reference Tables'!$F$880:$F$925,'Reference Tables'!$A$880:$A$925,BN$11,'Reference Tables'!$B$880:$B$925,BN$12)))))))))</f>
        <v>0</v>
      </c>
      <c r="BO22" s="304">
        <f>IF(BO$11&amp;BO$12=$AY$11,$AY22,IF(BO$11&amp;BO$12=$AZ$11,$AZ22,IF(BO$11&amp;BO$12=$BA$11,$BA22,IF(BO$11&amp;BO$12=$BB$11,$BB22,IF(BO$11&amp;BO$12=$BC$11,$BC22,IF(BO$11&amp;BO$12=$BD$11,$BD22,IF(BO$11&amp;BO$12=$BE$11,$BE22,IF(BO$11&amp;BO$12=$BF$11,$BF22,SUMIFS('Reference Tables'!$F$880:$F$925,'Reference Tables'!$A$880:$A$925,BO$11,'Reference Tables'!$B$880:$B$925,BO$12)))))))))</f>
        <v>1</v>
      </c>
      <c r="BP22" s="304">
        <f>IF(BP$11&amp;BP$12=$AY$11,$AY22,IF(BP$11&amp;BP$12=$AZ$11,$AZ22,IF(BP$11&amp;BP$12=$BA$11,$BA22,IF(BP$11&amp;BP$12=$BB$11,$BB22,IF(BP$11&amp;BP$12=$BC$11,$BC22,IF(BP$11&amp;BP$12=$BD$11,$BD22,IF(BP$11&amp;BP$12=$BE$11,$BE22,IF(BP$11&amp;BP$12=$BF$11,$BF22,SUMIFS('Reference Tables'!$F$880:$F$925,'Reference Tables'!$A$880:$A$925,BP$11,'Reference Tables'!$B$880:$B$925,BP$12)))))))))</f>
        <v>0</v>
      </c>
      <c r="BQ22" s="304">
        <f>IF(BQ$11&amp;BQ$12=$AY$11,$AY22,IF(BQ$11&amp;BQ$12=$AZ$11,$AZ22,IF(BQ$11&amp;BQ$12=$BA$11,$BA22,IF(BQ$11&amp;BQ$12=$BB$11,$BB22,IF(BQ$11&amp;BQ$12=$BC$11,$BC22,IF(BQ$11&amp;BQ$12=$BD$11,$BD22,IF(BQ$11&amp;BQ$12=$BE$11,$BE22,IF(BQ$11&amp;BQ$12=$BF$11,$BF22,SUMIFS('Reference Tables'!$F$880:$F$925,'Reference Tables'!$A$880:$A$925,BQ$11,'Reference Tables'!$B$880:$B$925,BQ$12)))))))))</f>
        <v>0</v>
      </c>
      <c r="BR22" s="304">
        <f>IF(BR$11&amp;BR$12=$AY$11,$AY22,IF(BR$11&amp;BR$12=$AZ$11,$AZ22,IF(BR$11&amp;BR$12=$BA$11,$BA22,IF(BR$11&amp;BR$12=$BB$11,$BB22,IF(BR$11&amp;BR$12=$BC$11,$BC22,IF(BR$11&amp;BR$12=$BD$11,$BD22,IF(BR$11&amp;BR$12=$BE$11,$BE22,IF(BR$11&amp;BR$12=$BF$11,$BF22,SUMIFS('Reference Tables'!$F$880:$F$925,'Reference Tables'!$A$880:$A$925,BR$11,'Reference Tables'!$B$880:$B$925,BR$12)))))))))</f>
        <v>0</v>
      </c>
      <c r="BS22" s="304">
        <f>IF(BS$11&amp;BS$12=$AY$11,$AY22,IF(BS$11&amp;BS$12=$AZ$11,$AZ22,IF(BS$11&amp;BS$12=$BA$11,$BA22,IF(BS$11&amp;BS$12=$BB$11,$BB22,IF(BS$11&amp;BS$12=$BC$11,$BC22,IF(BS$11&amp;BS$12=$BD$11,$BD22,IF(BS$11&amp;BS$12=$BE$11,$BE22,IF(BS$11&amp;BS$12=$BF$11,$BF22,SUMIFS('Reference Tables'!$F$880:$F$925,'Reference Tables'!$A$880:$A$925,BS$11,'Reference Tables'!$B$880:$B$925,BS$12)))))))))</f>
        <v>0</v>
      </c>
      <c r="BT22" s="304">
        <f>IF(BT$11&amp;BT$12=$AY$11,$AY22,IF(BT$11&amp;BT$12=$AZ$11,$AZ22,IF(BT$11&amp;BT$12=$BA$11,$BA22,IF(BT$11&amp;BT$12=$BB$11,$BB22,IF(BT$11&amp;BT$12=$BC$11,$BC22,IF(BT$11&amp;BT$12=$BD$11,$BD22,IF(BT$11&amp;BT$12=$BE$11,$BE22,IF(BT$11&amp;BT$12=$BF$11,$BF22,SUMIFS('Reference Tables'!$F$880:$F$925,'Reference Tables'!$A$880:$A$925,BT$11,'Reference Tables'!$B$880:$B$925,BT$12)))))))))</f>
        <v>0</v>
      </c>
      <c r="BU22" s="304">
        <f>IF(BU$11&amp;BU$12=$AY$11,$AY22,IF(BU$11&amp;BU$12=$AZ$11,$AZ22,IF(BU$11&amp;BU$12=$BA$11,$BA22,IF(BU$11&amp;BU$12=$BB$11,$BB22,IF(BU$11&amp;BU$12=$BC$11,$BC22,IF(BU$11&amp;BU$12=$BD$11,$BD22,IF(BU$11&amp;BU$12=$BE$11,$BE22,IF(BU$11&amp;BU$12=$BF$11,$BF22,SUMIFS('Reference Tables'!$F$880:$F$925,'Reference Tables'!$A$880:$A$925,BU$11,'Reference Tables'!$B$880:$B$925,BU$12)))))))))</f>
        <v>0</v>
      </c>
      <c r="BV22" s="304">
        <f>IF(BV$11&amp;BV$12=$AY$11,$AY22,IF(BV$11&amp;BV$12=$AZ$11,$AZ22,IF(BV$11&amp;BV$12=$BA$11,$BA22,IF(BV$11&amp;BV$12=$BB$11,$BB22,IF(BV$11&amp;BV$12=$BC$11,$BC22,IF(BV$11&amp;BV$12=$BD$11,$BD22,IF(BV$11&amp;BV$12=$BE$11,$BE22,IF(BV$11&amp;BV$12=$BF$11,$BF22,SUMIFS('Reference Tables'!$F$880:$F$925,'Reference Tables'!$A$880:$A$925,BV$11,'Reference Tables'!$B$880:$B$925,BV$12)))))))))</f>
        <v>0</v>
      </c>
      <c r="BW22" s="304">
        <f>IF(BW$11&amp;BW$12=$AY$11,$AY22,IF(BW$11&amp;BW$12=$AZ$11,$AZ22,IF(BW$11&amp;BW$12=$BA$11,$BA22,IF(BW$11&amp;BW$12=$BB$11,$BB22,IF(BW$11&amp;BW$12=$BC$11,$BC22,IF(BW$11&amp;BW$12=$BD$11,$BD22,IF(BW$11&amp;BW$12=$BE$11,$BE22,IF(BW$11&amp;BW$12=$BF$11,$BF22,SUMIFS('Reference Tables'!$F$880:$F$925,'Reference Tables'!$A$880:$A$925,BW$11,'Reference Tables'!$B$880:$B$925,BW$12)))))))))</f>
        <v>0</v>
      </c>
      <c r="BX22" s="304">
        <f>IF(BX$11&amp;BX$12=$AY$11,$AY22,IF(BX$11&amp;BX$12=$AZ$11,$AZ22,IF(BX$11&amp;BX$12=$BA$11,$BA22,IF(BX$11&amp;BX$12=$BB$11,$BB22,IF(BX$11&amp;BX$12=$BC$11,$BC22,IF(BX$11&amp;BX$12=$BD$11,$BD22,IF(BX$11&amp;BX$12=$BE$11,$BE22,IF(BX$11&amp;BX$12=$BF$11,$BF22,SUMIFS('Reference Tables'!$F$880:$F$925,'Reference Tables'!$A$880:$A$925,BX$11,'Reference Tables'!$B$880:$B$925,BX$12)))))))))</f>
        <v>0</v>
      </c>
      <c r="BY22" s="304">
        <f>IF(BY$11&amp;BY$12=$AY$11,$AY22,IF(BY$11&amp;BY$12=$AZ$11,$AZ22,IF(BY$11&amp;BY$12=$BA$11,$BA22,IF(BY$11&amp;BY$12=$BB$11,$BB22,IF(BY$11&amp;BY$12=$BC$11,$BC22,IF(BY$11&amp;BY$12=$BD$11,$BD22,IF(BY$11&amp;BY$12=$BE$11,$BE22,IF(BY$11&amp;BY$12=$BF$11,$BF22,SUMIFS('Reference Tables'!$F$880:$F$925,'Reference Tables'!$A$880:$A$925,BY$11,'Reference Tables'!$B$880:$B$925,BY$12)))))))))</f>
        <v>0</v>
      </c>
      <c r="BZ22" s="304">
        <f>IF(BZ$11&amp;BZ$12=$AY$11,$AY22,IF(BZ$11&amp;BZ$12=$AZ$11,$AZ22,IF(BZ$11&amp;BZ$12=$BA$11,$BA22,IF(BZ$11&amp;BZ$12=$BB$11,$BB22,IF(BZ$11&amp;BZ$12=$BC$11,$BC22,IF(BZ$11&amp;BZ$12=$BD$11,$BD22,IF(BZ$11&amp;BZ$12=$BE$11,$BE22,IF(BZ$11&amp;BZ$12=$BF$11,$BF22,SUMIFS('Reference Tables'!$F$880:$F$925,'Reference Tables'!$A$880:$A$925,BZ$11,'Reference Tables'!$B$880:$B$925,BZ$12)))))))))</f>
        <v>0</v>
      </c>
      <c r="CA22" s="304">
        <f>IF(CA$11&amp;CA$12=$AY$11,$AY22,IF(CA$11&amp;CA$12=$AZ$11,$AZ22,IF(CA$11&amp;CA$12=$BA$11,$BA22,IF(CA$11&amp;CA$12=$BB$11,$BB22,IF(CA$11&amp;CA$12=$BC$11,$BC22,IF(CA$11&amp;CA$12=$BD$11,$BD22,IF(CA$11&amp;CA$12=$BE$11,$BE22,IF(CA$11&amp;CA$12=$BF$11,$BF22,SUMIFS('Reference Tables'!$F$880:$F$925,'Reference Tables'!$A$880:$A$925,CA$11,'Reference Tables'!$B$880:$B$925,CA$12)))))))))</f>
        <v>1</v>
      </c>
      <c r="CB22" s="304">
        <f>IF(CB$11&amp;CB$12=$AY$11,$AY22,IF(CB$11&amp;CB$12=$AZ$11,$AZ22,IF(CB$11&amp;CB$12=$BA$11,$BA22,IF(CB$11&amp;CB$12=$BB$11,$BB22,IF(CB$11&amp;CB$12=$BC$11,$BC22,IF(CB$11&amp;CB$12=$BD$11,$BD22,IF(CB$11&amp;CB$12=$BE$11,$BE22,IF(CB$11&amp;CB$12=$BF$11,$BF22,SUMIFS('Reference Tables'!$F$880:$F$925,'Reference Tables'!$A$880:$A$925,CB$11,'Reference Tables'!$B$880:$B$925,CB$12)))))))))</f>
        <v>0</v>
      </c>
      <c r="CC22" s="304">
        <f>IF(CC$11&amp;CC$12=$AY$11,$AY22,IF(CC$11&amp;CC$12=$AZ$11,$AZ22,IF(CC$11&amp;CC$12=$BA$11,$BA22,IF(CC$11&amp;CC$12=$BB$11,$BB22,IF(CC$11&amp;CC$12=$BC$11,$BC22,IF(CC$11&amp;CC$12=$BD$11,$BD22,IF(CC$11&amp;CC$12=$BE$11,$BE22,IF(CC$11&amp;CC$12=$BF$11,$BF22,SUMIFS('Reference Tables'!$F$880:$F$925,'Reference Tables'!$A$880:$A$925,CC$11,'Reference Tables'!$B$880:$B$925,CC$12)))))))))</f>
        <v>0</v>
      </c>
      <c r="CD22" s="304">
        <f>IF(CD$11&amp;CD$12=$AY$11,$AY22,IF(CD$11&amp;CD$12=$AZ$11,$AZ22,IF(CD$11&amp;CD$12=$BA$11,$BA22,IF(CD$11&amp;CD$12=$BB$11,$BB22,IF(CD$11&amp;CD$12=$BC$11,$BC22,IF(CD$11&amp;CD$12=$BD$11,$BD22,IF(CD$11&amp;CD$12=$BE$11,$BE22,IF(CD$11&amp;CD$12=$BF$11,$BF22,SUMIFS('Reference Tables'!$F$880:$F$925,'Reference Tables'!$A$880:$A$925,CD$11,'Reference Tables'!$B$880:$B$925,CD$12)))))))))</f>
        <v>1</v>
      </c>
      <c r="CE22" s="304">
        <f>IF(CE$11&amp;CE$12=$AY$11,$AY22,IF(CE$11&amp;CE$12=$AZ$11,$AZ22,IF(CE$11&amp;CE$12=$BA$11,$BA22,IF(CE$11&amp;CE$12=$BB$11,$BB22,IF(CE$11&amp;CE$12=$BC$11,$BC22,IF(CE$11&amp;CE$12=$BD$11,$BD22,IF(CE$11&amp;CE$12=$BE$11,$BE22,IF(CE$11&amp;CE$12=$BF$11,$BF22,SUMIFS('Reference Tables'!$F$880:$F$925,'Reference Tables'!$A$880:$A$925,CE$11,'Reference Tables'!$B$880:$B$925,CE$12)))))))))</f>
        <v>0</v>
      </c>
      <c r="CF22" s="304">
        <f>IF(CF$11&amp;CF$12=$AY$11,$AY22,IF(CF$11&amp;CF$12=$AZ$11,$AZ22,IF(CF$11&amp;CF$12=$BA$11,$BA22,IF(CF$11&amp;CF$12=$BB$11,$BB22,IF(CF$11&amp;CF$12=$BC$11,$BC22,IF(CF$11&amp;CF$12=$BD$11,$BD22,IF(CF$11&amp;CF$12=$BE$11,$BE22,IF(CF$11&amp;CF$12=$BF$11,$BF22,SUMIFS('Reference Tables'!$F$880:$F$925,'Reference Tables'!$A$880:$A$925,CF$11,'Reference Tables'!$B$880:$B$925,CF$12)))))))))</f>
        <v>0</v>
      </c>
      <c r="CG22" s="304">
        <f>IF(CG$11&amp;CG$12=$AY$11,$AY22,IF(CG$11&amp;CG$12=$AZ$11,$AZ22,IF(CG$11&amp;CG$12=$BA$11,$BA22,IF(CG$11&amp;CG$12=$BB$11,$BB22,IF(CG$11&amp;CG$12=$BC$11,$BC22,IF(CG$11&amp;CG$12=$BD$11,$BD22,IF(CG$11&amp;CG$12=$BE$11,$BE22,IF(CG$11&amp;CG$12=$BF$11,$BF22,SUMIFS('Reference Tables'!$F$880:$F$925,'Reference Tables'!$A$880:$A$925,CG$11,'Reference Tables'!$B$880:$B$925,CG$12)))))))))</f>
        <v>0</v>
      </c>
      <c r="CH22" s="304">
        <f>IF(CH$11&amp;CH$12=$AY$11,$AY22,IF(CH$11&amp;CH$12=$AZ$11,$AZ22,IF(CH$11&amp;CH$12=$BA$11,$BA22,IF(CH$11&amp;CH$12=$BB$11,$BB22,IF(CH$11&amp;CH$12=$BC$11,$BC22,IF(CH$11&amp;CH$12=$BD$11,$BD22,IF(CH$11&amp;CH$12=$BE$11,$BE22,IF(CH$11&amp;CH$12=$BF$11,$BF22,SUMIFS('Reference Tables'!$F$880:$F$925,'Reference Tables'!$A$880:$A$925,CH$11,'Reference Tables'!$B$880:$B$925,CH$12)))))))))</f>
        <v>0</v>
      </c>
      <c r="CI22" s="304">
        <f>IF(CI$11&amp;CI$12=$AY$11,$AY22,IF(CI$11&amp;CI$12=$AZ$11,$AZ22,IF(CI$11&amp;CI$12=$BA$11,$BA22,IF(CI$11&amp;CI$12=$BB$11,$BB22,IF(CI$11&amp;CI$12=$BC$11,$BC22,IF(CI$11&amp;CI$12=$BD$11,$BD22,IF(CI$11&amp;CI$12=$BE$11,$BE22,IF(CI$11&amp;CI$12=$BF$11,$BF22,SUMIFS('Reference Tables'!$F$880:$F$925,'Reference Tables'!$A$880:$A$925,CI$11,'Reference Tables'!$B$880:$B$925,CI$12)))))))))</f>
        <v>0</v>
      </c>
      <c r="CJ22" s="304">
        <f>IF(CJ$11&amp;CJ$12=$AY$11,$AY22,IF(CJ$11&amp;CJ$12=$AZ$11,$AZ22,IF(CJ$11&amp;CJ$12=$BA$11,$BA22,IF(CJ$11&amp;CJ$12=$BB$11,$BB22,IF(CJ$11&amp;CJ$12=$BC$11,$BC22,IF(CJ$11&amp;CJ$12=$BD$11,$BD22,IF(CJ$11&amp;CJ$12=$BE$11,$BE22,IF(CJ$11&amp;CJ$12=$BF$11,$BF22,SUMIFS('Reference Tables'!$F$880:$F$925,'Reference Tables'!$A$880:$A$925,CJ$11,'Reference Tables'!$B$880:$B$925,CJ$12)))))))))</f>
        <v>0</v>
      </c>
      <c r="CK22" s="304">
        <f>IF(CK$11&amp;CK$12=$AY$11,$AY22,IF(CK$11&amp;CK$12=$AZ$11,$AZ22,IF(CK$11&amp;CK$12=$BA$11,$BA22,IF(CK$11&amp;CK$12=$BB$11,$BB22,IF(CK$11&amp;CK$12=$BC$11,$BC22,IF(CK$11&amp;CK$12=$BD$11,$BD22,IF(CK$11&amp;CK$12=$BE$11,$BE22,IF(CK$11&amp;CK$12=$BF$11,$BF22,SUMIFS('Reference Tables'!$F$880:$F$925,'Reference Tables'!$A$880:$A$925,CK$11,'Reference Tables'!$B$880:$B$925,CK$12)))))))))</f>
        <v>0</v>
      </c>
      <c r="CL22" s="304">
        <f>IF(CL$11&amp;CL$12=$AY$11,$AY22,IF(CL$11&amp;CL$12=$AZ$11,$AZ22,IF(CL$11&amp;CL$12=$BA$11,$BA22,IF(CL$11&amp;CL$12=$BB$11,$BB22,IF(CL$11&amp;CL$12=$BC$11,$BC22,IF(CL$11&amp;CL$12=$BD$11,$BD22,IF(CL$11&amp;CL$12=$BE$11,$BE22,IF(CL$11&amp;CL$12=$BF$11,$BF22,SUMIFS('Reference Tables'!$F$880:$F$925,'Reference Tables'!$A$880:$A$925,CL$11,'Reference Tables'!$B$880:$B$925,CL$12)))))))))</f>
        <v>0</v>
      </c>
      <c r="CM22" s="304">
        <f>IF(CM$11&amp;CM$12=$AY$11,$AY22,IF(CM$11&amp;CM$12=$AZ$11,$AZ22,IF(CM$11&amp;CM$12=$BA$11,$BA22,IF(CM$11&amp;CM$12=$BB$11,$BB22,IF(CM$11&amp;CM$12=$BC$11,$BC22,IF(CM$11&amp;CM$12=$BD$11,$BD22,IF(CM$11&amp;CM$12=$BE$11,$BE22,IF(CM$11&amp;CM$12=$BF$11,$BF22,SUMIFS('Reference Tables'!$F$880:$F$925,'Reference Tables'!$A$880:$A$925,CM$11,'Reference Tables'!$B$880:$B$925,CM$12)))))))))</f>
        <v>0</v>
      </c>
      <c r="CN22" s="304">
        <f>IF(CN$11&amp;CN$12=$AY$11,$AY22,IF(CN$11&amp;CN$12=$AZ$11,$AZ22,IF(CN$11&amp;CN$12=$BA$11,$BA22,IF(CN$11&amp;CN$12=$BB$11,$BB22,IF(CN$11&amp;CN$12=$BC$11,$BC22,IF(CN$11&amp;CN$12=$BD$11,$BD22,IF(CN$11&amp;CN$12=$BE$11,$BE22,IF(CN$11&amp;CN$12=$BF$11,$BF22,SUMIFS('Reference Tables'!$F$880:$F$925,'Reference Tables'!$A$880:$A$925,CN$11,'Reference Tables'!$B$880:$B$925,CN$12)))))))))</f>
        <v>0</v>
      </c>
      <c r="CO22" s="304">
        <f>IF(CO$11&amp;CO$12=$AY$11,$AY22,IF(CO$11&amp;CO$12=$AZ$11,$AZ22,IF(CO$11&amp;CO$12=$BA$11,$BA22,IF(CO$11&amp;CO$12=$BB$11,$BB22,IF(CO$11&amp;CO$12=$BC$11,$BC22,IF(CO$11&amp;CO$12=$BD$11,$BD22,IF(CO$11&amp;CO$12=$BE$11,$BE22,IF(CO$11&amp;CO$12=$BF$11,$BF22,SUMIFS('Reference Tables'!$F$880:$F$925,'Reference Tables'!$A$880:$A$925,CO$11,'Reference Tables'!$B$880:$B$925,CO$12)))))))))</f>
        <v>0</v>
      </c>
      <c r="CP22" s="304">
        <f>IF(CP$11&amp;CP$12=$AY$11,$AY22,IF(CP$11&amp;CP$12=$AZ$11,$AZ22,IF(CP$11&amp;CP$12=$BA$11,$BA22,IF(CP$11&amp;CP$12=$BB$11,$BB22,IF(CP$11&amp;CP$12=$BC$11,$BC22,IF(CP$11&amp;CP$12=$BD$11,$BD22,IF(CP$11&amp;CP$12=$BE$11,$BE22,IF(CP$11&amp;CP$12=$BF$11,$BF22,SUMIFS('Reference Tables'!$F$880:$F$925,'Reference Tables'!$A$880:$A$925,CP$11,'Reference Tables'!$B$880:$B$925,CP$12)))))))))</f>
        <v>0</v>
      </c>
      <c r="CQ22" s="304">
        <f>IF(CQ$11&amp;CQ$12=$AY$11,$AY22,IF(CQ$11&amp;CQ$12=$AZ$11,$AZ22,IF(CQ$11&amp;CQ$12=$BA$11,$BA22,IF(CQ$11&amp;CQ$12=$BB$11,$BB22,IF(CQ$11&amp;CQ$12=$BC$11,$BC22,IF(CQ$11&amp;CQ$12=$BD$11,$BD22,IF(CQ$11&amp;CQ$12=$BE$11,$BE22,IF(CQ$11&amp;CQ$12=$BF$11,$BF22,SUMIFS('Reference Tables'!$F$880:$F$925,'Reference Tables'!$A$880:$A$925,CQ$11,'Reference Tables'!$B$880:$B$925,CQ$12)))))))))</f>
        <v>0</v>
      </c>
      <c r="CR22" s="304">
        <f>IF(CR$11&amp;CR$12=$AY$11,$AY22,IF(CR$11&amp;CR$12=$AZ$11,$AZ22,IF(CR$11&amp;CR$12=$BA$11,$BA22,IF(CR$11&amp;CR$12=$BB$11,$BB22,IF(CR$11&amp;CR$12=$BC$11,$BC22,IF(CR$11&amp;CR$12=$BD$11,$BD22,IF(CR$11&amp;CR$12=$BE$11,$BE22,IF(CR$11&amp;CR$12=$BF$11,$BF22,SUMIFS('Reference Tables'!$F$880:$F$925,'Reference Tables'!$A$880:$A$925,CR$11,'Reference Tables'!$B$880:$B$925,CR$12)))))))))</f>
        <v>0</v>
      </c>
      <c r="CS22" s="304">
        <f>IF(CS$11&amp;CS$12=$AY$11,$AY22,IF(CS$11&amp;CS$12=$AZ$11,$AZ22,IF(CS$11&amp;CS$12=$BA$11,$BA22,IF(CS$11&amp;CS$12=$BB$11,$BB22,IF(CS$11&amp;CS$12=$BC$11,$BC22,IF(CS$11&amp;CS$12=$BD$11,$BD22,IF(CS$11&amp;CS$12=$BE$11,$BE22,IF(CS$11&amp;CS$12=$BF$11,$BF22,SUMIFS('Reference Tables'!$F$880:$F$925,'Reference Tables'!$A$880:$A$925,CS$11,'Reference Tables'!$B$880:$B$925,CS$12)))))))))</f>
        <v>0</v>
      </c>
      <c r="CT22" s="304">
        <f>IF(CT$11&amp;CT$12=$AY$11,$AY22,IF(CT$11&amp;CT$12=$AZ$11,$AZ22,IF(CT$11&amp;CT$12=$BA$11,$BA22,IF(CT$11&amp;CT$12=$BB$11,$BB22,IF(CT$11&amp;CT$12=$BC$11,$BC22,IF(CT$11&amp;CT$12=$BD$11,$BD22,IF(CT$11&amp;CT$12=$BE$11,$BE22,IF(CT$11&amp;CT$12=$BF$11,$BF22,SUMIFS('Reference Tables'!$F$880:$F$925,'Reference Tables'!$A$880:$A$925,CT$11,'Reference Tables'!$B$880:$B$925,CT$12)))))))))</f>
        <v>0</v>
      </c>
      <c r="CU22" s="304">
        <f>IF(CU$11&amp;CU$12=$AY$11,$AY22,IF(CU$11&amp;CU$12=$AZ$11,$AZ22,IF(CU$11&amp;CU$12=$BA$11,$BA22,IF(CU$11&amp;CU$12=$BB$11,$BB22,IF(CU$11&amp;CU$12=$BC$11,$BC22,IF(CU$11&amp;CU$12=$BD$11,$BD22,IF(CU$11&amp;CU$12=$BE$11,$BE22,IF(CU$11&amp;CU$12=$BF$11,$BF22,SUMIFS('Reference Tables'!$F$880:$F$925,'Reference Tables'!$A$880:$A$925,CU$11,'Reference Tables'!$B$880:$B$925,CU$12)))))))))</f>
        <v>0</v>
      </c>
      <c r="CV22" s="304">
        <f>IF(CV$11&amp;CV$12=$AY$11,$AY22,IF(CV$11&amp;CV$12=$AZ$11,$AZ22,IF(CV$11&amp;CV$12=$BA$11,$BA22,IF(CV$11&amp;CV$12=$BB$11,$BB22,IF(CV$11&amp;CV$12=$BC$11,$BC22,IF(CV$11&amp;CV$12=$BD$11,$BD22,IF(CV$11&amp;CV$12=$BE$11,$BE22,IF(CV$11&amp;CV$12=$BF$11,$BF22,SUMIFS('Reference Tables'!$F$880:$F$925,'Reference Tables'!$A$880:$A$925,CV$11,'Reference Tables'!$B$880:$B$925,CV$12)))))))))</f>
        <v>1</v>
      </c>
      <c r="CW22" s="304">
        <f>IF(CW$11&amp;CW$12=$AY$11,$AY22,IF(CW$11&amp;CW$12=$AZ$11,$AZ22,IF(CW$11&amp;CW$12=$BA$11,$BA22,IF(CW$11&amp;CW$12=$BB$11,$BB22,IF(CW$11&amp;CW$12=$BC$11,$BC22,IF(CW$11&amp;CW$12=$BD$11,$BD22,IF(CW$11&amp;CW$12=$BE$11,$BE22,IF(CW$11&amp;CW$12=$BF$11,$BF22,SUMIFS('Reference Tables'!$F$880:$F$925,'Reference Tables'!$A$880:$A$925,CW$11,'Reference Tables'!$B$880:$B$925,CW$12)))))))))</f>
        <v>1</v>
      </c>
      <c r="CX22" s="304">
        <f>IF(CX$11&amp;CX$12=$AY$11,$AY22,IF(CX$11&amp;CX$12=$AZ$11,$AZ22,IF(CX$11&amp;CX$12=$BA$11,$BA22,IF(CX$11&amp;CX$12=$BB$11,$BB22,IF(CX$11&amp;CX$12=$BC$11,$BC22,IF(CX$11&amp;CX$12=$BD$11,$BD22,IF(CX$11&amp;CX$12=$BE$11,$BE22,IF(CX$11&amp;CX$12=$BF$11,$BF22,SUMIFS('Reference Tables'!$F$880:$F$925,'Reference Tables'!$A$880:$A$925,CX$11,'Reference Tables'!$B$880:$B$925,CX$12)))))))))</f>
        <v>0</v>
      </c>
    </row>
    <row r="23" spans="1:102">
      <c r="F23" s="308"/>
    </row>
    <row r="24" spans="1:102">
      <c r="F24" s="308"/>
    </row>
    <row r="25" spans="1:102">
      <c r="F25" s="308"/>
    </row>
    <row r="26" spans="1:102">
      <c r="F26" s="308"/>
    </row>
    <row r="27" spans="1:102">
      <c r="F27" s="308"/>
    </row>
    <row r="28" spans="1:102">
      <c r="F28" s="308"/>
    </row>
    <row r="29" spans="1:102">
      <c r="F29" s="308"/>
    </row>
    <row r="30" spans="1:102">
      <c r="F30" s="308"/>
    </row>
    <row r="31" spans="1:102">
      <c r="F31" s="308"/>
    </row>
    <row r="32" spans="1:102">
      <c r="F32" s="308"/>
    </row>
    <row r="33" spans="3:6">
      <c r="F33" s="308"/>
    </row>
    <row r="34" spans="3:6">
      <c r="F34" s="308"/>
    </row>
    <row r="35" spans="3:6">
      <c r="F35" s="308"/>
    </row>
    <row r="36" spans="3:6">
      <c r="C36" s="286"/>
      <c r="D36" s="286"/>
      <c r="F36" s="308"/>
    </row>
    <row r="37" spans="3:6">
      <c r="C37" s="286"/>
      <c r="D37" s="286"/>
      <c r="F37" s="308"/>
    </row>
    <row r="38" spans="3:6">
      <c r="C38" s="286"/>
      <c r="D38" s="286"/>
      <c r="F38" s="308"/>
    </row>
    <row r="39" spans="3:6">
      <c r="C39" s="286"/>
      <c r="D39" s="286"/>
      <c r="F39" s="308"/>
    </row>
    <row r="40" spans="3:6">
      <c r="C40" s="286"/>
      <c r="D40" s="286"/>
      <c r="F40" s="308"/>
    </row>
    <row r="41" spans="3:6">
      <c r="C41" s="286"/>
      <c r="D41" s="286"/>
      <c r="F41" s="308"/>
    </row>
    <row r="42" spans="3:6">
      <c r="C42" s="286"/>
      <c r="D42" s="286"/>
      <c r="F42" s="308"/>
    </row>
    <row r="43" spans="3:6">
      <c r="C43" s="286"/>
      <c r="D43" s="286"/>
      <c r="F43" s="308"/>
    </row>
    <row r="44" spans="3:6">
      <c r="C44" s="286"/>
      <c r="D44" s="286"/>
      <c r="F44" s="308"/>
    </row>
    <row r="45" spans="3:6">
      <c r="C45" s="286"/>
      <c r="D45" s="286"/>
      <c r="F45" s="308"/>
    </row>
    <row r="46" spans="3:6">
      <c r="C46" s="286"/>
      <c r="D46" s="286"/>
      <c r="F46" s="308"/>
    </row>
    <row r="47" spans="3:6">
      <c r="C47" s="286"/>
      <c r="D47" s="286"/>
      <c r="F47" s="308"/>
    </row>
    <row r="48" spans="3:6">
      <c r="C48" s="286"/>
      <c r="D48" s="286"/>
      <c r="F48" s="308"/>
    </row>
    <row r="49" spans="3:6">
      <c r="C49" s="286"/>
      <c r="D49" s="286"/>
      <c r="F49" s="308"/>
    </row>
    <row r="50" spans="3:6">
      <c r="C50" s="286"/>
      <c r="D50" s="286"/>
      <c r="F50" s="308"/>
    </row>
    <row r="51" spans="3:6">
      <c r="C51" s="286"/>
      <c r="D51" s="286"/>
      <c r="F51" s="308"/>
    </row>
    <row r="52" spans="3:6">
      <c r="C52" s="286"/>
      <c r="D52" s="286"/>
      <c r="F52" s="308"/>
    </row>
    <row r="53" spans="3:6">
      <c r="C53" s="286"/>
      <c r="D53" s="286"/>
      <c r="F53" s="308"/>
    </row>
    <row r="54" spans="3:6">
      <c r="C54" s="286"/>
      <c r="D54" s="286"/>
      <c r="F54" s="308"/>
    </row>
    <row r="55" spans="3:6">
      <c r="C55" s="286"/>
      <c r="D55" s="286"/>
      <c r="F55" s="308"/>
    </row>
    <row r="56" spans="3:6">
      <c r="F56" s="308"/>
    </row>
    <row r="57" spans="3:6">
      <c r="F57" s="308"/>
    </row>
    <row r="58" spans="3:6">
      <c r="F58" s="308"/>
    </row>
    <row r="59" spans="3:6">
      <c r="F59" s="308"/>
    </row>
    <row r="60" spans="3:6">
      <c r="F60" s="308"/>
    </row>
    <row r="61" spans="3:6">
      <c r="F61" s="308"/>
    </row>
    <row r="62" spans="3:6">
      <c r="F62" s="308"/>
    </row>
    <row r="63" spans="3:6">
      <c r="F63" s="308"/>
    </row>
    <row r="64" spans="3:6">
      <c r="F64" s="308"/>
    </row>
    <row r="65" spans="6:6">
      <c r="F65" s="308"/>
    </row>
    <row r="66" spans="6:6">
      <c r="F66" s="308"/>
    </row>
    <row r="67" spans="6:6">
      <c r="F67" s="308"/>
    </row>
    <row r="68" spans="6:6">
      <c r="F68" s="308"/>
    </row>
    <row r="69" spans="6:6">
      <c r="F69" s="308"/>
    </row>
    <row r="70" spans="6:6">
      <c r="F70" s="308"/>
    </row>
    <row r="71" spans="6:6">
      <c r="F71" s="308"/>
    </row>
    <row r="72" spans="6:6">
      <c r="F72" s="308"/>
    </row>
    <row r="73" spans="6:6">
      <c r="F73" s="308"/>
    </row>
    <row r="74" spans="6:6">
      <c r="F74" s="308"/>
    </row>
    <row r="75" spans="6:6">
      <c r="F75" s="308"/>
    </row>
    <row r="76" spans="6:6">
      <c r="F76" s="308"/>
    </row>
    <row r="77" spans="6:6">
      <c r="F77" s="308"/>
    </row>
    <row r="78" spans="6:6">
      <c r="F78" s="308"/>
    </row>
    <row r="79" spans="6:6">
      <c r="F79" s="308"/>
    </row>
    <row r="80" spans="6:6">
      <c r="F80" s="308"/>
    </row>
    <row r="81" spans="6:6">
      <c r="F81" s="308"/>
    </row>
    <row r="82" spans="6:6">
      <c r="F82" s="308"/>
    </row>
    <row r="83" spans="6:6">
      <c r="F83" s="308"/>
    </row>
    <row r="84" spans="6:6">
      <c r="F84" s="308"/>
    </row>
    <row r="85" spans="6:6">
      <c r="F85" s="308"/>
    </row>
    <row r="86" spans="6:6">
      <c r="F86" s="308"/>
    </row>
    <row r="87" spans="6:6">
      <c r="F87" s="308"/>
    </row>
    <row r="88" spans="6:6">
      <c r="F88" s="308"/>
    </row>
    <row r="89" spans="6:6">
      <c r="F89" s="308"/>
    </row>
    <row r="90" spans="6:6">
      <c r="F90" s="308"/>
    </row>
    <row r="91" spans="6:6">
      <c r="F91" s="308"/>
    </row>
    <row r="92" spans="6:6">
      <c r="F92" s="308"/>
    </row>
    <row r="93" spans="6:6">
      <c r="F93" s="308"/>
    </row>
    <row r="94" spans="6:6">
      <c r="F94" s="308"/>
    </row>
    <row r="95" spans="6:6">
      <c r="F95" s="308"/>
    </row>
    <row r="96" spans="6:6">
      <c r="F96" s="308"/>
    </row>
    <row r="97" spans="6:6">
      <c r="F97" s="308"/>
    </row>
    <row r="98" spans="6:6">
      <c r="F98" s="308"/>
    </row>
    <row r="99" spans="6:6">
      <c r="F99" s="308"/>
    </row>
    <row r="100" spans="6:6">
      <c r="F100" s="308"/>
    </row>
    <row r="101" spans="6:6">
      <c r="F101" s="308"/>
    </row>
    <row r="102" spans="6:6">
      <c r="F102" s="308"/>
    </row>
    <row r="103" spans="6:6">
      <c r="F103" s="308"/>
    </row>
    <row r="104" spans="6:6">
      <c r="F104" s="308"/>
    </row>
    <row r="105" spans="6:6">
      <c r="F105" s="308"/>
    </row>
    <row r="106" spans="6:6">
      <c r="F106" s="308"/>
    </row>
    <row r="107" spans="6:6">
      <c r="F107" s="308"/>
    </row>
    <row r="108" spans="6:6">
      <c r="F108" s="308"/>
    </row>
    <row r="109" spans="6:6">
      <c r="F109" s="308"/>
    </row>
    <row r="110" spans="6:6">
      <c r="F110" s="308"/>
    </row>
    <row r="111" spans="6:6">
      <c r="F111" s="308"/>
    </row>
    <row r="112" spans="6:6">
      <c r="F112" s="308"/>
    </row>
    <row r="113" spans="6:6">
      <c r="F113" s="308"/>
    </row>
    <row r="114" spans="6:6">
      <c r="F114" s="308"/>
    </row>
    <row r="115" spans="6:6">
      <c r="F115" s="308"/>
    </row>
    <row r="116" spans="6:6">
      <c r="F116" s="308"/>
    </row>
    <row r="117" spans="6:6">
      <c r="F117" s="308"/>
    </row>
    <row r="118" spans="6:6">
      <c r="F118" s="308"/>
    </row>
    <row r="119" spans="6:6">
      <c r="F119" s="308"/>
    </row>
    <row r="120" spans="6:6">
      <c r="F120" s="308"/>
    </row>
    <row r="121" spans="6:6">
      <c r="F121" s="308"/>
    </row>
    <row r="122" spans="6:6">
      <c r="F122" s="308"/>
    </row>
    <row r="123" spans="6:6">
      <c r="F123" s="308"/>
    </row>
    <row r="124" spans="6:6">
      <c r="F124" s="308"/>
    </row>
    <row r="125" spans="6:6">
      <c r="F125" s="308"/>
    </row>
    <row r="126" spans="6:6">
      <c r="F126" s="308"/>
    </row>
    <row r="127" spans="6:6">
      <c r="F127" s="308"/>
    </row>
    <row r="128" spans="6:6">
      <c r="F128" s="308"/>
    </row>
    <row r="129" spans="6:6">
      <c r="F129" s="308"/>
    </row>
    <row r="130" spans="6:6">
      <c r="F130" s="308"/>
    </row>
    <row r="131" spans="6:6">
      <c r="F131" s="308"/>
    </row>
    <row r="132" spans="6:6">
      <c r="F132" s="308"/>
    </row>
    <row r="133" spans="6:6">
      <c r="F133" s="308"/>
    </row>
    <row r="134" spans="6:6">
      <c r="F134" s="308"/>
    </row>
    <row r="135" spans="6:6">
      <c r="F135" s="308"/>
    </row>
    <row r="136" spans="6:6">
      <c r="F136" s="308"/>
    </row>
    <row r="137" spans="6:6">
      <c r="F137" s="308"/>
    </row>
  </sheetData>
  <mergeCells count="7">
    <mergeCell ref="A10:A12"/>
    <mergeCell ref="B10:B12"/>
    <mergeCell ref="AU10:AU12"/>
    <mergeCell ref="AV10:AV12"/>
    <mergeCell ref="AW10:AW12"/>
    <mergeCell ref="AX10:AX12"/>
    <mergeCell ref="AG11:AG12"/>
  </mergeCells>
  <conditionalFormatting sqref="C14:AT22">
    <cfRule type="expression" dxfId="3" priority="4">
      <formula>$B14="Typical"</formula>
    </cfRule>
  </conditionalFormatting>
  <conditionalFormatting sqref="AU14:CX22">
    <cfRule type="expression" dxfId="2" priority="3">
      <formula>$B14&lt;&gt;"Typical"</formula>
    </cfRule>
  </conditionalFormatting>
  <conditionalFormatting sqref="C13:AT13">
    <cfRule type="expression" dxfId="1" priority="2">
      <formula>$B13="Typical"</formula>
    </cfRule>
  </conditionalFormatting>
  <conditionalFormatting sqref="AU13:CX13">
    <cfRule type="expression" dxfId="0" priority="1">
      <formula>$B13&lt;&gt;"Typical"</formula>
    </cfRule>
  </conditionalFormatting>
  <dataValidations count="1">
    <dataValidation type="list" allowBlank="1" showInputMessage="1" showErrorMessage="1" sqref="B13:B22" xr:uid="{04F1961E-7757-41B2-B522-6ACB2DC44C20}">
      <formula1>"Typical, Detailed"</formula1>
    </dataValidation>
  </dataValidations>
  <printOptions horizontalCentered="1"/>
  <pageMargins left="0.25" right="0.25" top="0.75" bottom="0.75" header="0.3" footer="0.3"/>
  <pageSetup scale="56" fitToWidth="2" fitToHeight="0" orientation="landscape" r:id="rId1"/>
  <headerFooter alignWithMargins="0">
    <oddFooter>&amp;L&amp;F&amp;CPage &amp;P of &amp;N&amp;R&amp;D</oddFooter>
  </headerFooter>
  <colBreaks count="4" manualBreakCount="4">
    <brk id="15" max="22" man="1"/>
    <brk id="32" max="1048575" man="1"/>
    <brk id="46" max="1048575" man="1"/>
    <brk id="68" max="22" man="1"/>
  </colBreaks>
  <extLst>
    <ext xmlns:x14="http://schemas.microsoft.com/office/spreadsheetml/2009/9/main" uri="{CCE6A557-97BC-4b89-ADB6-D9C93CAAB3DF}">
      <x14:dataValidations xmlns:xm="http://schemas.microsoft.com/office/excel/2006/main" count="1">
        <x14:dataValidation type="list" allowBlank="1" showInputMessage="1" showErrorMessage="1" xr:uid="{15D22043-6E3F-4B57-94F0-04A48AC20DDA}">
          <x14:formula1>
            <xm:f>OFFSET('Tank Data'!$A$9,1,0,MATCH("*",'Tank Data'!$A:$A,-1)-ROW('Tank Data'!$A$9),1)</xm:f>
          </x14:formula1>
          <xm:sqref>A13:A22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4E2E0-AA43-405F-B437-C60A0252C857}">
  <sheetPr codeName="Sheet8"/>
  <dimension ref="A1:EU139"/>
  <sheetViews>
    <sheetView workbookViewId="0">
      <selection sqref="A1:XFD1048576"/>
    </sheetView>
  </sheetViews>
  <sheetFormatPr defaultColWidth="15.453125" defaultRowHeight="14"/>
  <cols>
    <col min="1" max="1" width="14.54296875" style="292" customWidth="1"/>
    <col min="2" max="2" width="13" style="250" customWidth="1"/>
    <col min="3" max="3" width="10.90625" style="250" customWidth="1"/>
    <col min="4" max="4" width="13.36328125" style="250" customWidth="1"/>
    <col min="5" max="5" width="10.36328125" style="250" bestFit="1" customWidth="1"/>
    <col min="6" max="6" width="14.36328125" style="286" customWidth="1"/>
    <col min="7" max="7" width="14.36328125" style="250" customWidth="1"/>
    <col min="8" max="8" width="14.90625" style="250" bestFit="1" customWidth="1"/>
    <col min="9" max="9" width="14.36328125" style="250" bestFit="1" customWidth="1"/>
    <col min="10" max="10" width="14.36328125" style="250" customWidth="1"/>
    <col min="11" max="11" width="13.453125" style="250" customWidth="1"/>
    <col min="12" max="12" width="14.36328125" style="250" customWidth="1"/>
    <col min="13" max="13" width="10.6328125" style="250" bestFit="1" customWidth="1"/>
    <col min="14" max="15" width="14.36328125" style="250" customWidth="1"/>
    <col min="16" max="17" width="14.36328125" style="286" customWidth="1"/>
    <col min="18" max="21" width="14.36328125" style="250" customWidth="1"/>
    <col min="22" max="22" width="15.90625" style="286" bestFit="1" customWidth="1"/>
    <col min="23" max="23" width="12.90625" style="250" bestFit="1" customWidth="1"/>
    <col min="24" max="24" width="10.36328125" style="250" bestFit="1" customWidth="1"/>
    <col min="25" max="25" width="10.36328125" style="286" bestFit="1" customWidth="1"/>
    <col min="26" max="26" width="12.36328125" style="286" bestFit="1" customWidth="1"/>
    <col min="27" max="27" width="12.90625" style="250" bestFit="1" customWidth="1"/>
    <col min="28" max="28" width="11.08984375" style="250" bestFit="1" customWidth="1"/>
    <col min="29" max="29" width="12.90625" style="286" bestFit="1" customWidth="1"/>
    <col min="30" max="30" width="12.36328125" style="250" bestFit="1" customWidth="1"/>
    <col min="31" max="31" width="6.54296875" style="250" bestFit="1" customWidth="1"/>
    <col min="32" max="32" width="12.90625" style="250" bestFit="1" customWidth="1"/>
    <col min="33" max="33" width="11.453125" style="250" bestFit="1" customWidth="1"/>
    <col min="34" max="34" width="14.08984375" style="286" bestFit="1" customWidth="1"/>
    <col min="35" max="35" width="12.90625" style="250" bestFit="1" customWidth="1"/>
    <col min="36" max="36" width="12.08984375" style="286" bestFit="1" customWidth="1"/>
    <col min="37" max="37" width="12.08984375" style="250" bestFit="1" customWidth="1"/>
    <col min="38" max="40" width="14" style="250" bestFit="1" customWidth="1"/>
    <col min="41" max="41" width="14.54296875" style="250" customWidth="1"/>
    <col min="42" max="42" width="6.54296875" style="250" bestFit="1" customWidth="1"/>
    <col min="43" max="43" width="12.90625" style="250" bestFit="1" customWidth="1"/>
    <col min="44" max="44" width="12.36328125" style="250" bestFit="1" customWidth="1"/>
    <col min="45" max="45" width="12.90625" style="250" bestFit="1" customWidth="1"/>
    <col min="46" max="46" width="10.36328125" style="250" bestFit="1" customWidth="1"/>
    <col min="47" max="47" width="14.36328125" style="349" customWidth="1"/>
    <col min="48" max="48" width="12.6328125" style="349" bestFit="1" customWidth="1"/>
    <col min="49" max="49" width="5.90625" style="348" bestFit="1" customWidth="1"/>
    <col min="50" max="50" width="8" style="348" bestFit="1" customWidth="1"/>
    <col min="51" max="51" width="8.36328125" style="348" bestFit="1" customWidth="1"/>
    <col min="52" max="54" width="7.54296875" style="348" bestFit="1" customWidth="1"/>
    <col min="55" max="55" width="9.90625" style="348" bestFit="1" customWidth="1"/>
    <col min="56" max="56" width="7.54296875" style="348" bestFit="1" customWidth="1"/>
    <col min="57" max="68" width="11.90625" style="348" bestFit="1" customWidth="1"/>
    <col min="69" max="70" width="7.54296875" style="348" bestFit="1" customWidth="1"/>
    <col min="71" max="71" width="6.36328125" style="348" bestFit="1" customWidth="1"/>
    <col min="72" max="73" width="9.6328125" style="348" bestFit="1" customWidth="1"/>
    <col min="74" max="74" width="7" style="348" bestFit="1" customWidth="1"/>
    <col min="75" max="76" width="9.6328125" style="348" bestFit="1" customWidth="1"/>
    <col min="77" max="77" width="7.54296875" style="348" bestFit="1" customWidth="1"/>
    <col min="78" max="78" width="6.36328125" style="348" bestFit="1" customWidth="1"/>
    <col min="79" max="79" width="8.6328125" style="348" bestFit="1" customWidth="1"/>
    <col min="80" max="80" width="9.90625" style="348" bestFit="1" customWidth="1"/>
    <col min="81" max="81" width="8.36328125" style="348" bestFit="1" customWidth="1"/>
    <col min="82" max="83" width="7.54296875" style="348" bestFit="1" customWidth="1"/>
    <col min="84" max="84" width="8.36328125" style="348" bestFit="1" customWidth="1"/>
    <col min="85" max="86" width="7.54296875" style="348" bestFit="1" customWidth="1"/>
    <col min="87" max="87" width="8.6328125" style="348" bestFit="1" customWidth="1"/>
    <col min="88" max="88" width="6.36328125" style="348" bestFit="1" customWidth="1"/>
    <col min="89" max="90" width="9.6328125" style="348" bestFit="1" customWidth="1"/>
    <col min="91" max="92" width="7.54296875" style="348" bestFit="1" customWidth="1"/>
    <col min="93" max="93" width="14" style="286" customWidth="1"/>
    <col min="94" max="98" width="15.453125" style="250"/>
    <col min="99" max="99" width="15.453125" style="288"/>
    <col min="100" max="138" width="15.453125" style="287"/>
    <col min="139" max="143" width="15.453125" style="288"/>
    <col min="144" max="16384" width="15.453125" style="250"/>
  </cols>
  <sheetData>
    <row r="1" spans="1:151" s="277" customFormat="1" ht="18">
      <c r="A1" s="1" t="s">
        <v>0</v>
      </c>
      <c r="B1" s="272"/>
      <c r="C1" s="273"/>
      <c r="D1" s="273"/>
      <c r="E1" s="273"/>
      <c r="F1" s="273"/>
      <c r="G1" s="273"/>
      <c r="H1" s="273"/>
      <c r="I1" s="273"/>
      <c r="J1" s="273"/>
      <c r="K1" s="273"/>
      <c r="L1" s="273"/>
      <c r="M1" s="273"/>
      <c r="N1" s="273"/>
      <c r="O1" s="273"/>
      <c r="P1" s="309" t="str">
        <f>A1</f>
        <v>Table No. X</v>
      </c>
      <c r="Q1" s="271"/>
      <c r="R1" s="273"/>
      <c r="S1" s="273"/>
      <c r="T1" s="272"/>
      <c r="U1" s="272"/>
      <c r="V1" s="273"/>
      <c r="W1" s="273"/>
      <c r="X1" s="273"/>
      <c r="Y1" s="273"/>
      <c r="Z1" s="272"/>
      <c r="AA1" s="273"/>
      <c r="AB1" s="273"/>
      <c r="AC1" s="271"/>
      <c r="AD1" s="272"/>
      <c r="AE1" s="273"/>
      <c r="AF1" s="273"/>
      <c r="AG1" s="272"/>
      <c r="AH1" s="309" t="str">
        <f>A1</f>
        <v>Table No. X</v>
      </c>
      <c r="AI1" s="272"/>
      <c r="AJ1" s="272"/>
      <c r="AK1" s="272"/>
      <c r="AL1" s="272"/>
      <c r="AM1" s="272"/>
      <c r="AN1" s="271"/>
      <c r="AO1" s="273"/>
      <c r="AP1" s="103"/>
      <c r="AQ1" s="281"/>
      <c r="AR1" s="273"/>
      <c r="AS1" s="273"/>
      <c r="AT1" s="273"/>
      <c r="AU1" s="273"/>
      <c r="AV1" s="273"/>
      <c r="AW1" s="309" t="str">
        <f>A1</f>
        <v>Table No. X</v>
      </c>
      <c r="AX1" s="310"/>
      <c r="AY1" s="310"/>
      <c r="AZ1" s="310"/>
      <c r="BA1" s="310"/>
      <c r="BB1" s="310"/>
      <c r="BC1" s="310"/>
      <c r="BD1" s="310"/>
      <c r="BE1" s="310"/>
      <c r="BF1" s="310"/>
      <c r="BG1" s="310"/>
      <c r="BH1" s="310"/>
      <c r="BI1" s="310"/>
      <c r="BJ1" s="310"/>
      <c r="BK1" s="310"/>
      <c r="BL1" s="310"/>
      <c r="BM1" s="310"/>
      <c r="BN1" s="310"/>
      <c r="BO1" s="310"/>
      <c r="BP1" s="103"/>
      <c r="BQ1" s="310"/>
      <c r="BR1" s="309" t="str">
        <f>A1</f>
        <v>Table No. X</v>
      </c>
      <c r="BS1" s="311"/>
      <c r="BT1" s="311"/>
      <c r="BU1" s="311"/>
      <c r="BV1" s="311"/>
      <c r="BW1" s="311"/>
      <c r="BX1" s="103"/>
      <c r="BY1" s="311"/>
      <c r="BZ1" s="311"/>
      <c r="CA1" s="311"/>
      <c r="CB1" s="311"/>
      <c r="CC1" s="311"/>
      <c r="CD1" s="311"/>
      <c r="CE1" s="311"/>
      <c r="CF1" s="311"/>
      <c r="CG1" s="311"/>
      <c r="CH1" s="311"/>
      <c r="CI1" s="311"/>
      <c r="CJ1" s="311"/>
      <c r="CK1" s="311"/>
      <c r="CL1" s="311"/>
      <c r="CM1" s="311"/>
      <c r="CN1" s="311"/>
      <c r="CO1" s="311"/>
      <c r="CP1" s="311" t="s">
        <v>1</v>
      </c>
      <c r="CQ1" s="4" t="s">
        <v>2</v>
      </c>
      <c r="CR1" s="287"/>
      <c r="CS1" s="282"/>
      <c r="CT1" s="282"/>
      <c r="CU1" s="282"/>
      <c r="CV1" s="282"/>
      <c r="CW1" s="282"/>
      <c r="CX1" s="282"/>
      <c r="CY1" s="282"/>
      <c r="CZ1" s="282"/>
      <c r="DA1" s="282"/>
      <c r="DB1" s="282"/>
      <c r="DC1" s="282"/>
      <c r="DD1" s="282"/>
      <c r="DE1" s="282"/>
      <c r="DF1" s="282"/>
      <c r="DG1" s="282"/>
      <c r="DH1" s="282"/>
      <c r="DI1" s="282"/>
      <c r="DJ1" s="282"/>
      <c r="DK1" s="282"/>
      <c r="DL1" s="282"/>
      <c r="DM1" s="282"/>
      <c r="DN1" s="282"/>
      <c r="DO1" s="282"/>
      <c r="DP1" s="282"/>
      <c r="DQ1" s="282"/>
      <c r="DR1" s="282"/>
      <c r="DS1" s="282"/>
      <c r="DT1" s="282"/>
      <c r="DU1" s="282"/>
      <c r="DV1" s="282"/>
      <c r="DW1" s="282"/>
      <c r="DX1" s="282"/>
      <c r="DY1" s="282"/>
      <c r="DZ1" s="282"/>
      <c r="EA1" s="282"/>
      <c r="EB1" s="282"/>
      <c r="EC1" s="282"/>
      <c r="ED1" s="282"/>
      <c r="EE1" s="282"/>
      <c r="EF1" s="282"/>
      <c r="EG1" s="282"/>
      <c r="EH1" s="282"/>
      <c r="EI1" s="283"/>
      <c r="EJ1" s="283"/>
      <c r="EK1" s="283"/>
      <c r="EL1" s="283"/>
      <c r="EM1" s="283"/>
    </row>
    <row r="2" spans="1:151" s="277" customFormat="1" ht="18">
      <c r="A2" s="9" t="str">
        <f>[1]Summary!A2</f>
        <v>Client Name</v>
      </c>
      <c r="B2" s="275"/>
      <c r="C2" s="271"/>
      <c r="D2" s="275"/>
      <c r="E2" s="271"/>
      <c r="F2" s="271"/>
      <c r="G2" s="271"/>
      <c r="H2" s="271"/>
      <c r="I2" s="271"/>
      <c r="J2" s="271"/>
      <c r="K2" s="271"/>
      <c r="L2" s="271"/>
      <c r="M2" s="271"/>
      <c r="N2" s="271"/>
      <c r="O2" s="271"/>
      <c r="P2" s="309" t="str">
        <f t="shared" ref="P2:P4" si="0">A2</f>
        <v>Client Name</v>
      </c>
      <c r="Q2" s="271"/>
      <c r="R2" s="271"/>
      <c r="S2" s="271"/>
      <c r="T2" s="275"/>
      <c r="U2" s="275"/>
      <c r="V2" s="271"/>
      <c r="W2" s="271"/>
      <c r="X2" s="271"/>
      <c r="Y2" s="271"/>
      <c r="Z2" s="275"/>
      <c r="AA2" s="271"/>
      <c r="AB2" s="271"/>
      <c r="AC2" s="271"/>
      <c r="AD2" s="275"/>
      <c r="AE2" s="271"/>
      <c r="AF2" s="271"/>
      <c r="AG2" s="275"/>
      <c r="AH2" s="309" t="str">
        <f t="shared" ref="AH2:AH4" si="1">A2</f>
        <v>Client Name</v>
      </c>
      <c r="AI2" s="275"/>
      <c r="AJ2" s="275"/>
      <c r="AK2" s="275"/>
      <c r="AL2" s="275"/>
      <c r="AM2" s="275"/>
      <c r="AN2" s="271"/>
      <c r="AO2" s="271"/>
      <c r="AP2" s="103"/>
      <c r="AQ2" s="281"/>
      <c r="AR2" s="271"/>
      <c r="AS2" s="271"/>
      <c r="AT2" s="271"/>
      <c r="AU2" s="271"/>
      <c r="AV2" s="271"/>
      <c r="AW2" s="309" t="str">
        <f t="shared" ref="AW2:AW4" si="2">A2</f>
        <v>Client Name</v>
      </c>
      <c r="AX2" s="281"/>
      <c r="AY2" s="281"/>
      <c r="AZ2" s="281"/>
      <c r="BA2" s="281"/>
      <c r="BB2" s="281"/>
      <c r="BC2" s="281"/>
      <c r="BD2" s="281"/>
      <c r="BE2" s="281"/>
      <c r="BF2" s="281"/>
      <c r="BG2" s="281"/>
      <c r="BH2" s="281"/>
      <c r="BI2" s="281"/>
      <c r="BJ2" s="281"/>
      <c r="BK2" s="281"/>
      <c r="BL2" s="281"/>
      <c r="BM2" s="281"/>
      <c r="BN2" s="281"/>
      <c r="BO2" s="281"/>
      <c r="BP2" s="103"/>
      <c r="BQ2" s="281"/>
      <c r="BR2" s="309" t="str">
        <f t="shared" ref="BR2:BR4" si="3">A2</f>
        <v>Client Name</v>
      </c>
      <c r="BS2" s="312"/>
      <c r="BT2" s="312"/>
      <c r="BU2" s="312"/>
      <c r="BV2" s="312"/>
      <c r="BW2" s="312"/>
      <c r="BX2" s="103"/>
      <c r="BY2" s="312"/>
      <c r="BZ2" s="312"/>
      <c r="CA2" s="312"/>
      <c r="CB2" s="312"/>
      <c r="CC2" s="312"/>
      <c r="CD2" s="312"/>
      <c r="CE2" s="312"/>
      <c r="CF2" s="312"/>
      <c r="CG2" s="312"/>
      <c r="CH2" s="312"/>
      <c r="CI2" s="312"/>
      <c r="CJ2" s="312"/>
      <c r="CK2" s="312"/>
      <c r="CL2" s="312"/>
      <c r="CM2" s="312"/>
      <c r="CN2" s="312"/>
      <c r="CO2" s="312"/>
      <c r="CP2" s="312" t="s">
        <v>1</v>
      </c>
      <c r="CQ2" s="13" t="s">
        <v>960</v>
      </c>
      <c r="CR2" s="286"/>
      <c r="CS2" s="313"/>
      <c r="CT2" s="313"/>
      <c r="CU2" s="313"/>
      <c r="CV2" s="313"/>
      <c r="CW2" s="313"/>
      <c r="CX2" s="313"/>
      <c r="CY2" s="313"/>
      <c r="CZ2" s="313"/>
      <c r="DA2" s="313"/>
      <c r="DB2" s="313"/>
      <c r="DC2" s="313"/>
      <c r="DD2" s="313"/>
      <c r="DE2" s="313"/>
      <c r="DF2" s="313"/>
      <c r="DG2" s="313"/>
      <c r="DH2" s="313"/>
      <c r="DI2" s="313"/>
      <c r="DJ2" s="313"/>
      <c r="DK2" s="313"/>
      <c r="DL2" s="313"/>
      <c r="DM2" s="313"/>
      <c r="DN2" s="313"/>
      <c r="DO2" s="313"/>
      <c r="DP2" s="313"/>
      <c r="DQ2" s="313"/>
      <c r="DR2" s="313"/>
      <c r="DS2" s="313"/>
      <c r="DT2" s="313"/>
      <c r="DU2" s="313"/>
      <c r="DV2" s="313"/>
      <c r="DW2" s="313"/>
      <c r="DX2" s="313"/>
      <c r="DY2" s="313"/>
      <c r="DZ2" s="313"/>
      <c r="EA2" s="313"/>
      <c r="EB2" s="313"/>
      <c r="EC2" s="313"/>
      <c r="ED2" s="313"/>
      <c r="EE2" s="313"/>
      <c r="EF2" s="313"/>
      <c r="EG2" s="313"/>
      <c r="EH2" s="313"/>
      <c r="EJ2" s="283"/>
      <c r="EK2" s="283"/>
      <c r="EL2" s="283"/>
      <c r="EM2" s="283"/>
    </row>
    <row r="3" spans="1:151" s="277" customFormat="1" ht="18">
      <c r="A3" s="9" t="str">
        <f>[1]Summary!A3</f>
        <v>Client Facility</v>
      </c>
      <c r="B3" s="275"/>
      <c r="C3" s="271"/>
      <c r="D3" s="275"/>
      <c r="E3" s="271"/>
      <c r="F3" s="271"/>
      <c r="G3" s="271"/>
      <c r="H3" s="271"/>
      <c r="I3" s="271"/>
      <c r="J3" s="271"/>
      <c r="K3" s="271"/>
      <c r="L3" s="271"/>
      <c r="M3" s="271"/>
      <c r="N3" s="280"/>
      <c r="O3" s="271"/>
      <c r="P3" s="309" t="str">
        <f t="shared" si="0"/>
        <v>Client Facility</v>
      </c>
      <c r="Q3" s="271"/>
      <c r="R3" s="271"/>
      <c r="S3" s="271"/>
      <c r="T3" s="275"/>
      <c r="U3" s="275"/>
      <c r="V3" s="271"/>
      <c r="W3" s="271"/>
      <c r="X3" s="271"/>
      <c r="Y3" s="271"/>
      <c r="Z3" s="275"/>
      <c r="AA3" s="271"/>
      <c r="AB3" s="271"/>
      <c r="AC3" s="271"/>
      <c r="AD3" s="275"/>
      <c r="AE3" s="271"/>
      <c r="AF3" s="271"/>
      <c r="AG3" s="275"/>
      <c r="AH3" s="309" t="str">
        <f t="shared" si="1"/>
        <v>Client Facility</v>
      </c>
      <c r="AI3" s="275"/>
      <c r="AJ3" s="275"/>
      <c r="AK3" s="275"/>
      <c r="AL3" s="275"/>
      <c r="AM3" s="275"/>
      <c r="AN3" s="271"/>
      <c r="AO3" s="271"/>
      <c r="AP3" s="103"/>
      <c r="AQ3" s="281"/>
      <c r="AR3" s="271"/>
      <c r="AS3" s="271"/>
      <c r="AT3" s="271"/>
      <c r="AU3" s="271"/>
      <c r="AV3" s="271"/>
      <c r="AW3" s="309" t="str">
        <f t="shared" si="2"/>
        <v>Client Facility</v>
      </c>
      <c r="AX3" s="281"/>
      <c r="AY3" s="281"/>
      <c r="AZ3" s="281"/>
      <c r="BA3" s="281"/>
      <c r="BB3" s="281"/>
      <c r="BC3" s="281"/>
      <c r="BD3" s="281"/>
      <c r="BE3" s="281"/>
      <c r="BF3" s="281"/>
      <c r="BG3" s="281"/>
      <c r="BH3" s="281"/>
      <c r="BI3" s="281"/>
      <c r="BJ3" s="281"/>
      <c r="BK3" s="281"/>
      <c r="BL3" s="281"/>
      <c r="BM3" s="281"/>
      <c r="BN3" s="281"/>
      <c r="BO3" s="281"/>
      <c r="BP3" s="103"/>
      <c r="BQ3" s="281"/>
      <c r="BR3" s="309" t="str">
        <f t="shared" si="3"/>
        <v>Client Facility</v>
      </c>
      <c r="BS3" s="312"/>
      <c r="BT3" s="312"/>
      <c r="BU3" s="312"/>
      <c r="BV3" s="312"/>
      <c r="BW3" s="312"/>
      <c r="BX3" s="103"/>
      <c r="BY3" s="312"/>
      <c r="BZ3" s="312"/>
      <c r="CA3" s="312"/>
      <c r="CB3" s="312"/>
      <c r="CC3" s="312"/>
      <c r="CD3" s="312"/>
      <c r="CE3" s="312"/>
      <c r="CF3" s="312"/>
      <c r="CG3" s="312"/>
      <c r="CH3" s="312"/>
      <c r="CI3" s="312"/>
      <c r="CJ3" s="312"/>
      <c r="CK3" s="312"/>
      <c r="CL3" s="312"/>
      <c r="CM3" s="312"/>
      <c r="CN3" s="312"/>
      <c r="CO3" s="312"/>
      <c r="CP3" s="312" t="s">
        <v>1</v>
      </c>
      <c r="CQ3" s="13"/>
      <c r="CR3" s="287"/>
      <c r="CS3" s="282"/>
      <c r="CT3" s="282"/>
      <c r="CU3" s="282"/>
      <c r="CV3" s="282"/>
      <c r="CW3" s="282"/>
      <c r="CX3" s="282"/>
      <c r="CY3" s="282"/>
      <c r="CZ3" s="282"/>
      <c r="DA3" s="282"/>
      <c r="DB3" s="282"/>
      <c r="DC3" s="282"/>
      <c r="DD3" s="282"/>
      <c r="DE3" s="282"/>
      <c r="DF3" s="282"/>
      <c r="DG3" s="282"/>
      <c r="DH3" s="282"/>
      <c r="DI3" s="282"/>
      <c r="DJ3" s="282"/>
      <c r="DK3" s="282"/>
      <c r="DL3" s="282"/>
      <c r="DM3" s="282"/>
      <c r="DN3" s="282"/>
      <c r="DO3" s="282"/>
      <c r="DP3" s="282"/>
      <c r="DQ3" s="282"/>
      <c r="DR3" s="282"/>
      <c r="DS3" s="282"/>
      <c r="DT3" s="282"/>
      <c r="DU3" s="282"/>
      <c r="DV3" s="282"/>
      <c r="DW3" s="282"/>
      <c r="DX3" s="282"/>
      <c r="DY3" s="282"/>
      <c r="DZ3" s="282"/>
      <c r="EA3" s="282"/>
      <c r="EB3" s="282"/>
      <c r="EC3" s="282"/>
      <c r="ED3" s="282"/>
      <c r="EE3" s="282"/>
      <c r="EF3" s="282"/>
      <c r="EG3" s="282"/>
      <c r="EH3" s="282"/>
      <c r="EI3" s="283"/>
      <c r="EJ3" s="283"/>
      <c r="EK3" s="283"/>
      <c r="EL3" s="283"/>
      <c r="EM3" s="283"/>
    </row>
    <row r="4" spans="1:151" s="277" customFormat="1" ht="18">
      <c r="A4" s="1" t="s">
        <v>961</v>
      </c>
      <c r="B4" s="275"/>
      <c r="C4" s="271"/>
      <c r="D4" s="275"/>
      <c r="E4" s="271"/>
      <c r="F4" s="271"/>
      <c r="G4" s="271"/>
      <c r="H4" s="271"/>
      <c r="I4" s="271"/>
      <c r="J4" s="271"/>
      <c r="K4" s="271"/>
      <c r="L4" s="271"/>
      <c r="M4" s="271"/>
      <c r="N4" s="271"/>
      <c r="O4" s="271"/>
      <c r="P4" s="309" t="str">
        <f t="shared" si="0"/>
        <v>Tank Fitting Loss Factors</v>
      </c>
      <c r="Q4" s="271"/>
      <c r="R4" s="271"/>
      <c r="S4" s="271"/>
      <c r="T4" s="275"/>
      <c r="U4" s="275"/>
      <c r="V4" s="271"/>
      <c r="W4" s="271"/>
      <c r="X4" s="271"/>
      <c r="Y4" s="271"/>
      <c r="Z4" s="275"/>
      <c r="AA4" s="271"/>
      <c r="AB4" s="271"/>
      <c r="AC4" s="271"/>
      <c r="AD4" s="275"/>
      <c r="AE4" s="271"/>
      <c r="AF4" s="271"/>
      <c r="AG4" s="275"/>
      <c r="AH4" s="309" t="str">
        <f t="shared" si="1"/>
        <v>Tank Fitting Loss Factors</v>
      </c>
      <c r="AI4" s="275"/>
      <c r="AJ4" s="275"/>
      <c r="AK4" s="275"/>
      <c r="AL4" s="275"/>
      <c r="AM4" s="275"/>
      <c r="AN4" s="271"/>
      <c r="AO4" s="271"/>
      <c r="AP4" s="103"/>
      <c r="AQ4" s="281"/>
      <c r="AR4" s="271"/>
      <c r="AS4" s="271"/>
      <c r="AT4" s="271"/>
      <c r="AU4" s="271"/>
      <c r="AV4" s="271"/>
      <c r="AW4" s="309" t="str">
        <f t="shared" si="2"/>
        <v>Tank Fitting Loss Factors</v>
      </c>
      <c r="AX4" s="281"/>
      <c r="AY4" s="281"/>
      <c r="AZ4" s="281"/>
      <c r="BA4" s="281"/>
      <c r="BB4" s="281"/>
      <c r="BC4" s="281"/>
      <c r="BD4" s="281"/>
      <c r="BE4" s="281"/>
      <c r="BF4" s="281"/>
      <c r="BG4" s="281"/>
      <c r="BH4" s="281"/>
      <c r="BI4" s="281"/>
      <c r="BJ4" s="281"/>
      <c r="BK4" s="281"/>
      <c r="BL4" s="281"/>
      <c r="BM4" s="281"/>
      <c r="BN4" s="281"/>
      <c r="BO4" s="281"/>
      <c r="BP4" s="103"/>
      <c r="BQ4" s="281"/>
      <c r="BR4" s="309" t="str">
        <f t="shared" si="3"/>
        <v>Tank Fitting Loss Factors</v>
      </c>
      <c r="BS4" s="312"/>
      <c r="BT4" s="312"/>
      <c r="BU4" s="312"/>
      <c r="BV4" s="312"/>
      <c r="BW4" s="312"/>
      <c r="BX4" s="103"/>
      <c r="BY4" s="312"/>
      <c r="BZ4" s="312"/>
      <c r="CA4" s="312"/>
      <c r="CB4" s="312"/>
      <c r="CC4" s="312"/>
      <c r="CD4" s="312"/>
      <c r="CE4" s="312"/>
      <c r="CF4" s="312"/>
      <c r="CG4" s="312"/>
      <c r="CH4" s="312"/>
      <c r="CI4" s="312"/>
      <c r="CJ4" s="312"/>
      <c r="CK4" s="312"/>
      <c r="CL4" s="312"/>
      <c r="CM4" s="312"/>
      <c r="CN4" s="312"/>
      <c r="CO4" s="312"/>
      <c r="CP4" s="312" t="s">
        <v>1</v>
      </c>
      <c r="CQ4" s="13"/>
      <c r="CR4" s="287"/>
      <c r="CS4" s="282"/>
      <c r="CT4" s="282"/>
      <c r="CU4" s="282"/>
      <c r="CV4" s="282"/>
      <c r="CW4" s="282"/>
      <c r="CX4" s="282"/>
      <c r="CY4" s="282"/>
      <c r="CZ4" s="282"/>
      <c r="DA4" s="282"/>
      <c r="DB4" s="282"/>
      <c r="DC4" s="282"/>
      <c r="DD4" s="282"/>
      <c r="DE4" s="282"/>
      <c r="DF4" s="282"/>
      <c r="DG4" s="282"/>
      <c r="DH4" s="282"/>
      <c r="DI4" s="282"/>
      <c r="DJ4" s="282"/>
      <c r="DK4" s="282"/>
      <c r="DL4" s="282"/>
      <c r="DM4" s="282"/>
      <c r="DN4" s="282"/>
      <c r="DO4" s="282"/>
      <c r="DP4" s="282"/>
      <c r="DQ4" s="282"/>
      <c r="DR4" s="282"/>
      <c r="DS4" s="282"/>
      <c r="DT4" s="282"/>
      <c r="DU4" s="282"/>
      <c r="DV4" s="282"/>
      <c r="DW4" s="282"/>
      <c r="DX4" s="282"/>
      <c r="DY4" s="282"/>
      <c r="DZ4" s="282"/>
      <c r="EA4" s="282"/>
      <c r="EB4" s="282"/>
      <c r="EC4" s="282"/>
      <c r="ED4" s="282"/>
      <c r="EE4" s="282"/>
      <c r="EF4" s="282"/>
      <c r="EG4" s="282"/>
      <c r="EH4" s="282"/>
      <c r="EI4" s="283"/>
      <c r="EJ4" s="283"/>
      <c r="EK4" s="283"/>
      <c r="EL4" s="283"/>
      <c r="EM4" s="283"/>
    </row>
    <row r="5" spans="1:151">
      <c r="A5" s="250"/>
      <c r="B5" s="314"/>
      <c r="C5" s="315"/>
      <c r="D5" s="316"/>
      <c r="E5" s="315"/>
      <c r="F5" s="316"/>
      <c r="G5" s="316"/>
      <c r="H5" s="316"/>
      <c r="I5" s="316"/>
      <c r="J5" s="316"/>
      <c r="L5" s="316"/>
      <c r="M5" s="316"/>
      <c r="N5" s="315"/>
      <c r="O5" s="315"/>
      <c r="P5" s="316"/>
      <c r="Q5" s="316"/>
      <c r="R5" s="316"/>
      <c r="S5" s="316"/>
      <c r="T5" s="315"/>
      <c r="U5" s="316"/>
      <c r="V5" s="316"/>
      <c r="X5" s="315"/>
      <c r="Y5" s="316"/>
      <c r="Z5" s="316"/>
      <c r="AA5" s="315"/>
      <c r="AB5" s="316"/>
      <c r="AC5" s="315"/>
      <c r="AD5" s="315"/>
      <c r="AE5" s="315"/>
      <c r="AF5" s="315"/>
      <c r="AG5" s="315"/>
      <c r="AH5" s="250"/>
      <c r="AI5" s="316"/>
      <c r="AJ5" s="316"/>
      <c r="AK5" s="316"/>
      <c r="AL5" s="316"/>
      <c r="AM5" s="316"/>
      <c r="AN5" s="316"/>
      <c r="AO5" s="316"/>
      <c r="AP5" s="316"/>
      <c r="AQ5" s="316"/>
      <c r="AR5" s="316"/>
      <c r="AS5" s="316"/>
      <c r="AT5" s="316"/>
      <c r="AU5" s="314"/>
      <c r="AV5" s="317"/>
      <c r="AW5" s="317"/>
      <c r="AX5" s="317"/>
      <c r="AY5" s="317"/>
      <c r="AZ5" s="317"/>
      <c r="BA5" s="317"/>
      <c r="BB5" s="317"/>
      <c r="BC5" s="317"/>
      <c r="BD5" s="317"/>
      <c r="BE5" s="317"/>
      <c r="BF5" s="317"/>
      <c r="BG5" s="317"/>
      <c r="BH5" s="317"/>
      <c r="BI5" s="317"/>
      <c r="BJ5" s="314"/>
      <c r="BK5" s="317"/>
      <c r="BL5" s="317"/>
      <c r="BM5" s="317"/>
      <c r="BN5" s="317"/>
      <c r="BO5" s="317"/>
      <c r="BP5" s="317"/>
      <c r="BQ5" s="317"/>
      <c r="BR5" s="318"/>
      <c r="BS5" s="317"/>
      <c r="BT5" s="317"/>
      <c r="BU5" s="317"/>
      <c r="BV5" s="317"/>
      <c r="BW5" s="317"/>
      <c r="BX5" s="317"/>
      <c r="BY5" s="317"/>
      <c r="BZ5" s="317"/>
      <c r="CA5" s="317"/>
      <c r="CB5" s="317"/>
      <c r="CC5" s="317"/>
      <c r="CD5" s="317"/>
      <c r="CE5" s="317"/>
      <c r="CF5" s="317"/>
      <c r="CG5" s="317"/>
      <c r="CH5" s="317"/>
      <c r="CI5" s="317"/>
      <c r="CJ5" s="317"/>
      <c r="CK5" s="317"/>
      <c r="CL5" s="317"/>
      <c r="CM5" s="317"/>
      <c r="CN5" s="317"/>
      <c r="CO5" s="317"/>
      <c r="CP5" s="287"/>
      <c r="CQ5" s="287"/>
      <c r="CR5" s="287"/>
      <c r="CS5" s="287"/>
      <c r="CT5" s="287"/>
      <c r="CU5" s="287"/>
      <c r="EC5" s="288"/>
      <c r="ED5" s="288"/>
      <c r="EE5" s="288"/>
      <c r="EF5" s="288"/>
      <c r="EG5" s="288"/>
      <c r="EH5" s="250"/>
      <c r="EI5" s="250"/>
      <c r="EJ5" s="250"/>
      <c r="EK5" s="250"/>
      <c r="EL5" s="250"/>
      <c r="EM5" s="250"/>
    </row>
    <row r="6" spans="1:151">
      <c r="A6" s="250"/>
      <c r="B6" s="14" t="s">
        <v>10</v>
      </c>
      <c r="E6" s="315"/>
      <c r="F6" s="316"/>
      <c r="H6" s="316"/>
      <c r="I6" s="316"/>
      <c r="J6" s="316"/>
      <c r="K6" s="316"/>
      <c r="L6" s="314"/>
      <c r="M6" s="316"/>
      <c r="N6" s="316"/>
      <c r="O6" s="315"/>
      <c r="P6" s="315"/>
      <c r="Q6" s="316"/>
      <c r="R6" s="316"/>
      <c r="S6" s="316"/>
      <c r="T6" s="316"/>
      <c r="U6" s="315"/>
      <c r="V6" s="316"/>
      <c r="W6" s="316"/>
      <c r="X6" s="314"/>
      <c r="Y6" s="315"/>
      <c r="Z6" s="316"/>
      <c r="AA6" s="316"/>
      <c r="AB6" s="315"/>
      <c r="AC6" s="316"/>
      <c r="AD6" s="315"/>
      <c r="AE6" s="315"/>
      <c r="AF6" s="315"/>
      <c r="AG6" s="315"/>
      <c r="AH6" s="315"/>
      <c r="AI6" s="314"/>
      <c r="AJ6" s="316"/>
      <c r="AK6" s="316"/>
      <c r="AL6" s="316"/>
      <c r="AM6" s="316"/>
      <c r="AN6" s="316"/>
      <c r="AO6" s="316"/>
      <c r="AP6" s="316"/>
      <c r="AQ6" s="316"/>
      <c r="AR6" s="316"/>
      <c r="AS6" s="316"/>
      <c r="AT6" s="316"/>
      <c r="AU6" s="316"/>
      <c r="AV6" s="314"/>
      <c r="AW6" s="319"/>
      <c r="AX6" s="319"/>
      <c r="AY6" s="319"/>
      <c r="AZ6" s="319"/>
      <c r="BA6" s="319"/>
      <c r="BB6" s="319"/>
      <c r="BC6" s="319"/>
      <c r="BD6" s="319"/>
      <c r="BE6" s="319"/>
      <c r="BF6" s="319"/>
      <c r="BG6" s="319"/>
      <c r="BH6" s="319"/>
      <c r="BI6" s="319"/>
      <c r="BJ6" s="319"/>
      <c r="BK6" s="319"/>
      <c r="BL6" s="319"/>
      <c r="BM6" s="319"/>
      <c r="BN6" s="319"/>
      <c r="BO6" s="319"/>
      <c r="BP6" s="319"/>
      <c r="BQ6" s="319"/>
      <c r="BR6" s="319"/>
      <c r="BS6" s="320"/>
      <c r="BT6" s="319"/>
      <c r="BU6" s="319"/>
      <c r="BV6" s="319"/>
      <c r="BW6" s="319"/>
      <c r="BX6" s="319"/>
      <c r="BY6" s="319"/>
      <c r="BZ6" s="319"/>
      <c r="CA6" s="319"/>
      <c r="CB6" s="319"/>
      <c r="CC6" s="319"/>
      <c r="CD6" s="319"/>
      <c r="CE6" s="319"/>
      <c r="CF6" s="319"/>
      <c r="CG6" s="319"/>
      <c r="CH6" s="319"/>
      <c r="CI6" s="319"/>
      <c r="CJ6" s="319"/>
      <c r="CK6" s="319"/>
      <c r="CL6" s="319"/>
      <c r="CM6" s="319"/>
      <c r="CN6" s="319"/>
      <c r="CO6" s="319"/>
      <c r="CP6" s="317"/>
      <c r="CQ6" s="287"/>
      <c r="CR6" s="287"/>
      <c r="CS6" s="287"/>
      <c r="CT6" s="287"/>
      <c r="CU6" s="287"/>
      <c r="ED6" s="288"/>
      <c r="EE6" s="288"/>
      <c r="EF6" s="288"/>
      <c r="EG6" s="288"/>
      <c r="EH6" s="288"/>
      <c r="EI6" s="250"/>
      <c r="EJ6" s="250"/>
      <c r="EK6" s="250"/>
      <c r="EL6" s="250"/>
      <c r="EM6" s="250"/>
    </row>
    <row r="7" spans="1:151">
      <c r="A7" s="250"/>
      <c r="E7" s="315"/>
      <c r="F7" s="316"/>
      <c r="H7" s="316"/>
      <c r="I7" s="316"/>
      <c r="J7" s="316"/>
      <c r="K7" s="316"/>
      <c r="L7" s="314"/>
      <c r="M7" s="316"/>
      <c r="N7" s="316"/>
      <c r="O7" s="315"/>
      <c r="P7" s="315"/>
      <c r="Q7" s="316"/>
      <c r="R7" s="316"/>
      <c r="S7" s="316"/>
      <c r="T7" s="316"/>
      <c r="U7" s="315"/>
      <c r="V7" s="316"/>
      <c r="W7" s="316"/>
      <c r="X7" s="314"/>
      <c r="Y7" s="315"/>
      <c r="Z7" s="316"/>
      <c r="AA7" s="316"/>
      <c r="AB7" s="315"/>
      <c r="AC7" s="316"/>
      <c r="AD7" s="315"/>
      <c r="AE7" s="315"/>
      <c r="AF7" s="315"/>
      <c r="AG7" s="315"/>
      <c r="AH7" s="315"/>
      <c r="AI7" s="314"/>
      <c r="AJ7" s="316"/>
      <c r="AK7" s="316"/>
      <c r="AL7" s="316"/>
      <c r="AM7" s="316"/>
      <c r="AN7" s="316"/>
      <c r="AO7" s="316"/>
      <c r="AP7" s="316"/>
      <c r="AQ7" s="316"/>
      <c r="AR7" s="316"/>
      <c r="AS7" s="316"/>
      <c r="AT7" s="316"/>
      <c r="AU7" s="316"/>
      <c r="AV7" s="314"/>
      <c r="AW7" s="319"/>
      <c r="AX7" s="319"/>
      <c r="AY7" s="319"/>
      <c r="AZ7" s="319"/>
      <c r="BA7" s="319"/>
      <c r="BB7" s="319"/>
      <c r="BC7" s="319"/>
      <c r="BD7" s="319"/>
      <c r="BE7" s="319"/>
      <c r="BF7" s="319"/>
      <c r="BG7" s="319"/>
      <c r="BH7" s="319"/>
      <c r="BI7" s="319"/>
      <c r="BJ7" s="319"/>
      <c r="BK7" s="319"/>
      <c r="BL7" s="319"/>
      <c r="BM7" s="319"/>
      <c r="BN7" s="319"/>
      <c r="BO7" s="319"/>
      <c r="BP7" s="319"/>
      <c r="BQ7" s="319"/>
      <c r="BR7" s="319"/>
      <c r="BS7" s="320"/>
      <c r="BT7" s="319"/>
      <c r="BU7" s="319"/>
      <c r="BV7" s="319"/>
      <c r="BW7" s="319"/>
      <c r="BX7" s="319"/>
      <c r="BY7" s="319"/>
      <c r="BZ7" s="319"/>
      <c r="CA7" s="319"/>
      <c r="CB7" s="319"/>
      <c r="CC7" s="319"/>
      <c r="CD7" s="319"/>
      <c r="CE7" s="319"/>
      <c r="CF7" s="319"/>
      <c r="CG7" s="319"/>
      <c r="CH7" s="319"/>
      <c r="CI7" s="319"/>
      <c r="CJ7" s="319"/>
      <c r="CK7" s="319"/>
      <c r="CL7" s="319"/>
      <c r="CM7" s="319"/>
      <c r="CN7" s="319"/>
      <c r="CO7" s="319"/>
      <c r="CP7" s="317"/>
      <c r="CQ7" s="287"/>
      <c r="CR7" s="287"/>
      <c r="CS7" s="287"/>
      <c r="CT7" s="287"/>
      <c r="CU7" s="287"/>
      <c r="ED7" s="288"/>
      <c r="EE7" s="288"/>
      <c r="EF7" s="288"/>
      <c r="EG7" s="288"/>
      <c r="EH7" s="288"/>
      <c r="EI7" s="250"/>
      <c r="EJ7" s="250"/>
      <c r="EK7" s="250"/>
      <c r="EL7" s="250"/>
      <c r="EM7" s="250"/>
    </row>
    <row r="8" spans="1:151">
      <c r="A8" s="250"/>
      <c r="B8" s="21" t="s">
        <v>962</v>
      </c>
      <c r="C8" s="201"/>
      <c r="D8" s="201"/>
      <c r="E8" s="315"/>
      <c r="F8" s="316"/>
      <c r="H8" s="316"/>
      <c r="I8" s="316"/>
      <c r="J8" s="316"/>
      <c r="K8" s="316"/>
      <c r="L8" s="314"/>
      <c r="M8" s="316"/>
      <c r="N8" s="288"/>
      <c r="O8" s="315"/>
      <c r="P8" s="315"/>
      <c r="Q8" s="316"/>
      <c r="R8" s="316"/>
      <c r="S8" s="316"/>
      <c r="T8" s="316"/>
      <c r="U8" s="315"/>
      <c r="V8" s="316"/>
      <c r="W8" s="316"/>
      <c r="X8" s="314"/>
      <c r="Y8" s="315"/>
      <c r="Z8" s="316"/>
      <c r="AA8" s="316"/>
      <c r="AB8" s="315"/>
      <c r="AC8" s="316"/>
      <c r="AD8" s="315"/>
      <c r="AE8" s="315"/>
      <c r="AF8" s="315"/>
      <c r="AG8" s="315"/>
      <c r="AH8" s="315"/>
      <c r="AI8" s="314"/>
      <c r="AJ8" s="316"/>
      <c r="AK8" s="316"/>
      <c r="AL8" s="316"/>
      <c r="AM8" s="316"/>
      <c r="AN8" s="316"/>
      <c r="AO8" s="316"/>
      <c r="AP8" s="316"/>
      <c r="AQ8" s="316"/>
      <c r="AR8" s="316"/>
      <c r="AS8" s="316"/>
      <c r="AT8" s="316"/>
      <c r="AU8" s="316"/>
      <c r="AV8" s="314"/>
      <c r="AW8" s="319"/>
      <c r="AX8" s="319"/>
      <c r="AY8" s="319"/>
      <c r="AZ8" s="319"/>
      <c r="BA8" s="319"/>
      <c r="BB8" s="319"/>
      <c r="BC8" s="319"/>
      <c r="BD8" s="319"/>
      <c r="BE8" s="319"/>
      <c r="BF8" s="319"/>
      <c r="BG8" s="319"/>
      <c r="BH8" s="319"/>
      <c r="BI8" s="319"/>
      <c r="BJ8" s="319"/>
      <c r="BK8" s="319"/>
      <c r="BL8" s="319"/>
      <c r="BM8" s="319"/>
      <c r="BN8" s="319"/>
      <c r="BO8" s="319"/>
      <c r="BP8" s="319"/>
      <c r="BQ8" s="319"/>
      <c r="BR8" s="319"/>
      <c r="BS8" s="320"/>
      <c r="BT8" s="319"/>
      <c r="BU8" s="319"/>
      <c r="BV8" s="319"/>
      <c r="BW8" s="319"/>
      <c r="BX8" s="319"/>
      <c r="BY8" s="319"/>
      <c r="BZ8" s="319"/>
      <c r="CA8" s="319"/>
      <c r="CB8" s="319"/>
      <c r="CC8" s="319"/>
      <c r="CD8" s="319"/>
      <c r="CE8" s="319"/>
      <c r="CF8" s="319"/>
      <c r="CG8" s="319"/>
      <c r="CH8" s="319"/>
      <c r="CI8" s="319"/>
      <c r="CJ8" s="319"/>
      <c r="CK8" s="319"/>
      <c r="CL8" s="319"/>
      <c r="CM8" s="319"/>
      <c r="CN8" s="319"/>
      <c r="CO8" s="319"/>
      <c r="CP8" s="317"/>
      <c r="CQ8" s="287"/>
      <c r="CR8" s="287"/>
      <c r="CS8" s="287"/>
      <c r="CT8" s="287"/>
      <c r="CU8" s="287"/>
      <c r="ED8" s="288"/>
      <c r="EE8" s="288"/>
      <c r="EF8" s="288"/>
      <c r="EG8" s="288"/>
      <c r="EH8" s="288"/>
      <c r="EI8" s="250"/>
      <c r="EJ8" s="250"/>
      <c r="EK8" s="250"/>
      <c r="EL8" s="250"/>
      <c r="EM8" s="250"/>
    </row>
    <row r="9" spans="1:151" ht="17">
      <c r="A9" s="250"/>
      <c r="B9" s="321" t="s">
        <v>963</v>
      </c>
      <c r="C9" s="322"/>
      <c r="D9" s="286"/>
      <c r="E9" s="315"/>
      <c r="F9" s="316"/>
      <c r="H9" s="316"/>
      <c r="I9" s="316"/>
      <c r="J9" s="316"/>
      <c r="K9" s="316"/>
      <c r="L9" s="314"/>
      <c r="M9" s="316"/>
      <c r="N9" s="316"/>
      <c r="O9" s="315"/>
      <c r="P9" s="315"/>
      <c r="Q9" s="316"/>
      <c r="R9" s="316"/>
      <c r="S9" s="316"/>
      <c r="T9" s="316"/>
      <c r="U9" s="315"/>
      <c r="V9" s="316"/>
      <c r="W9" s="316"/>
      <c r="X9" s="314"/>
      <c r="Y9" s="315"/>
      <c r="Z9" s="316"/>
      <c r="AA9" s="316"/>
      <c r="AB9" s="315"/>
      <c r="AC9" s="316"/>
      <c r="AD9" s="315"/>
      <c r="AE9" s="315"/>
      <c r="AF9" s="315"/>
      <c r="AG9" s="315"/>
      <c r="AH9" s="315"/>
      <c r="AI9" s="314"/>
      <c r="AJ9" s="316"/>
      <c r="AK9" s="316"/>
      <c r="AL9" s="316"/>
      <c r="AM9" s="316"/>
      <c r="AN9" s="316"/>
      <c r="AO9" s="316"/>
      <c r="AP9" s="316"/>
      <c r="AQ9" s="316"/>
      <c r="AR9" s="316"/>
      <c r="AS9" s="316"/>
      <c r="AT9" s="316"/>
      <c r="AU9" s="316"/>
      <c r="AV9" s="314"/>
      <c r="AW9" s="319"/>
      <c r="AX9" s="319"/>
      <c r="AY9" s="319"/>
      <c r="AZ9" s="319"/>
      <c r="BA9" s="319"/>
      <c r="BB9" s="319"/>
      <c r="BC9" s="319"/>
      <c r="BD9" s="319"/>
      <c r="BE9" s="319"/>
      <c r="BF9" s="319"/>
      <c r="BG9" s="319"/>
      <c r="BH9" s="319"/>
      <c r="BI9" s="319"/>
      <c r="BJ9" s="319"/>
      <c r="BK9" s="319"/>
      <c r="BL9" s="319"/>
      <c r="BM9" s="319"/>
      <c r="BN9" s="319"/>
      <c r="BO9" s="319"/>
      <c r="BP9" s="319"/>
      <c r="BQ9" s="319"/>
      <c r="BR9" s="319"/>
      <c r="BS9" s="320"/>
      <c r="BT9" s="319"/>
      <c r="BU9" s="319"/>
      <c r="BV9" s="319"/>
      <c r="BW9" s="319"/>
      <c r="BX9" s="319"/>
      <c r="BY9" s="319"/>
      <c r="BZ9" s="319"/>
      <c r="CA9" s="319"/>
      <c r="CB9" s="319"/>
      <c r="CC9" s="319"/>
      <c r="CD9" s="319"/>
      <c r="CE9" s="319"/>
      <c r="CF9" s="319"/>
      <c r="CG9" s="319"/>
      <c r="CH9" s="319"/>
      <c r="CI9" s="319"/>
      <c r="CJ9" s="319"/>
      <c r="CK9" s="319"/>
      <c r="CL9" s="319"/>
      <c r="CM9" s="319"/>
      <c r="CN9" s="319"/>
      <c r="CO9" s="319"/>
      <c r="CP9" s="317"/>
      <c r="CQ9" s="287"/>
      <c r="CR9" s="287"/>
      <c r="CS9" s="287"/>
      <c r="CT9" s="287"/>
      <c r="CU9" s="287"/>
      <c r="ED9" s="288"/>
      <c r="EE9" s="288"/>
      <c r="EF9" s="288"/>
      <c r="EG9" s="288"/>
      <c r="EH9" s="288"/>
      <c r="EI9" s="250"/>
      <c r="EJ9" s="250"/>
      <c r="EK9" s="250"/>
      <c r="EL9" s="250"/>
      <c r="EM9" s="250"/>
    </row>
    <row r="10" spans="1:151" ht="16">
      <c r="A10" s="250"/>
      <c r="B10" s="27" t="s">
        <v>30</v>
      </c>
      <c r="C10" s="323" t="s">
        <v>964</v>
      </c>
      <c r="D10" s="286"/>
      <c r="E10" s="315"/>
      <c r="F10" s="316"/>
      <c r="H10" s="316"/>
      <c r="I10" s="316"/>
      <c r="J10" s="316"/>
      <c r="K10" s="323" t="s">
        <v>965</v>
      </c>
      <c r="L10" s="286"/>
      <c r="M10" s="316"/>
      <c r="N10" s="315"/>
      <c r="O10" s="315"/>
      <c r="P10" s="316"/>
      <c r="Q10" s="316"/>
      <c r="R10" s="316"/>
      <c r="S10" s="316"/>
      <c r="T10" s="315"/>
      <c r="U10" s="316"/>
      <c r="V10" s="316"/>
      <c r="W10" s="314"/>
      <c r="X10" s="315"/>
      <c r="Y10" s="316"/>
      <c r="Z10" s="316"/>
      <c r="AA10" s="315"/>
      <c r="AB10" s="316"/>
      <c r="AC10" s="315"/>
      <c r="AD10" s="315"/>
      <c r="AE10" s="315"/>
      <c r="AF10" s="315"/>
      <c r="AG10" s="315"/>
      <c r="AH10" s="314"/>
      <c r="AI10" s="316"/>
      <c r="AJ10" s="316"/>
      <c r="AK10" s="316"/>
      <c r="AL10" s="316"/>
      <c r="AM10" s="316"/>
      <c r="AN10" s="316"/>
      <c r="AO10" s="316"/>
      <c r="AP10" s="316"/>
      <c r="AQ10" s="316"/>
      <c r="AR10" s="316"/>
      <c r="AS10" s="316"/>
      <c r="AT10" s="316"/>
      <c r="AU10" s="314"/>
      <c r="AV10" s="319"/>
      <c r="AW10" s="319"/>
      <c r="AX10" s="319"/>
      <c r="AY10" s="319"/>
      <c r="AZ10" s="319"/>
      <c r="BA10" s="319"/>
      <c r="BB10" s="319"/>
      <c r="BC10" s="319"/>
      <c r="BD10" s="319"/>
      <c r="BE10" s="319"/>
      <c r="BF10" s="319"/>
      <c r="BG10" s="319"/>
      <c r="BH10" s="319"/>
      <c r="BI10" s="319"/>
      <c r="BJ10" s="319"/>
      <c r="BK10" s="319"/>
      <c r="BL10" s="319"/>
      <c r="BM10" s="319"/>
      <c r="BN10" s="319"/>
      <c r="BO10" s="319"/>
      <c r="BP10" s="319"/>
      <c r="BQ10" s="319"/>
      <c r="BR10" s="320"/>
      <c r="BS10" s="319"/>
      <c r="BT10" s="319"/>
      <c r="BU10" s="319"/>
      <c r="BV10" s="319"/>
      <c r="BW10" s="319"/>
      <c r="BX10" s="319"/>
      <c r="BY10" s="319"/>
      <c r="BZ10" s="319"/>
      <c r="CA10" s="319"/>
      <c r="CB10" s="319"/>
      <c r="CC10" s="319"/>
      <c r="CD10" s="319"/>
      <c r="CE10" s="319"/>
      <c r="CF10" s="319"/>
      <c r="CG10" s="319"/>
      <c r="CH10" s="319"/>
      <c r="CI10" s="319"/>
      <c r="CJ10" s="319"/>
      <c r="CK10" s="319"/>
      <c r="CL10" s="319"/>
      <c r="CM10" s="319"/>
      <c r="CN10" s="319"/>
      <c r="CO10" s="317"/>
      <c r="CP10" s="287"/>
      <c r="CQ10" s="287"/>
      <c r="CR10" s="287"/>
      <c r="CS10" s="287"/>
      <c r="CT10" s="287"/>
      <c r="CU10" s="287"/>
      <c r="EC10" s="288"/>
      <c r="ED10" s="288"/>
      <c r="EE10" s="288"/>
      <c r="EF10" s="288"/>
      <c r="EG10" s="288"/>
      <c r="EH10" s="250"/>
      <c r="EI10" s="250"/>
      <c r="EJ10" s="250"/>
      <c r="EK10" s="250"/>
      <c r="EL10" s="250"/>
      <c r="EM10" s="250"/>
    </row>
    <row r="11" spans="1:151" ht="16">
      <c r="A11" s="250"/>
      <c r="B11" s="322"/>
      <c r="C11" s="323" t="s">
        <v>966</v>
      </c>
      <c r="D11" s="286"/>
      <c r="E11" s="315"/>
      <c r="F11" s="316"/>
      <c r="H11" s="316"/>
      <c r="I11" s="316"/>
      <c r="J11" s="316"/>
      <c r="K11" s="323"/>
      <c r="L11" s="323" t="s">
        <v>967</v>
      </c>
      <c r="M11" s="316"/>
      <c r="N11" s="315"/>
      <c r="O11" s="315"/>
      <c r="P11" s="316"/>
      <c r="Q11" s="316"/>
      <c r="R11" s="316"/>
      <c r="S11" s="316"/>
      <c r="T11" s="315"/>
      <c r="U11" s="316"/>
      <c r="V11" s="316"/>
      <c r="W11" s="314"/>
      <c r="X11" s="315"/>
      <c r="Y11" s="316"/>
      <c r="Z11" s="316"/>
      <c r="AA11" s="315"/>
      <c r="AB11" s="316"/>
      <c r="AC11" s="315"/>
      <c r="AD11" s="315"/>
      <c r="AE11" s="315"/>
      <c r="AF11" s="315"/>
      <c r="AG11" s="315"/>
      <c r="AH11" s="314"/>
      <c r="AI11" s="316"/>
      <c r="AJ11" s="316"/>
      <c r="AK11" s="316"/>
      <c r="AL11" s="316"/>
      <c r="AM11" s="316"/>
      <c r="AN11" s="316"/>
      <c r="AO11" s="316"/>
      <c r="AP11" s="316"/>
      <c r="AQ11" s="316"/>
      <c r="AR11" s="316"/>
      <c r="AS11" s="316"/>
      <c r="AT11" s="316"/>
      <c r="AU11" s="314"/>
      <c r="AV11" s="319"/>
      <c r="AW11" s="319"/>
      <c r="AX11" s="319"/>
      <c r="AY11" s="319"/>
      <c r="AZ11" s="319"/>
      <c r="BA11" s="319"/>
      <c r="BB11" s="319"/>
      <c r="BC11" s="319"/>
      <c r="BD11" s="319"/>
      <c r="BE11" s="319"/>
      <c r="BF11" s="319"/>
      <c r="BG11" s="319"/>
      <c r="BH11" s="319"/>
      <c r="BI11" s="319"/>
      <c r="BJ11" s="319"/>
      <c r="BK11" s="319"/>
      <c r="BL11" s="319"/>
      <c r="BM11" s="319"/>
      <c r="BN11" s="319"/>
      <c r="BO11" s="319"/>
      <c r="BP11" s="319"/>
      <c r="BQ11" s="319"/>
      <c r="BR11" s="320"/>
      <c r="BS11" s="319"/>
      <c r="BT11" s="319"/>
      <c r="BU11" s="319"/>
      <c r="BV11" s="319"/>
      <c r="BW11" s="319"/>
      <c r="BX11" s="319"/>
      <c r="BY11" s="319"/>
      <c r="BZ11" s="319"/>
      <c r="CA11" s="319"/>
      <c r="CB11" s="319"/>
      <c r="CC11" s="319"/>
      <c r="CD11" s="319"/>
      <c r="CE11" s="319"/>
      <c r="CF11" s="319"/>
      <c r="CG11" s="319"/>
      <c r="CH11" s="319"/>
      <c r="CI11" s="319"/>
      <c r="CJ11" s="319"/>
      <c r="CK11" s="319"/>
      <c r="CL11" s="319"/>
      <c r="CM11" s="319"/>
      <c r="CN11" s="319"/>
      <c r="CO11" s="317"/>
      <c r="CP11" s="287"/>
      <c r="CQ11" s="287"/>
      <c r="CR11" s="287"/>
      <c r="CS11" s="287"/>
      <c r="CT11" s="287"/>
      <c r="CU11" s="287"/>
      <c r="EC11" s="288"/>
      <c r="ED11" s="288"/>
      <c r="EE11" s="288"/>
      <c r="EF11" s="288"/>
      <c r="EG11" s="288"/>
      <c r="EH11" s="250"/>
      <c r="EI11" s="250"/>
      <c r="EJ11" s="250"/>
      <c r="EK11" s="250"/>
      <c r="EL11" s="250"/>
      <c r="EM11" s="250"/>
    </row>
    <row r="12" spans="1:151" ht="16.5">
      <c r="A12" s="250"/>
      <c r="B12" s="322"/>
      <c r="C12" s="323" t="s">
        <v>968</v>
      </c>
      <c r="D12" s="286"/>
      <c r="E12" s="315"/>
      <c r="F12" s="316"/>
      <c r="H12" s="316"/>
      <c r="I12" s="316"/>
      <c r="J12" s="316"/>
      <c r="K12" s="323"/>
      <c r="L12" s="323" t="s">
        <v>969</v>
      </c>
      <c r="M12" s="316"/>
      <c r="N12" s="315"/>
      <c r="O12" s="315"/>
      <c r="P12" s="316"/>
      <c r="Q12" s="316"/>
      <c r="R12" s="316"/>
      <c r="S12" s="316"/>
      <c r="T12" s="315"/>
      <c r="U12" s="316"/>
      <c r="V12" s="316"/>
      <c r="W12" s="314"/>
      <c r="X12" s="315"/>
      <c r="Y12" s="316"/>
      <c r="Z12" s="316"/>
      <c r="AA12" s="315"/>
      <c r="AB12" s="316"/>
      <c r="AC12" s="315"/>
      <c r="AD12" s="315"/>
      <c r="AE12" s="315"/>
      <c r="AF12" s="315"/>
      <c r="AG12" s="315"/>
      <c r="AH12" s="314"/>
      <c r="AJ12" s="250"/>
      <c r="AL12" s="316"/>
      <c r="AM12" s="316"/>
      <c r="AN12" s="316"/>
      <c r="AO12" s="316"/>
      <c r="AP12" s="316"/>
      <c r="AQ12" s="316"/>
      <c r="AR12" s="316"/>
      <c r="AS12" s="316"/>
      <c r="AT12" s="316"/>
      <c r="AU12" s="314"/>
      <c r="AV12" s="250"/>
      <c r="AW12" s="250"/>
      <c r="AX12" s="250"/>
      <c r="AY12" s="319"/>
      <c r="AZ12" s="319"/>
      <c r="BA12" s="319"/>
      <c r="BB12" s="319"/>
      <c r="BC12" s="319"/>
      <c r="BD12" s="319"/>
      <c r="BE12" s="319"/>
      <c r="BF12" s="319"/>
      <c r="BG12" s="319"/>
      <c r="BH12" s="319"/>
      <c r="BI12" s="319"/>
      <c r="BJ12" s="319"/>
      <c r="BK12" s="319"/>
      <c r="BL12" s="319"/>
      <c r="BM12" s="319"/>
      <c r="BN12" s="319"/>
      <c r="BO12" s="319"/>
      <c r="BP12" s="319"/>
      <c r="BQ12" s="319"/>
      <c r="BR12" s="320"/>
      <c r="BS12" s="319"/>
      <c r="BT12" s="319"/>
      <c r="BU12" s="319"/>
      <c r="BV12" s="319"/>
      <c r="BW12" s="319"/>
      <c r="BX12" s="319"/>
      <c r="BY12" s="319"/>
      <c r="BZ12" s="319"/>
      <c r="CA12" s="319"/>
      <c r="CB12" s="319"/>
      <c r="CC12" s="319"/>
      <c r="CD12" s="319"/>
      <c r="CE12" s="319"/>
      <c r="CF12" s="319"/>
      <c r="CG12" s="319"/>
      <c r="CH12" s="319"/>
      <c r="CI12" s="319"/>
      <c r="CJ12" s="319"/>
      <c r="CK12" s="319"/>
      <c r="CL12" s="319"/>
      <c r="CM12" s="319"/>
      <c r="CN12" s="319"/>
      <c r="CO12" s="317"/>
      <c r="CP12" s="287"/>
      <c r="CQ12" s="287"/>
      <c r="CR12" s="287"/>
      <c r="CS12" s="287"/>
      <c r="CT12" s="287"/>
      <c r="CU12" s="287"/>
      <c r="EC12" s="288"/>
      <c r="ED12" s="288"/>
      <c r="EE12" s="288"/>
      <c r="EF12" s="288"/>
      <c r="EG12" s="288"/>
      <c r="EH12" s="250"/>
      <c r="EI12" s="250"/>
      <c r="EJ12" s="250"/>
      <c r="EK12" s="250"/>
      <c r="EL12" s="250"/>
      <c r="EM12" s="250"/>
    </row>
    <row r="13" spans="1:151" ht="16">
      <c r="A13" s="250"/>
      <c r="B13" s="322"/>
      <c r="C13" s="323" t="s">
        <v>970</v>
      </c>
      <c r="D13" s="286"/>
      <c r="E13" s="315"/>
      <c r="F13" s="316"/>
      <c r="H13" s="316"/>
      <c r="I13" s="316"/>
      <c r="J13" s="316"/>
      <c r="K13" s="323" t="s">
        <v>971</v>
      </c>
      <c r="L13" s="323"/>
      <c r="M13" s="316"/>
      <c r="N13" s="315"/>
      <c r="O13" s="315"/>
      <c r="P13" s="316"/>
      <c r="Q13" s="316"/>
      <c r="R13" s="316"/>
      <c r="S13" s="316"/>
      <c r="T13" s="315"/>
      <c r="U13" s="316"/>
      <c r="V13" s="316"/>
      <c r="W13" s="314"/>
      <c r="X13" s="315"/>
      <c r="Y13" s="316"/>
      <c r="Z13" s="316"/>
      <c r="AA13" s="315"/>
      <c r="AB13" s="316"/>
      <c r="AC13" s="315"/>
      <c r="AD13" s="315"/>
      <c r="AE13" s="315"/>
      <c r="AF13" s="315"/>
      <c r="AG13" s="315"/>
      <c r="AH13" s="314"/>
      <c r="AJ13" s="250"/>
      <c r="AL13" s="316"/>
      <c r="AM13" s="316"/>
      <c r="AN13" s="316"/>
      <c r="AO13" s="316"/>
      <c r="AP13" s="316"/>
      <c r="AQ13" s="316"/>
      <c r="AR13" s="316"/>
      <c r="AS13" s="316"/>
      <c r="AT13" s="316"/>
      <c r="AU13" s="314"/>
      <c r="AV13" s="250"/>
      <c r="AW13" s="250"/>
      <c r="AX13" s="250"/>
      <c r="AY13" s="319"/>
      <c r="AZ13" s="319"/>
      <c r="BA13" s="319"/>
      <c r="BB13" s="319"/>
      <c r="BC13" s="319"/>
      <c r="BD13" s="319"/>
      <c r="BE13" s="319"/>
      <c r="BF13" s="319"/>
      <c r="BG13" s="319"/>
      <c r="BH13" s="319"/>
      <c r="BI13" s="319"/>
      <c r="BJ13" s="319"/>
      <c r="BK13" s="319"/>
      <c r="BL13" s="319"/>
      <c r="BM13" s="319"/>
      <c r="BN13" s="319"/>
      <c r="BO13" s="319"/>
      <c r="BP13" s="319"/>
      <c r="BQ13" s="319"/>
      <c r="BR13" s="320"/>
      <c r="BS13" s="319"/>
      <c r="BT13" s="319"/>
      <c r="BU13" s="319"/>
      <c r="BV13" s="319"/>
      <c r="BW13" s="319"/>
      <c r="BX13" s="319"/>
      <c r="BY13" s="319"/>
      <c r="BZ13" s="319"/>
      <c r="CA13" s="319"/>
      <c r="CB13" s="319"/>
      <c r="CC13" s="319"/>
      <c r="CD13" s="319"/>
      <c r="CE13" s="319"/>
      <c r="CF13" s="319"/>
      <c r="CG13" s="319"/>
      <c r="CH13" s="319"/>
      <c r="CI13" s="319"/>
      <c r="CJ13" s="319"/>
      <c r="CK13" s="319"/>
      <c r="CL13" s="319"/>
      <c r="CM13" s="319"/>
      <c r="CN13" s="319"/>
      <c r="CO13" s="317"/>
      <c r="CP13" s="287"/>
      <c r="CQ13" s="287"/>
      <c r="CR13" s="287"/>
      <c r="CS13" s="287"/>
      <c r="CT13" s="287"/>
      <c r="CU13" s="287"/>
      <c r="EC13" s="288"/>
      <c r="ED13" s="288"/>
      <c r="EE13" s="288"/>
      <c r="EF13" s="288"/>
      <c r="EG13" s="288"/>
      <c r="EH13" s="250"/>
      <c r="EI13" s="250"/>
      <c r="EJ13" s="250"/>
      <c r="EK13" s="250"/>
      <c r="EL13" s="250"/>
      <c r="EM13" s="250"/>
    </row>
    <row r="14" spans="1:151">
      <c r="A14" s="250"/>
      <c r="B14" s="322"/>
      <c r="C14" s="323" t="s">
        <v>972</v>
      </c>
      <c r="D14" s="286"/>
      <c r="E14" s="315"/>
      <c r="F14" s="316"/>
      <c r="H14" s="316"/>
      <c r="I14" s="316"/>
      <c r="J14" s="316"/>
      <c r="K14" s="323"/>
      <c r="L14" s="323" t="s">
        <v>969</v>
      </c>
      <c r="M14" s="316"/>
      <c r="N14" s="315"/>
      <c r="O14" s="315"/>
      <c r="P14" s="316"/>
      <c r="Q14" s="316"/>
      <c r="R14" s="316"/>
      <c r="S14" s="316"/>
      <c r="T14" s="315"/>
      <c r="U14" s="316"/>
      <c r="V14" s="316"/>
      <c r="W14" s="314"/>
      <c r="X14" s="315"/>
      <c r="Y14" s="316"/>
      <c r="Z14" s="316"/>
      <c r="AA14" s="315"/>
      <c r="AB14" s="316"/>
      <c r="AC14" s="315"/>
      <c r="AD14" s="315"/>
      <c r="AE14" s="315"/>
      <c r="AF14" s="315"/>
      <c r="AG14" s="315"/>
      <c r="AH14" s="314"/>
      <c r="AJ14" s="250"/>
      <c r="AL14" s="316"/>
      <c r="AM14" s="316"/>
      <c r="AN14" s="316"/>
      <c r="AO14" s="316"/>
      <c r="AP14" s="316"/>
      <c r="AQ14" s="316"/>
      <c r="AR14" s="316"/>
      <c r="AS14" s="316"/>
      <c r="AT14" s="316"/>
      <c r="AU14" s="314"/>
      <c r="AV14" s="250"/>
      <c r="AW14" s="250"/>
      <c r="AX14" s="250"/>
      <c r="AY14" s="319"/>
      <c r="AZ14" s="319"/>
      <c r="BA14" s="319"/>
      <c r="BB14" s="319"/>
      <c r="BC14" s="319"/>
      <c r="BD14" s="319"/>
      <c r="BE14" s="319"/>
      <c r="BF14" s="319"/>
      <c r="BG14" s="319"/>
      <c r="BH14" s="319"/>
      <c r="BI14" s="319"/>
      <c r="BJ14" s="319"/>
      <c r="BK14" s="319"/>
      <c r="BL14" s="319"/>
      <c r="BM14" s="319"/>
      <c r="BN14" s="319"/>
      <c r="BO14" s="319"/>
      <c r="BP14" s="319"/>
      <c r="BQ14" s="319"/>
      <c r="BR14" s="320"/>
      <c r="BS14" s="319"/>
      <c r="BT14" s="319"/>
      <c r="BU14" s="319"/>
      <c r="BV14" s="319"/>
      <c r="BW14" s="319"/>
      <c r="BX14" s="319"/>
      <c r="BY14" s="319"/>
      <c r="BZ14" s="319"/>
      <c r="CA14" s="319"/>
      <c r="CB14" s="319"/>
      <c r="CC14" s="319"/>
      <c r="CD14" s="319"/>
      <c r="CE14" s="319"/>
      <c r="CF14" s="319"/>
      <c r="CG14" s="319"/>
      <c r="CH14" s="319"/>
      <c r="CI14" s="319"/>
      <c r="CJ14" s="319"/>
      <c r="CK14" s="319"/>
      <c r="CL14" s="319"/>
      <c r="CM14" s="319"/>
      <c r="CN14" s="319"/>
      <c r="CO14" s="317"/>
      <c r="CP14" s="287"/>
      <c r="CQ14" s="287"/>
      <c r="CR14" s="287"/>
      <c r="CS14" s="287"/>
      <c r="CT14" s="287"/>
      <c r="CU14" s="287"/>
      <c r="EC14" s="288"/>
      <c r="ED14" s="288"/>
      <c r="EE14" s="288"/>
      <c r="EF14" s="288"/>
      <c r="EG14" s="288"/>
      <c r="EH14" s="250"/>
      <c r="EI14" s="250"/>
      <c r="EJ14" s="250"/>
      <c r="EK14" s="250"/>
      <c r="EL14" s="250"/>
      <c r="EM14" s="250"/>
    </row>
    <row r="15" spans="1:151">
      <c r="A15" s="250"/>
      <c r="B15" s="322"/>
      <c r="E15" s="315"/>
      <c r="F15" s="316"/>
      <c r="H15" s="316"/>
      <c r="I15" s="316"/>
      <c r="J15" s="316"/>
      <c r="K15" s="316"/>
      <c r="L15" s="314"/>
      <c r="M15" s="316"/>
      <c r="N15" s="316"/>
      <c r="O15" s="315"/>
      <c r="P15" s="315"/>
      <c r="Q15" s="316"/>
      <c r="R15" s="316"/>
      <c r="S15" s="316"/>
      <c r="T15" s="316"/>
      <c r="U15" s="315"/>
      <c r="V15" s="316"/>
      <c r="W15" s="316"/>
      <c r="X15" s="314"/>
      <c r="Y15" s="315"/>
      <c r="Z15" s="316"/>
      <c r="AA15" s="316"/>
      <c r="AB15" s="315"/>
      <c r="AC15" s="316"/>
      <c r="AD15" s="315"/>
      <c r="AE15" s="315"/>
      <c r="AF15" s="315"/>
      <c r="AG15" s="315"/>
      <c r="AH15" s="315"/>
      <c r="AI15" s="314"/>
      <c r="AJ15" s="250"/>
      <c r="AM15" s="316"/>
      <c r="AN15" s="316"/>
      <c r="AO15" s="316"/>
      <c r="AP15" s="316"/>
      <c r="AQ15" s="316"/>
      <c r="AR15" s="316"/>
      <c r="AS15" s="316"/>
      <c r="AT15" s="316"/>
      <c r="AU15" s="316"/>
      <c r="AV15" s="314"/>
      <c r="AW15" s="250"/>
      <c r="AX15" s="250"/>
      <c r="AY15" s="250"/>
      <c r="AZ15" s="319"/>
      <c r="BA15" s="319"/>
      <c r="BB15" s="319"/>
      <c r="BC15" s="319"/>
      <c r="BD15" s="319"/>
      <c r="BE15" s="319"/>
      <c r="BF15" s="319"/>
      <c r="BG15" s="319"/>
      <c r="BH15" s="319"/>
      <c r="BI15" s="319"/>
      <c r="BJ15" s="319"/>
      <c r="BK15" s="319"/>
      <c r="BL15" s="319"/>
      <c r="BM15" s="319"/>
      <c r="BN15" s="319"/>
      <c r="BO15" s="319"/>
      <c r="BP15" s="319"/>
      <c r="BQ15" s="319"/>
      <c r="BR15" s="319"/>
      <c r="BS15" s="320"/>
      <c r="BT15" s="319"/>
      <c r="BU15" s="319"/>
      <c r="BV15" s="319"/>
      <c r="BW15" s="319"/>
      <c r="BX15" s="319"/>
      <c r="BY15" s="319"/>
      <c r="BZ15" s="319"/>
      <c r="CA15" s="319"/>
      <c r="CB15" s="319"/>
      <c r="CC15" s="319"/>
      <c r="CD15" s="319"/>
      <c r="CE15" s="319"/>
      <c r="CF15" s="319"/>
      <c r="CG15" s="319"/>
      <c r="CH15" s="319"/>
      <c r="CI15" s="319"/>
      <c r="CJ15" s="319"/>
      <c r="CK15" s="319"/>
      <c r="CL15" s="319"/>
      <c r="CM15" s="319"/>
      <c r="CN15" s="319"/>
      <c r="CO15" s="319"/>
      <c r="CP15" s="317"/>
      <c r="CQ15" s="287"/>
      <c r="CR15" s="287"/>
      <c r="CS15" s="287"/>
      <c r="CT15" s="287"/>
      <c r="CU15" s="287"/>
      <c r="ED15" s="288"/>
      <c r="EE15" s="288"/>
      <c r="EF15" s="288"/>
      <c r="EG15" s="288"/>
      <c r="EH15" s="288"/>
      <c r="EI15" s="250"/>
      <c r="EJ15" s="250"/>
      <c r="EK15" s="250"/>
      <c r="EL15" s="250"/>
      <c r="EM15" s="250"/>
    </row>
    <row r="16" spans="1:151" ht="42">
      <c r="A16" s="38" t="s">
        <v>973</v>
      </c>
      <c r="B16" s="295" t="s">
        <v>888</v>
      </c>
      <c r="C16" s="38" t="s">
        <v>973</v>
      </c>
      <c r="D16" s="324"/>
      <c r="E16" s="324"/>
      <c r="F16" s="38"/>
      <c r="G16" s="38"/>
      <c r="H16" s="38"/>
      <c r="I16" s="38"/>
      <c r="J16" s="38"/>
      <c r="K16" s="38"/>
      <c r="L16" s="324"/>
      <c r="M16" s="218"/>
      <c r="N16" s="324"/>
      <c r="O16" s="325"/>
      <c r="P16" s="38" t="s">
        <v>973</v>
      </c>
      <c r="Q16" s="325"/>
      <c r="R16" s="325"/>
      <c r="S16" s="325"/>
      <c r="T16" s="325"/>
      <c r="U16" s="325"/>
      <c r="V16" s="325"/>
      <c r="W16" s="325"/>
      <c r="X16" s="325"/>
      <c r="Y16" s="325"/>
      <c r="Z16" s="325"/>
      <c r="AA16" s="325"/>
      <c r="AB16" s="325"/>
      <c r="AC16" s="325"/>
      <c r="AD16" s="325"/>
      <c r="AE16" s="325"/>
      <c r="AF16" s="325"/>
      <c r="AG16" s="325"/>
      <c r="AH16" s="38" t="s">
        <v>973</v>
      </c>
      <c r="AI16" s="325"/>
      <c r="AJ16" s="325"/>
      <c r="AK16" s="325"/>
      <c r="AL16" s="325"/>
      <c r="AM16" s="325"/>
      <c r="AN16" s="325"/>
      <c r="AO16" s="325"/>
      <c r="AP16" s="325"/>
      <c r="AQ16" s="325"/>
      <c r="AR16" s="325"/>
      <c r="AS16" s="325"/>
      <c r="AT16" s="325"/>
      <c r="AU16" s="38" t="s">
        <v>974</v>
      </c>
      <c r="AV16" s="326"/>
      <c r="AW16" s="326" t="s">
        <v>975</v>
      </c>
      <c r="AX16" s="324"/>
      <c r="AY16" s="327"/>
      <c r="AZ16" s="326"/>
      <c r="BA16" s="324"/>
      <c r="BB16" s="328"/>
      <c r="BC16" s="327"/>
      <c r="BD16" s="325"/>
      <c r="BE16" s="325"/>
      <c r="BF16" s="325"/>
      <c r="BG16" s="325"/>
      <c r="BH16" s="325"/>
      <c r="BI16" s="325"/>
      <c r="BJ16" s="325"/>
      <c r="BK16" s="325"/>
      <c r="BL16" s="325"/>
      <c r="BM16" s="325"/>
      <c r="BN16" s="325"/>
      <c r="BO16" s="325"/>
      <c r="BP16" s="325"/>
      <c r="BQ16" s="325"/>
      <c r="BR16" s="326" t="s">
        <v>975</v>
      </c>
      <c r="BS16" s="325"/>
      <c r="BT16" s="325"/>
      <c r="BU16" s="325"/>
      <c r="BV16" s="326"/>
      <c r="BW16" s="325"/>
      <c r="BX16" s="325"/>
      <c r="BY16" s="325"/>
      <c r="BZ16" s="325"/>
      <c r="CA16" s="325"/>
      <c r="CB16" s="325"/>
      <c r="CC16" s="325"/>
      <c r="CD16" s="325"/>
      <c r="CE16" s="325"/>
      <c r="CF16" s="325"/>
      <c r="CG16" s="325"/>
      <c r="CH16" s="325"/>
      <c r="CI16" s="325"/>
      <c r="CJ16" s="325"/>
      <c r="CK16" s="325"/>
      <c r="CL16" s="325"/>
      <c r="CM16" s="329"/>
      <c r="CN16" s="330"/>
      <c r="CO16" s="331"/>
      <c r="CP16" s="332"/>
      <c r="CQ16" s="287"/>
      <c r="CR16" s="287"/>
      <c r="CS16" s="287"/>
      <c r="CT16" s="287"/>
      <c r="CU16" s="287"/>
      <c r="DB16" s="250"/>
      <c r="DC16" s="288"/>
      <c r="EI16" s="287"/>
      <c r="EJ16" s="287"/>
      <c r="EK16" s="287"/>
      <c r="EL16" s="287"/>
      <c r="EM16" s="287"/>
      <c r="EN16" s="287"/>
      <c r="EO16" s="287"/>
      <c r="EP16" s="287"/>
      <c r="EQ16" s="288"/>
      <c r="ER16" s="288"/>
      <c r="ES16" s="288"/>
      <c r="ET16" s="288"/>
      <c r="EU16" s="288"/>
    </row>
    <row r="17" spans="1:143" ht="14.4" customHeight="1">
      <c r="A17" s="333" t="s">
        <v>746</v>
      </c>
      <c r="B17" s="298" t="s">
        <v>747</v>
      </c>
      <c r="C17" s="334" t="s">
        <v>892</v>
      </c>
      <c r="D17" s="334"/>
      <c r="E17" s="334"/>
      <c r="F17" s="334"/>
      <c r="G17" s="334"/>
      <c r="H17" s="334"/>
      <c r="I17" s="334"/>
      <c r="J17" s="334"/>
      <c r="K17" s="334"/>
      <c r="L17" s="334"/>
      <c r="M17" s="334"/>
      <c r="N17" s="334"/>
      <c r="O17" s="334"/>
      <c r="P17" s="334" t="s">
        <v>892</v>
      </c>
      <c r="Q17" s="334"/>
      <c r="R17" s="334"/>
      <c r="S17" s="334"/>
      <c r="T17" s="334"/>
      <c r="U17" s="334"/>
      <c r="V17" s="334"/>
      <c r="W17" s="334"/>
      <c r="X17" s="334"/>
      <c r="Y17" s="334"/>
      <c r="Z17" s="334"/>
      <c r="AA17" s="334"/>
      <c r="AB17" s="334"/>
      <c r="AC17" s="334"/>
      <c r="AD17" s="334"/>
      <c r="AE17" s="334"/>
      <c r="AF17" s="334"/>
      <c r="AG17" s="334"/>
      <c r="AH17" s="334" t="s">
        <v>892</v>
      </c>
      <c r="AI17" s="334"/>
      <c r="AJ17" s="334"/>
      <c r="AK17" s="334"/>
      <c r="AL17" s="334"/>
      <c r="AM17" s="334"/>
      <c r="AN17" s="334"/>
      <c r="AO17" s="334"/>
      <c r="AP17" s="334"/>
      <c r="AQ17" s="334"/>
      <c r="AR17" s="334"/>
      <c r="AS17" s="334"/>
      <c r="AT17" s="334"/>
      <c r="AU17" s="335" t="s">
        <v>976</v>
      </c>
      <c r="AV17" s="335" t="s">
        <v>977</v>
      </c>
      <c r="AW17" s="336" t="s">
        <v>978</v>
      </c>
      <c r="AX17" s="297"/>
      <c r="AY17" s="297"/>
      <c r="AZ17" s="297"/>
      <c r="BA17" s="297"/>
      <c r="BB17" s="297"/>
      <c r="BC17" s="297"/>
      <c r="BD17" s="297"/>
      <c r="BE17" s="297"/>
      <c r="BF17" s="297"/>
      <c r="BG17" s="297"/>
      <c r="BH17" s="297"/>
      <c r="BI17" s="297"/>
      <c r="BJ17" s="297"/>
      <c r="BK17" s="297"/>
      <c r="BL17" s="297"/>
      <c r="BM17" s="297"/>
      <c r="BN17" s="336"/>
      <c r="BO17" s="297"/>
      <c r="BP17" s="297"/>
      <c r="BQ17" s="297"/>
      <c r="BR17" s="336" t="s">
        <v>978</v>
      </c>
      <c r="BS17" s="297"/>
      <c r="BT17" s="297"/>
      <c r="BU17" s="297"/>
      <c r="BV17" s="297"/>
      <c r="BW17" s="297"/>
      <c r="BX17" s="297"/>
      <c r="BY17" s="297"/>
      <c r="BZ17" s="297"/>
      <c r="CA17" s="297"/>
      <c r="CB17" s="297"/>
      <c r="CC17" s="297"/>
      <c r="CD17" s="297"/>
      <c r="CE17" s="297"/>
      <c r="CF17" s="297"/>
      <c r="CG17" s="297"/>
      <c r="CH17" s="337"/>
      <c r="CI17" s="297"/>
      <c r="CJ17" s="297"/>
      <c r="CK17" s="297"/>
      <c r="CL17" s="297"/>
      <c r="CM17" s="297"/>
      <c r="CN17" s="297"/>
      <c r="CO17" s="338" t="s">
        <v>979</v>
      </c>
      <c r="CP17" s="317"/>
      <c r="CQ17" s="287"/>
      <c r="CR17" s="287"/>
      <c r="CS17" s="287"/>
      <c r="CT17" s="287"/>
      <c r="CU17" s="287"/>
    </row>
    <row r="18" spans="1:143" s="201" customFormat="1" ht="114.75" customHeight="1">
      <c r="A18" s="333"/>
      <c r="B18" s="298"/>
      <c r="C18" s="339" t="s">
        <v>894</v>
      </c>
      <c r="D18" s="339"/>
      <c r="E18" s="339"/>
      <c r="F18" s="339" t="s">
        <v>895</v>
      </c>
      <c r="G18" s="339"/>
      <c r="H18" s="339"/>
      <c r="I18" s="339"/>
      <c r="J18" s="339"/>
      <c r="K18" s="339" t="s">
        <v>896</v>
      </c>
      <c r="L18" s="339"/>
      <c r="M18" s="339"/>
      <c r="N18" s="339"/>
      <c r="O18" s="339"/>
      <c r="P18" s="339" t="s">
        <v>897</v>
      </c>
      <c r="Q18" s="339"/>
      <c r="R18" s="339"/>
      <c r="S18" s="339"/>
      <c r="T18" s="339"/>
      <c r="U18" s="339"/>
      <c r="V18" s="339"/>
      <c r="W18" s="339" t="s">
        <v>898</v>
      </c>
      <c r="X18" s="339"/>
      <c r="Y18" s="339"/>
      <c r="Z18" s="339" t="s">
        <v>899</v>
      </c>
      <c r="AA18" s="339"/>
      <c r="AB18" s="339"/>
      <c r="AC18" s="339" t="s">
        <v>900</v>
      </c>
      <c r="AD18" s="339"/>
      <c r="AE18" s="339" t="s">
        <v>901</v>
      </c>
      <c r="AF18" s="339"/>
      <c r="AG18" s="333" t="s">
        <v>902</v>
      </c>
      <c r="AH18" s="339" t="s">
        <v>903</v>
      </c>
      <c r="AI18" s="339"/>
      <c r="AJ18" s="339"/>
      <c r="AK18" s="339"/>
      <c r="AL18" s="339"/>
      <c r="AM18" s="339"/>
      <c r="AN18" s="339"/>
      <c r="AO18" s="339"/>
      <c r="AP18" s="339"/>
      <c r="AQ18" s="339" t="s">
        <v>904</v>
      </c>
      <c r="AR18" s="339"/>
      <c r="AS18" s="339" t="s">
        <v>905</v>
      </c>
      <c r="AT18" s="339"/>
      <c r="AU18" s="335"/>
      <c r="AV18" s="335"/>
      <c r="AW18" s="340" t="s">
        <v>914</v>
      </c>
      <c r="AX18" s="340" t="s">
        <v>914</v>
      </c>
      <c r="AY18" s="340" t="s">
        <v>914</v>
      </c>
      <c r="AZ18" s="340" t="s">
        <v>895</v>
      </c>
      <c r="BA18" s="340" t="s">
        <v>895</v>
      </c>
      <c r="BB18" s="340" t="s">
        <v>895</v>
      </c>
      <c r="BC18" s="340" t="s">
        <v>895</v>
      </c>
      <c r="BD18" s="340" t="s">
        <v>895</v>
      </c>
      <c r="BE18" s="340" t="s">
        <v>915</v>
      </c>
      <c r="BF18" s="340" t="s">
        <v>915</v>
      </c>
      <c r="BG18" s="340" t="s">
        <v>915</v>
      </c>
      <c r="BH18" s="340" t="s">
        <v>915</v>
      </c>
      <c r="BI18" s="340" t="s">
        <v>915</v>
      </c>
      <c r="BJ18" s="340" t="s">
        <v>916</v>
      </c>
      <c r="BK18" s="340" t="s">
        <v>916</v>
      </c>
      <c r="BL18" s="340" t="s">
        <v>916</v>
      </c>
      <c r="BM18" s="340" t="s">
        <v>916</v>
      </c>
      <c r="BN18" s="340" t="s">
        <v>916</v>
      </c>
      <c r="BO18" s="340" t="s">
        <v>916</v>
      </c>
      <c r="BP18" s="340" t="s">
        <v>916</v>
      </c>
      <c r="BQ18" s="340" t="s">
        <v>898</v>
      </c>
      <c r="BR18" s="340" t="s">
        <v>898</v>
      </c>
      <c r="BS18" s="340" t="s">
        <v>898</v>
      </c>
      <c r="BT18" s="340" t="s">
        <v>899</v>
      </c>
      <c r="BU18" s="340" t="s">
        <v>899</v>
      </c>
      <c r="BV18" s="340" t="s">
        <v>899</v>
      </c>
      <c r="BW18" s="340" t="s">
        <v>900</v>
      </c>
      <c r="BX18" s="340" t="s">
        <v>900</v>
      </c>
      <c r="BY18" s="340" t="s">
        <v>901</v>
      </c>
      <c r="BZ18" s="340" t="s">
        <v>901</v>
      </c>
      <c r="CA18" s="340" t="s">
        <v>917</v>
      </c>
      <c r="CB18" s="340" t="s">
        <v>918</v>
      </c>
      <c r="CC18" s="340" t="s">
        <v>918</v>
      </c>
      <c r="CD18" s="340" t="s">
        <v>918</v>
      </c>
      <c r="CE18" s="340" t="s">
        <v>918</v>
      </c>
      <c r="CF18" s="340" t="s">
        <v>918</v>
      </c>
      <c r="CG18" s="340" t="s">
        <v>918</v>
      </c>
      <c r="CH18" s="340" t="s">
        <v>918</v>
      </c>
      <c r="CI18" s="340" t="s">
        <v>918</v>
      </c>
      <c r="CJ18" s="340" t="s">
        <v>918</v>
      </c>
      <c r="CK18" s="340" t="s">
        <v>904</v>
      </c>
      <c r="CL18" s="340" t="s">
        <v>904</v>
      </c>
      <c r="CM18" s="340" t="s">
        <v>905</v>
      </c>
      <c r="CN18" s="340" t="s">
        <v>905</v>
      </c>
      <c r="CO18" s="338"/>
      <c r="CP18" s="317"/>
      <c r="CQ18" s="287"/>
      <c r="CR18" s="287"/>
      <c r="CS18" s="287"/>
      <c r="CT18" s="287"/>
      <c r="CU18" s="287"/>
      <c r="CV18" s="287"/>
      <c r="CW18" s="287"/>
      <c r="CX18" s="287"/>
      <c r="CY18" s="287"/>
      <c r="CZ18" s="287"/>
      <c r="DA18" s="287"/>
    </row>
    <row r="19" spans="1:143" s="289" customFormat="1" ht="84.65" customHeight="1">
      <c r="A19" s="333"/>
      <c r="B19" s="298"/>
      <c r="C19" s="341" t="s">
        <v>919</v>
      </c>
      <c r="D19" s="341" t="s">
        <v>920</v>
      </c>
      <c r="E19" s="341" t="s">
        <v>921</v>
      </c>
      <c r="F19" s="341" t="s">
        <v>922</v>
      </c>
      <c r="G19" s="341" t="s">
        <v>923</v>
      </c>
      <c r="H19" s="341" t="s">
        <v>924</v>
      </c>
      <c r="I19" s="341" t="s">
        <v>925</v>
      </c>
      <c r="J19" s="341" t="s">
        <v>926</v>
      </c>
      <c r="K19" s="341" t="s">
        <v>927</v>
      </c>
      <c r="L19" s="341" t="s">
        <v>928</v>
      </c>
      <c r="M19" s="341" t="s">
        <v>929</v>
      </c>
      <c r="N19" s="341" t="s">
        <v>930</v>
      </c>
      <c r="O19" s="341" t="s">
        <v>931</v>
      </c>
      <c r="P19" s="341" t="s">
        <v>932</v>
      </c>
      <c r="Q19" s="341" t="s">
        <v>933</v>
      </c>
      <c r="R19" s="341" t="s">
        <v>930</v>
      </c>
      <c r="S19" s="341" t="s">
        <v>931</v>
      </c>
      <c r="T19" s="341" t="s">
        <v>934</v>
      </c>
      <c r="U19" s="341" t="s">
        <v>935</v>
      </c>
      <c r="V19" s="341" t="s">
        <v>936</v>
      </c>
      <c r="W19" s="341" t="s">
        <v>920</v>
      </c>
      <c r="X19" s="341" t="s">
        <v>921</v>
      </c>
      <c r="Y19" s="341" t="s">
        <v>919</v>
      </c>
      <c r="Z19" s="341" t="s">
        <v>937</v>
      </c>
      <c r="AA19" s="341" t="s">
        <v>938</v>
      </c>
      <c r="AB19" s="341" t="s">
        <v>939</v>
      </c>
      <c r="AC19" s="341" t="s">
        <v>938</v>
      </c>
      <c r="AD19" s="341" t="s">
        <v>937</v>
      </c>
      <c r="AE19" s="341" t="s">
        <v>940</v>
      </c>
      <c r="AF19" s="341" t="s">
        <v>941</v>
      </c>
      <c r="AG19" s="333"/>
      <c r="AH19" s="341" t="s">
        <v>942</v>
      </c>
      <c r="AI19" s="341" t="s">
        <v>943</v>
      </c>
      <c r="AJ19" s="341" t="s">
        <v>944</v>
      </c>
      <c r="AK19" s="341" t="s">
        <v>945</v>
      </c>
      <c r="AL19" s="341" t="s">
        <v>946</v>
      </c>
      <c r="AM19" s="341" t="s">
        <v>947</v>
      </c>
      <c r="AN19" s="341" t="s">
        <v>948</v>
      </c>
      <c r="AO19" s="341" t="s">
        <v>949</v>
      </c>
      <c r="AP19" s="341" t="s">
        <v>950</v>
      </c>
      <c r="AQ19" s="341" t="s">
        <v>938</v>
      </c>
      <c r="AR19" s="341" t="s">
        <v>937</v>
      </c>
      <c r="AS19" s="341" t="s">
        <v>951</v>
      </c>
      <c r="AT19" s="341" t="s">
        <v>952</v>
      </c>
      <c r="AU19" s="335"/>
      <c r="AV19" s="335"/>
      <c r="AW19" s="340" t="s">
        <v>919</v>
      </c>
      <c r="AX19" s="340" t="s">
        <v>920</v>
      </c>
      <c r="AY19" s="340" t="s">
        <v>921</v>
      </c>
      <c r="AZ19" s="340" t="s">
        <v>922</v>
      </c>
      <c r="BA19" s="340" t="s">
        <v>923</v>
      </c>
      <c r="BB19" s="340" t="s">
        <v>924</v>
      </c>
      <c r="BC19" s="340" t="s">
        <v>925</v>
      </c>
      <c r="BD19" s="340" t="s">
        <v>926</v>
      </c>
      <c r="BE19" s="340" t="s">
        <v>927</v>
      </c>
      <c r="BF19" s="340" t="s">
        <v>928</v>
      </c>
      <c r="BG19" s="340" t="s">
        <v>929</v>
      </c>
      <c r="BH19" s="340" t="s">
        <v>930</v>
      </c>
      <c r="BI19" s="340" t="s">
        <v>931</v>
      </c>
      <c r="BJ19" s="340" t="s">
        <v>932</v>
      </c>
      <c r="BK19" s="340" t="s">
        <v>933</v>
      </c>
      <c r="BL19" s="340" t="s">
        <v>930</v>
      </c>
      <c r="BM19" s="340" t="s">
        <v>931</v>
      </c>
      <c r="BN19" s="340" t="s">
        <v>934</v>
      </c>
      <c r="BO19" s="340" t="s">
        <v>935</v>
      </c>
      <c r="BP19" s="340" t="s">
        <v>936</v>
      </c>
      <c r="BQ19" s="340" t="s">
        <v>920</v>
      </c>
      <c r="BR19" s="340" t="s">
        <v>921</v>
      </c>
      <c r="BS19" s="340" t="s">
        <v>919</v>
      </c>
      <c r="BT19" s="340" t="s">
        <v>937</v>
      </c>
      <c r="BU19" s="340" t="s">
        <v>938</v>
      </c>
      <c r="BV19" s="340" t="s">
        <v>939</v>
      </c>
      <c r="BW19" s="340" t="s">
        <v>938</v>
      </c>
      <c r="BX19" s="340" t="s">
        <v>937</v>
      </c>
      <c r="BY19" s="340" t="s">
        <v>940</v>
      </c>
      <c r="BZ19" s="340" t="s">
        <v>941</v>
      </c>
      <c r="CA19" s="340" t="s">
        <v>959</v>
      </c>
      <c r="CB19" s="340" t="s">
        <v>942</v>
      </c>
      <c r="CC19" s="340" t="s">
        <v>943</v>
      </c>
      <c r="CD19" s="340" t="s">
        <v>944</v>
      </c>
      <c r="CE19" s="340" t="s">
        <v>945</v>
      </c>
      <c r="CF19" s="340" t="s">
        <v>946</v>
      </c>
      <c r="CG19" s="340" t="s">
        <v>947</v>
      </c>
      <c r="CH19" s="340" t="s">
        <v>948</v>
      </c>
      <c r="CI19" s="340" t="s">
        <v>949</v>
      </c>
      <c r="CJ19" s="340" t="s">
        <v>950</v>
      </c>
      <c r="CK19" s="340" t="s">
        <v>938</v>
      </c>
      <c r="CL19" s="340" t="s">
        <v>937</v>
      </c>
      <c r="CM19" s="340" t="s">
        <v>951</v>
      </c>
      <c r="CN19" s="340" t="s">
        <v>952</v>
      </c>
      <c r="CO19" s="338"/>
      <c r="CP19" s="317"/>
      <c r="CQ19" s="287"/>
      <c r="CR19" s="287"/>
      <c r="CS19" s="287"/>
      <c r="CT19" s="287"/>
      <c r="CU19" s="287"/>
      <c r="CV19" s="287"/>
      <c r="CW19" s="287"/>
      <c r="CX19" s="287"/>
      <c r="CY19" s="287"/>
      <c r="CZ19" s="287"/>
      <c r="DA19" s="287"/>
    </row>
    <row r="20" spans="1:143">
      <c r="A20" s="342" t="str">
        <f>IF('Fitting Data'!A13&lt;&gt;"",'Fitting Data'!A13,"")</f>
        <v/>
      </c>
      <c r="B20" s="343" t="str">
        <f>IF($A20="","",INDEX('Tank Data'!$1:$1048576,MATCH($A20,'Tank Data'!$A:$A,0),MATCH(B$17,'Tank Data'!$9:$9,0)))</f>
        <v/>
      </c>
      <c r="C20" s="344" t="str">
        <f>IF($A20="","",IF('Fitting Data'!$B13&lt;&gt;"Typical",'Fitting Data'!C13,'Fitting Data'!BG13))</f>
        <v/>
      </c>
      <c r="D20" s="344" t="str">
        <f>IF($A20="","",IF('Fitting Data'!$B13&lt;&gt;"Typical",'Fitting Data'!D13,'Fitting Data'!BH13))</f>
        <v/>
      </c>
      <c r="E20" s="344" t="str">
        <f>IF($A20="","",IF('Fitting Data'!$B13&lt;&gt;"Typical",'Fitting Data'!E13,'Fitting Data'!BI13))</f>
        <v/>
      </c>
      <c r="F20" s="344" t="str">
        <f>IF($A20="","",IF('Fitting Data'!$B13&lt;&gt;"Typical",'Fitting Data'!F13,'Fitting Data'!BJ13))</f>
        <v/>
      </c>
      <c r="G20" s="344" t="str">
        <f>IF($A20="","",IF('Fitting Data'!$B13&lt;&gt;"Typical",'Fitting Data'!G13,'Fitting Data'!BK13))</f>
        <v/>
      </c>
      <c r="H20" s="344" t="str">
        <f>IF($A20="","",IF('Fitting Data'!$B13&lt;&gt;"Typical",'Fitting Data'!H13,'Fitting Data'!BL13))</f>
        <v/>
      </c>
      <c r="I20" s="344" t="str">
        <f>IF($A20="","",IF('Fitting Data'!$B13&lt;&gt;"Typical",'Fitting Data'!I13,'Fitting Data'!BM13))</f>
        <v/>
      </c>
      <c r="J20" s="344" t="str">
        <f>IF($A20="","",IF('Fitting Data'!$B13&lt;&gt;"Typical",'Fitting Data'!J13,'Fitting Data'!BN13))</f>
        <v/>
      </c>
      <c r="K20" s="344" t="str">
        <f>IF($A20="","",IF('Fitting Data'!$B13&lt;&gt;"Typical",'Fitting Data'!K13,'Fitting Data'!BO13))</f>
        <v/>
      </c>
      <c r="L20" s="344" t="str">
        <f>IF($A20="","",IF('Fitting Data'!$B13&lt;&gt;"Typical",'Fitting Data'!L13,'Fitting Data'!BP13))</f>
        <v/>
      </c>
      <c r="M20" s="344" t="str">
        <f>IF($A20="","",IF('Fitting Data'!$B13&lt;&gt;"Typical",'Fitting Data'!M13,'Fitting Data'!BQ13))</f>
        <v/>
      </c>
      <c r="N20" s="344" t="str">
        <f>IF($A20="","",IF('Fitting Data'!$B13&lt;&gt;"Typical",'Fitting Data'!N13,'Fitting Data'!BR13))</f>
        <v/>
      </c>
      <c r="O20" s="344" t="str">
        <f>IF($A20="","",IF('Fitting Data'!$B13&lt;&gt;"Typical",'Fitting Data'!O13,'Fitting Data'!BS13))</f>
        <v/>
      </c>
      <c r="P20" s="344" t="str">
        <f>IF($A20="","",IF('Fitting Data'!$B13&lt;&gt;"Typical",'Fitting Data'!P13,'Fitting Data'!BT13))</f>
        <v/>
      </c>
      <c r="Q20" s="344" t="str">
        <f>IF($A20="","",IF('Fitting Data'!$B13&lt;&gt;"Typical",'Fitting Data'!Q13,'Fitting Data'!BU13))</f>
        <v/>
      </c>
      <c r="R20" s="344" t="str">
        <f>IF($A20="","",IF('Fitting Data'!$B13&lt;&gt;"Typical",'Fitting Data'!R13,'Fitting Data'!BV13))</f>
        <v/>
      </c>
      <c r="S20" s="344" t="str">
        <f>IF($A20="","",IF('Fitting Data'!$B13&lt;&gt;"Typical",'Fitting Data'!S13,'Fitting Data'!BW13))</f>
        <v/>
      </c>
      <c r="T20" s="344" t="str">
        <f>IF($A20="","",IF('Fitting Data'!$B13&lt;&gt;"Typical",'Fitting Data'!T13,'Fitting Data'!BX13))</f>
        <v/>
      </c>
      <c r="U20" s="344" t="str">
        <f>IF($A20="","",IF('Fitting Data'!$B13&lt;&gt;"Typical",'Fitting Data'!U13,'Fitting Data'!BY13))</f>
        <v/>
      </c>
      <c r="V20" s="344" t="str">
        <f>IF($A20="","",IF('Fitting Data'!$B13&lt;&gt;"Typical",'Fitting Data'!V13,'Fitting Data'!BZ13))</f>
        <v/>
      </c>
      <c r="W20" s="344" t="str">
        <f>IF($A20="","",IF('Fitting Data'!$B13&lt;&gt;"Typical",'Fitting Data'!W13,'Fitting Data'!CA13))</f>
        <v/>
      </c>
      <c r="X20" s="344" t="str">
        <f>IF($A20="","",IF('Fitting Data'!$B13&lt;&gt;"Typical",'Fitting Data'!X13,'Fitting Data'!CB13))</f>
        <v/>
      </c>
      <c r="Y20" s="344" t="str">
        <f>IF($A20="","",IF('Fitting Data'!$B13&lt;&gt;"Typical",'Fitting Data'!Y13,'Fitting Data'!CC13))</f>
        <v/>
      </c>
      <c r="Z20" s="344" t="str">
        <f>IF($A20="","",IF('Fitting Data'!$B13&lt;&gt;"Typical",'Fitting Data'!Z13,'Fitting Data'!CD13))</f>
        <v/>
      </c>
      <c r="AA20" s="344" t="str">
        <f>IF($A20="","",IF('Fitting Data'!$B13&lt;&gt;"Typical",'Fitting Data'!AA13,'Fitting Data'!CE13))</f>
        <v/>
      </c>
      <c r="AB20" s="344" t="str">
        <f>IF($A20="","",IF('Fitting Data'!$B13&lt;&gt;"Typical",'Fitting Data'!AB13,'Fitting Data'!CF13))</f>
        <v/>
      </c>
      <c r="AC20" s="344" t="str">
        <f>IF($A20="","",IF('Fitting Data'!$B13&lt;&gt;"Typical",'Fitting Data'!AC13,'Fitting Data'!CG13))</f>
        <v/>
      </c>
      <c r="AD20" s="344" t="str">
        <f>IF($A20="","",IF('Fitting Data'!$B13&lt;&gt;"Typical",'Fitting Data'!AD13,'Fitting Data'!CH13))</f>
        <v/>
      </c>
      <c r="AE20" s="344" t="str">
        <f>IF($A20="","",IF('Fitting Data'!$B13&lt;&gt;"Typical",'Fitting Data'!AE13,'Fitting Data'!CI13))</f>
        <v/>
      </c>
      <c r="AF20" s="344" t="str">
        <f>IF($A20="","",IF('Fitting Data'!$B13&lt;&gt;"Typical",'Fitting Data'!AF13,'Fitting Data'!CJ13))</f>
        <v/>
      </c>
      <c r="AG20" s="344" t="str">
        <f>IF($A20="","",IF('Fitting Data'!$B13&lt;&gt;"Typical",'Fitting Data'!AG13,'Fitting Data'!CK13))</f>
        <v/>
      </c>
      <c r="AH20" s="344" t="str">
        <f>IF($A20="","",IF('Fitting Data'!$B13&lt;&gt;"Typical",'Fitting Data'!AH13,'Fitting Data'!CL13))</f>
        <v/>
      </c>
      <c r="AI20" s="344" t="str">
        <f>IF($A20="","",IF('Fitting Data'!$B13&lt;&gt;"Typical",'Fitting Data'!AI13,'Fitting Data'!CM13))</f>
        <v/>
      </c>
      <c r="AJ20" s="344" t="str">
        <f>IF($A20="","",IF('Fitting Data'!$B13&lt;&gt;"Typical",'Fitting Data'!AJ13,'Fitting Data'!CN13))</f>
        <v/>
      </c>
      <c r="AK20" s="344" t="str">
        <f>IF($A20="","",IF('Fitting Data'!$B13&lt;&gt;"Typical",'Fitting Data'!AK13,'Fitting Data'!CO13))</f>
        <v/>
      </c>
      <c r="AL20" s="344" t="str">
        <f>IF($A20="","",IF('Fitting Data'!$B13&lt;&gt;"Typical",'Fitting Data'!AL13,'Fitting Data'!CP13))</f>
        <v/>
      </c>
      <c r="AM20" s="344" t="str">
        <f>IF($A20="","",IF('Fitting Data'!$B13&lt;&gt;"Typical",'Fitting Data'!AM13,'Fitting Data'!CQ13))</f>
        <v/>
      </c>
      <c r="AN20" s="344" t="str">
        <f>IF($A20="","",IF('Fitting Data'!$B13&lt;&gt;"Typical",'Fitting Data'!AN13,'Fitting Data'!CR13))</f>
        <v/>
      </c>
      <c r="AO20" s="344" t="str">
        <f>IF($A20="","",IF('Fitting Data'!$B13&lt;&gt;"Typical",'Fitting Data'!AO13,'Fitting Data'!CS13))</f>
        <v/>
      </c>
      <c r="AP20" s="344" t="str">
        <f>IF($A20="","",IF('Fitting Data'!$B13&lt;&gt;"Typical",'Fitting Data'!AP13,'Fitting Data'!CT13))</f>
        <v/>
      </c>
      <c r="AQ20" s="344" t="str">
        <f>IF($A20="","",IF('Fitting Data'!$B13&lt;&gt;"Typical",'Fitting Data'!AQ13,'Fitting Data'!CU13))</f>
        <v/>
      </c>
      <c r="AR20" s="344" t="str">
        <f>IF($A20="","",IF('Fitting Data'!$B13&lt;&gt;"Typical",'Fitting Data'!AR13,'Fitting Data'!CV13))</f>
        <v/>
      </c>
      <c r="AS20" s="344" t="str">
        <f>IF($A20="","",IF('Fitting Data'!$B13&lt;&gt;"Typical",'Fitting Data'!AS13,'Fitting Data'!CW13))</f>
        <v/>
      </c>
      <c r="AT20" s="344" t="str">
        <f>IF($A20="","",IF('Fitting Data'!$B13&lt;&gt;"Typical",'Fitting Data'!AT13,'Fitting Data'!CX13))</f>
        <v/>
      </c>
      <c r="AU20" s="345" t="str">
        <f>IF($A20="","",IF($B20="EFR",'Met Data'!$H$23,0))</f>
        <v/>
      </c>
      <c r="AV20" s="346" t="str">
        <f t="shared" ref="AV20:AV29" si="4">IF($A20="","",IF($B20="EFR",0.7,0))</f>
        <v/>
      </c>
      <c r="AW20" s="347" t="str">
        <f>IF($A20="","",C20*(SUMIFS('Reference Tables'!$C$879:$C$925,'Reference Tables'!$A$879:$A$925,AW$18,'Reference Tables'!$B$879:$B$925,AW$19)+IF($B20="EFR",SUMIFS('Reference Tables'!$D$879:$D$925,'Reference Tables'!$A$879:$A$925,AW$18,'Reference Tables'!$B$879:$B$925,AW$19)*($AU20*$AV20)^(SUMIFS('Reference Tables'!$E$879:$E$925,'Reference Tables'!$A$879:$A$925,AW$18,'Reference Tables'!$B$879:$B$925,AW$19)),0)))</f>
        <v/>
      </c>
      <c r="AX20" s="347" t="str">
        <f>IF($A20="","",D20*(SUMIFS('Reference Tables'!$C$879:$C$925,'Reference Tables'!$A$879:$A$925,AX$18,'Reference Tables'!$B$879:$B$925,AX$19)+IF($B20="EFR",SUMIFS('Reference Tables'!$D$879:$D$925,'Reference Tables'!$A$879:$A$925,AX$18,'Reference Tables'!$B$879:$B$925,AX$19)*($AU20*$AV20)^(SUMIFS('Reference Tables'!$E$879:$E$925,'Reference Tables'!$A$879:$A$925,AX$18,'Reference Tables'!$B$879:$B$925,AX$19)),0)))</f>
        <v/>
      </c>
      <c r="AY20" s="347" t="str">
        <f>IF($A20="","",E20*(SUMIFS('Reference Tables'!$C$879:$C$925,'Reference Tables'!$A$879:$A$925,AY$18,'Reference Tables'!$B$879:$B$925,AY$19)+IF($B20="EFR",SUMIFS('Reference Tables'!$D$879:$D$925,'Reference Tables'!$A$879:$A$925,AY$18,'Reference Tables'!$B$879:$B$925,AY$19)*($AU20*$AV20)^(SUMIFS('Reference Tables'!$E$879:$E$925,'Reference Tables'!$A$879:$A$925,AY$18,'Reference Tables'!$B$879:$B$925,AY$19)),0)))</f>
        <v/>
      </c>
      <c r="AZ20" s="347" t="str">
        <f>IF($A20="","",F20*(SUMIFS('Reference Tables'!$C$879:$C$925,'Reference Tables'!$A$879:$A$925,AZ$18,'Reference Tables'!$B$879:$B$925,AZ$19)+IF($B20="EFR",SUMIFS('Reference Tables'!$D$879:$D$925,'Reference Tables'!$A$879:$A$925,AZ$18,'Reference Tables'!$B$879:$B$925,AZ$19)*($AU20*$AV20)^(SUMIFS('Reference Tables'!$E$879:$E$925,'Reference Tables'!$A$879:$A$925,AZ$18,'Reference Tables'!$B$879:$B$925,AZ$19)),0)))</f>
        <v/>
      </c>
      <c r="BA20" s="347" t="str">
        <f>IF($A20="","",G20*(SUMIFS('Reference Tables'!$C$879:$C$925,'Reference Tables'!$A$879:$A$925,BA$18,'Reference Tables'!$B$879:$B$925,BA$19)+IF($B20="EFR",SUMIFS('Reference Tables'!$D$879:$D$925,'Reference Tables'!$A$879:$A$925,BA$18,'Reference Tables'!$B$879:$B$925,BA$19)*($AU20*$AV20)^(SUMIFS('Reference Tables'!$E$879:$E$925,'Reference Tables'!$A$879:$A$925,BA$18,'Reference Tables'!$B$879:$B$925,BA$19)),0)))</f>
        <v/>
      </c>
      <c r="BB20" s="347" t="str">
        <f>IF($A20="","",H20*(SUMIFS('Reference Tables'!$C$879:$C$925,'Reference Tables'!$A$879:$A$925,BB$18,'Reference Tables'!$B$879:$B$925,BB$19)+IF($B20="EFR",SUMIFS('Reference Tables'!$D$879:$D$925,'Reference Tables'!$A$879:$A$925,BB$18,'Reference Tables'!$B$879:$B$925,BB$19)*($AU20*$AV20)^(SUMIFS('Reference Tables'!$E$879:$E$925,'Reference Tables'!$A$879:$A$925,BB$18,'Reference Tables'!$B$879:$B$925,BB$19)),0)))</f>
        <v/>
      </c>
      <c r="BC20" s="347" t="str">
        <f>IF($A20="","",I20*(SUMIFS('Reference Tables'!$C$879:$C$925,'Reference Tables'!$A$879:$A$925,BC$18,'Reference Tables'!$B$879:$B$925,BC$19)+IF($B20="EFR",SUMIFS('Reference Tables'!$D$879:$D$925,'Reference Tables'!$A$879:$A$925,BC$18,'Reference Tables'!$B$879:$B$925,BC$19)*($AU20*$AV20)^(SUMIFS('Reference Tables'!$E$879:$E$925,'Reference Tables'!$A$879:$A$925,BC$18,'Reference Tables'!$B$879:$B$925,BC$19)),0)))</f>
        <v/>
      </c>
      <c r="BD20" s="347" t="str">
        <f>IF($A20="","",J20*(SUMIFS('Reference Tables'!$C$879:$C$925,'Reference Tables'!$A$879:$A$925,BD$18,'Reference Tables'!$B$879:$B$925,BD$19)+IF($B20="EFR",SUMIFS('Reference Tables'!$D$879:$D$925,'Reference Tables'!$A$879:$A$925,BD$18,'Reference Tables'!$B$879:$B$925,BD$19)*($AU20*$AV20)^(SUMIFS('Reference Tables'!$E$879:$E$925,'Reference Tables'!$A$879:$A$925,BD$18,'Reference Tables'!$B$879:$B$925,BD$19)),0)))</f>
        <v/>
      </c>
      <c r="BE20" s="347" t="str">
        <f>IF($A20="","",K20*(SUMIFS('Reference Tables'!$C$879:$C$925,'Reference Tables'!$A$879:$A$925,BE$18,'Reference Tables'!$B$879:$B$925,BE$19)+IF($B20="EFR",SUMIFS('Reference Tables'!$D$879:$D$925,'Reference Tables'!$A$879:$A$925,BE$18,'Reference Tables'!$B$879:$B$925,BE$19)*($AU20*$AV20)^(SUMIFS('Reference Tables'!$E$879:$E$925,'Reference Tables'!$A$879:$A$925,BE$18,'Reference Tables'!$B$879:$B$925,BE$19)),0)))</f>
        <v/>
      </c>
      <c r="BF20" s="347" t="str">
        <f>IF($A20="","",L20*(SUMIFS('Reference Tables'!$C$879:$C$925,'Reference Tables'!$A$879:$A$925,BF$18,'Reference Tables'!$B$879:$B$925,BF$19)+IF($B20="EFR",SUMIFS('Reference Tables'!$D$879:$D$925,'Reference Tables'!$A$879:$A$925,BF$18,'Reference Tables'!$B$879:$B$925,BF$19)*($AU20*$AV20)^(SUMIFS('Reference Tables'!$E$879:$E$925,'Reference Tables'!$A$879:$A$925,BF$18,'Reference Tables'!$B$879:$B$925,BF$19)),0)))</f>
        <v/>
      </c>
      <c r="BG20" s="347" t="str">
        <f>IF($A20="","",M20*(SUMIFS('Reference Tables'!$C$879:$C$925,'Reference Tables'!$A$879:$A$925,BG$18,'Reference Tables'!$B$879:$B$925,BG$19)+IF($B20="EFR",SUMIFS('Reference Tables'!$D$879:$D$925,'Reference Tables'!$A$879:$A$925,BG$18,'Reference Tables'!$B$879:$B$925,BG$19)*($AU20*$AV20)^(SUMIFS('Reference Tables'!$E$879:$E$925,'Reference Tables'!$A$879:$A$925,BG$18,'Reference Tables'!$B$879:$B$925,BG$19)),0)))</f>
        <v/>
      </c>
      <c r="BH20" s="347" t="str">
        <f>IF($A20="","",N20*(SUMIFS('Reference Tables'!$C$879:$C$925,'Reference Tables'!$A$879:$A$925,BH$18,'Reference Tables'!$B$879:$B$925,BH$19)+IF($B20="EFR",SUMIFS('Reference Tables'!$D$879:$D$925,'Reference Tables'!$A$879:$A$925,BH$18,'Reference Tables'!$B$879:$B$925,BH$19)*($AU20*$AV20)^(SUMIFS('Reference Tables'!$E$879:$E$925,'Reference Tables'!$A$879:$A$925,BH$18,'Reference Tables'!$B$879:$B$925,BH$19)),0)))</f>
        <v/>
      </c>
      <c r="BI20" s="347" t="str">
        <f>IF($A20="","",O20*(SUMIFS('Reference Tables'!$C$879:$C$925,'Reference Tables'!$A$879:$A$925,BI$18,'Reference Tables'!$B$879:$B$925,BI$19)+IF($B20="EFR",SUMIFS('Reference Tables'!$D$879:$D$925,'Reference Tables'!$A$879:$A$925,BI$18,'Reference Tables'!$B$879:$B$925,BI$19)*($AU20*$AV20)^(SUMIFS('Reference Tables'!$E$879:$E$925,'Reference Tables'!$A$879:$A$925,BI$18,'Reference Tables'!$B$879:$B$925,BI$19)),0)))</f>
        <v/>
      </c>
      <c r="BJ20" s="347" t="str">
        <f>IF($A20="","",P20*(SUMIFS('Reference Tables'!$C$879:$C$925,'Reference Tables'!$A$879:$A$925,BJ$18,'Reference Tables'!$B$879:$B$925,BJ$19)+IF($B20="EFR",SUMIFS('Reference Tables'!$D$879:$D$925,'Reference Tables'!$A$879:$A$925,BJ$18,'Reference Tables'!$B$879:$B$925,BJ$19)*($AU20*$AV20)^(SUMIFS('Reference Tables'!$E$879:$E$925,'Reference Tables'!$A$879:$A$925,BJ$18,'Reference Tables'!$B$879:$B$925,BJ$19)),0)))</f>
        <v/>
      </c>
      <c r="BK20" s="347" t="str">
        <f>IF($A20="","",Q20*(SUMIFS('Reference Tables'!$C$879:$C$925,'Reference Tables'!$A$879:$A$925,BK$18,'Reference Tables'!$B$879:$B$925,BK$19)+IF($B20="EFR",SUMIFS('Reference Tables'!$D$879:$D$925,'Reference Tables'!$A$879:$A$925,BK$18,'Reference Tables'!$B$879:$B$925,BK$19)*($AU20*$AV20)^(SUMIFS('Reference Tables'!$E$879:$E$925,'Reference Tables'!$A$879:$A$925,BK$18,'Reference Tables'!$B$879:$B$925,BK$19)),0)))</f>
        <v/>
      </c>
      <c r="BL20" s="347" t="str">
        <f>IF($A20="","",R20*(SUMIFS('Reference Tables'!$C$879:$C$925,'Reference Tables'!$A$879:$A$925,BL$18,'Reference Tables'!$B$879:$B$925,BL$19)+IF($B20="EFR",SUMIFS('Reference Tables'!$D$879:$D$925,'Reference Tables'!$A$879:$A$925,BL$18,'Reference Tables'!$B$879:$B$925,BL$19)*($AU20*$AV20)^(SUMIFS('Reference Tables'!$E$879:$E$925,'Reference Tables'!$A$879:$A$925,BL$18,'Reference Tables'!$B$879:$B$925,BL$19)),0)))</f>
        <v/>
      </c>
      <c r="BM20" s="347" t="str">
        <f>IF($A20="","",S20*(SUMIFS('Reference Tables'!$C$879:$C$925,'Reference Tables'!$A$879:$A$925,BM$18,'Reference Tables'!$B$879:$B$925,BM$19)+IF($B20="EFR",SUMIFS('Reference Tables'!$D$879:$D$925,'Reference Tables'!$A$879:$A$925,BM$18,'Reference Tables'!$B$879:$B$925,BM$19)*($AU20*$AV20)^(SUMIFS('Reference Tables'!$E$879:$E$925,'Reference Tables'!$A$879:$A$925,BM$18,'Reference Tables'!$B$879:$B$925,BM$19)),0)))</f>
        <v/>
      </c>
      <c r="BN20" s="347" t="str">
        <f>IF($A20="","",T20*(SUMIFS('Reference Tables'!$C$879:$C$925,'Reference Tables'!$A$879:$A$925,BN$18,'Reference Tables'!$B$879:$B$925,BN$19)+IF($B20="EFR",SUMIFS('Reference Tables'!$D$879:$D$925,'Reference Tables'!$A$879:$A$925,BN$18,'Reference Tables'!$B$879:$B$925,BN$19)*($AU20*$AV20)^(SUMIFS('Reference Tables'!$E$879:$E$925,'Reference Tables'!$A$879:$A$925,BN$18,'Reference Tables'!$B$879:$B$925,BN$19)),0)))</f>
        <v/>
      </c>
      <c r="BO20" s="347" t="str">
        <f>IF($A20="","",U20*(SUMIFS('Reference Tables'!$C$879:$C$925,'Reference Tables'!$A$879:$A$925,BO$18,'Reference Tables'!$B$879:$B$925,BO$19)+IF($B20="EFR",SUMIFS('Reference Tables'!$D$879:$D$925,'Reference Tables'!$A$879:$A$925,BO$18,'Reference Tables'!$B$879:$B$925,BO$19)*($AU20*$AV20)^(SUMIFS('Reference Tables'!$E$879:$E$925,'Reference Tables'!$A$879:$A$925,BO$18,'Reference Tables'!$B$879:$B$925,BO$19)),0)))</f>
        <v/>
      </c>
      <c r="BP20" s="347" t="str">
        <f>IF($A20="","",V20*(SUMIFS('Reference Tables'!$C$879:$C$925,'Reference Tables'!$A$879:$A$925,BP$18,'Reference Tables'!$B$879:$B$925,BP$19)+IF($B20="EFR",SUMIFS('Reference Tables'!$D$879:$D$925,'Reference Tables'!$A$879:$A$925,BP$18,'Reference Tables'!$B$879:$B$925,BP$19)*($AU20*$AV20)^(SUMIFS('Reference Tables'!$E$879:$E$925,'Reference Tables'!$A$879:$A$925,BP$18,'Reference Tables'!$B$879:$B$925,BP$19)),0)))</f>
        <v/>
      </c>
      <c r="BQ20" s="347" t="str">
        <f>IF($A20="","",W20*(SUMIFS('Reference Tables'!$C$879:$C$925,'Reference Tables'!$A$879:$A$925,BQ$18,'Reference Tables'!$B$879:$B$925,BQ$19)+IF($B20="EFR",SUMIFS('Reference Tables'!$D$879:$D$925,'Reference Tables'!$A$879:$A$925,BQ$18,'Reference Tables'!$B$879:$B$925,BQ$19)*($AU20*$AV20)^(SUMIFS('Reference Tables'!$E$879:$E$925,'Reference Tables'!$A$879:$A$925,BQ$18,'Reference Tables'!$B$879:$B$925,BQ$19)),0)))</f>
        <v/>
      </c>
      <c r="BR20" s="347" t="str">
        <f>IF($A20="","",X20*(SUMIFS('Reference Tables'!$C$879:$C$925,'Reference Tables'!$A$879:$A$925,BR$18,'Reference Tables'!$B$879:$B$925,BR$19)+IF($B20="EFR",SUMIFS('Reference Tables'!$D$879:$D$925,'Reference Tables'!$A$879:$A$925,BR$18,'Reference Tables'!$B$879:$B$925,BR$19)*($AU20*$AV20)^(SUMIFS('Reference Tables'!$E$879:$E$925,'Reference Tables'!$A$879:$A$925,BR$18,'Reference Tables'!$B$879:$B$925,BR$19)),0)))</f>
        <v/>
      </c>
      <c r="BS20" s="347" t="str">
        <f>IF($A20="","",Y20*(SUMIFS('Reference Tables'!$C$879:$C$925,'Reference Tables'!$A$879:$A$925,BS$18,'Reference Tables'!$B$879:$B$925,BS$19)+IF($B20="EFR",SUMIFS('Reference Tables'!$D$879:$D$925,'Reference Tables'!$A$879:$A$925,BS$18,'Reference Tables'!$B$879:$B$925,BS$19)*($AU20*$AV20)^(SUMIFS('Reference Tables'!$E$879:$E$925,'Reference Tables'!$A$879:$A$925,BS$18,'Reference Tables'!$B$879:$B$925,BS$19)),0)))</f>
        <v/>
      </c>
      <c r="BT20" s="347" t="str">
        <f>IF($A20="","",Z20*(SUMIFS('Reference Tables'!$C$879:$C$925,'Reference Tables'!$A$879:$A$925,BT$18,'Reference Tables'!$B$879:$B$925,BT$19)+IF($B20="EFR",SUMIFS('Reference Tables'!$D$879:$D$925,'Reference Tables'!$A$879:$A$925,BT$18,'Reference Tables'!$B$879:$B$925,BT$19)*($AU20*$AV20)^(SUMIFS('Reference Tables'!$E$879:$E$925,'Reference Tables'!$A$879:$A$925,BT$18,'Reference Tables'!$B$879:$B$925,BT$19)),0)))</f>
        <v/>
      </c>
      <c r="BU20" s="347" t="str">
        <f>IF($A20="","",AA20*(SUMIFS('Reference Tables'!$C$879:$C$925,'Reference Tables'!$A$879:$A$925,BU$18,'Reference Tables'!$B$879:$B$925,BU$19)+IF($B20="EFR",SUMIFS('Reference Tables'!$D$879:$D$925,'Reference Tables'!$A$879:$A$925,BU$18,'Reference Tables'!$B$879:$B$925,BU$19)*($AU20*$AV20)^(SUMIFS('Reference Tables'!$E$879:$E$925,'Reference Tables'!$A$879:$A$925,BU$18,'Reference Tables'!$B$879:$B$925,BU$19)),0)))</f>
        <v/>
      </c>
      <c r="BV20" s="347" t="str">
        <f>IF($A20="","",AB20*(SUMIFS('Reference Tables'!$C$879:$C$925,'Reference Tables'!$A$879:$A$925,BV$18,'Reference Tables'!$B$879:$B$925,BV$19)+IF($B20="EFR",SUMIFS('Reference Tables'!$D$879:$D$925,'Reference Tables'!$A$879:$A$925,BV$18,'Reference Tables'!$B$879:$B$925,BV$19)*($AU20*$AV20)^(SUMIFS('Reference Tables'!$E$879:$E$925,'Reference Tables'!$A$879:$A$925,BV$18,'Reference Tables'!$B$879:$B$925,BV$19)),0)))</f>
        <v/>
      </c>
      <c r="BW20" s="347" t="str">
        <f>IF($A20="","",AC20*(SUMIFS('Reference Tables'!$C$879:$C$925,'Reference Tables'!$A$879:$A$925,BW$18,'Reference Tables'!$B$879:$B$925,BW$19)+IF($B20="EFR",SUMIFS('Reference Tables'!$D$879:$D$925,'Reference Tables'!$A$879:$A$925,BW$18,'Reference Tables'!$B$879:$B$925,BW$19)*($AU20*$AV20)^(SUMIFS('Reference Tables'!$E$879:$E$925,'Reference Tables'!$A$879:$A$925,BW$18,'Reference Tables'!$B$879:$B$925,BW$19)),0)))</f>
        <v/>
      </c>
      <c r="BX20" s="347" t="str">
        <f>IF($A20="","",AD20*(SUMIFS('Reference Tables'!$C$879:$C$925,'Reference Tables'!$A$879:$A$925,BX$18,'Reference Tables'!$B$879:$B$925,BX$19)+IF($B20="EFR",SUMIFS('Reference Tables'!$D$879:$D$925,'Reference Tables'!$A$879:$A$925,BX$18,'Reference Tables'!$B$879:$B$925,BX$19)*($AU20*$AV20)^(SUMIFS('Reference Tables'!$E$879:$E$925,'Reference Tables'!$A$879:$A$925,BX$18,'Reference Tables'!$B$879:$B$925,BX$19)),0)))</f>
        <v/>
      </c>
      <c r="BY20" s="347" t="str">
        <f>IF($A20="","",AE20*(SUMIFS('Reference Tables'!$C$879:$C$925,'Reference Tables'!$A$879:$A$925,BY$18,'Reference Tables'!$B$879:$B$925,BY$19)+IF($B20="EFR",SUMIFS('Reference Tables'!$D$879:$D$925,'Reference Tables'!$A$879:$A$925,BY$18,'Reference Tables'!$B$879:$B$925,BY$19)*($AU20*$AV20)^(SUMIFS('Reference Tables'!$E$879:$E$925,'Reference Tables'!$A$879:$A$925,BY$18,'Reference Tables'!$B$879:$B$925,BY$19)),0)))</f>
        <v/>
      </c>
      <c r="BZ20" s="347" t="str">
        <f>IF($A20="","",AF20*(SUMIFS('Reference Tables'!$C$879:$C$925,'Reference Tables'!$A$879:$A$925,BZ$18,'Reference Tables'!$B$879:$B$925,BZ$19)+IF($B20="EFR",SUMIFS('Reference Tables'!$D$879:$D$925,'Reference Tables'!$A$879:$A$925,BZ$18,'Reference Tables'!$B$879:$B$925,BZ$19)*($AU20*$AV20)^(SUMIFS('Reference Tables'!$E$879:$E$925,'Reference Tables'!$A$879:$A$925,BZ$18,'Reference Tables'!$B$879:$B$925,BZ$19)),0)))</f>
        <v/>
      </c>
      <c r="CA20" s="347" t="str">
        <f>IF($A20="","",AG20*(SUMIFS('Reference Tables'!$C$879:$C$925,'Reference Tables'!$A$879:$A$925,CA$18,'Reference Tables'!$B$879:$B$925,CA$19)+IF($B20="EFR",SUMIFS('Reference Tables'!$D$879:$D$925,'Reference Tables'!$A$879:$A$925,CA$18,'Reference Tables'!$B$879:$B$925,CA$19)*($AU20*$AV20)^(SUMIFS('Reference Tables'!$E$879:$E$925,'Reference Tables'!$A$879:$A$925,CA$18,'Reference Tables'!$B$879:$B$925,CA$19)),0)))</f>
        <v/>
      </c>
      <c r="CB20" s="347" t="str">
        <f>IF($A20="","",AH20*(SUMIFS('Reference Tables'!$C$879:$C$925,'Reference Tables'!$A$879:$A$925,CB$18,'Reference Tables'!$B$879:$B$925,CB$19)+IF($B20="EFR",SUMIFS('Reference Tables'!$D$879:$D$925,'Reference Tables'!$A$879:$A$925,CB$18,'Reference Tables'!$B$879:$B$925,CB$19)*($AU20*$AV20)^(SUMIFS('Reference Tables'!$E$879:$E$925,'Reference Tables'!$A$879:$A$925,CB$18,'Reference Tables'!$B$879:$B$925,CB$19)),0)))</f>
        <v/>
      </c>
      <c r="CC20" s="347" t="str">
        <f>IF($A20="","",AI20*(SUMIFS('Reference Tables'!$C$879:$C$925,'Reference Tables'!$A$879:$A$925,CC$18,'Reference Tables'!$B$879:$B$925,CC$19)+IF($B20="EFR",SUMIFS('Reference Tables'!$D$879:$D$925,'Reference Tables'!$A$879:$A$925,CC$18,'Reference Tables'!$B$879:$B$925,CC$19)*($AU20*$AV20)^(SUMIFS('Reference Tables'!$E$879:$E$925,'Reference Tables'!$A$879:$A$925,CC$18,'Reference Tables'!$B$879:$B$925,CC$19)),0)))</f>
        <v/>
      </c>
      <c r="CD20" s="347" t="str">
        <f>IF($A20="","",AJ20*(SUMIFS('Reference Tables'!$C$879:$C$925,'Reference Tables'!$A$879:$A$925,CD$18,'Reference Tables'!$B$879:$B$925,CD$19)+IF($B20="EFR",SUMIFS('Reference Tables'!$D$879:$D$925,'Reference Tables'!$A$879:$A$925,CD$18,'Reference Tables'!$B$879:$B$925,CD$19)*($AU20*$AV20)^(SUMIFS('Reference Tables'!$E$879:$E$925,'Reference Tables'!$A$879:$A$925,CD$18,'Reference Tables'!$B$879:$B$925,CD$19)),0)))</f>
        <v/>
      </c>
      <c r="CE20" s="347" t="str">
        <f>IF($A20="","",AK20*(SUMIFS('Reference Tables'!$C$879:$C$925,'Reference Tables'!$A$879:$A$925,CE$18,'Reference Tables'!$B$879:$B$925,CE$19)+IF($B20="EFR",SUMIFS('Reference Tables'!$D$879:$D$925,'Reference Tables'!$A$879:$A$925,CE$18,'Reference Tables'!$B$879:$B$925,CE$19)*($AU20*$AV20)^(SUMIFS('Reference Tables'!$E$879:$E$925,'Reference Tables'!$A$879:$A$925,CE$18,'Reference Tables'!$B$879:$B$925,CE$19)),0)))</f>
        <v/>
      </c>
      <c r="CF20" s="347" t="str">
        <f>IF($A20="","",AL20*(SUMIFS('Reference Tables'!$C$879:$C$925,'Reference Tables'!$A$879:$A$925,CF$18,'Reference Tables'!$B$879:$B$925,CF$19)+IF($B20="EFR",SUMIFS('Reference Tables'!$D$879:$D$925,'Reference Tables'!$A$879:$A$925,CF$18,'Reference Tables'!$B$879:$B$925,CF$19)*($AU20*$AV20)^(SUMIFS('Reference Tables'!$E$879:$E$925,'Reference Tables'!$A$879:$A$925,CF$18,'Reference Tables'!$B$879:$B$925,CF$19)),0)))</f>
        <v/>
      </c>
      <c r="CG20" s="347" t="str">
        <f>IF($A20="","",AM20*(SUMIFS('Reference Tables'!$C$879:$C$925,'Reference Tables'!$A$879:$A$925,CG$18,'Reference Tables'!$B$879:$B$925,CG$19)+IF($B20="EFR",SUMIFS('Reference Tables'!$D$879:$D$925,'Reference Tables'!$A$879:$A$925,CG$18,'Reference Tables'!$B$879:$B$925,CG$19)*($AU20*$AV20)^(SUMIFS('Reference Tables'!$E$879:$E$925,'Reference Tables'!$A$879:$A$925,CG$18,'Reference Tables'!$B$879:$B$925,CG$19)),0)))</f>
        <v/>
      </c>
      <c r="CH20" s="347" t="str">
        <f>IF($A20="","",AN20*(SUMIFS('Reference Tables'!$C$879:$C$925,'Reference Tables'!$A$879:$A$925,CH$18,'Reference Tables'!$B$879:$B$925,CH$19)+IF($B20="EFR",SUMIFS('Reference Tables'!$D$879:$D$925,'Reference Tables'!$A$879:$A$925,CH$18,'Reference Tables'!$B$879:$B$925,CH$19)*($AU20*$AV20)^(SUMIFS('Reference Tables'!$E$879:$E$925,'Reference Tables'!$A$879:$A$925,CH$18,'Reference Tables'!$B$879:$B$925,CH$19)),0)))</f>
        <v/>
      </c>
      <c r="CI20" s="347" t="str">
        <f>IF($A20="","",AO20*(SUMIFS('Reference Tables'!$C$879:$C$925,'Reference Tables'!$A$879:$A$925,CI$18,'Reference Tables'!$B$879:$B$925,CI$19)+IF($B20="EFR",SUMIFS('Reference Tables'!$D$879:$D$925,'Reference Tables'!$A$879:$A$925,CI$18,'Reference Tables'!$B$879:$B$925,CI$19)*($AU20*$AV20)^(SUMIFS('Reference Tables'!$E$879:$E$925,'Reference Tables'!$A$879:$A$925,CI$18,'Reference Tables'!$B$879:$B$925,CI$19)),0)))</f>
        <v/>
      </c>
      <c r="CJ20" s="347" t="str">
        <f>IF($A20="","",AP20*(SUMIFS('Reference Tables'!$C$879:$C$925,'Reference Tables'!$A$879:$A$925,CJ$18,'Reference Tables'!$B$879:$B$925,CJ$19)+IF($B20="EFR",SUMIFS('Reference Tables'!$D$879:$D$925,'Reference Tables'!$A$879:$A$925,CJ$18,'Reference Tables'!$B$879:$B$925,CJ$19)*($AU20*$AV20)^(SUMIFS('Reference Tables'!$E$879:$E$925,'Reference Tables'!$A$879:$A$925,CJ$18,'Reference Tables'!$B$879:$B$925,CJ$19)),0)))</f>
        <v/>
      </c>
      <c r="CK20" s="347" t="str">
        <f>IF($A20="","",AQ20*(SUMIFS('Reference Tables'!$C$879:$C$925,'Reference Tables'!$A$879:$A$925,CK$18,'Reference Tables'!$B$879:$B$925,CK$19)+IF($B20="EFR",SUMIFS('Reference Tables'!$D$879:$D$925,'Reference Tables'!$A$879:$A$925,CK$18,'Reference Tables'!$B$879:$B$925,CK$19)*($AU20*$AV20)^(SUMIFS('Reference Tables'!$E$879:$E$925,'Reference Tables'!$A$879:$A$925,CK$18,'Reference Tables'!$B$879:$B$925,CK$19)),0)))</f>
        <v/>
      </c>
      <c r="CL20" s="347" t="str">
        <f>IF($A20="","",AR20*(SUMIFS('Reference Tables'!$C$879:$C$925,'Reference Tables'!$A$879:$A$925,CL$18,'Reference Tables'!$B$879:$B$925,CL$19)+IF($B20="EFR",SUMIFS('Reference Tables'!$D$879:$D$925,'Reference Tables'!$A$879:$A$925,CL$18,'Reference Tables'!$B$879:$B$925,CL$19)*($AU20*$AV20)^(SUMIFS('Reference Tables'!$E$879:$E$925,'Reference Tables'!$A$879:$A$925,CL$18,'Reference Tables'!$B$879:$B$925,CL$19)),0)))</f>
        <v/>
      </c>
      <c r="CM20" s="347" t="str">
        <f>IF($A20="","",AS20*(SUMIFS('Reference Tables'!$C$879:$C$925,'Reference Tables'!$A$879:$A$925,CM$18,'Reference Tables'!$B$879:$B$925,CM$19)+IF($B20="EFR",SUMIFS('Reference Tables'!$D$879:$D$925,'Reference Tables'!$A$879:$A$925,CM$18,'Reference Tables'!$B$879:$B$925,CM$19)*($AU20*$AV20)^(SUMIFS('Reference Tables'!$E$879:$E$925,'Reference Tables'!$A$879:$A$925,CM$18,'Reference Tables'!$B$879:$B$925,CM$19)),0)))</f>
        <v/>
      </c>
      <c r="CN20" s="347" t="str">
        <f>IF($A20="","",AT20*(SUMIFS('Reference Tables'!$C$879:$C$925,'Reference Tables'!$A$879:$A$925,CN$18,'Reference Tables'!$B$879:$B$925,CN$19)+IF($B20="EFR",SUMIFS('Reference Tables'!$D$879:$D$925,'Reference Tables'!$A$879:$A$925,CN$18,'Reference Tables'!$B$879:$B$925,CN$19)*($AU20*$AV20)^(SUMIFS('Reference Tables'!$E$879:$E$925,'Reference Tables'!$A$879:$A$925,CN$18,'Reference Tables'!$B$879:$B$925,CN$19)),0)))</f>
        <v/>
      </c>
      <c r="CO20" s="347" t="str">
        <f>IF($A20="","",SUM(AW20:CN20))</f>
        <v/>
      </c>
      <c r="CU20" s="250"/>
      <c r="CV20" s="250"/>
      <c r="CW20" s="250"/>
      <c r="CX20" s="250"/>
      <c r="CY20" s="250"/>
      <c r="CZ20" s="250"/>
      <c r="DA20" s="250"/>
      <c r="DB20" s="250"/>
      <c r="DC20" s="250"/>
      <c r="DD20" s="250"/>
      <c r="DE20" s="250"/>
      <c r="DF20" s="250"/>
      <c r="DG20" s="250"/>
      <c r="DH20" s="250"/>
      <c r="DI20" s="250"/>
      <c r="DJ20" s="250"/>
      <c r="DK20" s="250"/>
      <c r="DL20" s="250"/>
      <c r="DM20" s="250"/>
      <c r="DN20" s="250"/>
      <c r="DO20" s="250"/>
      <c r="DP20" s="250"/>
      <c r="DQ20" s="250"/>
      <c r="DR20" s="250"/>
      <c r="DS20" s="250"/>
      <c r="DT20" s="250"/>
      <c r="DU20" s="250"/>
      <c r="DV20" s="250"/>
      <c r="DW20" s="250"/>
      <c r="DX20" s="250"/>
      <c r="DY20" s="250"/>
      <c r="DZ20" s="250"/>
      <c r="EA20" s="250"/>
      <c r="EB20" s="250"/>
      <c r="EC20" s="250"/>
      <c r="ED20" s="250"/>
      <c r="EE20" s="250"/>
      <c r="EF20" s="250"/>
      <c r="EG20" s="250"/>
      <c r="EH20" s="250"/>
      <c r="EI20" s="250"/>
      <c r="EJ20" s="250"/>
      <c r="EK20" s="250"/>
      <c r="EL20" s="250"/>
      <c r="EM20" s="250"/>
    </row>
    <row r="21" spans="1:143">
      <c r="A21" s="342" t="str">
        <f>IF('Fitting Data'!A14&lt;&gt;"",'Fitting Data'!A14,"")</f>
        <v/>
      </c>
      <c r="B21" s="343" t="str">
        <f>IF($A21="","",INDEX('Tank Data'!$1:$1048576,MATCH($A21,'Tank Data'!$A:$A,0),MATCH(B$17,'Tank Data'!$9:$9,0)))</f>
        <v/>
      </c>
      <c r="C21" s="344" t="str">
        <f>IF($A21="","",IF('Fitting Data'!$B14&lt;&gt;"Typical",'Fitting Data'!C14,'Fitting Data'!BG14))</f>
        <v/>
      </c>
      <c r="D21" s="344" t="str">
        <f>IF($A21="","",IF('Fitting Data'!$B14&lt;&gt;"Typical",'Fitting Data'!D14,'Fitting Data'!BH14))</f>
        <v/>
      </c>
      <c r="E21" s="344" t="str">
        <f>IF($A21="","",IF('Fitting Data'!$B14&lt;&gt;"Typical",'Fitting Data'!E14,'Fitting Data'!BI14))</f>
        <v/>
      </c>
      <c r="F21" s="344" t="str">
        <f>IF($A21="","",IF('Fitting Data'!$B14&lt;&gt;"Typical",'Fitting Data'!F14,'Fitting Data'!BJ14))</f>
        <v/>
      </c>
      <c r="G21" s="344" t="str">
        <f>IF($A21="","",IF('Fitting Data'!$B14&lt;&gt;"Typical",'Fitting Data'!G14,'Fitting Data'!BK14))</f>
        <v/>
      </c>
      <c r="H21" s="344" t="str">
        <f>IF($A21="","",IF('Fitting Data'!$B14&lt;&gt;"Typical",'Fitting Data'!H14,'Fitting Data'!BL14))</f>
        <v/>
      </c>
      <c r="I21" s="344" t="str">
        <f>IF($A21="","",IF('Fitting Data'!$B14&lt;&gt;"Typical",'Fitting Data'!I14,'Fitting Data'!BM14))</f>
        <v/>
      </c>
      <c r="J21" s="344" t="str">
        <f>IF($A21="","",IF('Fitting Data'!$B14&lt;&gt;"Typical",'Fitting Data'!J14,'Fitting Data'!BN14))</f>
        <v/>
      </c>
      <c r="K21" s="344" t="str">
        <f>IF($A21="","",IF('Fitting Data'!$B14&lt;&gt;"Typical",'Fitting Data'!K14,'Fitting Data'!BO14))</f>
        <v/>
      </c>
      <c r="L21" s="344" t="str">
        <f>IF($A21="","",IF('Fitting Data'!$B14&lt;&gt;"Typical",'Fitting Data'!L14,'Fitting Data'!BP14))</f>
        <v/>
      </c>
      <c r="M21" s="344" t="str">
        <f>IF($A21="","",IF('Fitting Data'!$B14&lt;&gt;"Typical",'Fitting Data'!M14,'Fitting Data'!BQ14))</f>
        <v/>
      </c>
      <c r="N21" s="344" t="str">
        <f>IF($A21="","",IF('Fitting Data'!$B14&lt;&gt;"Typical",'Fitting Data'!N14,'Fitting Data'!BR14))</f>
        <v/>
      </c>
      <c r="O21" s="344" t="str">
        <f>IF($A21="","",IF('Fitting Data'!$B14&lt;&gt;"Typical",'Fitting Data'!O14,'Fitting Data'!BS14))</f>
        <v/>
      </c>
      <c r="P21" s="344" t="str">
        <f>IF($A21="","",IF('Fitting Data'!$B14&lt;&gt;"Typical",'Fitting Data'!P14,'Fitting Data'!BT14))</f>
        <v/>
      </c>
      <c r="Q21" s="344" t="str">
        <f>IF($A21="","",IF('Fitting Data'!$B14&lt;&gt;"Typical",'Fitting Data'!Q14,'Fitting Data'!BU14))</f>
        <v/>
      </c>
      <c r="R21" s="344" t="str">
        <f>IF($A21="","",IF('Fitting Data'!$B14&lt;&gt;"Typical",'Fitting Data'!R14,'Fitting Data'!BV14))</f>
        <v/>
      </c>
      <c r="S21" s="344" t="str">
        <f>IF($A21="","",IF('Fitting Data'!$B14&lt;&gt;"Typical",'Fitting Data'!S14,'Fitting Data'!BW14))</f>
        <v/>
      </c>
      <c r="T21" s="344" t="str">
        <f>IF($A21="","",IF('Fitting Data'!$B14&lt;&gt;"Typical",'Fitting Data'!T14,'Fitting Data'!BX14))</f>
        <v/>
      </c>
      <c r="U21" s="344" t="str">
        <f>IF($A21="","",IF('Fitting Data'!$B14&lt;&gt;"Typical",'Fitting Data'!U14,'Fitting Data'!BY14))</f>
        <v/>
      </c>
      <c r="V21" s="344" t="str">
        <f>IF($A21="","",IF('Fitting Data'!$B14&lt;&gt;"Typical",'Fitting Data'!V14,'Fitting Data'!BZ14))</f>
        <v/>
      </c>
      <c r="W21" s="344" t="str">
        <f>IF($A21="","",IF('Fitting Data'!$B14&lt;&gt;"Typical",'Fitting Data'!W14,'Fitting Data'!CA14))</f>
        <v/>
      </c>
      <c r="X21" s="344" t="str">
        <f>IF($A21="","",IF('Fitting Data'!$B14&lt;&gt;"Typical",'Fitting Data'!X14,'Fitting Data'!CB14))</f>
        <v/>
      </c>
      <c r="Y21" s="344" t="str">
        <f>IF($A21="","",IF('Fitting Data'!$B14&lt;&gt;"Typical",'Fitting Data'!Y14,'Fitting Data'!CC14))</f>
        <v/>
      </c>
      <c r="Z21" s="344" t="str">
        <f>IF($A21="","",IF('Fitting Data'!$B14&lt;&gt;"Typical",'Fitting Data'!Z14,'Fitting Data'!CD14))</f>
        <v/>
      </c>
      <c r="AA21" s="344" t="str">
        <f>IF($A21="","",IF('Fitting Data'!$B14&lt;&gt;"Typical",'Fitting Data'!AA14,'Fitting Data'!CE14))</f>
        <v/>
      </c>
      <c r="AB21" s="344" t="str">
        <f>IF($A21="","",IF('Fitting Data'!$B14&lt;&gt;"Typical",'Fitting Data'!AB14,'Fitting Data'!CF14))</f>
        <v/>
      </c>
      <c r="AC21" s="344" t="str">
        <f>IF($A21="","",IF('Fitting Data'!$B14&lt;&gt;"Typical",'Fitting Data'!AC14,'Fitting Data'!CG14))</f>
        <v/>
      </c>
      <c r="AD21" s="344" t="str">
        <f>IF($A21="","",IF('Fitting Data'!$B14&lt;&gt;"Typical",'Fitting Data'!AD14,'Fitting Data'!CH14))</f>
        <v/>
      </c>
      <c r="AE21" s="344" t="str">
        <f>IF($A21="","",IF('Fitting Data'!$B14&lt;&gt;"Typical",'Fitting Data'!AE14,'Fitting Data'!CI14))</f>
        <v/>
      </c>
      <c r="AF21" s="344" t="str">
        <f>IF($A21="","",IF('Fitting Data'!$B14&lt;&gt;"Typical",'Fitting Data'!AF14,'Fitting Data'!CJ14))</f>
        <v/>
      </c>
      <c r="AG21" s="344" t="str">
        <f>IF($A21="","",IF('Fitting Data'!$B14&lt;&gt;"Typical",'Fitting Data'!AG14,'Fitting Data'!CK14))</f>
        <v/>
      </c>
      <c r="AH21" s="344" t="str">
        <f>IF($A21="","",IF('Fitting Data'!$B14&lt;&gt;"Typical",'Fitting Data'!AH14,'Fitting Data'!CL14))</f>
        <v/>
      </c>
      <c r="AI21" s="344" t="str">
        <f>IF($A21="","",IF('Fitting Data'!$B14&lt;&gt;"Typical",'Fitting Data'!AI14,'Fitting Data'!CM14))</f>
        <v/>
      </c>
      <c r="AJ21" s="344" t="str">
        <f>IF($A21="","",IF('Fitting Data'!$B14&lt;&gt;"Typical",'Fitting Data'!AJ14,'Fitting Data'!CN14))</f>
        <v/>
      </c>
      <c r="AK21" s="344" t="str">
        <f>IF($A21="","",IF('Fitting Data'!$B14&lt;&gt;"Typical",'Fitting Data'!AK14,'Fitting Data'!CO14))</f>
        <v/>
      </c>
      <c r="AL21" s="344" t="str">
        <f>IF($A21="","",IF('Fitting Data'!$B14&lt;&gt;"Typical",'Fitting Data'!AL14,'Fitting Data'!CP14))</f>
        <v/>
      </c>
      <c r="AM21" s="344" t="str">
        <f>IF($A21="","",IF('Fitting Data'!$B14&lt;&gt;"Typical",'Fitting Data'!AM14,'Fitting Data'!CQ14))</f>
        <v/>
      </c>
      <c r="AN21" s="344" t="str">
        <f>IF($A21="","",IF('Fitting Data'!$B14&lt;&gt;"Typical",'Fitting Data'!AN14,'Fitting Data'!CR14))</f>
        <v/>
      </c>
      <c r="AO21" s="344" t="str">
        <f>IF($A21="","",IF('Fitting Data'!$B14&lt;&gt;"Typical",'Fitting Data'!AO14,'Fitting Data'!CS14))</f>
        <v/>
      </c>
      <c r="AP21" s="344" t="str">
        <f>IF($A21="","",IF('Fitting Data'!$B14&lt;&gt;"Typical",'Fitting Data'!AP14,'Fitting Data'!CT14))</f>
        <v/>
      </c>
      <c r="AQ21" s="344" t="str">
        <f>IF($A21="","",IF('Fitting Data'!$B14&lt;&gt;"Typical",'Fitting Data'!AQ14,'Fitting Data'!CU14))</f>
        <v/>
      </c>
      <c r="AR21" s="344" t="str">
        <f>IF($A21="","",IF('Fitting Data'!$B14&lt;&gt;"Typical",'Fitting Data'!AR14,'Fitting Data'!CV14))</f>
        <v/>
      </c>
      <c r="AS21" s="344" t="str">
        <f>IF($A21="","",IF('Fitting Data'!$B14&lt;&gt;"Typical",'Fitting Data'!AS14,'Fitting Data'!CW14))</f>
        <v/>
      </c>
      <c r="AT21" s="344" t="str">
        <f>IF($A21="","",IF('Fitting Data'!$B14&lt;&gt;"Typical",'Fitting Data'!AT14,'Fitting Data'!CX14))</f>
        <v/>
      </c>
      <c r="AU21" s="345" t="str">
        <f>IF($A21="","",IF($B21="EFR",'Met Data'!$H$23,0))</f>
        <v/>
      </c>
      <c r="AV21" s="346" t="str">
        <f t="shared" si="4"/>
        <v/>
      </c>
      <c r="AW21" s="347" t="str">
        <f>IF($A21="","",C21*(SUMIFS('Reference Tables'!$C$879:$C$925,'Reference Tables'!$A$879:$A$925,AW$18,'Reference Tables'!$B$879:$B$925,AW$19)+IF($B21="EFR",SUMIFS('Reference Tables'!$D$879:$D$925,'Reference Tables'!$A$879:$A$925,AW$18,'Reference Tables'!$B$879:$B$925,AW$19)*($AU21*$AV21)^(SUMIFS('Reference Tables'!$E$879:$E$925,'Reference Tables'!$A$879:$A$925,AW$18,'Reference Tables'!$B$879:$B$925,AW$19)),0)))</f>
        <v/>
      </c>
      <c r="AX21" s="347" t="str">
        <f>IF($A21="","",D21*(SUMIFS('Reference Tables'!$C$879:$C$925,'Reference Tables'!$A$879:$A$925,AX$18,'Reference Tables'!$B$879:$B$925,AX$19)+IF($B21="EFR",SUMIFS('Reference Tables'!$D$879:$D$925,'Reference Tables'!$A$879:$A$925,AX$18,'Reference Tables'!$B$879:$B$925,AX$19)*($AU21*$AV21)^(SUMIFS('Reference Tables'!$E$879:$E$925,'Reference Tables'!$A$879:$A$925,AX$18,'Reference Tables'!$B$879:$B$925,AX$19)),0)))</f>
        <v/>
      </c>
      <c r="AY21" s="347" t="str">
        <f>IF($A21="","",E21*(SUMIFS('Reference Tables'!$C$879:$C$925,'Reference Tables'!$A$879:$A$925,AY$18,'Reference Tables'!$B$879:$B$925,AY$19)+IF($B21="EFR",SUMIFS('Reference Tables'!$D$879:$D$925,'Reference Tables'!$A$879:$A$925,AY$18,'Reference Tables'!$B$879:$B$925,AY$19)*($AU21*$AV21)^(SUMIFS('Reference Tables'!$E$879:$E$925,'Reference Tables'!$A$879:$A$925,AY$18,'Reference Tables'!$B$879:$B$925,AY$19)),0)))</f>
        <v/>
      </c>
      <c r="AZ21" s="347" t="str">
        <f>IF($A21="","",F21*(SUMIFS('Reference Tables'!$C$879:$C$925,'Reference Tables'!$A$879:$A$925,AZ$18,'Reference Tables'!$B$879:$B$925,AZ$19)+IF($B21="EFR",SUMIFS('Reference Tables'!$D$879:$D$925,'Reference Tables'!$A$879:$A$925,AZ$18,'Reference Tables'!$B$879:$B$925,AZ$19)*($AU21*$AV21)^(SUMIFS('Reference Tables'!$E$879:$E$925,'Reference Tables'!$A$879:$A$925,AZ$18,'Reference Tables'!$B$879:$B$925,AZ$19)),0)))</f>
        <v/>
      </c>
      <c r="BA21" s="347" t="str">
        <f>IF($A21="","",G21*(SUMIFS('Reference Tables'!$C$879:$C$925,'Reference Tables'!$A$879:$A$925,BA$18,'Reference Tables'!$B$879:$B$925,BA$19)+IF($B21="EFR",SUMIFS('Reference Tables'!$D$879:$D$925,'Reference Tables'!$A$879:$A$925,BA$18,'Reference Tables'!$B$879:$B$925,BA$19)*($AU21*$AV21)^(SUMIFS('Reference Tables'!$E$879:$E$925,'Reference Tables'!$A$879:$A$925,BA$18,'Reference Tables'!$B$879:$B$925,BA$19)),0)))</f>
        <v/>
      </c>
      <c r="BB21" s="347" t="str">
        <f>IF($A21="","",H21*(SUMIFS('Reference Tables'!$C$879:$C$925,'Reference Tables'!$A$879:$A$925,BB$18,'Reference Tables'!$B$879:$B$925,BB$19)+IF($B21="EFR",SUMIFS('Reference Tables'!$D$879:$D$925,'Reference Tables'!$A$879:$A$925,BB$18,'Reference Tables'!$B$879:$B$925,BB$19)*($AU21*$AV21)^(SUMIFS('Reference Tables'!$E$879:$E$925,'Reference Tables'!$A$879:$A$925,BB$18,'Reference Tables'!$B$879:$B$925,BB$19)),0)))</f>
        <v/>
      </c>
      <c r="BC21" s="347" t="str">
        <f>IF($A21="","",I21*(SUMIFS('Reference Tables'!$C$879:$C$925,'Reference Tables'!$A$879:$A$925,BC$18,'Reference Tables'!$B$879:$B$925,BC$19)+IF($B21="EFR",SUMIFS('Reference Tables'!$D$879:$D$925,'Reference Tables'!$A$879:$A$925,BC$18,'Reference Tables'!$B$879:$B$925,BC$19)*($AU21*$AV21)^(SUMIFS('Reference Tables'!$E$879:$E$925,'Reference Tables'!$A$879:$A$925,BC$18,'Reference Tables'!$B$879:$B$925,BC$19)),0)))</f>
        <v/>
      </c>
      <c r="BD21" s="347" t="str">
        <f>IF($A21="","",J21*(SUMIFS('Reference Tables'!$C$879:$C$925,'Reference Tables'!$A$879:$A$925,BD$18,'Reference Tables'!$B$879:$B$925,BD$19)+IF($B21="EFR",SUMIFS('Reference Tables'!$D$879:$D$925,'Reference Tables'!$A$879:$A$925,BD$18,'Reference Tables'!$B$879:$B$925,BD$19)*($AU21*$AV21)^(SUMIFS('Reference Tables'!$E$879:$E$925,'Reference Tables'!$A$879:$A$925,BD$18,'Reference Tables'!$B$879:$B$925,BD$19)),0)))</f>
        <v/>
      </c>
      <c r="BE21" s="347" t="str">
        <f>IF($A21="","",K21*(SUMIFS('Reference Tables'!$C$879:$C$925,'Reference Tables'!$A$879:$A$925,BE$18,'Reference Tables'!$B$879:$B$925,BE$19)+IF($B21="EFR",SUMIFS('Reference Tables'!$D$879:$D$925,'Reference Tables'!$A$879:$A$925,BE$18,'Reference Tables'!$B$879:$B$925,BE$19)*($AU21*$AV21)^(SUMIFS('Reference Tables'!$E$879:$E$925,'Reference Tables'!$A$879:$A$925,BE$18,'Reference Tables'!$B$879:$B$925,BE$19)),0)))</f>
        <v/>
      </c>
      <c r="BF21" s="347" t="str">
        <f>IF($A21="","",L21*(SUMIFS('Reference Tables'!$C$879:$C$925,'Reference Tables'!$A$879:$A$925,BF$18,'Reference Tables'!$B$879:$B$925,BF$19)+IF($B21="EFR",SUMIFS('Reference Tables'!$D$879:$D$925,'Reference Tables'!$A$879:$A$925,BF$18,'Reference Tables'!$B$879:$B$925,BF$19)*($AU21*$AV21)^(SUMIFS('Reference Tables'!$E$879:$E$925,'Reference Tables'!$A$879:$A$925,BF$18,'Reference Tables'!$B$879:$B$925,BF$19)),0)))</f>
        <v/>
      </c>
      <c r="BG21" s="347" t="str">
        <f>IF($A21="","",M21*(SUMIFS('Reference Tables'!$C$879:$C$925,'Reference Tables'!$A$879:$A$925,BG$18,'Reference Tables'!$B$879:$B$925,BG$19)+IF($B21="EFR",SUMIFS('Reference Tables'!$D$879:$D$925,'Reference Tables'!$A$879:$A$925,BG$18,'Reference Tables'!$B$879:$B$925,BG$19)*($AU21*$AV21)^(SUMIFS('Reference Tables'!$E$879:$E$925,'Reference Tables'!$A$879:$A$925,BG$18,'Reference Tables'!$B$879:$B$925,BG$19)),0)))</f>
        <v/>
      </c>
      <c r="BH21" s="347" t="str">
        <f>IF($A21="","",N21*(SUMIFS('Reference Tables'!$C$879:$C$925,'Reference Tables'!$A$879:$A$925,BH$18,'Reference Tables'!$B$879:$B$925,BH$19)+IF($B21="EFR",SUMIFS('Reference Tables'!$D$879:$D$925,'Reference Tables'!$A$879:$A$925,BH$18,'Reference Tables'!$B$879:$B$925,BH$19)*($AU21*$AV21)^(SUMIFS('Reference Tables'!$E$879:$E$925,'Reference Tables'!$A$879:$A$925,BH$18,'Reference Tables'!$B$879:$B$925,BH$19)),0)))</f>
        <v/>
      </c>
      <c r="BI21" s="347" t="str">
        <f>IF($A21="","",O21*(SUMIFS('Reference Tables'!$C$879:$C$925,'Reference Tables'!$A$879:$A$925,BI$18,'Reference Tables'!$B$879:$B$925,BI$19)+IF($B21="EFR",SUMIFS('Reference Tables'!$D$879:$D$925,'Reference Tables'!$A$879:$A$925,BI$18,'Reference Tables'!$B$879:$B$925,BI$19)*($AU21*$AV21)^(SUMIFS('Reference Tables'!$E$879:$E$925,'Reference Tables'!$A$879:$A$925,BI$18,'Reference Tables'!$B$879:$B$925,BI$19)),0)))</f>
        <v/>
      </c>
      <c r="BJ21" s="347" t="str">
        <f>IF($A21="","",P21*(SUMIFS('Reference Tables'!$C$879:$C$925,'Reference Tables'!$A$879:$A$925,BJ$18,'Reference Tables'!$B$879:$B$925,BJ$19)+IF($B21="EFR",SUMIFS('Reference Tables'!$D$879:$D$925,'Reference Tables'!$A$879:$A$925,BJ$18,'Reference Tables'!$B$879:$B$925,BJ$19)*($AU21*$AV21)^(SUMIFS('Reference Tables'!$E$879:$E$925,'Reference Tables'!$A$879:$A$925,BJ$18,'Reference Tables'!$B$879:$B$925,BJ$19)),0)))</f>
        <v/>
      </c>
      <c r="BK21" s="347" t="str">
        <f>IF($A21="","",Q21*(SUMIFS('Reference Tables'!$C$879:$C$925,'Reference Tables'!$A$879:$A$925,BK$18,'Reference Tables'!$B$879:$B$925,BK$19)+IF($B21="EFR",SUMIFS('Reference Tables'!$D$879:$D$925,'Reference Tables'!$A$879:$A$925,BK$18,'Reference Tables'!$B$879:$B$925,BK$19)*($AU21*$AV21)^(SUMIFS('Reference Tables'!$E$879:$E$925,'Reference Tables'!$A$879:$A$925,BK$18,'Reference Tables'!$B$879:$B$925,BK$19)),0)))</f>
        <v/>
      </c>
      <c r="BL21" s="347" t="str">
        <f>IF($A21="","",R21*(SUMIFS('Reference Tables'!$C$879:$C$925,'Reference Tables'!$A$879:$A$925,BL$18,'Reference Tables'!$B$879:$B$925,BL$19)+IF($B21="EFR",SUMIFS('Reference Tables'!$D$879:$D$925,'Reference Tables'!$A$879:$A$925,BL$18,'Reference Tables'!$B$879:$B$925,BL$19)*($AU21*$AV21)^(SUMIFS('Reference Tables'!$E$879:$E$925,'Reference Tables'!$A$879:$A$925,BL$18,'Reference Tables'!$B$879:$B$925,BL$19)),0)))</f>
        <v/>
      </c>
      <c r="BM21" s="347" t="str">
        <f>IF($A21="","",S21*(SUMIFS('Reference Tables'!$C$879:$C$925,'Reference Tables'!$A$879:$A$925,BM$18,'Reference Tables'!$B$879:$B$925,BM$19)+IF($B21="EFR",SUMIFS('Reference Tables'!$D$879:$D$925,'Reference Tables'!$A$879:$A$925,BM$18,'Reference Tables'!$B$879:$B$925,BM$19)*($AU21*$AV21)^(SUMIFS('Reference Tables'!$E$879:$E$925,'Reference Tables'!$A$879:$A$925,BM$18,'Reference Tables'!$B$879:$B$925,BM$19)),0)))</f>
        <v/>
      </c>
      <c r="BN21" s="347" t="str">
        <f>IF($A21="","",T21*(SUMIFS('Reference Tables'!$C$879:$C$925,'Reference Tables'!$A$879:$A$925,BN$18,'Reference Tables'!$B$879:$B$925,BN$19)+IF($B21="EFR",SUMIFS('Reference Tables'!$D$879:$D$925,'Reference Tables'!$A$879:$A$925,BN$18,'Reference Tables'!$B$879:$B$925,BN$19)*($AU21*$AV21)^(SUMIFS('Reference Tables'!$E$879:$E$925,'Reference Tables'!$A$879:$A$925,BN$18,'Reference Tables'!$B$879:$B$925,BN$19)),0)))</f>
        <v/>
      </c>
      <c r="BO21" s="347" t="str">
        <f>IF($A21="","",U21*(SUMIFS('Reference Tables'!$C$879:$C$925,'Reference Tables'!$A$879:$A$925,BO$18,'Reference Tables'!$B$879:$B$925,BO$19)+IF($B21="EFR",SUMIFS('Reference Tables'!$D$879:$D$925,'Reference Tables'!$A$879:$A$925,BO$18,'Reference Tables'!$B$879:$B$925,BO$19)*($AU21*$AV21)^(SUMIFS('Reference Tables'!$E$879:$E$925,'Reference Tables'!$A$879:$A$925,BO$18,'Reference Tables'!$B$879:$B$925,BO$19)),0)))</f>
        <v/>
      </c>
      <c r="BP21" s="347" t="str">
        <f>IF($A21="","",V21*(SUMIFS('Reference Tables'!$C$879:$C$925,'Reference Tables'!$A$879:$A$925,BP$18,'Reference Tables'!$B$879:$B$925,BP$19)+IF($B21="EFR",SUMIFS('Reference Tables'!$D$879:$D$925,'Reference Tables'!$A$879:$A$925,BP$18,'Reference Tables'!$B$879:$B$925,BP$19)*($AU21*$AV21)^(SUMIFS('Reference Tables'!$E$879:$E$925,'Reference Tables'!$A$879:$A$925,BP$18,'Reference Tables'!$B$879:$B$925,BP$19)),0)))</f>
        <v/>
      </c>
      <c r="BQ21" s="347" t="str">
        <f>IF($A21="","",W21*(SUMIFS('Reference Tables'!$C$879:$C$925,'Reference Tables'!$A$879:$A$925,BQ$18,'Reference Tables'!$B$879:$B$925,BQ$19)+IF($B21="EFR",SUMIFS('Reference Tables'!$D$879:$D$925,'Reference Tables'!$A$879:$A$925,BQ$18,'Reference Tables'!$B$879:$B$925,BQ$19)*($AU21*$AV21)^(SUMIFS('Reference Tables'!$E$879:$E$925,'Reference Tables'!$A$879:$A$925,BQ$18,'Reference Tables'!$B$879:$B$925,BQ$19)),0)))</f>
        <v/>
      </c>
      <c r="BR21" s="347" t="str">
        <f>IF($A21="","",X21*(SUMIFS('Reference Tables'!$C$879:$C$925,'Reference Tables'!$A$879:$A$925,BR$18,'Reference Tables'!$B$879:$B$925,BR$19)+IF($B21="EFR",SUMIFS('Reference Tables'!$D$879:$D$925,'Reference Tables'!$A$879:$A$925,BR$18,'Reference Tables'!$B$879:$B$925,BR$19)*($AU21*$AV21)^(SUMIFS('Reference Tables'!$E$879:$E$925,'Reference Tables'!$A$879:$A$925,BR$18,'Reference Tables'!$B$879:$B$925,BR$19)),0)))</f>
        <v/>
      </c>
      <c r="BS21" s="347" t="str">
        <f>IF($A21="","",Y21*(SUMIFS('Reference Tables'!$C$879:$C$925,'Reference Tables'!$A$879:$A$925,BS$18,'Reference Tables'!$B$879:$B$925,BS$19)+IF($B21="EFR",SUMIFS('Reference Tables'!$D$879:$D$925,'Reference Tables'!$A$879:$A$925,BS$18,'Reference Tables'!$B$879:$B$925,BS$19)*($AU21*$AV21)^(SUMIFS('Reference Tables'!$E$879:$E$925,'Reference Tables'!$A$879:$A$925,BS$18,'Reference Tables'!$B$879:$B$925,BS$19)),0)))</f>
        <v/>
      </c>
      <c r="BT21" s="347" t="str">
        <f>IF($A21="","",Z21*(SUMIFS('Reference Tables'!$C$879:$C$925,'Reference Tables'!$A$879:$A$925,BT$18,'Reference Tables'!$B$879:$B$925,BT$19)+IF($B21="EFR",SUMIFS('Reference Tables'!$D$879:$D$925,'Reference Tables'!$A$879:$A$925,BT$18,'Reference Tables'!$B$879:$B$925,BT$19)*($AU21*$AV21)^(SUMIFS('Reference Tables'!$E$879:$E$925,'Reference Tables'!$A$879:$A$925,BT$18,'Reference Tables'!$B$879:$B$925,BT$19)),0)))</f>
        <v/>
      </c>
      <c r="BU21" s="347" t="str">
        <f>IF($A21="","",AA21*(SUMIFS('Reference Tables'!$C$879:$C$925,'Reference Tables'!$A$879:$A$925,BU$18,'Reference Tables'!$B$879:$B$925,BU$19)+IF($B21="EFR",SUMIFS('Reference Tables'!$D$879:$D$925,'Reference Tables'!$A$879:$A$925,BU$18,'Reference Tables'!$B$879:$B$925,BU$19)*($AU21*$AV21)^(SUMIFS('Reference Tables'!$E$879:$E$925,'Reference Tables'!$A$879:$A$925,BU$18,'Reference Tables'!$B$879:$B$925,BU$19)),0)))</f>
        <v/>
      </c>
      <c r="BV21" s="347" t="str">
        <f>IF($A21="","",AB21*(SUMIFS('Reference Tables'!$C$879:$C$925,'Reference Tables'!$A$879:$A$925,BV$18,'Reference Tables'!$B$879:$B$925,BV$19)+IF($B21="EFR",SUMIFS('Reference Tables'!$D$879:$D$925,'Reference Tables'!$A$879:$A$925,BV$18,'Reference Tables'!$B$879:$B$925,BV$19)*($AU21*$AV21)^(SUMIFS('Reference Tables'!$E$879:$E$925,'Reference Tables'!$A$879:$A$925,BV$18,'Reference Tables'!$B$879:$B$925,BV$19)),0)))</f>
        <v/>
      </c>
      <c r="BW21" s="347" t="str">
        <f>IF($A21="","",AC21*(SUMIFS('Reference Tables'!$C$879:$C$925,'Reference Tables'!$A$879:$A$925,BW$18,'Reference Tables'!$B$879:$B$925,BW$19)+IF($B21="EFR",SUMIFS('Reference Tables'!$D$879:$D$925,'Reference Tables'!$A$879:$A$925,BW$18,'Reference Tables'!$B$879:$B$925,BW$19)*($AU21*$AV21)^(SUMIFS('Reference Tables'!$E$879:$E$925,'Reference Tables'!$A$879:$A$925,BW$18,'Reference Tables'!$B$879:$B$925,BW$19)),0)))</f>
        <v/>
      </c>
      <c r="BX21" s="347" t="str">
        <f>IF($A21="","",AD21*(SUMIFS('Reference Tables'!$C$879:$C$925,'Reference Tables'!$A$879:$A$925,BX$18,'Reference Tables'!$B$879:$B$925,BX$19)+IF($B21="EFR",SUMIFS('Reference Tables'!$D$879:$D$925,'Reference Tables'!$A$879:$A$925,BX$18,'Reference Tables'!$B$879:$B$925,BX$19)*($AU21*$AV21)^(SUMIFS('Reference Tables'!$E$879:$E$925,'Reference Tables'!$A$879:$A$925,BX$18,'Reference Tables'!$B$879:$B$925,BX$19)),0)))</f>
        <v/>
      </c>
      <c r="BY21" s="347" t="str">
        <f>IF($A21="","",AE21*(SUMIFS('Reference Tables'!$C$879:$C$925,'Reference Tables'!$A$879:$A$925,BY$18,'Reference Tables'!$B$879:$B$925,BY$19)+IF($B21="EFR",SUMIFS('Reference Tables'!$D$879:$D$925,'Reference Tables'!$A$879:$A$925,BY$18,'Reference Tables'!$B$879:$B$925,BY$19)*($AU21*$AV21)^(SUMIFS('Reference Tables'!$E$879:$E$925,'Reference Tables'!$A$879:$A$925,BY$18,'Reference Tables'!$B$879:$B$925,BY$19)),0)))</f>
        <v/>
      </c>
      <c r="BZ21" s="347" t="str">
        <f>IF($A21="","",AF21*(SUMIFS('Reference Tables'!$C$879:$C$925,'Reference Tables'!$A$879:$A$925,BZ$18,'Reference Tables'!$B$879:$B$925,BZ$19)+IF($B21="EFR",SUMIFS('Reference Tables'!$D$879:$D$925,'Reference Tables'!$A$879:$A$925,BZ$18,'Reference Tables'!$B$879:$B$925,BZ$19)*($AU21*$AV21)^(SUMIFS('Reference Tables'!$E$879:$E$925,'Reference Tables'!$A$879:$A$925,BZ$18,'Reference Tables'!$B$879:$B$925,BZ$19)),0)))</f>
        <v/>
      </c>
      <c r="CA21" s="347" t="str">
        <f>IF($A21="","",AG21*(SUMIFS('Reference Tables'!$C$879:$C$925,'Reference Tables'!$A$879:$A$925,CA$18,'Reference Tables'!$B$879:$B$925,CA$19)+IF($B21="EFR",SUMIFS('Reference Tables'!$D$879:$D$925,'Reference Tables'!$A$879:$A$925,CA$18,'Reference Tables'!$B$879:$B$925,CA$19)*($AU21*$AV21)^(SUMIFS('Reference Tables'!$E$879:$E$925,'Reference Tables'!$A$879:$A$925,CA$18,'Reference Tables'!$B$879:$B$925,CA$19)),0)))</f>
        <v/>
      </c>
      <c r="CB21" s="347" t="str">
        <f>IF($A21="","",AH21*(SUMIFS('Reference Tables'!$C$879:$C$925,'Reference Tables'!$A$879:$A$925,CB$18,'Reference Tables'!$B$879:$B$925,CB$19)+IF($B21="EFR",SUMIFS('Reference Tables'!$D$879:$D$925,'Reference Tables'!$A$879:$A$925,CB$18,'Reference Tables'!$B$879:$B$925,CB$19)*($AU21*$AV21)^(SUMIFS('Reference Tables'!$E$879:$E$925,'Reference Tables'!$A$879:$A$925,CB$18,'Reference Tables'!$B$879:$B$925,CB$19)),0)))</f>
        <v/>
      </c>
      <c r="CC21" s="347" t="str">
        <f>IF($A21="","",AI21*(SUMIFS('Reference Tables'!$C$879:$C$925,'Reference Tables'!$A$879:$A$925,CC$18,'Reference Tables'!$B$879:$B$925,CC$19)+IF($B21="EFR",SUMIFS('Reference Tables'!$D$879:$D$925,'Reference Tables'!$A$879:$A$925,CC$18,'Reference Tables'!$B$879:$B$925,CC$19)*($AU21*$AV21)^(SUMIFS('Reference Tables'!$E$879:$E$925,'Reference Tables'!$A$879:$A$925,CC$18,'Reference Tables'!$B$879:$B$925,CC$19)),0)))</f>
        <v/>
      </c>
      <c r="CD21" s="347" t="str">
        <f>IF($A21="","",AJ21*(SUMIFS('Reference Tables'!$C$879:$C$925,'Reference Tables'!$A$879:$A$925,CD$18,'Reference Tables'!$B$879:$B$925,CD$19)+IF($B21="EFR",SUMIFS('Reference Tables'!$D$879:$D$925,'Reference Tables'!$A$879:$A$925,CD$18,'Reference Tables'!$B$879:$B$925,CD$19)*($AU21*$AV21)^(SUMIFS('Reference Tables'!$E$879:$E$925,'Reference Tables'!$A$879:$A$925,CD$18,'Reference Tables'!$B$879:$B$925,CD$19)),0)))</f>
        <v/>
      </c>
      <c r="CE21" s="347" t="str">
        <f>IF($A21="","",AK21*(SUMIFS('Reference Tables'!$C$879:$C$925,'Reference Tables'!$A$879:$A$925,CE$18,'Reference Tables'!$B$879:$B$925,CE$19)+IF($B21="EFR",SUMIFS('Reference Tables'!$D$879:$D$925,'Reference Tables'!$A$879:$A$925,CE$18,'Reference Tables'!$B$879:$B$925,CE$19)*($AU21*$AV21)^(SUMIFS('Reference Tables'!$E$879:$E$925,'Reference Tables'!$A$879:$A$925,CE$18,'Reference Tables'!$B$879:$B$925,CE$19)),0)))</f>
        <v/>
      </c>
      <c r="CF21" s="347" t="str">
        <f>IF($A21="","",AL21*(SUMIFS('Reference Tables'!$C$879:$C$925,'Reference Tables'!$A$879:$A$925,CF$18,'Reference Tables'!$B$879:$B$925,CF$19)+IF($B21="EFR",SUMIFS('Reference Tables'!$D$879:$D$925,'Reference Tables'!$A$879:$A$925,CF$18,'Reference Tables'!$B$879:$B$925,CF$19)*($AU21*$AV21)^(SUMIFS('Reference Tables'!$E$879:$E$925,'Reference Tables'!$A$879:$A$925,CF$18,'Reference Tables'!$B$879:$B$925,CF$19)),0)))</f>
        <v/>
      </c>
      <c r="CG21" s="347" t="str">
        <f>IF($A21="","",AM21*(SUMIFS('Reference Tables'!$C$879:$C$925,'Reference Tables'!$A$879:$A$925,CG$18,'Reference Tables'!$B$879:$B$925,CG$19)+IF($B21="EFR",SUMIFS('Reference Tables'!$D$879:$D$925,'Reference Tables'!$A$879:$A$925,CG$18,'Reference Tables'!$B$879:$B$925,CG$19)*($AU21*$AV21)^(SUMIFS('Reference Tables'!$E$879:$E$925,'Reference Tables'!$A$879:$A$925,CG$18,'Reference Tables'!$B$879:$B$925,CG$19)),0)))</f>
        <v/>
      </c>
      <c r="CH21" s="347" t="str">
        <f>IF($A21="","",AN21*(SUMIFS('Reference Tables'!$C$879:$C$925,'Reference Tables'!$A$879:$A$925,CH$18,'Reference Tables'!$B$879:$B$925,CH$19)+IF($B21="EFR",SUMIFS('Reference Tables'!$D$879:$D$925,'Reference Tables'!$A$879:$A$925,CH$18,'Reference Tables'!$B$879:$B$925,CH$19)*($AU21*$AV21)^(SUMIFS('Reference Tables'!$E$879:$E$925,'Reference Tables'!$A$879:$A$925,CH$18,'Reference Tables'!$B$879:$B$925,CH$19)),0)))</f>
        <v/>
      </c>
      <c r="CI21" s="347" t="str">
        <f>IF($A21="","",AO21*(SUMIFS('Reference Tables'!$C$879:$C$925,'Reference Tables'!$A$879:$A$925,CI$18,'Reference Tables'!$B$879:$B$925,CI$19)+IF($B21="EFR",SUMIFS('Reference Tables'!$D$879:$D$925,'Reference Tables'!$A$879:$A$925,CI$18,'Reference Tables'!$B$879:$B$925,CI$19)*($AU21*$AV21)^(SUMIFS('Reference Tables'!$E$879:$E$925,'Reference Tables'!$A$879:$A$925,CI$18,'Reference Tables'!$B$879:$B$925,CI$19)),0)))</f>
        <v/>
      </c>
      <c r="CJ21" s="347" t="str">
        <f>IF($A21="","",AP21*(SUMIFS('Reference Tables'!$C$879:$C$925,'Reference Tables'!$A$879:$A$925,CJ$18,'Reference Tables'!$B$879:$B$925,CJ$19)+IF($B21="EFR",SUMIFS('Reference Tables'!$D$879:$D$925,'Reference Tables'!$A$879:$A$925,CJ$18,'Reference Tables'!$B$879:$B$925,CJ$19)*($AU21*$AV21)^(SUMIFS('Reference Tables'!$E$879:$E$925,'Reference Tables'!$A$879:$A$925,CJ$18,'Reference Tables'!$B$879:$B$925,CJ$19)),0)))</f>
        <v/>
      </c>
      <c r="CK21" s="347" t="str">
        <f>IF($A21="","",AQ21*(SUMIFS('Reference Tables'!$C$879:$C$925,'Reference Tables'!$A$879:$A$925,CK$18,'Reference Tables'!$B$879:$B$925,CK$19)+IF($B21="EFR",SUMIFS('Reference Tables'!$D$879:$D$925,'Reference Tables'!$A$879:$A$925,CK$18,'Reference Tables'!$B$879:$B$925,CK$19)*($AU21*$AV21)^(SUMIFS('Reference Tables'!$E$879:$E$925,'Reference Tables'!$A$879:$A$925,CK$18,'Reference Tables'!$B$879:$B$925,CK$19)),0)))</f>
        <v/>
      </c>
      <c r="CL21" s="347" t="str">
        <f>IF($A21="","",AR21*(SUMIFS('Reference Tables'!$C$879:$C$925,'Reference Tables'!$A$879:$A$925,CL$18,'Reference Tables'!$B$879:$B$925,CL$19)+IF($B21="EFR",SUMIFS('Reference Tables'!$D$879:$D$925,'Reference Tables'!$A$879:$A$925,CL$18,'Reference Tables'!$B$879:$B$925,CL$19)*($AU21*$AV21)^(SUMIFS('Reference Tables'!$E$879:$E$925,'Reference Tables'!$A$879:$A$925,CL$18,'Reference Tables'!$B$879:$B$925,CL$19)),0)))</f>
        <v/>
      </c>
      <c r="CM21" s="347" t="str">
        <f>IF($A21="","",AS21*(SUMIFS('Reference Tables'!$C$879:$C$925,'Reference Tables'!$A$879:$A$925,CM$18,'Reference Tables'!$B$879:$B$925,CM$19)+IF($B21="EFR",SUMIFS('Reference Tables'!$D$879:$D$925,'Reference Tables'!$A$879:$A$925,CM$18,'Reference Tables'!$B$879:$B$925,CM$19)*($AU21*$AV21)^(SUMIFS('Reference Tables'!$E$879:$E$925,'Reference Tables'!$A$879:$A$925,CM$18,'Reference Tables'!$B$879:$B$925,CM$19)),0)))</f>
        <v/>
      </c>
      <c r="CN21" s="347" t="str">
        <f>IF($A21="","",AT21*(SUMIFS('Reference Tables'!$C$879:$C$925,'Reference Tables'!$A$879:$A$925,CN$18,'Reference Tables'!$B$879:$B$925,CN$19)+IF($B21="EFR",SUMIFS('Reference Tables'!$D$879:$D$925,'Reference Tables'!$A$879:$A$925,CN$18,'Reference Tables'!$B$879:$B$925,CN$19)*($AU21*$AV21)^(SUMIFS('Reference Tables'!$E$879:$E$925,'Reference Tables'!$A$879:$A$925,CN$18,'Reference Tables'!$B$879:$B$925,CN$19)),0)))</f>
        <v/>
      </c>
      <c r="CO21" s="347" t="str">
        <f t="shared" ref="CO21:CO29" si="5">IF($A21="","",SUM(AW21:CN21))</f>
        <v/>
      </c>
      <c r="CU21" s="250"/>
      <c r="CV21" s="250"/>
      <c r="CW21" s="250"/>
      <c r="CX21" s="250"/>
      <c r="CY21" s="250"/>
      <c r="CZ21" s="250"/>
      <c r="DA21" s="250"/>
      <c r="DB21" s="250"/>
      <c r="DC21" s="250"/>
      <c r="DD21" s="250"/>
      <c r="DE21" s="250"/>
      <c r="DF21" s="250"/>
      <c r="DG21" s="250"/>
      <c r="DH21" s="250"/>
      <c r="DI21" s="250"/>
      <c r="DJ21" s="250"/>
      <c r="DK21" s="250"/>
      <c r="DL21" s="250"/>
      <c r="DM21" s="250"/>
      <c r="DN21" s="250"/>
      <c r="DO21" s="250"/>
      <c r="DP21" s="250"/>
      <c r="DQ21" s="250"/>
      <c r="DR21" s="250"/>
      <c r="DS21" s="250"/>
      <c r="DT21" s="250"/>
      <c r="DU21" s="250"/>
      <c r="DV21" s="250"/>
      <c r="DW21" s="250"/>
      <c r="DX21" s="250"/>
      <c r="DY21" s="250"/>
      <c r="DZ21" s="250"/>
      <c r="EA21" s="250"/>
      <c r="EB21" s="250"/>
      <c r="EC21" s="250"/>
      <c r="ED21" s="250"/>
      <c r="EE21" s="250"/>
      <c r="EF21" s="250"/>
      <c r="EG21" s="250"/>
      <c r="EH21" s="250"/>
      <c r="EI21" s="250"/>
      <c r="EJ21" s="250"/>
      <c r="EK21" s="250"/>
      <c r="EL21" s="250"/>
      <c r="EM21" s="250"/>
    </row>
    <row r="22" spans="1:143">
      <c r="A22" s="342" t="str">
        <f>IF('Fitting Data'!A15&lt;&gt;"",'Fitting Data'!A15,"")</f>
        <v/>
      </c>
      <c r="B22" s="343" t="str">
        <f>IF($A22="","",INDEX('Tank Data'!$1:$1048576,MATCH($A22,'Tank Data'!$A:$A,0),MATCH(B$17,'Tank Data'!$9:$9,0)))</f>
        <v/>
      </c>
      <c r="C22" s="344" t="str">
        <f>IF($A22="","",IF('Fitting Data'!$B15&lt;&gt;"Typical",'Fitting Data'!C15,'Fitting Data'!BG15))</f>
        <v/>
      </c>
      <c r="D22" s="344" t="str">
        <f>IF($A22="","",IF('Fitting Data'!$B15&lt;&gt;"Typical",'Fitting Data'!D15,'Fitting Data'!BH15))</f>
        <v/>
      </c>
      <c r="E22" s="344" t="str">
        <f>IF($A22="","",IF('Fitting Data'!$B15&lt;&gt;"Typical",'Fitting Data'!E15,'Fitting Data'!BI15))</f>
        <v/>
      </c>
      <c r="F22" s="344" t="str">
        <f>IF($A22="","",IF('Fitting Data'!$B15&lt;&gt;"Typical",'Fitting Data'!F15,'Fitting Data'!BJ15))</f>
        <v/>
      </c>
      <c r="G22" s="344" t="str">
        <f>IF($A22="","",IF('Fitting Data'!$B15&lt;&gt;"Typical",'Fitting Data'!G15,'Fitting Data'!BK15))</f>
        <v/>
      </c>
      <c r="H22" s="344" t="str">
        <f>IF($A22="","",IF('Fitting Data'!$B15&lt;&gt;"Typical",'Fitting Data'!H15,'Fitting Data'!BL15))</f>
        <v/>
      </c>
      <c r="I22" s="344" t="str">
        <f>IF($A22="","",IF('Fitting Data'!$B15&lt;&gt;"Typical",'Fitting Data'!I15,'Fitting Data'!BM15))</f>
        <v/>
      </c>
      <c r="J22" s="344" t="str">
        <f>IF($A22="","",IF('Fitting Data'!$B15&lt;&gt;"Typical",'Fitting Data'!J15,'Fitting Data'!BN15))</f>
        <v/>
      </c>
      <c r="K22" s="344" t="str">
        <f>IF($A22="","",IF('Fitting Data'!$B15&lt;&gt;"Typical",'Fitting Data'!K15,'Fitting Data'!BO15))</f>
        <v/>
      </c>
      <c r="L22" s="344" t="str">
        <f>IF($A22="","",IF('Fitting Data'!$B15&lt;&gt;"Typical",'Fitting Data'!L15,'Fitting Data'!BP15))</f>
        <v/>
      </c>
      <c r="M22" s="344" t="str">
        <f>IF($A22="","",IF('Fitting Data'!$B15&lt;&gt;"Typical",'Fitting Data'!M15,'Fitting Data'!BQ15))</f>
        <v/>
      </c>
      <c r="N22" s="344" t="str">
        <f>IF($A22="","",IF('Fitting Data'!$B15&lt;&gt;"Typical",'Fitting Data'!N15,'Fitting Data'!BR15))</f>
        <v/>
      </c>
      <c r="O22" s="344" t="str">
        <f>IF($A22="","",IF('Fitting Data'!$B15&lt;&gt;"Typical",'Fitting Data'!O15,'Fitting Data'!BS15))</f>
        <v/>
      </c>
      <c r="P22" s="344" t="str">
        <f>IF($A22="","",IF('Fitting Data'!$B15&lt;&gt;"Typical",'Fitting Data'!P15,'Fitting Data'!BT15))</f>
        <v/>
      </c>
      <c r="Q22" s="344" t="str">
        <f>IF($A22="","",IF('Fitting Data'!$B15&lt;&gt;"Typical",'Fitting Data'!Q15,'Fitting Data'!BU15))</f>
        <v/>
      </c>
      <c r="R22" s="344" t="str">
        <f>IF($A22="","",IF('Fitting Data'!$B15&lt;&gt;"Typical",'Fitting Data'!R15,'Fitting Data'!BV15))</f>
        <v/>
      </c>
      <c r="S22" s="344" t="str">
        <f>IF($A22="","",IF('Fitting Data'!$B15&lt;&gt;"Typical",'Fitting Data'!S15,'Fitting Data'!BW15))</f>
        <v/>
      </c>
      <c r="T22" s="344" t="str">
        <f>IF($A22="","",IF('Fitting Data'!$B15&lt;&gt;"Typical",'Fitting Data'!T15,'Fitting Data'!BX15))</f>
        <v/>
      </c>
      <c r="U22" s="344" t="str">
        <f>IF($A22="","",IF('Fitting Data'!$B15&lt;&gt;"Typical",'Fitting Data'!U15,'Fitting Data'!BY15))</f>
        <v/>
      </c>
      <c r="V22" s="344" t="str">
        <f>IF($A22="","",IF('Fitting Data'!$B15&lt;&gt;"Typical",'Fitting Data'!V15,'Fitting Data'!BZ15))</f>
        <v/>
      </c>
      <c r="W22" s="344" t="str">
        <f>IF($A22="","",IF('Fitting Data'!$B15&lt;&gt;"Typical",'Fitting Data'!W15,'Fitting Data'!CA15))</f>
        <v/>
      </c>
      <c r="X22" s="344" t="str">
        <f>IF($A22="","",IF('Fitting Data'!$B15&lt;&gt;"Typical",'Fitting Data'!X15,'Fitting Data'!CB15))</f>
        <v/>
      </c>
      <c r="Y22" s="344" t="str">
        <f>IF($A22="","",IF('Fitting Data'!$B15&lt;&gt;"Typical",'Fitting Data'!Y15,'Fitting Data'!CC15))</f>
        <v/>
      </c>
      <c r="Z22" s="344" t="str">
        <f>IF($A22="","",IF('Fitting Data'!$B15&lt;&gt;"Typical",'Fitting Data'!Z15,'Fitting Data'!CD15))</f>
        <v/>
      </c>
      <c r="AA22" s="344" t="str">
        <f>IF($A22="","",IF('Fitting Data'!$B15&lt;&gt;"Typical",'Fitting Data'!AA15,'Fitting Data'!CE15))</f>
        <v/>
      </c>
      <c r="AB22" s="344" t="str">
        <f>IF($A22="","",IF('Fitting Data'!$B15&lt;&gt;"Typical",'Fitting Data'!AB15,'Fitting Data'!CF15))</f>
        <v/>
      </c>
      <c r="AC22" s="344" t="str">
        <f>IF($A22="","",IF('Fitting Data'!$B15&lt;&gt;"Typical",'Fitting Data'!AC15,'Fitting Data'!CG15))</f>
        <v/>
      </c>
      <c r="AD22" s="344" t="str">
        <f>IF($A22="","",IF('Fitting Data'!$B15&lt;&gt;"Typical",'Fitting Data'!AD15,'Fitting Data'!CH15))</f>
        <v/>
      </c>
      <c r="AE22" s="344" t="str">
        <f>IF($A22="","",IF('Fitting Data'!$B15&lt;&gt;"Typical",'Fitting Data'!AE15,'Fitting Data'!CI15))</f>
        <v/>
      </c>
      <c r="AF22" s="344" t="str">
        <f>IF($A22="","",IF('Fitting Data'!$B15&lt;&gt;"Typical",'Fitting Data'!AF15,'Fitting Data'!CJ15))</f>
        <v/>
      </c>
      <c r="AG22" s="344" t="str">
        <f>IF($A22="","",IF('Fitting Data'!$B15&lt;&gt;"Typical",'Fitting Data'!AG15,'Fitting Data'!CK15))</f>
        <v/>
      </c>
      <c r="AH22" s="344" t="str">
        <f>IF($A22="","",IF('Fitting Data'!$B15&lt;&gt;"Typical",'Fitting Data'!AH15,'Fitting Data'!CL15))</f>
        <v/>
      </c>
      <c r="AI22" s="344" t="str">
        <f>IF($A22="","",IF('Fitting Data'!$B15&lt;&gt;"Typical",'Fitting Data'!AI15,'Fitting Data'!CM15))</f>
        <v/>
      </c>
      <c r="AJ22" s="344" t="str">
        <f>IF($A22="","",IF('Fitting Data'!$B15&lt;&gt;"Typical",'Fitting Data'!AJ15,'Fitting Data'!CN15))</f>
        <v/>
      </c>
      <c r="AK22" s="344" t="str">
        <f>IF($A22="","",IF('Fitting Data'!$B15&lt;&gt;"Typical",'Fitting Data'!AK15,'Fitting Data'!CO15))</f>
        <v/>
      </c>
      <c r="AL22" s="344" t="str">
        <f>IF($A22="","",IF('Fitting Data'!$B15&lt;&gt;"Typical",'Fitting Data'!AL15,'Fitting Data'!CP15))</f>
        <v/>
      </c>
      <c r="AM22" s="344" t="str">
        <f>IF($A22="","",IF('Fitting Data'!$B15&lt;&gt;"Typical",'Fitting Data'!AM15,'Fitting Data'!CQ15))</f>
        <v/>
      </c>
      <c r="AN22" s="344" t="str">
        <f>IF($A22="","",IF('Fitting Data'!$B15&lt;&gt;"Typical",'Fitting Data'!AN15,'Fitting Data'!CR15))</f>
        <v/>
      </c>
      <c r="AO22" s="344" t="str">
        <f>IF($A22="","",IF('Fitting Data'!$B15&lt;&gt;"Typical",'Fitting Data'!AO15,'Fitting Data'!CS15))</f>
        <v/>
      </c>
      <c r="AP22" s="344" t="str">
        <f>IF($A22="","",IF('Fitting Data'!$B15&lt;&gt;"Typical",'Fitting Data'!AP15,'Fitting Data'!CT15))</f>
        <v/>
      </c>
      <c r="AQ22" s="344" t="str">
        <f>IF($A22="","",IF('Fitting Data'!$B15&lt;&gt;"Typical",'Fitting Data'!AQ15,'Fitting Data'!CU15))</f>
        <v/>
      </c>
      <c r="AR22" s="344" t="str">
        <f>IF($A22="","",IF('Fitting Data'!$B15&lt;&gt;"Typical",'Fitting Data'!AR15,'Fitting Data'!CV15))</f>
        <v/>
      </c>
      <c r="AS22" s="344" t="str">
        <f>IF($A22="","",IF('Fitting Data'!$B15&lt;&gt;"Typical",'Fitting Data'!AS15,'Fitting Data'!CW15))</f>
        <v/>
      </c>
      <c r="AT22" s="344" t="str">
        <f>IF($A22="","",IF('Fitting Data'!$B15&lt;&gt;"Typical",'Fitting Data'!AT15,'Fitting Data'!CX15))</f>
        <v/>
      </c>
      <c r="AU22" s="345" t="str">
        <f>IF($A22="","",IF($B22="EFR",'Met Data'!$H$23,0))</f>
        <v/>
      </c>
      <c r="AV22" s="346" t="str">
        <f t="shared" si="4"/>
        <v/>
      </c>
      <c r="AW22" s="347" t="str">
        <f>IF($A22="","",C22*(SUMIFS('Reference Tables'!$C$879:$C$925,'Reference Tables'!$A$879:$A$925,AW$18,'Reference Tables'!$B$879:$B$925,AW$19)+IF($B22="EFR",SUMIFS('Reference Tables'!$D$879:$D$925,'Reference Tables'!$A$879:$A$925,AW$18,'Reference Tables'!$B$879:$B$925,AW$19)*($AU22*$AV22)^(SUMIFS('Reference Tables'!$E$879:$E$925,'Reference Tables'!$A$879:$A$925,AW$18,'Reference Tables'!$B$879:$B$925,AW$19)),0)))</f>
        <v/>
      </c>
      <c r="AX22" s="347" t="str">
        <f>IF($A22="","",D22*(SUMIFS('Reference Tables'!$C$879:$C$925,'Reference Tables'!$A$879:$A$925,AX$18,'Reference Tables'!$B$879:$B$925,AX$19)+IF($B22="EFR",SUMIFS('Reference Tables'!$D$879:$D$925,'Reference Tables'!$A$879:$A$925,AX$18,'Reference Tables'!$B$879:$B$925,AX$19)*($AU22*$AV22)^(SUMIFS('Reference Tables'!$E$879:$E$925,'Reference Tables'!$A$879:$A$925,AX$18,'Reference Tables'!$B$879:$B$925,AX$19)),0)))</f>
        <v/>
      </c>
      <c r="AY22" s="347" t="str">
        <f>IF($A22="","",E22*(SUMIFS('Reference Tables'!$C$879:$C$925,'Reference Tables'!$A$879:$A$925,AY$18,'Reference Tables'!$B$879:$B$925,AY$19)+IF($B22="EFR",SUMIFS('Reference Tables'!$D$879:$D$925,'Reference Tables'!$A$879:$A$925,AY$18,'Reference Tables'!$B$879:$B$925,AY$19)*($AU22*$AV22)^(SUMIFS('Reference Tables'!$E$879:$E$925,'Reference Tables'!$A$879:$A$925,AY$18,'Reference Tables'!$B$879:$B$925,AY$19)),0)))</f>
        <v/>
      </c>
      <c r="AZ22" s="347" t="str">
        <f>IF($A22="","",F22*(SUMIFS('Reference Tables'!$C$879:$C$925,'Reference Tables'!$A$879:$A$925,AZ$18,'Reference Tables'!$B$879:$B$925,AZ$19)+IF($B22="EFR",SUMIFS('Reference Tables'!$D$879:$D$925,'Reference Tables'!$A$879:$A$925,AZ$18,'Reference Tables'!$B$879:$B$925,AZ$19)*($AU22*$AV22)^(SUMIFS('Reference Tables'!$E$879:$E$925,'Reference Tables'!$A$879:$A$925,AZ$18,'Reference Tables'!$B$879:$B$925,AZ$19)),0)))</f>
        <v/>
      </c>
      <c r="BA22" s="347" t="str">
        <f>IF($A22="","",G22*(SUMIFS('Reference Tables'!$C$879:$C$925,'Reference Tables'!$A$879:$A$925,BA$18,'Reference Tables'!$B$879:$B$925,BA$19)+IF($B22="EFR",SUMIFS('Reference Tables'!$D$879:$D$925,'Reference Tables'!$A$879:$A$925,BA$18,'Reference Tables'!$B$879:$B$925,BA$19)*($AU22*$AV22)^(SUMIFS('Reference Tables'!$E$879:$E$925,'Reference Tables'!$A$879:$A$925,BA$18,'Reference Tables'!$B$879:$B$925,BA$19)),0)))</f>
        <v/>
      </c>
      <c r="BB22" s="347" t="str">
        <f>IF($A22="","",H22*(SUMIFS('Reference Tables'!$C$879:$C$925,'Reference Tables'!$A$879:$A$925,BB$18,'Reference Tables'!$B$879:$B$925,BB$19)+IF($B22="EFR",SUMIFS('Reference Tables'!$D$879:$D$925,'Reference Tables'!$A$879:$A$925,BB$18,'Reference Tables'!$B$879:$B$925,BB$19)*($AU22*$AV22)^(SUMIFS('Reference Tables'!$E$879:$E$925,'Reference Tables'!$A$879:$A$925,BB$18,'Reference Tables'!$B$879:$B$925,BB$19)),0)))</f>
        <v/>
      </c>
      <c r="BC22" s="347" t="str">
        <f>IF($A22="","",I22*(SUMIFS('Reference Tables'!$C$879:$C$925,'Reference Tables'!$A$879:$A$925,BC$18,'Reference Tables'!$B$879:$B$925,BC$19)+IF($B22="EFR",SUMIFS('Reference Tables'!$D$879:$D$925,'Reference Tables'!$A$879:$A$925,BC$18,'Reference Tables'!$B$879:$B$925,BC$19)*($AU22*$AV22)^(SUMIFS('Reference Tables'!$E$879:$E$925,'Reference Tables'!$A$879:$A$925,BC$18,'Reference Tables'!$B$879:$B$925,BC$19)),0)))</f>
        <v/>
      </c>
      <c r="BD22" s="347" t="str">
        <f>IF($A22="","",J22*(SUMIFS('Reference Tables'!$C$879:$C$925,'Reference Tables'!$A$879:$A$925,BD$18,'Reference Tables'!$B$879:$B$925,BD$19)+IF($B22="EFR",SUMIFS('Reference Tables'!$D$879:$D$925,'Reference Tables'!$A$879:$A$925,BD$18,'Reference Tables'!$B$879:$B$925,BD$19)*($AU22*$AV22)^(SUMIFS('Reference Tables'!$E$879:$E$925,'Reference Tables'!$A$879:$A$925,BD$18,'Reference Tables'!$B$879:$B$925,BD$19)),0)))</f>
        <v/>
      </c>
      <c r="BE22" s="347" t="str">
        <f>IF($A22="","",K22*(SUMIFS('Reference Tables'!$C$879:$C$925,'Reference Tables'!$A$879:$A$925,BE$18,'Reference Tables'!$B$879:$B$925,BE$19)+IF($B22="EFR",SUMIFS('Reference Tables'!$D$879:$D$925,'Reference Tables'!$A$879:$A$925,BE$18,'Reference Tables'!$B$879:$B$925,BE$19)*($AU22*$AV22)^(SUMIFS('Reference Tables'!$E$879:$E$925,'Reference Tables'!$A$879:$A$925,BE$18,'Reference Tables'!$B$879:$B$925,BE$19)),0)))</f>
        <v/>
      </c>
      <c r="BF22" s="347" t="str">
        <f>IF($A22="","",L22*(SUMIFS('Reference Tables'!$C$879:$C$925,'Reference Tables'!$A$879:$A$925,BF$18,'Reference Tables'!$B$879:$B$925,BF$19)+IF($B22="EFR",SUMIFS('Reference Tables'!$D$879:$D$925,'Reference Tables'!$A$879:$A$925,BF$18,'Reference Tables'!$B$879:$B$925,BF$19)*($AU22*$AV22)^(SUMIFS('Reference Tables'!$E$879:$E$925,'Reference Tables'!$A$879:$A$925,BF$18,'Reference Tables'!$B$879:$B$925,BF$19)),0)))</f>
        <v/>
      </c>
      <c r="BG22" s="347" t="str">
        <f>IF($A22="","",M22*(SUMIFS('Reference Tables'!$C$879:$C$925,'Reference Tables'!$A$879:$A$925,BG$18,'Reference Tables'!$B$879:$B$925,BG$19)+IF($B22="EFR",SUMIFS('Reference Tables'!$D$879:$D$925,'Reference Tables'!$A$879:$A$925,BG$18,'Reference Tables'!$B$879:$B$925,BG$19)*($AU22*$AV22)^(SUMIFS('Reference Tables'!$E$879:$E$925,'Reference Tables'!$A$879:$A$925,BG$18,'Reference Tables'!$B$879:$B$925,BG$19)),0)))</f>
        <v/>
      </c>
      <c r="BH22" s="347" t="str">
        <f>IF($A22="","",N22*(SUMIFS('Reference Tables'!$C$879:$C$925,'Reference Tables'!$A$879:$A$925,BH$18,'Reference Tables'!$B$879:$B$925,BH$19)+IF($B22="EFR",SUMIFS('Reference Tables'!$D$879:$D$925,'Reference Tables'!$A$879:$A$925,BH$18,'Reference Tables'!$B$879:$B$925,BH$19)*($AU22*$AV22)^(SUMIFS('Reference Tables'!$E$879:$E$925,'Reference Tables'!$A$879:$A$925,BH$18,'Reference Tables'!$B$879:$B$925,BH$19)),0)))</f>
        <v/>
      </c>
      <c r="BI22" s="347" t="str">
        <f>IF($A22="","",O22*(SUMIFS('Reference Tables'!$C$879:$C$925,'Reference Tables'!$A$879:$A$925,BI$18,'Reference Tables'!$B$879:$B$925,BI$19)+IF($B22="EFR",SUMIFS('Reference Tables'!$D$879:$D$925,'Reference Tables'!$A$879:$A$925,BI$18,'Reference Tables'!$B$879:$B$925,BI$19)*($AU22*$AV22)^(SUMIFS('Reference Tables'!$E$879:$E$925,'Reference Tables'!$A$879:$A$925,BI$18,'Reference Tables'!$B$879:$B$925,BI$19)),0)))</f>
        <v/>
      </c>
      <c r="BJ22" s="347" t="str">
        <f>IF($A22="","",P22*(SUMIFS('Reference Tables'!$C$879:$C$925,'Reference Tables'!$A$879:$A$925,BJ$18,'Reference Tables'!$B$879:$B$925,BJ$19)+IF($B22="EFR",SUMIFS('Reference Tables'!$D$879:$D$925,'Reference Tables'!$A$879:$A$925,BJ$18,'Reference Tables'!$B$879:$B$925,BJ$19)*($AU22*$AV22)^(SUMIFS('Reference Tables'!$E$879:$E$925,'Reference Tables'!$A$879:$A$925,BJ$18,'Reference Tables'!$B$879:$B$925,BJ$19)),0)))</f>
        <v/>
      </c>
      <c r="BK22" s="347" t="str">
        <f>IF($A22="","",Q22*(SUMIFS('Reference Tables'!$C$879:$C$925,'Reference Tables'!$A$879:$A$925,BK$18,'Reference Tables'!$B$879:$B$925,BK$19)+IF($B22="EFR",SUMIFS('Reference Tables'!$D$879:$D$925,'Reference Tables'!$A$879:$A$925,BK$18,'Reference Tables'!$B$879:$B$925,BK$19)*($AU22*$AV22)^(SUMIFS('Reference Tables'!$E$879:$E$925,'Reference Tables'!$A$879:$A$925,BK$18,'Reference Tables'!$B$879:$B$925,BK$19)),0)))</f>
        <v/>
      </c>
      <c r="BL22" s="347" t="str">
        <f>IF($A22="","",R22*(SUMIFS('Reference Tables'!$C$879:$C$925,'Reference Tables'!$A$879:$A$925,BL$18,'Reference Tables'!$B$879:$B$925,BL$19)+IF($B22="EFR",SUMIFS('Reference Tables'!$D$879:$D$925,'Reference Tables'!$A$879:$A$925,BL$18,'Reference Tables'!$B$879:$B$925,BL$19)*($AU22*$AV22)^(SUMIFS('Reference Tables'!$E$879:$E$925,'Reference Tables'!$A$879:$A$925,BL$18,'Reference Tables'!$B$879:$B$925,BL$19)),0)))</f>
        <v/>
      </c>
      <c r="BM22" s="347" t="str">
        <f>IF($A22="","",S22*(SUMIFS('Reference Tables'!$C$879:$C$925,'Reference Tables'!$A$879:$A$925,BM$18,'Reference Tables'!$B$879:$B$925,BM$19)+IF($B22="EFR",SUMIFS('Reference Tables'!$D$879:$D$925,'Reference Tables'!$A$879:$A$925,BM$18,'Reference Tables'!$B$879:$B$925,BM$19)*($AU22*$AV22)^(SUMIFS('Reference Tables'!$E$879:$E$925,'Reference Tables'!$A$879:$A$925,BM$18,'Reference Tables'!$B$879:$B$925,BM$19)),0)))</f>
        <v/>
      </c>
      <c r="BN22" s="347" t="str">
        <f>IF($A22="","",T22*(SUMIFS('Reference Tables'!$C$879:$C$925,'Reference Tables'!$A$879:$A$925,BN$18,'Reference Tables'!$B$879:$B$925,BN$19)+IF($B22="EFR",SUMIFS('Reference Tables'!$D$879:$D$925,'Reference Tables'!$A$879:$A$925,BN$18,'Reference Tables'!$B$879:$B$925,BN$19)*($AU22*$AV22)^(SUMIFS('Reference Tables'!$E$879:$E$925,'Reference Tables'!$A$879:$A$925,BN$18,'Reference Tables'!$B$879:$B$925,BN$19)),0)))</f>
        <v/>
      </c>
      <c r="BO22" s="347" t="str">
        <f>IF($A22="","",U22*(SUMIFS('Reference Tables'!$C$879:$C$925,'Reference Tables'!$A$879:$A$925,BO$18,'Reference Tables'!$B$879:$B$925,BO$19)+IF($B22="EFR",SUMIFS('Reference Tables'!$D$879:$D$925,'Reference Tables'!$A$879:$A$925,BO$18,'Reference Tables'!$B$879:$B$925,BO$19)*($AU22*$AV22)^(SUMIFS('Reference Tables'!$E$879:$E$925,'Reference Tables'!$A$879:$A$925,BO$18,'Reference Tables'!$B$879:$B$925,BO$19)),0)))</f>
        <v/>
      </c>
      <c r="BP22" s="347" t="str">
        <f>IF($A22="","",V22*(SUMIFS('Reference Tables'!$C$879:$C$925,'Reference Tables'!$A$879:$A$925,BP$18,'Reference Tables'!$B$879:$B$925,BP$19)+IF($B22="EFR",SUMIFS('Reference Tables'!$D$879:$D$925,'Reference Tables'!$A$879:$A$925,BP$18,'Reference Tables'!$B$879:$B$925,BP$19)*($AU22*$AV22)^(SUMIFS('Reference Tables'!$E$879:$E$925,'Reference Tables'!$A$879:$A$925,BP$18,'Reference Tables'!$B$879:$B$925,BP$19)),0)))</f>
        <v/>
      </c>
      <c r="BQ22" s="347" t="str">
        <f>IF($A22="","",W22*(SUMIFS('Reference Tables'!$C$879:$C$925,'Reference Tables'!$A$879:$A$925,BQ$18,'Reference Tables'!$B$879:$B$925,BQ$19)+IF($B22="EFR",SUMIFS('Reference Tables'!$D$879:$D$925,'Reference Tables'!$A$879:$A$925,BQ$18,'Reference Tables'!$B$879:$B$925,BQ$19)*($AU22*$AV22)^(SUMIFS('Reference Tables'!$E$879:$E$925,'Reference Tables'!$A$879:$A$925,BQ$18,'Reference Tables'!$B$879:$B$925,BQ$19)),0)))</f>
        <v/>
      </c>
      <c r="BR22" s="347" t="str">
        <f>IF($A22="","",X22*(SUMIFS('Reference Tables'!$C$879:$C$925,'Reference Tables'!$A$879:$A$925,BR$18,'Reference Tables'!$B$879:$B$925,BR$19)+IF($B22="EFR",SUMIFS('Reference Tables'!$D$879:$D$925,'Reference Tables'!$A$879:$A$925,BR$18,'Reference Tables'!$B$879:$B$925,BR$19)*($AU22*$AV22)^(SUMIFS('Reference Tables'!$E$879:$E$925,'Reference Tables'!$A$879:$A$925,BR$18,'Reference Tables'!$B$879:$B$925,BR$19)),0)))</f>
        <v/>
      </c>
      <c r="BS22" s="347" t="str">
        <f>IF($A22="","",Y22*(SUMIFS('Reference Tables'!$C$879:$C$925,'Reference Tables'!$A$879:$A$925,BS$18,'Reference Tables'!$B$879:$B$925,BS$19)+IF($B22="EFR",SUMIFS('Reference Tables'!$D$879:$D$925,'Reference Tables'!$A$879:$A$925,BS$18,'Reference Tables'!$B$879:$B$925,BS$19)*($AU22*$AV22)^(SUMIFS('Reference Tables'!$E$879:$E$925,'Reference Tables'!$A$879:$A$925,BS$18,'Reference Tables'!$B$879:$B$925,BS$19)),0)))</f>
        <v/>
      </c>
      <c r="BT22" s="347" t="str">
        <f>IF($A22="","",Z22*(SUMIFS('Reference Tables'!$C$879:$C$925,'Reference Tables'!$A$879:$A$925,BT$18,'Reference Tables'!$B$879:$B$925,BT$19)+IF($B22="EFR",SUMIFS('Reference Tables'!$D$879:$D$925,'Reference Tables'!$A$879:$A$925,BT$18,'Reference Tables'!$B$879:$B$925,BT$19)*($AU22*$AV22)^(SUMIFS('Reference Tables'!$E$879:$E$925,'Reference Tables'!$A$879:$A$925,BT$18,'Reference Tables'!$B$879:$B$925,BT$19)),0)))</f>
        <v/>
      </c>
      <c r="BU22" s="347" t="str">
        <f>IF($A22="","",AA22*(SUMIFS('Reference Tables'!$C$879:$C$925,'Reference Tables'!$A$879:$A$925,BU$18,'Reference Tables'!$B$879:$B$925,BU$19)+IF($B22="EFR",SUMIFS('Reference Tables'!$D$879:$D$925,'Reference Tables'!$A$879:$A$925,BU$18,'Reference Tables'!$B$879:$B$925,BU$19)*($AU22*$AV22)^(SUMIFS('Reference Tables'!$E$879:$E$925,'Reference Tables'!$A$879:$A$925,BU$18,'Reference Tables'!$B$879:$B$925,BU$19)),0)))</f>
        <v/>
      </c>
      <c r="BV22" s="347" t="str">
        <f>IF($A22="","",AB22*(SUMIFS('Reference Tables'!$C$879:$C$925,'Reference Tables'!$A$879:$A$925,BV$18,'Reference Tables'!$B$879:$B$925,BV$19)+IF($B22="EFR",SUMIFS('Reference Tables'!$D$879:$D$925,'Reference Tables'!$A$879:$A$925,BV$18,'Reference Tables'!$B$879:$B$925,BV$19)*($AU22*$AV22)^(SUMIFS('Reference Tables'!$E$879:$E$925,'Reference Tables'!$A$879:$A$925,BV$18,'Reference Tables'!$B$879:$B$925,BV$19)),0)))</f>
        <v/>
      </c>
      <c r="BW22" s="347" t="str">
        <f>IF($A22="","",AC22*(SUMIFS('Reference Tables'!$C$879:$C$925,'Reference Tables'!$A$879:$A$925,BW$18,'Reference Tables'!$B$879:$B$925,BW$19)+IF($B22="EFR",SUMIFS('Reference Tables'!$D$879:$D$925,'Reference Tables'!$A$879:$A$925,BW$18,'Reference Tables'!$B$879:$B$925,BW$19)*($AU22*$AV22)^(SUMIFS('Reference Tables'!$E$879:$E$925,'Reference Tables'!$A$879:$A$925,BW$18,'Reference Tables'!$B$879:$B$925,BW$19)),0)))</f>
        <v/>
      </c>
      <c r="BX22" s="347" t="str">
        <f>IF($A22="","",AD22*(SUMIFS('Reference Tables'!$C$879:$C$925,'Reference Tables'!$A$879:$A$925,BX$18,'Reference Tables'!$B$879:$B$925,BX$19)+IF($B22="EFR",SUMIFS('Reference Tables'!$D$879:$D$925,'Reference Tables'!$A$879:$A$925,BX$18,'Reference Tables'!$B$879:$B$925,BX$19)*($AU22*$AV22)^(SUMIFS('Reference Tables'!$E$879:$E$925,'Reference Tables'!$A$879:$A$925,BX$18,'Reference Tables'!$B$879:$B$925,BX$19)),0)))</f>
        <v/>
      </c>
      <c r="BY22" s="347" t="str">
        <f>IF($A22="","",AE22*(SUMIFS('Reference Tables'!$C$879:$C$925,'Reference Tables'!$A$879:$A$925,BY$18,'Reference Tables'!$B$879:$B$925,BY$19)+IF($B22="EFR",SUMIFS('Reference Tables'!$D$879:$D$925,'Reference Tables'!$A$879:$A$925,BY$18,'Reference Tables'!$B$879:$B$925,BY$19)*($AU22*$AV22)^(SUMIFS('Reference Tables'!$E$879:$E$925,'Reference Tables'!$A$879:$A$925,BY$18,'Reference Tables'!$B$879:$B$925,BY$19)),0)))</f>
        <v/>
      </c>
      <c r="BZ22" s="347" t="str">
        <f>IF($A22="","",AF22*(SUMIFS('Reference Tables'!$C$879:$C$925,'Reference Tables'!$A$879:$A$925,BZ$18,'Reference Tables'!$B$879:$B$925,BZ$19)+IF($B22="EFR",SUMIFS('Reference Tables'!$D$879:$D$925,'Reference Tables'!$A$879:$A$925,BZ$18,'Reference Tables'!$B$879:$B$925,BZ$19)*($AU22*$AV22)^(SUMIFS('Reference Tables'!$E$879:$E$925,'Reference Tables'!$A$879:$A$925,BZ$18,'Reference Tables'!$B$879:$B$925,BZ$19)),0)))</f>
        <v/>
      </c>
      <c r="CA22" s="347" t="str">
        <f>IF($A22="","",AG22*(SUMIFS('Reference Tables'!$C$879:$C$925,'Reference Tables'!$A$879:$A$925,CA$18,'Reference Tables'!$B$879:$B$925,CA$19)+IF($B22="EFR",SUMIFS('Reference Tables'!$D$879:$D$925,'Reference Tables'!$A$879:$A$925,CA$18,'Reference Tables'!$B$879:$B$925,CA$19)*($AU22*$AV22)^(SUMIFS('Reference Tables'!$E$879:$E$925,'Reference Tables'!$A$879:$A$925,CA$18,'Reference Tables'!$B$879:$B$925,CA$19)),0)))</f>
        <v/>
      </c>
      <c r="CB22" s="347" t="str">
        <f>IF($A22="","",AH22*(SUMIFS('Reference Tables'!$C$879:$C$925,'Reference Tables'!$A$879:$A$925,CB$18,'Reference Tables'!$B$879:$B$925,CB$19)+IF($B22="EFR",SUMIFS('Reference Tables'!$D$879:$D$925,'Reference Tables'!$A$879:$A$925,CB$18,'Reference Tables'!$B$879:$B$925,CB$19)*($AU22*$AV22)^(SUMIFS('Reference Tables'!$E$879:$E$925,'Reference Tables'!$A$879:$A$925,CB$18,'Reference Tables'!$B$879:$B$925,CB$19)),0)))</f>
        <v/>
      </c>
      <c r="CC22" s="347" t="str">
        <f>IF($A22="","",AI22*(SUMIFS('Reference Tables'!$C$879:$C$925,'Reference Tables'!$A$879:$A$925,CC$18,'Reference Tables'!$B$879:$B$925,CC$19)+IF($B22="EFR",SUMIFS('Reference Tables'!$D$879:$D$925,'Reference Tables'!$A$879:$A$925,CC$18,'Reference Tables'!$B$879:$B$925,CC$19)*($AU22*$AV22)^(SUMIFS('Reference Tables'!$E$879:$E$925,'Reference Tables'!$A$879:$A$925,CC$18,'Reference Tables'!$B$879:$B$925,CC$19)),0)))</f>
        <v/>
      </c>
      <c r="CD22" s="347" t="str">
        <f>IF($A22="","",AJ22*(SUMIFS('Reference Tables'!$C$879:$C$925,'Reference Tables'!$A$879:$A$925,CD$18,'Reference Tables'!$B$879:$B$925,CD$19)+IF($B22="EFR",SUMIFS('Reference Tables'!$D$879:$D$925,'Reference Tables'!$A$879:$A$925,CD$18,'Reference Tables'!$B$879:$B$925,CD$19)*($AU22*$AV22)^(SUMIFS('Reference Tables'!$E$879:$E$925,'Reference Tables'!$A$879:$A$925,CD$18,'Reference Tables'!$B$879:$B$925,CD$19)),0)))</f>
        <v/>
      </c>
      <c r="CE22" s="347" t="str">
        <f>IF($A22="","",AK22*(SUMIFS('Reference Tables'!$C$879:$C$925,'Reference Tables'!$A$879:$A$925,CE$18,'Reference Tables'!$B$879:$B$925,CE$19)+IF($B22="EFR",SUMIFS('Reference Tables'!$D$879:$D$925,'Reference Tables'!$A$879:$A$925,CE$18,'Reference Tables'!$B$879:$B$925,CE$19)*($AU22*$AV22)^(SUMIFS('Reference Tables'!$E$879:$E$925,'Reference Tables'!$A$879:$A$925,CE$18,'Reference Tables'!$B$879:$B$925,CE$19)),0)))</f>
        <v/>
      </c>
      <c r="CF22" s="347" t="str">
        <f>IF($A22="","",AL22*(SUMIFS('Reference Tables'!$C$879:$C$925,'Reference Tables'!$A$879:$A$925,CF$18,'Reference Tables'!$B$879:$B$925,CF$19)+IF($B22="EFR",SUMIFS('Reference Tables'!$D$879:$D$925,'Reference Tables'!$A$879:$A$925,CF$18,'Reference Tables'!$B$879:$B$925,CF$19)*($AU22*$AV22)^(SUMIFS('Reference Tables'!$E$879:$E$925,'Reference Tables'!$A$879:$A$925,CF$18,'Reference Tables'!$B$879:$B$925,CF$19)),0)))</f>
        <v/>
      </c>
      <c r="CG22" s="347" t="str">
        <f>IF($A22="","",AM22*(SUMIFS('Reference Tables'!$C$879:$C$925,'Reference Tables'!$A$879:$A$925,CG$18,'Reference Tables'!$B$879:$B$925,CG$19)+IF($B22="EFR",SUMIFS('Reference Tables'!$D$879:$D$925,'Reference Tables'!$A$879:$A$925,CG$18,'Reference Tables'!$B$879:$B$925,CG$19)*($AU22*$AV22)^(SUMIFS('Reference Tables'!$E$879:$E$925,'Reference Tables'!$A$879:$A$925,CG$18,'Reference Tables'!$B$879:$B$925,CG$19)),0)))</f>
        <v/>
      </c>
      <c r="CH22" s="347" t="str">
        <f>IF($A22="","",AN22*(SUMIFS('Reference Tables'!$C$879:$C$925,'Reference Tables'!$A$879:$A$925,CH$18,'Reference Tables'!$B$879:$B$925,CH$19)+IF($B22="EFR",SUMIFS('Reference Tables'!$D$879:$D$925,'Reference Tables'!$A$879:$A$925,CH$18,'Reference Tables'!$B$879:$B$925,CH$19)*($AU22*$AV22)^(SUMIFS('Reference Tables'!$E$879:$E$925,'Reference Tables'!$A$879:$A$925,CH$18,'Reference Tables'!$B$879:$B$925,CH$19)),0)))</f>
        <v/>
      </c>
      <c r="CI22" s="347" t="str">
        <f>IF($A22="","",AO22*(SUMIFS('Reference Tables'!$C$879:$C$925,'Reference Tables'!$A$879:$A$925,CI$18,'Reference Tables'!$B$879:$B$925,CI$19)+IF($B22="EFR",SUMIFS('Reference Tables'!$D$879:$D$925,'Reference Tables'!$A$879:$A$925,CI$18,'Reference Tables'!$B$879:$B$925,CI$19)*($AU22*$AV22)^(SUMIFS('Reference Tables'!$E$879:$E$925,'Reference Tables'!$A$879:$A$925,CI$18,'Reference Tables'!$B$879:$B$925,CI$19)),0)))</f>
        <v/>
      </c>
      <c r="CJ22" s="347" t="str">
        <f>IF($A22="","",AP22*(SUMIFS('Reference Tables'!$C$879:$C$925,'Reference Tables'!$A$879:$A$925,CJ$18,'Reference Tables'!$B$879:$B$925,CJ$19)+IF($B22="EFR",SUMIFS('Reference Tables'!$D$879:$D$925,'Reference Tables'!$A$879:$A$925,CJ$18,'Reference Tables'!$B$879:$B$925,CJ$19)*($AU22*$AV22)^(SUMIFS('Reference Tables'!$E$879:$E$925,'Reference Tables'!$A$879:$A$925,CJ$18,'Reference Tables'!$B$879:$B$925,CJ$19)),0)))</f>
        <v/>
      </c>
      <c r="CK22" s="347" t="str">
        <f>IF($A22="","",AQ22*(SUMIFS('Reference Tables'!$C$879:$C$925,'Reference Tables'!$A$879:$A$925,CK$18,'Reference Tables'!$B$879:$B$925,CK$19)+IF($B22="EFR",SUMIFS('Reference Tables'!$D$879:$D$925,'Reference Tables'!$A$879:$A$925,CK$18,'Reference Tables'!$B$879:$B$925,CK$19)*($AU22*$AV22)^(SUMIFS('Reference Tables'!$E$879:$E$925,'Reference Tables'!$A$879:$A$925,CK$18,'Reference Tables'!$B$879:$B$925,CK$19)),0)))</f>
        <v/>
      </c>
      <c r="CL22" s="347" t="str">
        <f>IF($A22="","",AR22*(SUMIFS('Reference Tables'!$C$879:$C$925,'Reference Tables'!$A$879:$A$925,CL$18,'Reference Tables'!$B$879:$B$925,CL$19)+IF($B22="EFR",SUMIFS('Reference Tables'!$D$879:$D$925,'Reference Tables'!$A$879:$A$925,CL$18,'Reference Tables'!$B$879:$B$925,CL$19)*($AU22*$AV22)^(SUMIFS('Reference Tables'!$E$879:$E$925,'Reference Tables'!$A$879:$A$925,CL$18,'Reference Tables'!$B$879:$B$925,CL$19)),0)))</f>
        <v/>
      </c>
      <c r="CM22" s="347" t="str">
        <f>IF($A22="","",AS22*(SUMIFS('Reference Tables'!$C$879:$C$925,'Reference Tables'!$A$879:$A$925,CM$18,'Reference Tables'!$B$879:$B$925,CM$19)+IF($B22="EFR",SUMIFS('Reference Tables'!$D$879:$D$925,'Reference Tables'!$A$879:$A$925,CM$18,'Reference Tables'!$B$879:$B$925,CM$19)*($AU22*$AV22)^(SUMIFS('Reference Tables'!$E$879:$E$925,'Reference Tables'!$A$879:$A$925,CM$18,'Reference Tables'!$B$879:$B$925,CM$19)),0)))</f>
        <v/>
      </c>
      <c r="CN22" s="347" t="str">
        <f>IF($A22="","",AT22*(SUMIFS('Reference Tables'!$C$879:$C$925,'Reference Tables'!$A$879:$A$925,CN$18,'Reference Tables'!$B$879:$B$925,CN$19)+IF($B22="EFR",SUMIFS('Reference Tables'!$D$879:$D$925,'Reference Tables'!$A$879:$A$925,CN$18,'Reference Tables'!$B$879:$B$925,CN$19)*($AU22*$AV22)^(SUMIFS('Reference Tables'!$E$879:$E$925,'Reference Tables'!$A$879:$A$925,CN$18,'Reference Tables'!$B$879:$B$925,CN$19)),0)))</f>
        <v/>
      </c>
      <c r="CO22" s="347" t="str">
        <f t="shared" si="5"/>
        <v/>
      </c>
      <c r="CU22" s="250"/>
      <c r="CV22" s="250"/>
      <c r="CW22" s="250"/>
      <c r="CX22" s="250"/>
      <c r="CY22" s="250"/>
      <c r="CZ22" s="250"/>
      <c r="DA22" s="250"/>
      <c r="DB22" s="250"/>
      <c r="DC22" s="250"/>
      <c r="DD22" s="250"/>
      <c r="DE22" s="250"/>
      <c r="DF22" s="250"/>
      <c r="DG22" s="250"/>
      <c r="DH22" s="250"/>
      <c r="DI22" s="250"/>
      <c r="DJ22" s="250"/>
      <c r="DK22" s="250"/>
      <c r="DL22" s="250"/>
      <c r="DM22" s="250"/>
      <c r="DN22" s="250"/>
      <c r="DO22" s="250"/>
      <c r="DP22" s="250"/>
      <c r="DQ22" s="250"/>
      <c r="DR22" s="250"/>
      <c r="DS22" s="250"/>
      <c r="DT22" s="250"/>
      <c r="DU22" s="250"/>
      <c r="DV22" s="250"/>
      <c r="DW22" s="250"/>
      <c r="DX22" s="250"/>
      <c r="DY22" s="250"/>
      <c r="DZ22" s="250"/>
      <c r="EA22" s="250"/>
      <c r="EB22" s="250"/>
      <c r="EC22" s="250"/>
      <c r="ED22" s="250"/>
      <c r="EE22" s="250"/>
      <c r="EF22" s="250"/>
      <c r="EG22" s="250"/>
      <c r="EH22" s="250"/>
      <c r="EI22" s="250"/>
      <c r="EJ22" s="250"/>
      <c r="EK22" s="250"/>
      <c r="EL22" s="250"/>
      <c r="EM22" s="250"/>
    </row>
    <row r="23" spans="1:143">
      <c r="A23" s="342" t="str">
        <f>IF('Fitting Data'!A16&lt;&gt;"",'Fitting Data'!A16,"")</f>
        <v/>
      </c>
      <c r="B23" s="343" t="str">
        <f>IF($A23="","",INDEX('Tank Data'!$1:$1048576,MATCH($A23,'Tank Data'!$A:$A,0),MATCH(B$17,'Tank Data'!$9:$9,0)))</f>
        <v/>
      </c>
      <c r="C23" s="344" t="str">
        <f>IF($A23="","",IF('Fitting Data'!$B16&lt;&gt;"Typical",'Fitting Data'!C16,'Fitting Data'!BG16))</f>
        <v/>
      </c>
      <c r="D23" s="344" t="str">
        <f>IF($A23="","",IF('Fitting Data'!$B16&lt;&gt;"Typical",'Fitting Data'!D16,'Fitting Data'!BH16))</f>
        <v/>
      </c>
      <c r="E23" s="344" t="str">
        <f>IF($A23="","",IF('Fitting Data'!$B16&lt;&gt;"Typical",'Fitting Data'!E16,'Fitting Data'!BI16))</f>
        <v/>
      </c>
      <c r="F23" s="344" t="str">
        <f>IF($A23="","",IF('Fitting Data'!$B16&lt;&gt;"Typical",'Fitting Data'!F16,'Fitting Data'!BJ16))</f>
        <v/>
      </c>
      <c r="G23" s="344" t="str">
        <f>IF($A23="","",IF('Fitting Data'!$B16&lt;&gt;"Typical",'Fitting Data'!G16,'Fitting Data'!BK16))</f>
        <v/>
      </c>
      <c r="H23" s="344" t="str">
        <f>IF($A23="","",IF('Fitting Data'!$B16&lt;&gt;"Typical",'Fitting Data'!H16,'Fitting Data'!BL16))</f>
        <v/>
      </c>
      <c r="I23" s="344" t="str">
        <f>IF($A23="","",IF('Fitting Data'!$B16&lt;&gt;"Typical",'Fitting Data'!I16,'Fitting Data'!BM16))</f>
        <v/>
      </c>
      <c r="J23" s="344" t="str">
        <f>IF($A23="","",IF('Fitting Data'!$B16&lt;&gt;"Typical",'Fitting Data'!J16,'Fitting Data'!BN16))</f>
        <v/>
      </c>
      <c r="K23" s="344" t="str">
        <f>IF($A23="","",IF('Fitting Data'!$B16&lt;&gt;"Typical",'Fitting Data'!K16,'Fitting Data'!BO16))</f>
        <v/>
      </c>
      <c r="L23" s="344" t="str">
        <f>IF($A23="","",IF('Fitting Data'!$B16&lt;&gt;"Typical",'Fitting Data'!L16,'Fitting Data'!BP16))</f>
        <v/>
      </c>
      <c r="M23" s="344" t="str">
        <f>IF($A23="","",IF('Fitting Data'!$B16&lt;&gt;"Typical",'Fitting Data'!M16,'Fitting Data'!BQ16))</f>
        <v/>
      </c>
      <c r="N23" s="344" t="str">
        <f>IF($A23="","",IF('Fitting Data'!$B16&lt;&gt;"Typical",'Fitting Data'!N16,'Fitting Data'!BR16))</f>
        <v/>
      </c>
      <c r="O23" s="344" t="str">
        <f>IF($A23="","",IF('Fitting Data'!$B16&lt;&gt;"Typical",'Fitting Data'!O16,'Fitting Data'!BS16))</f>
        <v/>
      </c>
      <c r="P23" s="344" t="str">
        <f>IF($A23="","",IF('Fitting Data'!$B16&lt;&gt;"Typical",'Fitting Data'!P16,'Fitting Data'!BT16))</f>
        <v/>
      </c>
      <c r="Q23" s="344" t="str">
        <f>IF($A23="","",IF('Fitting Data'!$B16&lt;&gt;"Typical",'Fitting Data'!Q16,'Fitting Data'!BU16))</f>
        <v/>
      </c>
      <c r="R23" s="344" t="str">
        <f>IF($A23="","",IF('Fitting Data'!$B16&lt;&gt;"Typical",'Fitting Data'!R16,'Fitting Data'!BV16))</f>
        <v/>
      </c>
      <c r="S23" s="344" t="str">
        <f>IF($A23="","",IF('Fitting Data'!$B16&lt;&gt;"Typical",'Fitting Data'!S16,'Fitting Data'!BW16))</f>
        <v/>
      </c>
      <c r="T23" s="344" t="str">
        <f>IF($A23="","",IF('Fitting Data'!$B16&lt;&gt;"Typical",'Fitting Data'!T16,'Fitting Data'!BX16))</f>
        <v/>
      </c>
      <c r="U23" s="344" t="str">
        <f>IF($A23="","",IF('Fitting Data'!$B16&lt;&gt;"Typical",'Fitting Data'!U16,'Fitting Data'!BY16))</f>
        <v/>
      </c>
      <c r="V23" s="344" t="str">
        <f>IF($A23="","",IF('Fitting Data'!$B16&lt;&gt;"Typical",'Fitting Data'!V16,'Fitting Data'!BZ16))</f>
        <v/>
      </c>
      <c r="W23" s="344" t="str">
        <f>IF($A23="","",IF('Fitting Data'!$B16&lt;&gt;"Typical",'Fitting Data'!W16,'Fitting Data'!CA16))</f>
        <v/>
      </c>
      <c r="X23" s="344" t="str">
        <f>IF($A23="","",IF('Fitting Data'!$B16&lt;&gt;"Typical",'Fitting Data'!X16,'Fitting Data'!CB16))</f>
        <v/>
      </c>
      <c r="Y23" s="344" t="str">
        <f>IF($A23="","",IF('Fitting Data'!$B16&lt;&gt;"Typical",'Fitting Data'!Y16,'Fitting Data'!CC16))</f>
        <v/>
      </c>
      <c r="Z23" s="344" t="str">
        <f>IF($A23="","",IF('Fitting Data'!$B16&lt;&gt;"Typical",'Fitting Data'!Z16,'Fitting Data'!CD16))</f>
        <v/>
      </c>
      <c r="AA23" s="344" t="str">
        <f>IF($A23="","",IF('Fitting Data'!$B16&lt;&gt;"Typical",'Fitting Data'!AA16,'Fitting Data'!CE16))</f>
        <v/>
      </c>
      <c r="AB23" s="344" t="str">
        <f>IF($A23="","",IF('Fitting Data'!$B16&lt;&gt;"Typical",'Fitting Data'!AB16,'Fitting Data'!CF16))</f>
        <v/>
      </c>
      <c r="AC23" s="344" t="str">
        <f>IF($A23="","",IF('Fitting Data'!$B16&lt;&gt;"Typical",'Fitting Data'!AC16,'Fitting Data'!CG16))</f>
        <v/>
      </c>
      <c r="AD23" s="344" t="str">
        <f>IF($A23="","",IF('Fitting Data'!$B16&lt;&gt;"Typical",'Fitting Data'!AD16,'Fitting Data'!CH16))</f>
        <v/>
      </c>
      <c r="AE23" s="344" t="str">
        <f>IF($A23="","",IF('Fitting Data'!$B16&lt;&gt;"Typical",'Fitting Data'!AE16,'Fitting Data'!CI16))</f>
        <v/>
      </c>
      <c r="AF23" s="344" t="str">
        <f>IF($A23="","",IF('Fitting Data'!$B16&lt;&gt;"Typical",'Fitting Data'!AF16,'Fitting Data'!CJ16))</f>
        <v/>
      </c>
      <c r="AG23" s="344" t="str">
        <f>IF($A23="","",IF('Fitting Data'!$B16&lt;&gt;"Typical",'Fitting Data'!AG16,'Fitting Data'!CK16))</f>
        <v/>
      </c>
      <c r="AH23" s="344" t="str">
        <f>IF($A23="","",IF('Fitting Data'!$B16&lt;&gt;"Typical",'Fitting Data'!AH16,'Fitting Data'!CL16))</f>
        <v/>
      </c>
      <c r="AI23" s="344" t="str">
        <f>IF($A23="","",IF('Fitting Data'!$B16&lt;&gt;"Typical",'Fitting Data'!AI16,'Fitting Data'!CM16))</f>
        <v/>
      </c>
      <c r="AJ23" s="344" t="str">
        <f>IF($A23="","",IF('Fitting Data'!$B16&lt;&gt;"Typical",'Fitting Data'!AJ16,'Fitting Data'!CN16))</f>
        <v/>
      </c>
      <c r="AK23" s="344" t="str">
        <f>IF($A23="","",IF('Fitting Data'!$B16&lt;&gt;"Typical",'Fitting Data'!AK16,'Fitting Data'!CO16))</f>
        <v/>
      </c>
      <c r="AL23" s="344" t="str">
        <f>IF($A23="","",IF('Fitting Data'!$B16&lt;&gt;"Typical",'Fitting Data'!AL16,'Fitting Data'!CP16))</f>
        <v/>
      </c>
      <c r="AM23" s="344" t="str">
        <f>IF($A23="","",IF('Fitting Data'!$B16&lt;&gt;"Typical",'Fitting Data'!AM16,'Fitting Data'!CQ16))</f>
        <v/>
      </c>
      <c r="AN23" s="344" t="str">
        <f>IF($A23="","",IF('Fitting Data'!$B16&lt;&gt;"Typical",'Fitting Data'!AN16,'Fitting Data'!CR16))</f>
        <v/>
      </c>
      <c r="AO23" s="344" t="str">
        <f>IF($A23="","",IF('Fitting Data'!$B16&lt;&gt;"Typical",'Fitting Data'!AO16,'Fitting Data'!CS16))</f>
        <v/>
      </c>
      <c r="AP23" s="344" t="str">
        <f>IF($A23="","",IF('Fitting Data'!$B16&lt;&gt;"Typical",'Fitting Data'!AP16,'Fitting Data'!CT16))</f>
        <v/>
      </c>
      <c r="AQ23" s="344" t="str">
        <f>IF($A23="","",IF('Fitting Data'!$B16&lt;&gt;"Typical",'Fitting Data'!AQ16,'Fitting Data'!CU16))</f>
        <v/>
      </c>
      <c r="AR23" s="344" t="str">
        <f>IF($A23="","",IF('Fitting Data'!$B16&lt;&gt;"Typical",'Fitting Data'!AR16,'Fitting Data'!CV16))</f>
        <v/>
      </c>
      <c r="AS23" s="344" t="str">
        <f>IF($A23="","",IF('Fitting Data'!$B16&lt;&gt;"Typical",'Fitting Data'!AS16,'Fitting Data'!CW16))</f>
        <v/>
      </c>
      <c r="AT23" s="344" t="str">
        <f>IF($A23="","",IF('Fitting Data'!$B16&lt;&gt;"Typical",'Fitting Data'!AT16,'Fitting Data'!CX16))</f>
        <v/>
      </c>
      <c r="AU23" s="345" t="str">
        <f>IF($A23="","",IF($B23="EFR",'Met Data'!$H$23,0))</f>
        <v/>
      </c>
      <c r="AV23" s="346" t="str">
        <f t="shared" si="4"/>
        <v/>
      </c>
      <c r="AW23" s="347" t="str">
        <f>IF($A23="","",C23*(SUMIFS('Reference Tables'!$C$879:$C$925,'Reference Tables'!$A$879:$A$925,AW$18,'Reference Tables'!$B$879:$B$925,AW$19)+IF($B23="EFR",SUMIFS('Reference Tables'!$D$879:$D$925,'Reference Tables'!$A$879:$A$925,AW$18,'Reference Tables'!$B$879:$B$925,AW$19)*($AU23*$AV23)^(SUMIFS('Reference Tables'!$E$879:$E$925,'Reference Tables'!$A$879:$A$925,AW$18,'Reference Tables'!$B$879:$B$925,AW$19)),0)))</f>
        <v/>
      </c>
      <c r="AX23" s="347" t="str">
        <f>IF($A23="","",D23*(SUMIFS('Reference Tables'!$C$879:$C$925,'Reference Tables'!$A$879:$A$925,AX$18,'Reference Tables'!$B$879:$B$925,AX$19)+IF($B23="EFR",SUMIFS('Reference Tables'!$D$879:$D$925,'Reference Tables'!$A$879:$A$925,AX$18,'Reference Tables'!$B$879:$B$925,AX$19)*($AU23*$AV23)^(SUMIFS('Reference Tables'!$E$879:$E$925,'Reference Tables'!$A$879:$A$925,AX$18,'Reference Tables'!$B$879:$B$925,AX$19)),0)))</f>
        <v/>
      </c>
      <c r="AY23" s="347" t="str">
        <f>IF($A23="","",E23*(SUMIFS('Reference Tables'!$C$879:$C$925,'Reference Tables'!$A$879:$A$925,AY$18,'Reference Tables'!$B$879:$B$925,AY$19)+IF($B23="EFR",SUMIFS('Reference Tables'!$D$879:$D$925,'Reference Tables'!$A$879:$A$925,AY$18,'Reference Tables'!$B$879:$B$925,AY$19)*($AU23*$AV23)^(SUMIFS('Reference Tables'!$E$879:$E$925,'Reference Tables'!$A$879:$A$925,AY$18,'Reference Tables'!$B$879:$B$925,AY$19)),0)))</f>
        <v/>
      </c>
      <c r="AZ23" s="347" t="str">
        <f>IF($A23="","",F23*(SUMIFS('Reference Tables'!$C$879:$C$925,'Reference Tables'!$A$879:$A$925,AZ$18,'Reference Tables'!$B$879:$B$925,AZ$19)+IF($B23="EFR",SUMIFS('Reference Tables'!$D$879:$D$925,'Reference Tables'!$A$879:$A$925,AZ$18,'Reference Tables'!$B$879:$B$925,AZ$19)*($AU23*$AV23)^(SUMIFS('Reference Tables'!$E$879:$E$925,'Reference Tables'!$A$879:$A$925,AZ$18,'Reference Tables'!$B$879:$B$925,AZ$19)),0)))</f>
        <v/>
      </c>
      <c r="BA23" s="347" t="str">
        <f>IF($A23="","",G23*(SUMIFS('Reference Tables'!$C$879:$C$925,'Reference Tables'!$A$879:$A$925,BA$18,'Reference Tables'!$B$879:$B$925,BA$19)+IF($B23="EFR",SUMIFS('Reference Tables'!$D$879:$D$925,'Reference Tables'!$A$879:$A$925,BA$18,'Reference Tables'!$B$879:$B$925,BA$19)*($AU23*$AV23)^(SUMIFS('Reference Tables'!$E$879:$E$925,'Reference Tables'!$A$879:$A$925,BA$18,'Reference Tables'!$B$879:$B$925,BA$19)),0)))</f>
        <v/>
      </c>
      <c r="BB23" s="347" t="str">
        <f>IF($A23="","",H23*(SUMIFS('Reference Tables'!$C$879:$C$925,'Reference Tables'!$A$879:$A$925,BB$18,'Reference Tables'!$B$879:$B$925,BB$19)+IF($B23="EFR",SUMIFS('Reference Tables'!$D$879:$D$925,'Reference Tables'!$A$879:$A$925,BB$18,'Reference Tables'!$B$879:$B$925,BB$19)*($AU23*$AV23)^(SUMIFS('Reference Tables'!$E$879:$E$925,'Reference Tables'!$A$879:$A$925,BB$18,'Reference Tables'!$B$879:$B$925,BB$19)),0)))</f>
        <v/>
      </c>
      <c r="BC23" s="347" t="str">
        <f>IF($A23="","",I23*(SUMIFS('Reference Tables'!$C$879:$C$925,'Reference Tables'!$A$879:$A$925,BC$18,'Reference Tables'!$B$879:$B$925,BC$19)+IF($B23="EFR",SUMIFS('Reference Tables'!$D$879:$D$925,'Reference Tables'!$A$879:$A$925,BC$18,'Reference Tables'!$B$879:$B$925,BC$19)*($AU23*$AV23)^(SUMIFS('Reference Tables'!$E$879:$E$925,'Reference Tables'!$A$879:$A$925,BC$18,'Reference Tables'!$B$879:$B$925,BC$19)),0)))</f>
        <v/>
      </c>
      <c r="BD23" s="347" t="str">
        <f>IF($A23="","",J23*(SUMIFS('Reference Tables'!$C$879:$C$925,'Reference Tables'!$A$879:$A$925,BD$18,'Reference Tables'!$B$879:$B$925,BD$19)+IF($B23="EFR",SUMIFS('Reference Tables'!$D$879:$D$925,'Reference Tables'!$A$879:$A$925,BD$18,'Reference Tables'!$B$879:$B$925,BD$19)*($AU23*$AV23)^(SUMIFS('Reference Tables'!$E$879:$E$925,'Reference Tables'!$A$879:$A$925,BD$18,'Reference Tables'!$B$879:$B$925,BD$19)),0)))</f>
        <v/>
      </c>
      <c r="BE23" s="347" t="str">
        <f>IF($A23="","",K23*(SUMIFS('Reference Tables'!$C$879:$C$925,'Reference Tables'!$A$879:$A$925,BE$18,'Reference Tables'!$B$879:$B$925,BE$19)+IF($B23="EFR",SUMIFS('Reference Tables'!$D$879:$D$925,'Reference Tables'!$A$879:$A$925,BE$18,'Reference Tables'!$B$879:$B$925,BE$19)*($AU23*$AV23)^(SUMIFS('Reference Tables'!$E$879:$E$925,'Reference Tables'!$A$879:$A$925,BE$18,'Reference Tables'!$B$879:$B$925,BE$19)),0)))</f>
        <v/>
      </c>
      <c r="BF23" s="347" t="str">
        <f>IF($A23="","",L23*(SUMIFS('Reference Tables'!$C$879:$C$925,'Reference Tables'!$A$879:$A$925,BF$18,'Reference Tables'!$B$879:$B$925,BF$19)+IF($B23="EFR",SUMIFS('Reference Tables'!$D$879:$D$925,'Reference Tables'!$A$879:$A$925,BF$18,'Reference Tables'!$B$879:$B$925,BF$19)*($AU23*$AV23)^(SUMIFS('Reference Tables'!$E$879:$E$925,'Reference Tables'!$A$879:$A$925,BF$18,'Reference Tables'!$B$879:$B$925,BF$19)),0)))</f>
        <v/>
      </c>
      <c r="BG23" s="347" t="str">
        <f>IF($A23="","",M23*(SUMIFS('Reference Tables'!$C$879:$C$925,'Reference Tables'!$A$879:$A$925,BG$18,'Reference Tables'!$B$879:$B$925,BG$19)+IF($B23="EFR",SUMIFS('Reference Tables'!$D$879:$D$925,'Reference Tables'!$A$879:$A$925,BG$18,'Reference Tables'!$B$879:$B$925,BG$19)*($AU23*$AV23)^(SUMIFS('Reference Tables'!$E$879:$E$925,'Reference Tables'!$A$879:$A$925,BG$18,'Reference Tables'!$B$879:$B$925,BG$19)),0)))</f>
        <v/>
      </c>
      <c r="BH23" s="347" t="str">
        <f>IF($A23="","",N23*(SUMIFS('Reference Tables'!$C$879:$C$925,'Reference Tables'!$A$879:$A$925,BH$18,'Reference Tables'!$B$879:$B$925,BH$19)+IF($B23="EFR",SUMIFS('Reference Tables'!$D$879:$D$925,'Reference Tables'!$A$879:$A$925,BH$18,'Reference Tables'!$B$879:$B$925,BH$19)*($AU23*$AV23)^(SUMIFS('Reference Tables'!$E$879:$E$925,'Reference Tables'!$A$879:$A$925,BH$18,'Reference Tables'!$B$879:$B$925,BH$19)),0)))</f>
        <v/>
      </c>
      <c r="BI23" s="347" t="str">
        <f>IF($A23="","",O23*(SUMIFS('Reference Tables'!$C$879:$C$925,'Reference Tables'!$A$879:$A$925,BI$18,'Reference Tables'!$B$879:$B$925,BI$19)+IF($B23="EFR",SUMIFS('Reference Tables'!$D$879:$D$925,'Reference Tables'!$A$879:$A$925,BI$18,'Reference Tables'!$B$879:$B$925,BI$19)*($AU23*$AV23)^(SUMIFS('Reference Tables'!$E$879:$E$925,'Reference Tables'!$A$879:$A$925,BI$18,'Reference Tables'!$B$879:$B$925,BI$19)),0)))</f>
        <v/>
      </c>
      <c r="BJ23" s="347" t="str">
        <f>IF($A23="","",P23*(SUMIFS('Reference Tables'!$C$879:$C$925,'Reference Tables'!$A$879:$A$925,BJ$18,'Reference Tables'!$B$879:$B$925,BJ$19)+IF($B23="EFR",SUMIFS('Reference Tables'!$D$879:$D$925,'Reference Tables'!$A$879:$A$925,BJ$18,'Reference Tables'!$B$879:$B$925,BJ$19)*($AU23*$AV23)^(SUMIFS('Reference Tables'!$E$879:$E$925,'Reference Tables'!$A$879:$A$925,BJ$18,'Reference Tables'!$B$879:$B$925,BJ$19)),0)))</f>
        <v/>
      </c>
      <c r="BK23" s="347" t="str">
        <f>IF($A23="","",Q23*(SUMIFS('Reference Tables'!$C$879:$C$925,'Reference Tables'!$A$879:$A$925,BK$18,'Reference Tables'!$B$879:$B$925,BK$19)+IF($B23="EFR",SUMIFS('Reference Tables'!$D$879:$D$925,'Reference Tables'!$A$879:$A$925,BK$18,'Reference Tables'!$B$879:$B$925,BK$19)*($AU23*$AV23)^(SUMIFS('Reference Tables'!$E$879:$E$925,'Reference Tables'!$A$879:$A$925,BK$18,'Reference Tables'!$B$879:$B$925,BK$19)),0)))</f>
        <v/>
      </c>
      <c r="BL23" s="347" t="str">
        <f>IF($A23="","",R23*(SUMIFS('Reference Tables'!$C$879:$C$925,'Reference Tables'!$A$879:$A$925,BL$18,'Reference Tables'!$B$879:$B$925,BL$19)+IF($B23="EFR",SUMIFS('Reference Tables'!$D$879:$D$925,'Reference Tables'!$A$879:$A$925,BL$18,'Reference Tables'!$B$879:$B$925,BL$19)*($AU23*$AV23)^(SUMIFS('Reference Tables'!$E$879:$E$925,'Reference Tables'!$A$879:$A$925,BL$18,'Reference Tables'!$B$879:$B$925,BL$19)),0)))</f>
        <v/>
      </c>
      <c r="BM23" s="347" t="str">
        <f>IF($A23="","",S23*(SUMIFS('Reference Tables'!$C$879:$C$925,'Reference Tables'!$A$879:$A$925,BM$18,'Reference Tables'!$B$879:$B$925,BM$19)+IF($B23="EFR",SUMIFS('Reference Tables'!$D$879:$D$925,'Reference Tables'!$A$879:$A$925,BM$18,'Reference Tables'!$B$879:$B$925,BM$19)*($AU23*$AV23)^(SUMIFS('Reference Tables'!$E$879:$E$925,'Reference Tables'!$A$879:$A$925,BM$18,'Reference Tables'!$B$879:$B$925,BM$19)),0)))</f>
        <v/>
      </c>
      <c r="BN23" s="347" t="str">
        <f>IF($A23="","",T23*(SUMIFS('Reference Tables'!$C$879:$C$925,'Reference Tables'!$A$879:$A$925,BN$18,'Reference Tables'!$B$879:$B$925,BN$19)+IF($B23="EFR",SUMIFS('Reference Tables'!$D$879:$D$925,'Reference Tables'!$A$879:$A$925,BN$18,'Reference Tables'!$B$879:$B$925,BN$19)*($AU23*$AV23)^(SUMIFS('Reference Tables'!$E$879:$E$925,'Reference Tables'!$A$879:$A$925,BN$18,'Reference Tables'!$B$879:$B$925,BN$19)),0)))</f>
        <v/>
      </c>
      <c r="BO23" s="347" t="str">
        <f>IF($A23="","",U23*(SUMIFS('Reference Tables'!$C$879:$C$925,'Reference Tables'!$A$879:$A$925,BO$18,'Reference Tables'!$B$879:$B$925,BO$19)+IF($B23="EFR",SUMIFS('Reference Tables'!$D$879:$D$925,'Reference Tables'!$A$879:$A$925,BO$18,'Reference Tables'!$B$879:$B$925,BO$19)*($AU23*$AV23)^(SUMIFS('Reference Tables'!$E$879:$E$925,'Reference Tables'!$A$879:$A$925,BO$18,'Reference Tables'!$B$879:$B$925,BO$19)),0)))</f>
        <v/>
      </c>
      <c r="BP23" s="347" t="str">
        <f>IF($A23="","",V23*(SUMIFS('Reference Tables'!$C$879:$C$925,'Reference Tables'!$A$879:$A$925,BP$18,'Reference Tables'!$B$879:$B$925,BP$19)+IF($B23="EFR",SUMIFS('Reference Tables'!$D$879:$D$925,'Reference Tables'!$A$879:$A$925,BP$18,'Reference Tables'!$B$879:$B$925,BP$19)*($AU23*$AV23)^(SUMIFS('Reference Tables'!$E$879:$E$925,'Reference Tables'!$A$879:$A$925,BP$18,'Reference Tables'!$B$879:$B$925,BP$19)),0)))</f>
        <v/>
      </c>
      <c r="BQ23" s="347" t="str">
        <f>IF($A23="","",W23*(SUMIFS('Reference Tables'!$C$879:$C$925,'Reference Tables'!$A$879:$A$925,BQ$18,'Reference Tables'!$B$879:$B$925,BQ$19)+IF($B23="EFR",SUMIFS('Reference Tables'!$D$879:$D$925,'Reference Tables'!$A$879:$A$925,BQ$18,'Reference Tables'!$B$879:$B$925,BQ$19)*($AU23*$AV23)^(SUMIFS('Reference Tables'!$E$879:$E$925,'Reference Tables'!$A$879:$A$925,BQ$18,'Reference Tables'!$B$879:$B$925,BQ$19)),0)))</f>
        <v/>
      </c>
      <c r="BR23" s="347" t="str">
        <f>IF($A23="","",X23*(SUMIFS('Reference Tables'!$C$879:$C$925,'Reference Tables'!$A$879:$A$925,BR$18,'Reference Tables'!$B$879:$B$925,BR$19)+IF($B23="EFR",SUMIFS('Reference Tables'!$D$879:$D$925,'Reference Tables'!$A$879:$A$925,BR$18,'Reference Tables'!$B$879:$B$925,BR$19)*($AU23*$AV23)^(SUMIFS('Reference Tables'!$E$879:$E$925,'Reference Tables'!$A$879:$A$925,BR$18,'Reference Tables'!$B$879:$B$925,BR$19)),0)))</f>
        <v/>
      </c>
      <c r="BS23" s="347" t="str">
        <f>IF($A23="","",Y23*(SUMIFS('Reference Tables'!$C$879:$C$925,'Reference Tables'!$A$879:$A$925,BS$18,'Reference Tables'!$B$879:$B$925,BS$19)+IF($B23="EFR",SUMIFS('Reference Tables'!$D$879:$D$925,'Reference Tables'!$A$879:$A$925,BS$18,'Reference Tables'!$B$879:$B$925,BS$19)*($AU23*$AV23)^(SUMIFS('Reference Tables'!$E$879:$E$925,'Reference Tables'!$A$879:$A$925,BS$18,'Reference Tables'!$B$879:$B$925,BS$19)),0)))</f>
        <v/>
      </c>
      <c r="BT23" s="347" t="str">
        <f>IF($A23="","",Z23*(SUMIFS('Reference Tables'!$C$879:$C$925,'Reference Tables'!$A$879:$A$925,BT$18,'Reference Tables'!$B$879:$B$925,BT$19)+IF($B23="EFR",SUMIFS('Reference Tables'!$D$879:$D$925,'Reference Tables'!$A$879:$A$925,BT$18,'Reference Tables'!$B$879:$B$925,BT$19)*($AU23*$AV23)^(SUMIFS('Reference Tables'!$E$879:$E$925,'Reference Tables'!$A$879:$A$925,BT$18,'Reference Tables'!$B$879:$B$925,BT$19)),0)))</f>
        <v/>
      </c>
      <c r="BU23" s="347" t="str">
        <f>IF($A23="","",AA23*(SUMIFS('Reference Tables'!$C$879:$C$925,'Reference Tables'!$A$879:$A$925,BU$18,'Reference Tables'!$B$879:$B$925,BU$19)+IF($B23="EFR",SUMIFS('Reference Tables'!$D$879:$D$925,'Reference Tables'!$A$879:$A$925,BU$18,'Reference Tables'!$B$879:$B$925,BU$19)*($AU23*$AV23)^(SUMIFS('Reference Tables'!$E$879:$E$925,'Reference Tables'!$A$879:$A$925,BU$18,'Reference Tables'!$B$879:$B$925,BU$19)),0)))</f>
        <v/>
      </c>
      <c r="BV23" s="347" t="str">
        <f>IF($A23="","",AB23*(SUMIFS('Reference Tables'!$C$879:$C$925,'Reference Tables'!$A$879:$A$925,BV$18,'Reference Tables'!$B$879:$B$925,BV$19)+IF($B23="EFR",SUMIFS('Reference Tables'!$D$879:$D$925,'Reference Tables'!$A$879:$A$925,BV$18,'Reference Tables'!$B$879:$B$925,BV$19)*($AU23*$AV23)^(SUMIFS('Reference Tables'!$E$879:$E$925,'Reference Tables'!$A$879:$A$925,BV$18,'Reference Tables'!$B$879:$B$925,BV$19)),0)))</f>
        <v/>
      </c>
      <c r="BW23" s="347" t="str">
        <f>IF($A23="","",AC23*(SUMIFS('Reference Tables'!$C$879:$C$925,'Reference Tables'!$A$879:$A$925,BW$18,'Reference Tables'!$B$879:$B$925,BW$19)+IF($B23="EFR",SUMIFS('Reference Tables'!$D$879:$D$925,'Reference Tables'!$A$879:$A$925,BW$18,'Reference Tables'!$B$879:$B$925,BW$19)*($AU23*$AV23)^(SUMIFS('Reference Tables'!$E$879:$E$925,'Reference Tables'!$A$879:$A$925,BW$18,'Reference Tables'!$B$879:$B$925,BW$19)),0)))</f>
        <v/>
      </c>
      <c r="BX23" s="347" t="str">
        <f>IF($A23="","",AD23*(SUMIFS('Reference Tables'!$C$879:$C$925,'Reference Tables'!$A$879:$A$925,BX$18,'Reference Tables'!$B$879:$B$925,BX$19)+IF($B23="EFR",SUMIFS('Reference Tables'!$D$879:$D$925,'Reference Tables'!$A$879:$A$925,BX$18,'Reference Tables'!$B$879:$B$925,BX$19)*($AU23*$AV23)^(SUMIFS('Reference Tables'!$E$879:$E$925,'Reference Tables'!$A$879:$A$925,BX$18,'Reference Tables'!$B$879:$B$925,BX$19)),0)))</f>
        <v/>
      </c>
      <c r="BY23" s="347" t="str">
        <f>IF($A23="","",AE23*(SUMIFS('Reference Tables'!$C$879:$C$925,'Reference Tables'!$A$879:$A$925,BY$18,'Reference Tables'!$B$879:$B$925,BY$19)+IF($B23="EFR",SUMIFS('Reference Tables'!$D$879:$D$925,'Reference Tables'!$A$879:$A$925,BY$18,'Reference Tables'!$B$879:$B$925,BY$19)*($AU23*$AV23)^(SUMIFS('Reference Tables'!$E$879:$E$925,'Reference Tables'!$A$879:$A$925,BY$18,'Reference Tables'!$B$879:$B$925,BY$19)),0)))</f>
        <v/>
      </c>
      <c r="BZ23" s="347" t="str">
        <f>IF($A23="","",AF23*(SUMIFS('Reference Tables'!$C$879:$C$925,'Reference Tables'!$A$879:$A$925,BZ$18,'Reference Tables'!$B$879:$B$925,BZ$19)+IF($B23="EFR",SUMIFS('Reference Tables'!$D$879:$D$925,'Reference Tables'!$A$879:$A$925,BZ$18,'Reference Tables'!$B$879:$B$925,BZ$19)*($AU23*$AV23)^(SUMIFS('Reference Tables'!$E$879:$E$925,'Reference Tables'!$A$879:$A$925,BZ$18,'Reference Tables'!$B$879:$B$925,BZ$19)),0)))</f>
        <v/>
      </c>
      <c r="CA23" s="347" t="str">
        <f>IF($A23="","",AG23*(SUMIFS('Reference Tables'!$C$879:$C$925,'Reference Tables'!$A$879:$A$925,CA$18,'Reference Tables'!$B$879:$B$925,CA$19)+IF($B23="EFR",SUMIFS('Reference Tables'!$D$879:$D$925,'Reference Tables'!$A$879:$A$925,CA$18,'Reference Tables'!$B$879:$B$925,CA$19)*($AU23*$AV23)^(SUMIFS('Reference Tables'!$E$879:$E$925,'Reference Tables'!$A$879:$A$925,CA$18,'Reference Tables'!$B$879:$B$925,CA$19)),0)))</f>
        <v/>
      </c>
      <c r="CB23" s="347" t="str">
        <f>IF($A23="","",AH23*(SUMIFS('Reference Tables'!$C$879:$C$925,'Reference Tables'!$A$879:$A$925,CB$18,'Reference Tables'!$B$879:$B$925,CB$19)+IF($B23="EFR",SUMIFS('Reference Tables'!$D$879:$D$925,'Reference Tables'!$A$879:$A$925,CB$18,'Reference Tables'!$B$879:$B$925,CB$19)*($AU23*$AV23)^(SUMIFS('Reference Tables'!$E$879:$E$925,'Reference Tables'!$A$879:$A$925,CB$18,'Reference Tables'!$B$879:$B$925,CB$19)),0)))</f>
        <v/>
      </c>
      <c r="CC23" s="347" t="str">
        <f>IF($A23="","",AI23*(SUMIFS('Reference Tables'!$C$879:$C$925,'Reference Tables'!$A$879:$A$925,CC$18,'Reference Tables'!$B$879:$B$925,CC$19)+IF($B23="EFR",SUMIFS('Reference Tables'!$D$879:$D$925,'Reference Tables'!$A$879:$A$925,CC$18,'Reference Tables'!$B$879:$B$925,CC$19)*($AU23*$AV23)^(SUMIFS('Reference Tables'!$E$879:$E$925,'Reference Tables'!$A$879:$A$925,CC$18,'Reference Tables'!$B$879:$B$925,CC$19)),0)))</f>
        <v/>
      </c>
      <c r="CD23" s="347" t="str">
        <f>IF($A23="","",AJ23*(SUMIFS('Reference Tables'!$C$879:$C$925,'Reference Tables'!$A$879:$A$925,CD$18,'Reference Tables'!$B$879:$B$925,CD$19)+IF($B23="EFR",SUMIFS('Reference Tables'!$D$879:$D$925,'Reference Tables'!$A$879:$A$925,CD$18,'Reference Tables'!$B$879:$B$925,CD$19)*($AU23*$AV23)^(SUMIFS('Reference Tables'!$E$879:$E$925,'Reference Tables'!$A$879:$A$925,CD$18,'Reference Tables'!$B$879:$B$925,CD$19)),0)))</f>
        <v/>
      </c>
      <c r="CE23" s="347" t="str">
        <f>IF($A23="","",AK23*(SUMIFS('Reference Tables'!$C$879:$C$925,'Reference Tables'!$A$879:$A$925,CE$18,'Reference Tables'!$B$879:$B$925,CE$19)+IF($B23="EFR",SUMIFS('Reference Tables'!$D$879:$D$925,'Reference Tables'!$A$879:$A$925,CE$18,'Reference Tables'!$B$879:$B$925,CE$19)*($AU23*$AV23)^(SUMIFS('Reference Tables'!$E$879:$E$925,'Reference Tables'!$A$879:$A$925,CE$18,'Reference Tables'!$B$879:$B$925,CE$19)),0)))</f>
        <v/>
      </c>
      <c r="CF23" s="347" t="str">
        <f>IF($A23="","",AL23*(SUMIFS('Reference Tables'!$C$879:$C$925,'Reference Tables'!$A$879:$A$925,CF$18,'Reference Tables'!$B$879:$B$925,CF$19)+IF($B23="EFR",SUMIFS('Reference Tables'!$D$879:$D$925,'Reference Tables'!$A$879:$A$925,CF$18,'Reference Tables'!$B$879:$B$925,CF$19)*($AU23*$AV23)^(SUMIFS('Reference Tables'!$E$879:$E$925,'Reference Tables'!$A$879:$A$925,CF$18,'Reference Tables'!$B$879:$B$925,CF$19)),0)))</f>
        <v/>
      </c>
      <c r="CG23" s="347" t="str">
        <f>IF($A23="","",AM23*(SUMIFS('Reference Tables'!$C$879:$C$925,'Reference Tables'!$A$879:$A$925,CG$18,'Reference Tables'!$B$879:$B$925,CG$19)+IF($B23="EFR",SUMIFS('Reference Tables'!$D$879:$D$925,'Reference Tables'!$A$879:$A$925,CG$18,'Reference Tables'!$B$879:$B$925,CG$19)*($AU23*$AV23)^(SUMIFS('Reference Tables'!$E$879:$E$925,'Reference Tables'!$A$879:$A$925,CG$18,'Reference Tables'!$B$879:$B$925,CG$19)),0)))</f>
        <v/>
      </c>
      <c r="CH23" s="347" t="str">
        <f>IF($A23="","",AN23*(SUMIFS('Reference Tables'!$C$879:$C$925,'Reference Tables'!$A$879:$A$925,CH$18,'Reference Tables'!$B$879:$B$925,CH$19)+IF($B23="EFR",SUMIFS('Reference Tables'!$D$879:$D$925,'Reference Tables'!$A$879:$A$925,CH$18,'Reference Tables'!$B$879:$B$925,CH$19)*($AU23*$AV23)^(SUMIFS('Reference Tables'!$E$879:$E$925,'Reference Tables'!$A$879:$A$925,CH$18,'Reference Tables'!$B$879:$B$925,CH$19)),0)))</f>
        <v/>
      </c>
      <c r="CI23" s="347" t="str">
        <f>IF($A23="","",AO23*(SUMIFS('Reference Tables'!$C$879:$C$925,'Reference Tables'!$A$879:$A$925,CI$18,'Reference Tables'!$B$879:$B$925,CI$19)+IF($B23="EFR",SUMIFS('Reference Tables'!$D$879:$D$925,'Reference Tables'!$A$879:$A$925,CI$18,'Reference Tables'!$B$879:$B$925,CI$19)*($AU23*$AV23)^(SUMIFS('Reference Tables'!$E$879:$E$925,'Reference Tables'!$A$879:$A$925,CI$18,'Reference Tables'!$B$879:$B$925,CI$19)),0)))</f>
        <v/>
      </c>
      <c r="CJ23" s="347" t="str">
        <f>IF($A23="","",AP23*(SUMIFS('Reference Tables'!$C$879:$C$925,'Reference Tables'!$A$879:$A$925,CJ$18,'Reference Tables'!$B$879:$B$925,CJ$19)+IF($B23="EFR",SUMIFS('Reference Tables'!$D$879:$D$925,'Reference Tables'!$A$879:$A$925,CJ$18,'Reference Tables'!$B$879:$B$925,CJ$19)*($AU23*$AV23)^(SUMIFS('Reference Tables'!$E$879:$E$925,'Reference Tables'!$A$879:$A$925,CJ$18,'Reference Tables'!$B$879:$B$925,CJ$19)),0)))</f>
        <v/>
      </c>
      <c r="CK23" s="347" t="str">
        <f>IF($A23="","",AQ23*(SUMIFS('Reference Tables'!$C$879:$C$925,'Reference Tables'!$A$879:$A$925,CK$18,'Reference Tables'!$B$879:$B$925,CK$19)+IF($B23="EFR",SUMIFS('Reference Tables'!$D$879:$D$925,'Reference Tables'!$A$879:$A$925,CK$18,'Reference Tables'!$B$879:$B$925,CK$19)*($AU23*$AV23)^(SUMIFS('Reference Tables'!$E$879:$E$925,'Reference Tables'!$A$879:$A$925,CK$18,'Reference Tables'!$B$879:$B$925,CK$19)),0)))</f>
        <v/>
      </c>
      <c r="CL23" s="347" t="str">
        <f>IF($A23="","",AR23*(SUMIFS('Reference Tables'!$C$879:$C$925,'Reference Tables'!$A$879:$A$925,CL$18,'Reference Tables'!$B$879:$B$925,CL$19)+IF($B23="EFR",SUMIFS('Reference Tables'!$D$879:$D$925,'Reference Tables'!$A$879:$A$925,CL$18,'Reference Tables'!$B$879:$B$925,CL$19)*($AU23*$AV23)^(SUMIFS('Reference Tables'!$E$879:$E$925,'Reference Tables'!$A$879:$A$925,CL$18,'Reference Tables'!$B$879:$B$925,CL$19)),0)))</f>
        <v/>
      </c>
      <c r="CM23" s="347" t="str">
        <f>IF($A23="","",AS23*(SUMIFS('Reference Tables'!$C$879:$C$925,'Reference Tables'!$A$879:$A$925,CM$18,'Reference Tables'!$B$879:$B$925,CM$19)+IF($B23="EFR",SUMIFS('Reference Tables'!$D$879:$D$925,'Reference Tables'!$A$879:$A$925,CM$18,'Reference Tables'!$B$879:$B$925,CM$19)*($AU23*$AV23)^(SUMIFS('Reference Tables'!$E$879:$E$925,'Reference Tables'!$A$879:$A$925,CM$18,'Reference Tables'!$B$879:$B$925,CM$19)),0)))</f>
        <v/>
      </c>
      <c r="CN23" s="347" t="str">
        <f>IF($A23="","",AT23*(SUMIFS('Reference Tables'!$C$879:$C$925,'Reference Tables'!$A$879:$A$925,CN$18,'Reference Tables'!$B$879:$B$925,CN$19)+IF($B23="EFR",SUMIFS('Reference Tables'!$D$879:$D$925,'Reference Tables'!$A$879:$A$925,CN$18,'Reference Tables'!$B$879:$B$925,CN$19)*($AU23*$AV23)^(SUMIFS('Reference Tables'!$E$879:$E$925,'Reference Tables'!$A$879:$A$925,CN$18,'Reference Tables'!$B$879:$B$925,CN$19)),0)))</f>
        <v/>
      </c>
      <c r="CO23" s="347" t="str">
        <f t="shared" si="5"/>
        <v/>
      </c>
      <c r="CU23" s="250"/>
      <c r="CV23" s="250"/>
      <c r="CW23" s="250"/>
      <c r="CX23" s="250"/>
      <c r="CY23" s="250"/>
      <c r="CZ23" s="250"/>
      <c r="DA23" s="250"/>
      <c r="DB23" s="250"/>
      <c r="DC23" s="250"/>
      <c r="DD23" s="250"/>
      <c r="DE23" s="250"/>
      <c r="DF23" s="250"/>
      <c r="DG23" s="250"/>
      <c r="DH23" s="250"/>
      <c r="DI23" s="250"/>
      <c r="DJ23" s="250"/>
      <c r="DK23" s="250"/>
      <c r="DL23" s="250"/>
      <c r="DM23" s="250"/>
      <c r="DN23" s="250"/>
      <c r="DO23" s="250"/>
      <c r="DP23" s="250"/>
      <c r="DQ23" s="250"/>
      <c r="DR23" s="250"/>
      <c r="DS23" s="250"/>
      <c r="DT23" s="250"/>
      <c r="DU23" s="250"/>
      <c r="DV23" s="250"/>
      <c r="DW23" s="250"/>
      <c r="DX23" s="250"/>
      <c r="DY23" s="250"/>
      <c r="DZ23" s="250"/>
      <c r="EA23" s="250"/>
      <c r="EB23" s="250"/>
      <c r="EC23" s="250"/>
      <c r="ED23" s="250"/>
      <c r="EE23" s="250"/>
      <c r="EF23" s="250"/>
      <c r="EG23" s="250"/>
      <c r="EH23" s="250"/>
      <c r="EI23" s="250"/>
      <c r="EJ23" s="250"/>
      <c r="EK23" s="250"/>
      <c r="EL23" s="250"/>
      <c r="EM23" s="250"/>
    </row>
    <row r="24" spans="1:143">
      <c r="A24" s="342" t="str">
        <f>IF('Fitting Data'!A17&lt;&gt;"",'Fitting Data'!A17,"")</f>
        <v/>
      </c>
      <c r="B24" s="343" t="str">
        <f>IF($A24="","",INDEX('Tank Data'!$1:$1048576,MATCH($A24,'Tank Data'!$A:$A,0),MATCH(B$17,'Tank Data'!$9:$9,0)))</f>
        <v/>
      </c>
      <c r="C24" s="344" t="str">
        <f>IF($A24="","",IF('Fitting Data'!$B17&lt;&gt;"Typical",'Fitting Data'!C17,'Fitting Data'!BG17))</f>
        <v/>
      </c>
      <c r="D24" s="344" t="str">
        <f>IF($A24="","",IF('Fitting Data'!$B17&lt;&gt;"Typical",'Fitting Data'!D17,'Fitting Data'!BH17))</f>
        <v/>
      </c>
      <c r="E24" s="344" t="str">
        <f>IF($A24="","",IF('Fitting Data'!$B17&lt;&gt;"Typical",'Fitting Data'!E17,'Fitting Data'!BI17))</f>
        <v/>
      </c>
      <c r="F24" s="344" t="str">
        <f>IF($A24="","",IF('Fitting Data'!$B17&lt;&gt;"Typical",'Fitting Data'!F17,'Fitting Data'!BJ17))</f>
        <v/>
      </c>
      <c r="G24" s="344" t="str">
        <f>IF($A24="","",IF('Fitting Data'!$B17&lt;&gt;"Typical",'Fitting Data'!G17,'Fitting Data'!BK17))</f>
        <v/>
      </c>
      <c r="H24" s="344" t="str">
        <f>IF($A24="","",IF('Fitting Data'!$B17&lt;&gt;"Typical",'Fitting Data'!H17,'Fitting Data'!BL17))</f>
        <v/>
      </c>
      <c r="I24" s="344" t="str">
        <f>IF($A24="","",IF('Fitting Data'!$B17&lt;&gt;"Typical",'Fitting Data'!I17,'Fitting Data'!BM17))</f>
        <v/>
      </c>
      <c r="J24" s="344" t="str">
        <f>IF($A24="","",IF('Fitting Data'!$B17&lt;&gt;"Typical",'Fitting Data'!J17,'Fitting Data'!BN17))</f>
        <v/>
      </c>
      <c r="K24" s="344" t="str">
        <f>IF($A24="","",IF('Fitting Data'!$B17&lt;&gt;"Typical",'Fitting Data'!K17,'Fitting Data'!BO17))</f>
        <v/>
      </c>
      <c r="L24" s="344" t="str">
        <f>IF($A24="","",IF('Fitting Data'!$B17&lt;&gt;"Typical",'Fitting Data'!L17,'Fitting Data'!BP17))</f>
        <v/>
      </c>
      <c r="M24" s="344" t="str">
        <f>IF($A24="","",IF('Fitting Data'!$B17&lt;&gt;"Typical",'Fitting Data'!M17,'Fitting Data'!BQ17))</f>
        <v/>
      </c>
      <c r="N24" s="344" t="str">
        <f>IF($A24="","",IF('Fitting Data'!$B17&lt;&gt;"Typical",'Fitting Data'!N17,'Fitting Data'!BR17))</f>
        <v/>
      </c>
      <c r="O24" s="344" t="str">
        <f>IF($A24="","",IF('Fitting Data'!$B17&lt;&gt;"Typical",'Fitting Data'!O17,'Fitting Data'!BS17))</f>
        <v/>
      </c>
      <c r="P24" s="344" t="str">
        <f>IF($A24="","",IF('Fitting Data'!$B17&lt;&gt;"Typical",'Fitting Data'!P17,'Fitting Data'!BT17))</f>
        <v/>
      </c>
      <c r="Q24" s="344" t="str">
        <f>IF($A24="","",IF('Fitting Data'!$B17&lt;&gt;"Typical",'Fitting Data'!Q17,'Fitting Data'!BU17))</f>
        <v/>
      </c>
      <c r="R24" s="344" t="str">
        <f>IF($A24="","",IF('Fitting Data'!$B17&lt;&gt;"Typical",'Fitting Data'!R17,'Fitting Data'!BV17))</f>
        <v/>
      </c>
      <c r="S24" s="344" t="str">
        <f>IF($A24="","",IF('Fitting Data'!$B17&lt;&gt;"Typical",'Fitting Data'!S17,'Fitting Data'!BW17))</f>
        <v/>
      </c>
      <c r="T24" s="344" t="str">
        <f>IF($A24="","",IF('Fitting Data'!$B17&lt;&gt;"Typical",'Fitting Data'!T17,'Fitting Data'!BX17))</f>
        <v/>
      </c>
      <c r="U24" s="344" t="str">
        <f>IF($A24="","",IF('Fitting Data'!$B17&lt;&gt;"Typical",'Fitting Data'!U17,'Fitting Data'!BY17))</f>
        <v/>
      </c>
      <c r="V24" s="344" t="str">
        <f>IF($A24="","",IF('Fitting Data'!$B17&lt;&gt;"Typical",'Fitting Data'!V17,'Fitting Data'!BZ17))</f>
        <v/>
      </c>
      <c r="W24" s="344" t="str">
        <f>IF($A24="","",IF('Fitting Data'!$B17&lt;&gt;"Typical",'Fitting Data'!W17,'Fitting Data'!CA17))</f>
        <v/>
      </c>
      <c r="X24" s="344" t="str">
        <f>IF($A24="","",IF('Fitting Data'!$B17&lt;&gt;"Typical",'Fitting Data'!X17,'Fitting Data'!CB17))</f>
        <v/>
      </c>
      <c r="Y24" s="344" t="str">
        <f>IF($A24="","",IF('Fitting Data'!$B17&lt;&gt;"Typical",'Fitting Data'!Y17,'Fitting Data'!CC17))</f>
        <v/>
      </c>
      <c r="Z24" s="344" t="str">
        <f>IF($A24="","",IF('Fitting Data'!$B17&lt;&gt;"Typical",'Fitting Data'!Z17,'Fitting Data'!CD17))</f>
        <v/>
      </c>
      <c r="AA24" s="344" t="str">
        <f>IF($A24="","",IF('Fitting Data'!$B17&lt;&gt;"Typical",'Fitting Data'!AA17,'Fitting Data'!CE17))</f>
        <v/>
      </c>
      <c r="AB24" s="344" t="str">
        <f>IF($A24="","",IF('Fitting Data'!$B17&lt;&gt;"Typical",'Fitting Data'!AB17,'Fitting Data'!CF17))</f>
        <v/>
      </c>
      <c r="AC24" s="344" t="str">
        <f>IF($A24="","",IF('Fitting Data'!$B17&lt;&gt;"Typical",'Fitting Data'!AC17,'Fitting Data'!CG17))</f>
        <v/>
      </c>
      <c r="AD24" s="344" t="str">
        <f>IF($A24="","",IF('Fitting Data'!$B17&lt;&gt;"Typical",'Fitting Data'!AD17,'Fitting Data'!CH17))</f>
        <v/>
      </c>
      <c r="AE24" s="344" t="str">
        <f>IF($A24="","",IF('Fitting Data'!$B17&lt;&gt;"Typical",'Fitting Data'!AE17,'Fitting Data'!CI17))</f>
        <v/>
      </c>
      <c r="AF24" s="344" t="str">
        <f>IF($A24="","",IF('Fitting Data'!$B17&lt;&gt;"Typical",'Fitting Data'!AF17,'Fitting Data'!CJ17))</f>
        <v/>
      </c>
      <c r="AG24" s="344" t="str">
        <f>IF($A24="","",IF('Fitting Data'!$B17&lt;&gt;"Typical",'Fitting Data'!AG17,'Fitting Data'!CK17))</f>
        <v/>
      </c>
      <c r="AH24" s="344" t="str">
        <f>IF($A24="","",IF('Fitting Data'!$B17&lt;&gt;"Typical",'Fitting Data'!AH17,'Fitting Data'!CL17))</f>
        <v/>
      </c>
      <c r="AI24" s="344" t="str">
        <f>IF($A24="","",IF('Fitting Data'!$B17&lt;&gt;"Typical",'Fitting Data'!AI17,'Fitting Data'!CM17))</f>
        <v/>
      </c>
      <c r="AJ24" s="344" t="str">
        <f>IF($A24="","",IF('Fitting Data'!$B17&lt;&gt;"Typical",'Fitting Data'!AJ17,'Fitting Data'!CN17))</f>
        <v/>
      </c>
      <c r="AK24" s="344" t="str">
        <f>IF($A24="","",IF('Fitting Data'!$B17&lt;&gt;"Typical",'Fitting Data'!AK17,'Fitting Data'!CO17))</f>
        <v/>
      </c>
      <c r="AL24" s="344" t="str">
        <f>IF($A24="","",IF('Fitting Data'!$B17&lt;&gt;"Typical",'Fitting Data'!AL17,'Fitting Data'!CP17))</f>
        <v/>
      </c>
      <c r="AM24" s="344" t="str">
        <f>IF($A24="","",IF('Fitting Data'!$B17&lt;&gt;"Typical",'Fitting Data'!AM17,'Fitting Data'!CQ17))</f>
        <v/>
      </c>
      <c r="AN24" s="344" t="str">
        <f>IF($A24="","",IF('Fitting Data'!$B17&lt;&gt;"Typical",'Fitting Data'!AN17,'Fitting Data'!CR17))</f>
        <v/>
      </c>
      <c r="AO24" s="344" t="str">
        <f>IF($A24="","",IF('Fitting Data'!$B17&lt;&gt;"Typical",'Fitting Data'!AO17,'Fitting Data'!CS17))</f>
        <v/>
      </c>
      <c r="AP24" s="344" t="str">
        <f>IF($A24="","",IF('Fitting Data'!$B17&lt;&gt;"Typical",'Fitting Data'!AP17,'Fitting Data'!CT17))</f>
        <v/>
      </c>
      <c r="AQ24" s="344" t="str">
        <f>IF($A24="","",IF('Fitting Data'!$B17&lt;&gt;"Typical",'Fitting Data'!AQ17,'Fitting Data'!CU17))</f>
        <v/>
      </c>
      <c r="AR24" s="344" t="str">
        <f>IF($A24="","",IF('Fitting Data'!$B17&lt;&gt;"Typical",'Fitting Data'!AR17,'Fitting Data'!CV17))</f>
        <v/>
      </c>
      <c r="AS24" s="344" t="str">
        <f>IF($A24="","",IF('Fitting Data'!$B17&lt;&gt;"Typical",'Fitting Data'!AS17,'Fitting Data'!CW17))</f>
        <v/>
      </c>
      <c r="AT24" s="344" t="str">
        <f>IF($A24="","",IF('Fitting Data'!$B17&lt;&gt;"Typical",'Fitting Data'!AT17,'Fitting Data'!CX17))</f>
        <v/>
      </c>
      <c r="AU24" s="345" t="str">
        <f>IF($A24="","",IF($B24="EFR",'Met Data'!$H$23,0))</f>
        <v/>
      </c>
      <c r="AV24" s="346" t="str">
        <f t="shared" si="4"/>
        <v/>
      </c>
      <c r="AW24" s="347" t="str">
        <f>IF($A24="","",C24*(SUMIFS('Reference Tables'!$C$879:$C$925,'Reference Tables'!$A$879:$A$925,AW$18,'Reference Tables'!$B$879:$B$925,AW$19)+IF($B24="EFR",SUMIFS('Reference Tables'!$D$879:$D$925,'Reference Tables'!$A$879:$A$925,AW$18,'Reference Tables'!$B$879:$B$925,AW$19)*($AU24*$AV24)^(SUMIFS('Reference Tables'!$E$879:$E$925,'Reference Tables'!$A$879:$A$925,AW$18,'Reference Tables'!$B$879:$B$925,AW$19)),0)))</f>
        <v/>
      </c>
      <c r="AX24" s="347" t="str">
        <f>IF($A24="","",D24*(SUMIFS('Reference Tables'!$C$879:$C$925,'Reference Tables'!$A$879:$A$925,AX$18,'Reference Tables'!$B$879:$B$925,AX$19)+IF($B24="EFR",SUMIFS('Reference Tables'!$D$879:$D$925,'Reference Tables'!$A$879:$A$925,AX$18,'Reference Tables'!$B$879:$B$925,AX$19)*($AU24*$AV24)^(SUMIFS('Reference Tables'!$E$879:$E$925,'Reference Tables'!$A$879:$A$925,AX$18,'Reference Tables'!$B$879:$B$925,AX$19)),0)))</f>
        <v/>
      </c>
      <c r="AY24" s="347" t="str">
        <f>IF($A24="","",E24*(SUMIFS('Reference Tables'!$C$879:$C$925,'Reference Tables'!$A$879:$A$925,AY$18,'Reference Tables'!$B$879:$B$925,AY$19)+IF($B24="EFR",SUMIFS('Reference Tables'!$D$879:$D$925,'Reference Tables'!$A$879:$A$925,AY$18,'Reference Tables'!$B$879:$B$925,AY$19)*($AU24*$AV24)^(SUMIFS('Reference Tables'!$E$879:$E$925,'Reference Tables'!$A$879:$A$925,AY$18,'Reference Tables'!$B$879:$B$925,AY$19)),0)))</f>
        <v/>
      </c>
      <c r="AZ24" s="347" t="str">
        <f>IF($A24="","",F24*(SUMIFS('Reference Tables'!$C$879:$C$925,'Reference Tables'!$A$879:$A$925,AZ$18,'Reference Tables'!$B$879:$B$925,AZ$19)+IF($B24="EFR",SUMIFS('Reference Tables'!$D$879:$D$925,'Reference Tables'!$A$879:$A$925,AZ$18,'Reference Tables'!$B$879:$B$925,AZ$19)*($AU24*$AV24)^(SUMIFS('Reference Tables'!$E$879:$E$925,'Reference Tables'!$A$879:$A$925,AZ$18,'Reference Tables'!$B$879:$B$925,AZ$19)),0)))</f>
        <v/>
      </c>
      <c r="BA24" s="347" t="str">
        <f>IF($A24="","",G24*(SUMIFS('Reference Tables'!$C$879:$C$925,'Reference Tables'!$A$879:$A$925,BA$18,'Reference Tables'!$B$879:$B$925,BA$19)+IF($B24="EFR",SUMIFS('Reference Tables'!$D$879:$D$925,'Reference Tables'!$A$879:$A$925,BA$18,'Reference Tables'!$B$879:$B$925,BA$19)*($AU24*$AV24)^(SUMIFS('Reference Tables'!$E$879:$E$925,'Reference Tables'!$A$879:$A$925,BA$18,'Reference Tables'!$B$879:$B$925,BA$19)),0)))</f>
        <v/>
      </c>
      <c r="BB24" s="347" t="str">
        <f>IF($A24="","",H24*(SUMIFS('Reference Tables'!$C$879:$C$925,'Reference Tables'!$A$879:$A$925,BB$18,'Reference Tables'!$B$879:$B$925,BB$19)+IF($B24="EFR",SUMIFS('Reference Tables'!$D$879:$D$925,'Reference Tables'!$A$879:$A$925,BB$18,'Reference Tables'!$B$879:$B$925,BB$19)*($AU24*$AV24)^(SUMIFS('Reference Tables'!$E$879:$E$925,'Reference Tables'!$A$879:$A$925,BB$18,'Reference Tables'!$B$879:$B$925,BB$19)),0)))</f>
        <v/>
      </c>
      <c r="BC24" s="347" t="str">
        <f>IF($A24="","",I24*(SUMIFS('Reference Tables'!$C$879:$C$925,'Reference Tables'!$A$879:$A$925,BC$18,'Reference Tables'!$B$879:$B$925,BC$19)+IF($B24="EFR",SUMIFS('Reference Tables'!$D$879:$D$925,'Reference Tables'!$A$879:$A$925,BC$18,'Reference Tables'!$B$879:$B$925,BC$19)*($AU24*$AV24)^(SUMIFS('Reference Tables'!$E$879:$E$925,'Reference Tables'!$A$879:$A$925,BC$18,'Reference Tables'!$B$879:$B$925,BC$19)),0)))</f>
        <v/>
      </c>
      <c r="BD24" s="347" t="str">
        <f>IF($A24="","",J24*(SUMIFS('Reference Tables'!$C$879:$C$925,'Reference Tables'!$A$879:$A$925,BD$18,'Reference Tables'!$B$879:$B$925,BD$19)+IF($B24="EFR",SUMIFS('Reference Tables'!$D$879:$D$925,'Reference Tables'!$A$879:$A$925,BD$18,'Reference Tables'!$B$879:$B$925,BD$19)*($AU24*$AV24)^(SUMIFS('Reference Tables'!$E$879:$E$925,'Reference Tables'!$A$879:$A$925,BD$18,'Reference Tables'!$B$879:$B$925,BD$19)),0)))</f>
        <v/>
      </c>
      <c r="BE24" s="347" t="str">
        <f>IF($A24="","",K24*(SUMIFS('Reference Tables'!$C$879:$C$925,'Reference Tables'!$A$879:$A$925,BE$18,'Reference Tables'!$B$879:$B$925,BE$19)+IF($B24="EFR",SUMIFS('Reference Tables'!$D$879:$D$925,'Reference Tables'!$A$879:$A$925,BE$18,'Reference Tables'!$B$879:$B$925,BE$19)*($AU24*$AV24)^(SUMIFS('Reference Tables'!$E$879:$E$925,'Reference Tables'!$A$879:$A$925,BE$18,'Reference Tables'!$B$879:$B$925,BE$19)),0)))</f>
        <v/>
      </c>
      <c r="BF24" s="347" t="str">
        <f>IF($A24="","",L24*(SUMIFS('Reference Tables'!$C$879:$C$925,'Reference Tables'!$A$879:$A$925,BF$18,'Reference Tables'!$B$879:$B$925,BF$19)+IF($B24="EFR",SUMIFS('Reference Tables'!$D$879:$D$925,'Reference Tables'!$A$879:$A$925,BF$18,'Reference Tables'!$B$879:$B$925,BF$19)*($AU24*$AV24)^(SUMIFS('Reference Tables'!$E$879:$E$925,'Reference Tables'!$A$879:$A$925,BF$18,'Reference Tables'!$B$879:$B$925,BF$19)),0)))</f>
        <v/>
      </c>
      <c r="BG24" s="347" t="str">
        <f>IF($A24="","",M24*(SUMIFS('Reference Tables'!$C$879:$C$925,'Reference Tables'!$A$879:$A$925,BG$18,'Reference Tables'!$B$879:$B$925,BG$19)+IF($B24="EFR",SUMIFS('Reference Tables'!$D$879:$D$925,'Reference Tables'!$A$879:$A$925,BG$18,'Reference Tables'!$B$879:$B$925,BG$19)*($AU24*$AV24)^(SUMIFS('Reference Tables'!$E$879:$E$925,'Reference Tables'!$A$879:$A$925,BG$18,'Reference Tables'!$B$879:$B$925,BG$19)),0)))</f>
        <v/>
      </c>
      <c r="BH24" s="347" t="str">
        <f>IF($A24="","",N24*(SUMIFS('Reference Tables'!$C$879:$C$925,'Reference Tables'!$A$879:$A$925,BH$18,'Reference Tables'!$B$879:$B$925,BH$19)+IF($B24="EFR",SUMIFS('Reference Tables'!$D$879:$D$925,'Reference Tables'!$A$879:$A$925,BH$18,'Reference Tables'!$B$879:$B$925,BH$19)*($AU24*$AV24)^(SUMIFS('Reference Tables'!$E$879:$E$925,'Reference Tables'!$A$879:$A$925,BH$18,'Reference Tables'!$B$879:$B$925,BH$19)),0)))</f>
        <v/>
      </c>
      <c r="BI24" s="347" t="str">
        <f>IF($A24="","",O24*(SUMIFS('Reference Tables'!$C$879:$C$925,'Reference Tables'!$A$879:$A$925,BI$18,'Reference Tables'!$B$879:$B$925,BI$19)+IF($B24="EFR",SUMIFS('Reference Tables'!$D$879:$D$925,'Reference Tables'!$A$879:$A$925,BI$18,'Reference Tables'!$B$879:$B$925,BI$19)*($AU24*$AV24)^(SUMIFS('Reference Tables'!$E$879:$E$925,'Reference Tables'!$A$879:$A$925,BI$18,'Reference Tables'!$B$879:$B$925,BI$19)),0)))</f>
        <v/>
      </c>
      <c r="BJ24" s="347" t="str">
        <f>IF($A24="","",P24*(SUMIFS('Reference Tables'!$C$879:$C$925,'Reference Tables'!$A$879:$A$925,BJ$18,'Reference Tables'!$B$879:$B$925,BJ$19)+IF($B24="EFR",SUMIFS('Reference Tables'!$D$879:$D$925,'Reference Tables'!$A$879:$A$925,BJ$18,'Reference Tables'!$B$879:$B$925,BJ$19)*($AU24*$AV24)^(SUMIFS('Reference Tables'!$E$879:$E$925,'Reference Tables'!$A$879:$A$925,BJ$18,'Reference Tables'!$B$879:$B$925,BJ$19)),0)))</f>
        <v/>
      </c>
      <c r="BK24" s="347" t="str">
        <f>IF($A24="","",Q24*(SUMIFS('Reference Tables'!$C$879:$C$925,'Reference Tables'!$A$879:$A$925,BK$18,'Reference Tables'!$B$879:$B$925,BK$19)+IF($B24="EFR",SUMIFS('Reference Tables'!$D$879:$D$925,'Reference Tables'!$A$879:$A$925,BK$18,'Reference Tables'!$B$879:$B$925,BK$19)*($AU24*$AV24)^(SUMIFS('Reference Tables'!$E$879:$E$925,'Reference Tables'!$A$879:$A$925,BK$18,'Reference Tables'!$B$879:$B$925,BK$19)),0)))</f>
        <v/>
      </c>
      <c r="BL24" s="347" t="str">
        <f>IF($A24="","",R24*(SUMIFS('Reference Tables'!$C$879:$C$925,'Reference Tables'!$A$879:$A$925,BL$18,'Reference Tables'!$B$879:$B$925,BL$19)+IF($B24="EFR",SUMIFS('Reference Tables'!$D$879:$D$925,'Reference Tables'!$A$879:$A$925,BL$18,'Reference Tables'!$B$879:$B$925,BL$19)*($AU24*$AV24)^(SUMIFS('Reference Tables'!$E$879:$E$925,'Reference Tables'!$A$879:$A$925,BL$18,'Reference Tables'!$B$879:$B$925,BL$19)),0)))</f>
        <v/>
      </c>
      <c r="BM24" s="347" t="str">
        <f>IF($A24="","",S24*(SUMIFS('Reference Tables'!$C$879:$C$925,'Reference Tables'!$A$879:$A$925,BM$18,'Reference Tables'!$B$879:$B$925,BM$19)+IF($B24="EFR",SUMIFS('Reference Tables'!$D$879:$D$925,'Reference Tables'!$A$879:$A$925,BM$18,'Reference Tables'!$B$879:$B$925,BM$19)*($AU24*$AV24)^(SUMIFS('Reference Tables'!$E$879:$E$925,'Reference Tables'!$A$879:$A$925,BM$18,'Reference Tables'!$B$879:$B$925,BM$19)),0)))</f>
        <v/>
      </c>
      <c r="BN24" s="347" t="str">
        <f>IF($A24="","",T24*(SUMIFS('Reference Tables'!$C$879:$C$925,'Reference Tables'!$A$879:$A$925,BN$18,'Reference Tables'!$B$879:$B$925,BN$19)+IF($B24="EFR",SUMIFS('Reference Tables'!$D$879:$D$925,'Reference Tables'!$A$879:$A$925,BN$18,'Reference Tables'!$B$879:$B$925,BN$19)*($AU24*$AV24)^(SUMIFS('Reference Tables'!$E$879:$E$925,'Reference Tables'!$A$879:$A$925,BN$18,'Reference Tables'!$B$879:$B$925,BN$19)),0)))</f>
        <v/>
      </c>
      <c r="BO24" s="347" t="str">
        <f>IF($A24="","",U24*(SUMIFS('Reference Tables'!$C$879:$C$925,'Reference Tables'!$A$879:$A$925,BO$18,'Reference Tables'!$B$879:$B$925,BO$19)+IF($B24="EFR",SUMIFS('Reference Tables'!$D$879:$D$925,'Reference Tables'!$A$879:$A$925,BO$18,'Reference Tables'!$B$879:$B$925,BO$19)*($AU24*$AV24)^(SUMIFS('Reference Tables'!$E$879:$E$925,'Reference Tables'!$A$879:$A$925,BO$18,'Reference Tables'!$B$879:$B$925,BO$19)),0)))</f>
        <v/>
      </c>
      <c r="BP24" s="347" t="str">
        <f>IF($A24="","",V24*(SUMIFS('Reference Tables'!$C$879:$C$925,'Reference Tables'!$A$879:$A$925,BP$18,'Reference Tables'!$B$879:$B$925,BP$19)+IF($B24="EFR",SUMIFS('Reference Tables'!$D$879:$D$925,'Reference Tables'!$A$879:$A$925,BP$18,'Reference Tables'!$B$879:$B$925,BP$19)*($AU24*$AV24)^(SUMIFS('Reference Tables'!$E$879:$E$925,'Reference Tables'!$A$879:$A$925,BP$18,'Reference Tables'!$B$879:$B$925,BP$19)),0)))</f>
        <v/>
      </c>
      <c r="BQ24" s="347" t="str">
        <f>IF($A24="","",W24*(SUMIFS('Reference Tables'!$C$879:$C$925,'Reference Tables'!$A$879:$A$925,BQ$18,'Reference Tables'!$B$879:$B$925,BQ$19)+IF($B24="EFR",SUMIFS('Reference Tables'!$D$879:$D$925,'Reference Tables'!$A$879:$A$925,BQ$18,'Reference Tables'!$B$879:$B$925,BQ$19)*($AU24*$AV24)^(SUMIFS('Reference Tables'!$E$879:$E$925,'Reference Tables'!$A$879:$A$925,BQ$18,'Reference Tables'!$B$879:$B$925,BQ$19)),0)))</f>
        <v/>
      </c>
      <c r="BR24" s="347" t="str">
        <f>IF($A24="","",X24*(SUMIFS('Reference Tables'!$C$879:$C$925,'Reference Tables'!$A$879:$A$925,BR$18,'Reference Tables'!$B$879:$B$925,BR$19)+IF($B24="EFR",SUMIFS('Reference Tables'!$D$879:$D$925,'Reference Tables'!$A$879:$A$925,BR$18,'Reference Tables'!$B$879:$B$925,BR$19)*($AU24*$AV24)^(SUMIFS('Reference Tables'!$E$879:$E$925,'Reference Tables'!$A$879:$A$925,BR$18,'Reference Tables'!$B$879:$B$925,BR$19)),0)))</f>
        <v/>
      </c>
      <c r="BS24" s="347" t="str">
        <f>IF($A24="","",Y24*(SUMIFS('Reference Tables'!$C$879:$C$925,'Reference Tables'!$A$879:$A$925,BS$18,'Reference Tables'!$B$879:$B$925,BS$19)+IF($B24="EFR",SUMIFS('Reference Tables'!$D$879:$D$925,'Reference Tables'!$A$879:$A$925,BS$18,'Reference Tables'!$B$879:$B$925,BS$19)*($AU24*$AV24)^(SUMIFS('Reference Tables'!$E$879:$E$925,'Reference Tables'!$A$879:$A$925,BS$18,'Reference Tables'!$B$879:$B$925,BS$19)),0)))</f>
        <v/>
      </c>
      <c r="BT24" s="347" t="str">
        <f>IF($A24="","",Z24*(SUMIFS('Reference Tables'!$C$879:$C$925,'Reference Tables'!$A$879:$A$925,BT$18,'Reference Tables'!$B$879:$B$925,BT$19)+IF($B24="EFR",SUMIFS('Reference Tables'!$D$879:$D$925,'Reference Tables'!$A$879:$A$925,BT$18,'Reference Tables'!$B$879:$B$925,BT$19)*($AU24*$AV24)^(SUMIFS('Reference Tables'!$E$879:$E$925,'Reference Tables'!$A$879:$A$925,BT$18,'Reference Tables'!$B$879:$B$925,BT$19)),0)))</f>
        <v/>
      </c>
      <c r="BU24" s="347" t="str">
        <f>IF($A24="","",AA24*(SUMIFS('Reference Tables'!$C$879:$C$925,'Reference Tables'!$A$879:$A$925,BU$18,'Reference Tables'!$B$879:$B$925,BU$19)+IF($B24="EFR",SUMIFS('Reference Tables'!$D$879:$D$925,'Reference Tables'!$A$879:$A$925,BU$18,'Reference Tables'!$B$879:$B$925,BU$19)*($AU24*$AV24)^(SUMIFS('Reference Tables'!$E$879:$E$925,'Reference Tables'!$A$879:$A$925,BU$18,'Reference Tables'!$B$879:$B$925,BU$19)),0)))</f>
        <v/>
      </c>
      <c r="BV24" s="347" t="str">
        <f>IF($A24="","",AB24*(SUMIFS('Reference Tables'!$C$879:$C$925,'Reference Tables'!$A$879:$A$925,BV$18,'Reference Tables'!$B$879:$B$925,BV$19)+IF($B24="EFR",SUMIFS('Reference Tables'!$D$879:$D$925,'Reference Tables'!$A$879:$A$925,BV$18,'Reference Tables'!$B$879:$B$925,BV$19)*($AU24*$AV24)^(SUMIFS('Reference Tables'!$E$879:$E$925,'Reference Tables'!$A$879:$A$925,BV$18,'Reference Tables'!$B$879:$B$925,BV$19)),0)))</f>
        <v/>
      </c>
      <c r="BW24" s="347" t="str">
        <f>IF($A24="","",AC24*(SUMIFS('Reference Tables'!$C$879:$C$925,'Reference Tables'!$A$879:$A$925,BW$18,'Reference Tables'!$B$879:$B$925,BW$19)+IF($B24="EFR",SUMIFS('Reference Tables'!$D$879:$D$925,'Reference Tables'!$A$879:$A$925,BW$18,'Reference Tables'!$B$879:$B$925,BW$19)*($AU24*$AV24)^(SUMIFS('Reference Tables'!$E$879:$E$925,'Reference Tables'!$A$879:$A$925,BW$18,'Reference Tables'!$B$879:$B$925,BW$19)),0)))</f>
        <v/>
      </c>
      <c r="BX24" s="347" t="str">
        <f>IF($A24="","",AD24*(SUMIFS('Reference Tables'!$C$879:$C$925,'Reference Tables'!$A$879:$A$925,BX$18,'Reference Tables'!$B$879:$B$925,BX$19)+IF($B24="EFR",SUMIFS('Reference Tables'!$D$879:$D$925,'Reference Tables'!$A$879:$A$925,BX$18,'Reference Tables'!$B$879:$B$925,BX$19)*($AU24*$AV24)^(SUMIFS('Reference Tables'!$E$879:$E$925,'Reference Tables'!$A$879:$A$925,BX$18,'Reference Tables'!$B$879:$B$925,BX$19)),0)))</f>
        <v/>
      </c>
      <c r="BY24" s="347" t="str">
        <f>IF($A24="","",AE24*(SUMIFS('Reference Tables'!$C$879:$C$925,'Reference Tables'!$A$879:$A$925,BY$18,'Reference Tables'!$B$879:$B$925,BY$19)+IF($B24="EFR",SUMIFS('Reference Tables'!$D$879:$D$925,'Reference Tables'!$A$879:$A$925,BY$18,'Reference Tables'!$B$879:$B$925,BY$19)*($AU24*$AV24)^(SUMIFS('Reference Tables'!$E$879:$E$925,'Reference Tables'!$A$879:$A$925,BY$18,'Reference Tables'!$B$879:$B$925,BY$19)),0)))</f>
        <v/>
      </c>
      <c r="BZ24" s="347" t="str">
        <f>IF($A24="","",AF24*(SUMIFS('Reference Tables'!$C$879:$C$925,'Reference Tables'!$A$879:$A$925,BZ$18,'Reference Tables'!$B$879:$B$925,BZ$19)+IF($B24="EFR",SUMIFS('Reference Tables'!$D$879:$D$925,'Reference Tables'!$A$879:$A$925,BZ$18,'Reference Tables'!$B$879:$B$925,BZ$19)*($AU24*$AV24)^(SUMIFS('Reference Tables'!$E$879:$E$925,'Reference Tables'!$A$879:$A$925,BZ$18,'Reference Tables'!$B$879:$B$925,BZ$19)),0)))</f>
        <v/>
      </c>
      <c r="CA24" s="347" t="str">
        <f>IF($A24="","",AG24*(SUMIFS('Reference Tables'!$C$879:$C$925,'Reference Tables'!$A$879:$A$925,CA$18,'Reference Tables'!$B$879:$B$925,CA$19)+IF($B24="EFR",SUMIFS('Reference Tables'!$D$879:$D$925,'Reference Tables'!$A$879:$A$925,CA$18,'Reference Tables'!$B$879:$B$925,CA$19)*($AU24*$AV24)^(SUMIFS('Reference Tables'!$E$879:$E$925,'Reference Tables'!$A$879:$A$925,CA$18,'Reference Tables'!$B$879:$B$925,CA$19)),0)))</f>
        <v/>
      </c>
      <c r="CB24" s="347" t="str">
        <f>IF($A24="","",AH24*(SUMIFS('Reference Tables'!$C$879:$C$925,'Reference Tables'!$A$879:$A$925,CB$18,'Reference Tables'!$B$879:$B$925,CB$19)+IF($B24="EFR",SUMIFS('Reference Tables'!$D$879:$D$925,'Reference Tables'!$A$879:$A$925,CB$18,'Reference Tables'!$B$879:$B$925,CB$19)*($AU24*$AV24)^(SUMIFS('Reference Tables'!$E$879:$E$925,'Reference Tables'!$A$879:$A$925,CB$18,'Reference Tables'!$B$879:$B$925,CB$19)),0)))</f>
        <v/>
      </c>
      <c r="CC24" s="347" t="str">
        <f>IF($A24="","",AI24*(SUMIFS('Reference Tables'!$C$879:$C$925,'Reference Tables'!$A$879:$A$925,CC$18,'Reference Tables'!$B$879:$B$925,CC$19)+IF($B24="EFR",SUMIFS('Reference Tables'!$D$879:$D$925,'Reference Tables'!$A$879:$A$925,CC$18,'Reference Tables'!$B$879:$B$925,CC$19)*($AU24*$AV24)^(SUMIFS('Reference Tables'!$E$879:$E$925,'Reference Tables'!$A$879:$A$925,CC$18,'Reference Tables'!$B$879:$B$925,CC$19)),0)))</f>
        <v/>
      </c>
      <c r="CD24" s="347" t="str">
        <f>IF($A24="","",AJ24*(SUMIFS('Reference Tables'!$C$879:$C$925,'Reference Tables'!$A$879:$A$925,CD$18,'Reference Tables'!$B$879:$B$925,CD$19)+IF($B24="EFR",SUMIFS('Reference Tables'!$D$879:$D$925,'Reference Tables'!$A$879:$A$925,CD$18,'Reference Tables'!$B$879:$B$925,CD$19)*($AU24*$AV24)^(SUMIFS('Reference Tables'!$E$879:$E$925,'Reference Tables'!$A$879:$A$925,CD$18,'Reference Tables'!$B$879:$B$925,CD$19)),0)))</f>
        <v/>
      </c>
      <c r="CE24" s="347" t="str">
        <f>IF($A24="","",AK24*(SUMIFS('Reference Tables'!$C$879:$C$925,'Reference Tables'!$A$879:$A$925,CE$18,'Reference Tables'!$B$879:$B$925,CE$19)+IF($B24="EFR",SUMIFS('Reference Tables'!$D$879:$D$925,'Reference Tables'!$A$879:$A$925,CE$18,'Reference Tables'!$B$879:$B$925,CE$19)*($AU24*$AV24)^(SUMIFS('Reference Tables'!$E$879:$E$925,'Reference Tables'!$A$879:$A$925,CE$18,'Reference Tables'!$B$879:$B$925,CE$19)),0)))</f>
        <v/>
      </c>
      <c r="CF24" s="347" t="str">
        <f>IF($A24="","",AL24*(SUMIFS('Reference Tables'!$C$879:$C$925,'Reference Tables'!$A$879:$A$925,CF$18,'Reference Tables'!$B$879:$B$925,CF$19)+IF($B24="EFR",SUMIFS('Reference Tables'!$D$879:$D$925,'Reference Tables'!$A$879:$A$925,CF$18,'Reference Tables'!$B$879:$B$925,CF$19)*($AU24*$AV24)^(SUMIFS('Reference Tables'!$E$879:$E$925,'Reference Tables'!$A$879:$A$925,CF$18,'Reference Tables'!$B$879:$B$925,CF$19)),0)))</f>
        <v/>
      </c>
      <c r="CG24" s="347" t="str">
        <f>IF($A24="","",AM24*(SUMIFS('Reference Tables'!$C$879:$C$925,'Reference Tables'!$A$879:$A$925,CG$18,'Reference Tables'!$B$879:$B$925,CG$19)+IF($B24="EFR",SUMIFS('Reference Tables'!$D$879:$D$925,'Reference Tables'!$A$879:$A$925,CG$18,'Reference Tables'!$B$879:$B$925,CG$19)*($AU24*$AV24)^(SUMIFS('Reference Tables'!$E$879:$E$925,'Reference Tables'!$A$879:$A$925,CG$18,'Reference Tables'!$B$879:$B$925,CG$19)),0)))</f>
        <v/>
      </c>
      <c r="CH24" s="347" t="str">
        <f>IF($A24="","",AN24*(SUMIFS('Reference Tables'!$C$879:$C$925,'Reference Tables'!$A$879:$A$925,CH$18,'Reference Tables'!$B$879:$B$925,CH$19)+IF($B24="EFR",SUMIFS('Reference Tables'!$D$879:$D$925,'Reference Tables'!$A$879:$A$925,CH$18,'Reference Tables'!$B$879:$B$925,CH$19)*($AU24*$AV24)^(SUMIFS('Reference Tables'!$E$879:$E$925,'Reference Tables'!$A$879:$A$925,CH$18,'Reference Tables'!$B$879:$B$925,CH$19)),0)))</f>
        <v/>
      </c>
      <c r="CI24" s="347" t="str">
        <f>IF($A24="","",AO24*(SUMIFS('Reference Tables'!$C$879:$C$925,'Reference Tables'!$A$879:$A$925,CI$18,'Reference Tables'!$B$879:$B$925,CI$19)+IF($B24="EFR",SUMIFS('Reference Tables'!$D$879:$D$925,'Reference Tables'!$A$879:$A$925,CI$18,'Reference Tables'!$B$879:$B$925,CI$19)*($AU24*$AV24)^(SUMIFS('Reference Tables'!$E$879:$E$925,'Reference Tables'!$A$879:$A$925,CI$18,'Reference Tables'!$B$879:$B$925,CI$19)),0)))</f>
        <v/>
      </c>
      <c r="CJ24" s="347" t="str">
        <f>IF($A24="","",AP24*(SUMIFS('Reference Tables'!$C$879:$C$925,'Reference Tables'!$A$879:$A$925,CJ$18,'Reference Tables'!$B$879:$B$925,CJ$19)+IF($B24="EFR",SUMIFS('Reference Tables'!$D$879:$D$925,'Reference Tables'!$A$879:$A$925,CJ$18,'Reference Tables'!$B$879:$B$925,CJ$19)*($AU24*$AV24)^(SUMIFS('Reference Tables'!$E$879:$E$925,'Reference Tables'!$A$879:$A$925,CJ$18,'Reference Tables'!$B$879:$B$925,CJ$19)),0)))</f>
        <v/>
      </c>
      <c r="CK24" s="347" t="str">
        <f>IF($A24="","",AQ24*(SUMIFS('Reference Tables'!$C$879:$C$925,'Reference Tables'!$A$879:$A$925,CK$18,'Reference Tables'!$B$879:$B$925,CK$19)+IF($B24="EFR",SUMIFS('Reference Tables'!$D$879:$D$925,'Reference Tables'!$A$879:$A$925,CK$18,'Reference Tables'!$B$879:$B$925,CK$19)*($AU24*$AV24)^(SUMIFS('Reference Tables'!$E$879:$E$925,'Reference Tables'!$A$879:$A$925,CK$18,'Reference Tables'!$B$879:$B$925,CK$19)),0)))</f>
        <v/>
      </c>
      <c r="CL24" s="347" t="str">
        <f>IF($A24="","",AR24*(SUMIFS('Reference Tables'!$C$879:$C$925,'Reference Tables'!$A$879:$A$925,CL$18,'Reference Tables'!$B$879:$B$925,CL$19)+IF($B24="EFR",SUMIFS('Reference Tables'!$D$879:$D$925,'Reference Tables'!$A$879:$A$925,CL$18,'Reference Tables'!$B$879:$B$925,CL$19)*($AU24*$AV24)^(SUMIFS('Reference Tables'!$E$879:$E$925,'Reference Tables'!$A$879:$A$925,CL$18,'Reference Tables'!$B$879:$B$925,CL$19)),0)))</f>
        <v/>
      </c>
      <c r="CM24" s="347" t="str">
        <f>IF($A24="","",AS24*(SUMIFS('Reference Tables'!$C$879:$C$925,'Reference Tables'!$A$879:$A$925,CM$18,'Reference Tables'!$B$879:$B$925,CM$19)+IF($B24="EFR",SUMIFS('Reference Tables'!$D$879:$D$925,'Reference Tables'!$A$879:$A$925,CM$18,'Reference Tables'!$B$879:$B$925,CM$19)*($AU24*$AV24)^(SUMIFS('Reference Tables'!$E$879:$E$925,'Reference Tables'!$A$879:$A$925,CM$18,'Reference Tables'!$B$879:$B$925,CM$19)),0)))</f>
        <v/>
      </c>
      <c r="CN24" s="347" t="str">
        <f>IF($A24="","",AT24*(SUMIFS('Reference Tables'!$C$879:$C$925,'Reference Tables'!$A$879:$A$925,CN$18,'Reference Tables'!$B$879:$B$925,CN$19)+IF($B24="EFR",SUMIFS('Reference Tables'!$D$879:$D$925,'Reference Tables'!$A$879:$A$925,CN$18,'Reference Tables'!$B$879:$B$925,CN$19)*($AU24*$AV24)^(SUMIFS('Reference Tables'!$E$879:$E$925,'Reference Tables'!$A$879:$A$925,CN$18,'Reference Tables'!$B$879:$B$925,CN$19)),0)))</f>
        <v/>
      </c>
      <c r="CO24" s="347" t="str">
        <f t="shared" si="5"/>
        <v/>
      </c>
      <c r="CU24" s="250"/>
      <c r="CV24" s="250"/>
      <c r="CW24" s="250"/>
      <c r="CX24" s="250"/>
      <c r="CY24" s="250"/>
      <c r="CZ24" s="250"/>
      <c r="DA24" s="250"/>
      <c r="DB24" s="250"/>
      <c r="DC24" s="250"/>
      <c r="DD24" s="250"/>
      <c r="DE24" s="250"/>
      <c r="DF24" s="250"/>
      <c r="DG24" s="250"/>
      <c r="DH24" s="250"/>
      <c r="DI24" s="250"/>
      <c r="DJ24" s="250"/>
      <c r="DK24" s="250"/>
      <c r="DL24" s="250"/>
      <c r="DM24" s="250"/>
      <c r="DN24" s="250"/>
      <c r="DO24" s="250"/>
      <c r="DP24" s="250"/>
      <c r="DQ24" s="250"/>
      <c r="DR24" s="250"/>
      <c r="DS24" s="250"/>
      <c r="DT24" s="250"/>
      <c r="DU24" s="250"/>
      <c r="DV24" s="250"/>
      <c r="DW24" s="250"/>
      <c r="DX24" s="250"/>
      <c r="DY24" s="250"/>
      <c r="DZ24" s="250"/>
      <c r="EA24" s="250"/>
      <c r="EB24" s="250"/>
      <c r="EC24" s="250"/>
      <c r="ED24" s="250"/>
      <c r="EE24" s="250"/>
      <c r="EF24" s="250"/>
      <c r="EG24" s="250"/>
      <c r="EH24" s="250"/>
      <c r="EI24" s="250"/>
      <c r="EJ24" s="250"/>
      <c r="EK24" s="250"/>
      <c r="EL24" s="250"/>
      <c r="EM24" s="250"/>
    </row>
    <row r="25" spans="1:143">
      <c r="A25" s="342" t="str">
        <f>IF('Fitting Data'!A18&lt;&gt;"",'Fitting Data'!A18,"")</f>
        <v/>
      </c>
      <c r="B25" s="343" t="str">
        <f>IF($A25="","",INDEX('Tank Data'!$1:$1048576,MATCH($A25,'Tank Data'!$A:$A,0),MATCH(B$17,'Tank Data'!$9:$9,0)))</f>
        <v/>
      </c>
      <c r="C25" s="344" t="str">
        <f>IF($A25="","",IF('Fitting Data'!$B18&lt;&gt;"Typical",'Fitting Data'!C18,'Fitting Data'!BG18))</f>
        <v/>
      </c>
      <c r="D25" s="344" t="str">
        <f>IF($A25="","",IF('Fitting Data'!$B18&lt;&gt;"Typical",'Fitting Data'!D18,'Fitting Data'!BH18))</f>
        <v/>
      </c>
      <c r="E25" s="344" t="str">
        <f>IF($A25="","",IF('Fitting Data'!$B18&lt;&gt;"Typical",'Fitting Data'!E18,'Fitting Data'!BI18))</f>
        <v/>
      </c>
      <c r="F25" s="344" t="str">
        <f>IF($A25="","",IF('Fitting Data'!$B18&lt;&gt;"Typical",'Fitting Data'!F18,'Fitting Data'!BJ18))</f>
        <v/>
      </c>
      <c r="G25" s="344" t="str">
        <f>IF($A25="","",IF('Fitting Data'!$B18&lt;&gt;"Typical",'Fitting Data'!G18,'Fitting Data'!BK18))</f>
        <v/>
      </c>
      <c r="H25" s="344" t="str">
        <f>IF($A25="","",IF('Fitting Data'!$B18&lt;&gt;"Typical",'Fitting Data'!H18,'Fitting Data'!BL18))</f>
        <v/>
      </c>
      <c r="I25" s="344" t="str">
        <f>IF($A25="","",IF('Fitting Data'!$B18&lt;&gt;"Typical",'Fitting Data'!I18,'Fitting Data'!BM18))</f>
        <v/>
      </c>
      <c r="J25" s="344" t="str">
        <f>IF($A25="","",IF('Fitting Data'!$B18&lt;&gt;"Typical",'Fitting Data'!J18,'Fitting Data'!BN18))</f>
        <v/>
      </c>
      <c r="K25" s="344" t="str">
        <f>IF($A25="","",IF('Fitting Data'!$B18&lt;&gt;"Typical",'Fitting Data'!K18,'Fitting Data'!BO18))</f>
        <v/>
      </c>
      <c r="L25" s="344" t="str">
        <f>IF($A25="","",IF('Fitting Data'!$B18&lt;&gt;"Typical",'Fitting Data'!L18,'Fitting Data'!BP18))</f>
        <v/>
      </c>
      <c r="M25" s="344" t="str">
        <f>IF($A25="","",IF('Fitting Data'!$B18&lt;&gt;"Typical",'Fitting Data'!M18,'Fitting Data'!BQ18))</f>
        <v/>
      </c>
      <c r="N25" s="344" t="str">
        <f>IF($A25="","",IF('Fitting Data'!$B18&lt;&gt;"Typical",'Fitting Data'!N18,'Fitting Data'!BR18))</f>
        <v/>
      </c>
      <c r="O25" s="344" t="str">
        <f>IF($A25="","",IF('Fitting Data'!$B18&lt;&gt;"Typical",'Fitting Data'!O18,'Fitting Data'!BS18))</f>
        <v/>
      </c>
      <c r="P25" s="344" t="str">
        <f>IF($A25="","",IF('Fitting Data'!$B18&lt;&gt;"Typical",'Fitting Data'!P18,'Fitting Data'!BT18))</f>
        <v/>
      </c>
      <c r="Q25" s="344" t="str">
        <f>IF($A25="","",IF('Fitting Data'!$B18&lt;&gt;"Typical",'Fitting Data'!Q18,'Fitting Data'!BU18))</f>
        <v/>
      </c>
      <c r="R25" s="344" t="str">
        <f>IF($A25="","",IF('Fitting Data'!$B18&lt;&gt;"Typical",'Fitting Data'!R18,'Fitting Data'!BV18))</f>
        <v/>
      </c>
      <c r="S25" s="344" t="str">
        <f>IF($A25="","",IF('Fitting Data'!$B18&lt;&gt;"Typical",'Fitting Data'!S18,'Fitting Data'!BW18))</f>
        <v/>
      </c>
      <c r="T25" s="344" t="str">
        <f>IF($A25="","",IF('Fitting Data'!$B18&lt;&gt;"Typical",'Fitting Data'!T18,'Fitting Data'!BX18))</f>
        <v/>
      </c>
      <c r="U25" s="344" t="str">
        <f>IF($A25="","",IF('Fitting Data'!$B18&lt;&gt;"Typical",'Fitting Data'!U18,'Fitting Data'!BY18))</f>
        <v/>
      </c>
      <c r="V25" s="344" t="str">
        <f>IF($A25="","",IF('Fitting Data'!$B18&lt;&gt;"Typical",'Fitting Data'!V18,'Fitting Data'!BZ18))</f>
        <v/>
      </c>
      <c r="W25" s="344" t="str">
        <f>IF($A25="","",IF('Fitting Data'!$B18&lt;&gt;"Typical",'Fitting Data'!W18,'Fitting Data'!CA18))</f>
        <v/>
      </c>
      <c r="X25" s="344" t="str">
        <f>IF($A25="","",IF('Fitting Data'!$B18&lt;&gt;"Typical",'Fitting Data'!X18,'Fitting Data'!CB18))</f>
        <v/>
      </c>
      <c r="Y25" s="344" t="str">
        <f>IF($A25="","",IF('Fitting Data'!$B18&lt;&gt;"Typical",'Fitting Data'!Y18,'Fitting Data'!CC18))</f>
        <v/>
      </c>
      <c r="Z25" s="344" t="str">
        <f>IF($A25="","",IF('Fitting Data'!$B18&lt;&gt;"Typical",'Fitting Data'!Z18,'Fitting Data'!CD18))</f>
        <v/>
      </c>
      <c r="AA25" s="344" t="str">
        <f>IF($A25="","",IF('Fitting Data'!$B18&lt;&gt;"Typical",'Fitting Data'!AA18,'Fitting Data'!CE18))</f>
        <v/>
      </c>
      <c r="AB25" s="344" t="str">
        <f>IF($A25="","",IF('Fitting Data'!$B18&lt;&gt;"Typical",'Fitting Data'!AB18,'Fitting Data'!CF18))</f>
        <v/>
      </c>
      <c r="AC25" s="344" t="str">
        <f>IF($A25="","",IF('Fitting Data'!$B18&lt;&gt;"Typical",'Fitting Data'!AC18,'Fitting Data'!CG18))</f>
        <v/>
      </c>
      <c r="AD25" s="344" t="str">
        <f>IF($A25="","",IF('Fitting Data'!$B18&lt;&gt;"Typical",'Fitting Data'!AD18,'Fitting Data'!CH18))</f>
        <v/>
      </c>
      <c r="AE25" s="344" t="str">
        <f>IF($A25="","",IF('Fitting Data'!$B18&lt;&gt;"Typical",'Fitting Data'!AE18,'Fitting Data'!CI18))</f>
        <v/>
      </c>
      <c r="AF25" s="344" t="str">
        <f>IF($A25="","",IF('Fitting Data'!$B18&lt;&gt;"Typical",'Fitting Data'!AF18,'Fitting Data'!CJ18))</f>
        <v/>
      </c>
      <c r="AG25" s="344" t="str">
        <f>IF($A25="","",IF('Fitting Data'!$B18&lt;&gt;"Typical",'Fitting Data'!AG18,'Fitting Data'!CK18))</f>
        <v/>
      </c>
      <c r="AH25" s="344" t="str">
        <f>IF($A25="","",IF('Fitting Data'!$B18&lt;&gt;"Typical",'Fitting Data'!AH18,'Fitting Data'!CL18))</f>
        <v/>
      </c>
      <c r="AI25" s="344" t="str">
        <f>IF($A25="","",IF('Fitting Data'!$B18&lt;&gt;"Typical",'Fitting Data'!AI18,'Fitting Data'!CM18))</f>
        <v/>
      </c>
      <c r="AJ25" s="344" t="str">
        <f>IF($A25="","",IF('Fitting Data'!$B18&lt;&gt;"Typical",'Fitting Data'!AJ18,'Fitting Data'!CN18))</f>
        <v/>
      </c>
      <c r="AK25" s="344" t="str">
        <f>IF($A25="","",IF('Fitting Data'!$B18&lt;&gt;"Typical",'Fitting Data'!AK18,'Fitting Data'!CO18))</f>
        <v/>
      </c>
      <c r="AL25" s="344" t="str">
        <f>IF($A25="","",IF('Fitting Data'!$B18&lt;&gt;"Typical",'Fitting Data'!AL18,'Fitting Data'!CP18))</f>
        <v/>
      </c>
      <c r="AM25" s="344" t="str">
        <f>IF($A25="","",IF('Fitting Data'!$B18&lt;&gt;"Typical",'Fitting Data'!AM18,'Fitting Data'!CQ18))</f>
        <v/>
      </c>
      <c r="AN25" s="344" t="str">
        <f>IF($A25="","",IF('Fitting Data'!$B18&lt;&gt;"Typical",'Fitting Data'!AN18,'Fitting Data'!CR18))</f>
        <v/>
      </c>
      <c r="AO25" s="344" t="str">
        <f>IF($A25="","",IF('Fitting Data'!$B18&lt;&gt;"Typical",'Fitting Data'!AO18,'Fitting Data'!CS18))</f>
        <v/>
      </c>
      <c r="AP25" s="344" t="str">
        <f>IF($A25="","",IF('Fitting Data'!$B18&lt;&gt;"Typical",'Fitting Data'!AP18,'Fitting Data'!CT18))</f>
        <v/>
      </c>
      <c r="AQ25" s="344" t="str">
        <f>IF($A25="","",IF('Fitting Data'!$B18&lt;&gt;"Typical",'Fitting Data'!AQ18,'Fitting Data'!CU18))</f>
        <v/>
      </c>
      <c r="AR25" s="344" t="str">
        <f>IF($A25="","",IF('Fitting Data'!$B18&lt;&gt;"Typical",'Fitting Data'!AR18,'Fitting Data'!CV18))</f>
        <v/>
      </c>
      <c r="AS25" s="344" t="str">
        <f>IF($A25="","",IF('Fitting Data'!$B18&lt;&gt;"Typical",'Fitting Data'!AS18,'Fitting Data'!CW18))</f>
        <v/>
      </c>
      <c r="AT25" s="344" t="str">
        <f>IF($A25="","",IF('Fitting Data'!$B18&lt;&gt;"Typical",'Fitting Data'!AT18,'Fitting Data'!CX18))</f>
        <v/>
      </c>
      <c r="AU25" s="345" t="str">
        <f>IF($A25="","",IF($B25="EFR",'Met Data'!$H$23,0))</f>
        <v/>
      </c>
      <c r="AV25" s="346" t="str">
        <f t="shared" si="4"/>
        <v/>
      </c>
      <c r="AW25" s="347" t="str">
        <f>IF($A25="","",C25*(SUMIFS('Reference Tables'!$C$879:$C$925,'Reference Tables'!$A$879:$A$925,AW$18,'Reference Tables'!$B$879:$B$925,AW$19)+IF($B25="EFR",SUMIFS('Reference Tables'!$D$879:$D$925,'Reference Tables'!$A$879:$A$925,AW$18,'Reference Tables'!$B$879:$B$925,AW$19)*($AU25*$AV25)^(SUMIFS('Reference Tables'!$E$879:$E$925,'Reference Tables'!$A$879:$A$925,AW$18,'Reference Tables'!$B$879:$B$925,AW$19)),0)))</f>
        <v/>
      </c>
      <c r="AX25" s="347" t="str">
        <f>IF($A25="","",D25*(SUMIFS('Reference Tables'!$C$879:$C$925,'Reference Tables'!$A$879:$A$925,AX$18,'Reference Tables'!$B$879:$B$925,AX$19)+IF($B25="EFR",SUMIFS('Reference Tables'!$D$879:$D$925,'Reference Tables'!$A$879:$A$925,AX$18,'Reference Tables'!$B$879:$B$925,AX$19)*($AU25*$AV25)^(SUMIFS('Reference Tables'!$E$879:$E$925,'Reference Tables'!$A$879:$A$925,AX$18,'Reference Tables'!$B$879:$B$925,AX$19)),0)))</f>
        <v/>
      </c>
      <c r="AY25" s="347" t="str">
        <f>IF($A25="","",E25*(SUMIFS('Reference Tables'!$C$879:$C$925,'Reference Tables'!$A$879:$A$925,AY$18,'Reference Tables'!$B$879:$B$925,AY$19)+IF($B25="EFR",SUMIFS('Reference Tables'!$D$879:$D$925,'Reference Tables'!$A$879:$A$925,AY$18,'Reference Tables'!$B$879:$B$925,AY$19)*($AU25*$AV25)^(SUMIFS('Reference Tables'!$E$879:$E$925,'Reference Tables'!$A$879:$A$925,AY$18,'Reference Tables'!$B$879:$B$925,AY$19)),0)))</f>
        <v/>
      </c>
      <c r="AZ25" s="347" t="str">
        <f>IF($A25="","",F25*(SUMIFS('Reference Tables'!$C$879:$C$925,'Reference Tables'!$A$879:$A$925,AZ$18,'Reference Tables'!$B$879:$B$925,AZ$19)+IF($B25="EFR",SUMIFS('Reference Tables'!$D$879:$D$925,'Reference Tables'!$A$879:$A$925,AZ$18,'Reference Tables'!$B$879:$B$925,AZ$19)*($AU25*$AV25)^(SUMIFS('Reference Tables'!$E$879:$E$925,'Reference Tables'!$A$879:$A$925,AZ$18,'Reference Tables'!$B$879:$B$925,AZ$19)),0)))</f>
        <v/>
      </c>
      <c r="BA25" s="347" t="str">
        <f>IF($A25="","",G25*(SUMIFS('Reference Tables'!$C$879:$C$925,'Reference Tables'!$A$879:$A$925,BA$18,'Reference Tables'!$B$879:$B$925,BA$19)+IF($B25="EFR",SUMIFS('Reference Tables'!$D$879:$D$925,'Reference Tables'!$A$879:$A$925,BA$18,'Reference Tables'!$B$879:$B$925,BA$19)*($AU25*$AV25)^(SUMIFS('Reference Tables'!$E$879:$E$925,'Reference Tables'!$A$879:$A$925,BA$18,'Reference Tables'!$B$879:$B$925,BA$19)),0)))</f>
        <v/>
      </c>
      <c r="BB25" s="347" t="str">
        <f>IF($A25="","",H25*(SUMIFS('Reference Tables'!$C$879:$C$925,'Reference Tables'!$A$879:$A$925,BB$18,'Reference Tables'!$B$879:$B$925,BB$19)+IF($B25="EFR",SUMIFS('Reference Tables'!$D$879:$D$925,'Reference Tables'!$A$879:$A$925,BB$18,'Reference Tables'!$B$879:$B$925,BB$19)*($AU25*$AV25)^(SUMIFS('Reference Tables'!$E$879:$E$925,'Reference Tables'!$A$879:$A$925,BB$18,'Reference Tables'!$B$879:$B$925,BB$19)),0)))</f>
        <v/>
      </c>
      <c r="BC25" s="347" t="str">
        <f>IF($A25="","",I25*(SUMIFS('Reference Tables'!$C$879:$C$925,'Reference Tables'!$A$879:$A$925,BC$18,'Reference Tables'!$B$879:$B$925,BC$19)+IF($B25="EFR",SUMIFS('Reference Tables'!$D$879:$D$925,'Reference Tables'!$A$879:$A$925,BC$18,'Reference Tables'!$B$879:$B$925,BC$19)*($AU25*$AV25)^(SUMIFS('Reference Tables'!$E$879:$E$925,'Reference Tables'!$A$879:$A$925,BC$18,'Reference Tables'!$B$879:$B$925,BC$19)),0)))</f>
        <v/>
      </c>
      <c r="BD25" s="347" t="str">
        <f>IF($A25="","",J25*(SUMIFS('Reference Tables'!$C$879:$C$925,'Reference Tables'!$A$879:$A$925,BD$18,'Reference Tables'!$B$879:$B$925,BD$19)+IF($B25="EFR",SUMIFS('Reference Tables'!$D$879:$D$925,'Reference Tables'!$A$879:$A$925,BD$18,'Reference Tables'!$B$879:$B$925,BD$19)*($AU25*$AV25)^(SUMIFS('Reference Tables'!$E$879:$E$925,'Reference Tables'!$A$879:$A$925,BD$18,'Reference Tables'!$B$879:$B$925,BD$19)),0)))</f>
        <v/>
      </c>
      <c r="BE25" s="347" t="str">
        <f>IF($A25="","",K25*(SUMIFS('Reference Tables'!$C$879:$C$925,'Reference Tables'!$A$879:$A$925,BE$18,'Reference Tables'!$B$879:$B$925,BE$19)+IF($B25="EFR",SUMIFS('Reference Tables'!$D$879:$D$925,'Reference Tables'!$A$879:$A$925,BE$18,'Reference Tables'!$B$879:$B$925,BE$19)*($AU25*$AV25)^(SUMIFS('Reference Tables'!$E$879:$E$925,'Reference Tables'!$A$879:$A$925,BE$18,'Reference Tables'!$B$879:$B$925,BE$19)),0)))</f>
        <v/>
      </c>
      <c r="BF25" s="347" t="str">
        <f>IF($A25="","",L25*(SUMIFS('Reference Tables'!$C$879:$C$925,'Reference Tables'!$A$879:$A$925,BF$18,'Reference Tables'!$B$879:$B$925,BF$19)+IF($B25="EFR",SUMIFS('Reference Tables'!$D$879:$D$925,'Reference Tables'!$A$879:$A$925,BF$18,'Reference Tables'!$B$879:$B$925,BF$19)*($AU25*$AV25)^(SUMIFS('Reference Tables'!$E$879:$E$925,'Reference Tables'!$A$879:$A$925,BF$18,'Reference Tables'!$B$879:$B$925,BF$19)),0)))</f>
        <v/>
      </c>
      <c r="BG25" s="347" t="str">
        <f>IF($A25="","",M25*(SUMIFS('Reference Tables'!$C$879:$C$925,'Reference Tables'!$A$879:$A$925,BG$18,'Reference Tables'!$B$879:$B$925,BG$19)+IF($B25="EFR",SUMIFS('Reference Tables'!$D$879:$D$925,'Reference Tables'!$A$879:$A$925,BG$18,'Reference Tables'!$B$879:$B$925,BG$19)*($AU25*$AV25)^(SUMIFS('Reference Tables'!$E$879:$E$925,'Reference Tables'!$A$879:$A$925,BG$18,'Reference Tables'!$B$879:$B$925,BG$19)),0)))</f>
        <v/>
      </c>
      <c r="BH25" s="347" t="str">
        <f>IF($A25="","",N25*(SUMIFS('Reference Tables'!$C$879:$C$925,'Reference Tables'!$A$879:$A$925,BH$18,'Reference Tables'!$B$879:$B$925,BH$19)+IF($B25="EFR",SUMIFS('Reference Tables'!$D$879:$D$925,'Reference Tables'!$A$879:$A$925,BH$18,'Reference Tables'!$B$879:$B$925,BH$19)*($AU25*$AV25)^(SUMIFS('Reference Tables'!$E$879:$E$925,'Reference Tables'!$A$879:$A$925,BH$18,'Reference Tables'!$B$879:$B$925,BH$19)),0)))</f>
        <v/>
      </c>
      <c r="BI25" s="347" t="str">
        <f>IF($A25="","",O25*(SUMIFS('Reference Tables'!$C$879:$C$925,'Reference Tables'!$A$879:$A$925,BI$18,'Reference Tables'!$B$879:$B$925,BI$19)+IF($B25="EFR",SUMIFS('Reference Tables'!$D$879:$D$925,'Reference Tables'!$A$879:$A$925,BI$18,'Reference Tables'!$B$879:$B$925,BI$19)*($AU25*$AV25)^(SUMIFS('Reference Tables'!$E$879:$E$925,'Reference Tables'!$A$879:$A$925,BI$18,'Reference Tables'!$B$879:$B$925,BI$19)),0)))</f>
        <v/>
      </c>
      <c r="BJ25" s="347" t="str">
        <f>IF($A25="","",P25*(SUMIFS('Reference Tables'!$C$879:$C$925,'Reference Tables'!$A$879:$A$925,BJ$18,'Reference Tables'!$B$879:$B$925,BJ$19)+IF($B25="EFR",SUMIFS('Reference Tables'!$D$879:$D$925,'Reference Tables'!$A$879:$A$925,BJ$18,'Reference Tables'!$B$879:$B$925,BJ$19)*($AU25*$AV25)^(SUMIFS('Reference Tables'!$E$879:$E$925,'Reference Tables'!$A$879:$A$925,BJ$18,'Reference Tables'!$B$879:$B$925,BJ$19)),0)))</f>
        <v/>
      </c>
      <c r="BK25" s="347" t="str">
        <f>IF($A25="","",Q25*(SUMIFS('Reference Tables'!$C$879:$C$925,'Reference Tables'!$A$879:$A$925,BK$18,'Reference Tables'!$B$879:$B$925,BK$19)+IF($B25="EFR",SUMIFS('Reference Tables'!$D$879:$D$925,'Reference Tables'!$A$879:$A$925,BK$18,'Reference Tables'!$B$879:$B$925,BK$19)*($AU25*$AV25)^(SUMIFS('Reference Tables'!$E$879:$E$925,'Reference Tables'!$A$879:$A$925,BK$18,'Reference Tables'!$B$879:$B$925,BK$19)),0)))</f>
        <v/>
      </c>
      <c r="BL25" s="347" t="str">
        <f>IF($A25="","",R25*(SUMIFS('Reference Tables'!$C$879:$C$925,'Reference Tables'!$A$879:$A$925,BL$18,'Reference Tables'!$B$879:$B$925,BL$19)+IF($B25="EFR",SUMIFS('Reference Tables'!$D$879:$D$925,'Reference Tables'!$A$879:$A$925,BL$18,'Reference Tables'!$B$879:$B$925,BL$19)*($AU25*$AV25)^(SUMIFS('Reference Tables'!$E$879:$E$925,'Reference Tables'!$A$879:$A$925,BL$18,'Reference Tables'!$B$879:$B$925,BL$19)),0)))</f>
        <v/>
      </c>
      <c r="BM25" s="347" t="str">
        <f>IF($A25="","",S25*(SUMIFS('Reference Tables'!$C$879:$C$925,'Reference Tables'!$A$879:$A$925,BM$18,'Reference Tables'!$B$879:$B$925,BM$19)+IF($B25="EFR",SUMIFS('Reference Tables'!$D$879:$D$925,'Reference Tables'!$A$879:$A$925,BM$18,'Reference Tables'!$B$879:$B$925,BM$19)*($AU25*$AV25)^(SUMIFS('Reference Tables'!$E$879:$E$925,'Reference Tables'!$A$879:$A$925,BM$18,'Reference Tables'!$B$879:$B$925,BM$19)),0)))</f>
        <v/>
      </c>
      <c r="BN25" s="347" t="str">
        <f>IF($A25="","",T25*(SUMIFS('Reference Tables'!$C$879:$C$925,'Reference Tables'!$A$879:$A$925,BN$18,'Reference Tables'!$B$879:$B$925,BN$19)+IF($B25="EFR",SUMIFS('Reference Tables'!$D$879:$D$925,'Reference Tables'!$A$879:$A$925,BN$18,'Reference Tables'!$B$879:$B$925,BN$19)*($AU25*$AV25)^(SUMIFS('Reference Tables'!$E$879:$E$925,'Reference Tables'!$A$879:$A$925,BN$18,'Reference Tables'!$B$879:$B$925,BN$19)),0)))</f>
        <v/>
      </c>
      <c r="BO25" s="347" t="str">
        <f>IF($A25="","",U25*(SUMIFS('Reference Tables'!$C$879:$C$925,'Reference Tables'!$A$879:$A$925,BO$18,'Reference Tables'!$B$879:$B$925,BO$19)+IF($B25="EFR",SUMIFS('Reference Tables'!$D$879:$D$925,'Reference Tables'!$A$879:$A$925,BO$18,'Reference Tables'!$B$879:$B$925,BO$19)*($AU25*$AV25)^(SUMIFS('Reference Tables'!$E$879:$E$925,'Reference Tables'!$A$879:$A$925,BO$18,'Reference Tables'!$B$879:$B$925,BO$19)),0)))</f>
        <v/>
      </c>
      <c r="BP25" s="347" t="str">
        <f>IF($A25="","",V25*(SUMIFS('Reference Tables'!$C$879:$C$925,'Reference Tables'!$A$879:$A$925,BP$18,'Reference Tables'!$B$879:$B$925,BP$19)+IF($B25="EFR",SUMIFS('Reference Tables'!$D$879:$D$925,'Reference Tables'!$A$879:$A$925,BP$18,'Reference Tables'!$B$879:$B$925,BP$19)*($AU25*$AV25)^(SUMIFS('Reference Tables'!$E$879:$E$925,'Reference Tables'!$A$879:$A$925,BP$18,'Reference Tables'!$B$879:$B$925,BP$19)),0)))</f>
        <v/>
      </c>
      <c r="BQ25" s="347" t="str">
        <f>IF($A25="","",W25*(SUMIFS('Reference Tables'!$C$879:$C$925,'Reference Tables'!$A$879:$A$925,BQ$18,'Reference Tables'!$B$879:$B$925,BQ$19)+IF($B25="EFR",SUMIFS('Reference Tables'!$D$879:$D$925,'Reference Tables'!$A$879:$A$925,BQ$18,'Reference Tables'!$B$879:$B$925,BQ$19)*($AU25*$AV25)^(SUMIFS('Reference Tables'!$E$879:$E$925,'Reference Tables'!$A$879:$A$925,BQ$18,'Reference Tables'!$B$879:$B$925,BQ$19)),0)))</f>
        <v/>
      </c>
      <c r="BR25" s="347" t="str">
        <f>IF($A25="","",X25*(SUMIFS('Reference Tables'!$C$879:$C$925,'Reference Tables'!$A$879:$A$925,BR$18,'Reference Tables'!$B$879:$B$925,BR$19)+IF($B25="EFR",SUMIFS('Reference Tables'!$D$879:$D$925,'Reference Tables'!$A$879:$A$925,BR$18,'Reference Tables'!$B$879:$B$925,BR$19)*($AU25*$AV25)^(SUMIFS('Reference Tables'!$E$879:$E$925,'Reference Tables'!$A$879:$A$925,BR$18,'Reference Tables'!$B$879:$B$925,BR$19)),0)))</f>
        <v/>
      </c>
      <c r="BS25" s="347" t="str">
        <f>IF($A25="","",Y25*(SUMIFS('Reference Tables'!$C$879:$C$925,'Reference Tables'!$A$879:$A$925,BS$18,'Reference Tables'!$B$879:$B$925,BS$19)+IF($B25="EFR",SUMIFS('Reference Tables'!$D$879:$D$925,'Reference Tables'!$A$879:$A$925,BS$18,'Reference Tables'!$B$879:$B$925,BS$19)*($AU25*$AV25)^(SUMIFS('Reference Tables'!$E$879:$E$925,'Reference Tables'!$A$879:$A$925,BS$18,'Reference Tables'!$B$879:$B$925,BS$19)),0)))</f>
        <v/>
      </c>
      <c r="BT25" s="347" t="str">
        <f>IF($A25="","",Z25*(SUMIFS('Reference Tables'!$C$879:$C$925,'Reference Tables'!$A$879:$A$925,BT$18,'Reference Tables'!$B$879:$B$925,BT$19)+IF($B25="EFR",SUMIFS('Reference Tables'!$D$879:$D$925,'Reference Tables'!$A$879:$A$925,BT$18,'Reference Tables'!$B$879:$B$925,BT$19)*($AU25*$AV25)^(SUMIFS('Reference Tables'!$E$879:$E$925,'Reference Tables'!$A$879:$A$925,BT$18,'Reference Tables'!$B$879:$B$925,BT$19)),0)))</f>
        <v/>
      </c>
      <c r="BU25" s="347" t="str">
        <f>IF($A25="","",AA25*(SUMIFS('Reference Tables'!$C$879:$C$925,'Reference Tables'!$A$879:$A$925,BU$18,'Reference Tables'!$B$879:$B$925,BU$19)+IF($B25="EFR",SUMIFS('Reference Tables'!$D$879:$D$925,'Reference Tables'!$A$879:$A$925,BU$18,'Reference Tables'!$B$879:$B$925,BU$19)*($AU25*$AV25)^(SUMIFS('Reference Tables'!$E$879:$E$925,'Reference Tables'!$A$879:$A$925,BU$18,'Reference Tables'!$B$879:$B$925,BU$19)),0)))</f>
        <v/>
      </c>
      <c r="BV25" s="347" t="str">
        <f>IF($A25="","",AB25*(SUMIFS('Reference Tables'!$C$879:$C$925,'Reference Tables'!$A$879:$A$925,BV$18,'Reference Tables'!$B$879:$B$925,BV$19)+IF($B25="EFR",SUMIFS('Reference Tables'!$D$879:$D$925,'Reference Tables'!$A$879:$A$925,BV$18,'Reference Tables'!$B$879:$B$925,BV$19)*($AU25*$AV25)^(SUMIFS('Reference Tables'!$E$879:$E$925,'Reference Tables'!$A$879:$A$925,BV$18,'Reference Tables'!$B$879:$B$925,BV$19)),0)))</f>
        <v/>
      </c>
      <c r="BW25" s="347" t="str">
        <f>IF($A25="","",AC25*(SUMIFS('Reference Tables'!$C$879:$C$925,'Reference Tables'!$A$879:$A$925,BW$18,'Reference Tables'!$B$879:$B$925,BW$19)+IF($B25="EFR",SUMIFS('Reference Tables'!$D$879:$D$925,'Reference Tables'!$A$879:$A$925,BW$18,'Reference Tables'!$B$879:$B$925,BW$19)*($AU25*$AV25)^(SUMIFS('Reference Tables'!$E$879:$E$925,'Reference Tables'!$A$879:$A$925,BW$18,'Reference Tables'!$B$879:$B$925,BW$19)),0)))</f>
        <v/>
      </c>
      <c r="BX25" s="347" t="str">
        <f>IF($A25="","",AD25*(SUMIFS('Reference Tables'!$C$879:$C$925,'Reference Tables'!$A$879:$A$925,BX$18,'Reference Tables'!$B$879:$B$925,BX$19)+IF($B25="EFR",SUMIFS('Reference Tables'!$D$879:$D$925,'Reference Tables'!$A$879:$A$925,BX$18,'Reference Tables'!$B$879:$B$925,BX$19)*($AU25*$AV25)^(SUMIFS('Reference Tables'!$E$879:$E$925,'Reference Tables'!$A$879:$A$925,BX$18,'Reference Tables'!$B$879:$B$925,BX$19)),0)))</f>
        <v/>
      </c>
      <c r="BY25" s="347" t="str">
        <f>IF($A25="","",AE25*(SUMIFS('Reference Tables'!$C$879:$C$925,'Reference Tables'!$A$879:$A$925,BY$18,'Reference Tables'!$B$879:$B$925,BY$19)+IF($B25="EFR",SUMIFS('Reference Tables'!$D$879:$D$925,'Reference Tables'!$A$879:$A$925,BY$18,'Reference Tables'!$B$879:$B$925,BY$19)*($AU25*$AV25)^(SUMIFS('Reference Tables'!$E$879:$E$925,'Reference Tables'!$A$879:$A$925,BY$18,'Reference Tables'!$B$879:$B$925,BY$19)),0)))</f>
        <v/>
      </c>
      <c r="BZ25" s="347" t="str">
        <f>IF($A25="","",AF25*(SUMIFS('Reference Tables'!$C$879:$C$925,'Reference Tables'!$A$879:$A$925,BZ$18,'Reference Tables'!$B$879:$B$925,BZ$19)+IF($B25="EFR",SUMIFS('Reference Tables'!$D$879:$D$925,'Reference Tables'!$A$879:$A$925,BZ$18,'Reference Tables'!$B$879:$B$925,BZ$19)*($AU25*$AV25)^(SUMIFS('Reference Tables'!$E$879:$E$925,'Reference Tables'!$A$879:$A$925,BZ$18,'Reference Tables'!$B$879:$B$925,BZ$19)),0)))</f>
        <v/>
      </c>
      <c r="CA25" s="347" t="str">
        <f>IF($A25="","",AG25*(SUMIFS('Reference Tables'!$C$879:$C$925,'Reference Tables'!$A$879:$A$925,CA$18,'Reference Tables'!$B$879:$B$925,CA$19)+IF($B25="EFR",SUMIFS('Reference Tables'!$D$879:$D$925,'Reference Tables'!$A$879:$A$925,CA$18,'Reference Tables'!$B$879:$B$925,CA$19)*($AU25*$AV25)^(SUMIFS('Reference Tables'!$E$879:$E$925,'Reference Tables'!$A$879:$A$925,CA$18,'Reference Tables'!$B$879:$B$925,CA$19)),0)))</f>
        <v/>
      </c>
      <c r="CB25" s="347" t="str">
        <f>IF($A25="","",AH25*(SUMIFS('Reference Tables'!$C$879:$C$925,'Reference Tables'!$A$879:$A$925,CB$18,'Reference Tables'!$B$879:$B$925,CB$19)+IF($B25="EFR",SUMIFS('Reference Tables'!$D$879:$D$925,'Reference Tables'!$A$879:$A$925,CB$18,'Reference Tables'!$B$879:$B$925,CB$19)*($AU25*$AV25)^(SUMIFS('Reference Tables'!$E$879:$E$925,'Reference Tables'!$A$879:$A$925,CB$18,'Reference Tables'!$B$879:$B$925,CB$19)),0)))</f>
        <v/>
      </c>
      <c r="CC25" s="347" t="str">
        <f>IF($A25="","",AI25*(SUMIFS('Reference Tables'!$C$879:$C$925,'Reference Tables'!$A$879:$A$925,CC$18,'Reference Tables'!$B$879:$B$925,CC$19)+IF($B25="EFR",SUMIFS('Reference Tables'!$D$879:$D$925,'Reference Tables'!$A$879:$A$925,CC$18,'Reference Tables'!$B$879:$B$925,CC$19)*($AU25*$AV25)^(SUMIFS('Reference Tables'!$E$879:$E$925,'Reference Tables'!$A$879:$A$925,CC$18,'Reference Tables'!$B$879:$B$925,CC$19)),0)))</f>
        <v/>
      </c>
      <c r="CD25" s="347" t="str">
        <f>IF($A25="","",AJ25*(SUMIFS('Reference Tables'!$C$879:$C$925,'Reference Tables'!$A$879:$A$925,CD$18,'Reference Tables'!$B$879:$B$925,CD$19)+IF($B25="EFR",SUMIFS('Reference Tables'!$D$879:$D$925,'Reference Tables'!$A$879:$A$925,CD$18,'Reference Tables'!$B$879:$B$925,CD$19)*($AU25*$AV25)^(SUMIFS('Reference Tables'!$E$879:$E$925,'Reference Tables'!$A$879:$A$925,CD$18,'Reference Tables'!$B$879:$B$925,CD$19)),0)))</f>
        <v/>
      </c>
      <c r="CE25" s="347" t="str">
        <f>IF($A25="","",AK25*(SUMIFS('Reference Tables'!$C$879:$C$925,'Reference Tables'!$A$879:$A$925,CE$18,'Reference Tables'!$B$879:$B$925,CE$19)+IF($B25="EFR",SUMIFS('Reference Tables'!$D$879:$D$925,'Reference Tables'!$A$879:$A$925,CE$18,'Reference Tables'!$B$879:$B$925,CE$19)*($AU25*$AV25)^(SUMIFS('Reference Tables'!$E$879:$E$925,'Reference Tables'!$A$879:$A$925,CE$18,'Reference Tables'!$B$879:$B$925,CE$19)),0)))</f>
        <v/>
      </c>
      <c r="CF25" s="347" t="str">
        <f>IF($A25="","",AL25*(SUMIFS('Reference Tables'!$C$879:$C$925,'Reference Tables'!$A$879:$A$925,CF$18,'Reference Tables'!$B$879:$B$925,CF$19)+IF($B25="EFR",SUMIFS('Reference Tables'!$D$879:$D$925,'Reference Tables'!$A$879:$A$925,CF$18,'Reference Tables'!$B$879:$B$925,CF$19)*($AU25*$AV25)^(SUMIFS('Reference Tables'!$E$879:$E$925,'Reference Tables'!$A$879:$A$925,CF$18,'Reference Tables'!$B$879:$B$925,CF$19)),0)))</f>
        <v/>
      </c>
      <c r="CG25" s="347" t="str">
        <f>IF($A25="","",AM25*(SUMIFS('Reference Tables'!$C$879:$C$925,'Reference Tables'!$A$879:$A$925,CG$18,'Reference Tables'!$B$879:$B$925,CG$19)+IF($B25="EFR",SUMIFS('Reference Tables'!$D$879:$D$925,'Reference Tables'!$A$879:$A$925,CG$18,'Reference Tables'!$B$879:$B$925,CG$19)*($AU25*$AV25)^(SUMIFS('Reference Tables'!$E$879:$E$925,'Reference Tables'!$A$879:$A$925,CG$18,'Reference Tables'!$B$879:$B$925,CG$19)),0)))</f>
        <v/>
      </c>
      <c r="CH25" s="347" t="str">
        <f>IF($A25="","",AN25*(SUMIFS('Reference Tables'!$C$879:$C$925,'Reference Tables'!$A$879:$A$925,CH$18,'Reference Tables'!$B$879:$B$925,CH$19)+IF($B25="EFR",SUMIFS('Reference Tables'!$D$879:$D$925,'Reference Tables'!$A$879:$A$925,CH$18,'Reference Tables'!$B$879:$B$925,CH$19)*($AU25*$AV25)^(SUMIFS('Reference Tables'!$E$879:$E$925,'Reference Tables'!$A$879:$A$925,CH$18,'Reference Tables'!$B$879:$B$925,CH$19)),0)))</f>
        <v/>
      </c>
      <c r="CI25" s="347" t="str">
        <f>IF($A25="","",AO25*(SUMIFS('Reference Tables'!$C$879:$C$925,'Reference Tables'!$A$879:$A$925,CI$18,'Reference Tables'!$B$879:$B$925,CI$19)+IF($B25="EFR",SUMIFS('Reference Tables'!$D$879:$D$925,'Reference Tables'!$A$879:$A$925,CI$18,'Reference Tables'!$B$879:$B$925,CI$19)*($AU25*$AV25)^(SUMIFS('Reference Tables'!$E$879:$E$925,'Reference Tables'!$A$879:$A$925,CI$18,'Reference Tables'!$B$879:$B$925,CI$19)),0)))</f>
        <v/>
      </c>
      <c r="CJ25" s="347" t="str">
        <f>IF($A25="","",AP25*(SUMIFS('Reference Tables'!$C$879:$C$925,'Reference Tables'!$A$879:$A$925,CJ$18,'Reference Tables'!$B$879:$B$925,CJ$19)+IF($B25="EFR",SUMIFS('Reference Tables'!$D$879:$D$925,'Reference Tables'!$A$879:$A$925,CJ$18,'Reference Tables'!$B$879:$B$925,CJ$19)*($AU25*$AV25)^(SUMIFS('Reference Tables'!$E$879:$E$925,'Reference Tables'!$A$879:$A$925,CJ$18,'Reference Tables'!$B$879:$B$925,CJ$19)),0)))</f>
        <v/>
      </c>
      <c r="CK25" s="347" t="str">
        <f>IF($A25="","",AQ25*(SUMIFS('Reference Tables'!$C$879:$C$925,'Reference Tables'!$A$879:$A$925,CK$18,'Reference Tables'!$B$879:$B$925,CK$19)+IF($B25="EFR",SUMIFS('Reference Tables'!$D$879:$D$925,'Reference Tables'!$A$879:$A$925,CK$18,'Reference Tables'!$B$879:$B$925,CK$19)*($AU25*$AV25)^(SUMIFS('Reference Tables'!$E$879:$E$925,'Reference Tables'!$A$879:$A$925,CK$18,'Reference Tables'!$B$879:$B$925,CK$19)),0)))</f>
        <v/>
      </c>
      <c r="CL25" s="347" t="str">
        <f>IF($A25="","",AR25*(SUMIFS('Reference Tables'!$C$879:$C$925,'Reference Tables'!$A$879:$A$925,CL$18,'Reference Tables'!$B$879:$B$925,CL$19)+IF($B25="EFR",SUMIFS('Reference Tables'!$D$879:$D$925,'Reference Tables'!$A$879:$A$925,CL$18,'Reference Tables'!$B$879:$B$925,CL$19)*($AU25*$AV25)^(SUMIFS('Reference Tables'!$E$879:$E$925,'Reference Tables'!$A$879:$A$925,CL$18,'Reference Tables'!$B$879:$B$925,CL$19)),0)))</f>
        <v/>
      </c>
      <c r="CM25" s="347" t="str">
        <f>IF($A25="","",AS25*(SUMIFS('Reference Tables'!$C$879:$C$925,'Reference Tables'!$A$879:$A$925,CM$18,'Reference Tables'!$B$879:$B$925,CM$19)+IF($B25="EFR",SUMIFS('Reference Tables'!$D$879:$D$925,'Reference Tables'!$A$879:$A$925,CM$18,'Reference Tables'!$B$879:$B$925,CM$19)*($AU25*$AV25)^(SUMIFS('Reference Tables'!$E$879:$E$925,'Reference Tables'!$A$879:$A$925,CM$18,'Reference Tables'!$B$879:$B$925,CM$19)),0)))</f>
        <v/>
      </c>
      <c r="CN25" s="347" t="str">
        <f>IF($A25="","",AT25*(SUMIFS('Reference Tables'!$C$879:$C$925,'Reference Tables'!$A$879:$A$925,CN$18,'Reference Tables'!$B$879:$B$925,CN$19)+IF($B25="EFR",SUMIFS('Reference Tables'!$D$879:$D$925,'Reference Tables'!$A$879:$A$925,CN$18,'Reference Tables'!$B$879:$B$925,CN$19)*($AU25*$AV25)^(SUMIFS('Reference Tables'!$E$879:$E$925,'Reference Tables'!$A$879:$A$925,CN$18,'Reference Tables'!$B$879:$B$925,CN$19)),0)))</f>
        <v/>
      </c>
      <c r="CO25" s="347" t="str">
        <f t="shared" si="5"/>
        <v/>
      </c>
      <c r="CU25" s="250"/>
      <c r="CV25" s="250"/>
      <c r="CW25" s="250"/>
      <c r="CX25" s="250"/>
      <c r="CY25" s="250"/>
      <c r="CZ25" s="250"/>
      <c r="DA25" s="250"/>
      <c r="DB25" s="250"/>
      <c r="DC25" s="250"/>
      <c r="DD25" s="250"/>
      <c r="DE25" s="250"/>
      <c r="DF25" s="250"/>
      <c r="DG25" s="250"/>
      <c r="DH25" s="250"/>
      <c r="DI25" s="250"/>
      <c r="DJ25" s="250"/>
      <c r="DK25" s="250"/>
      <c r="DL25" s="250"/>
      <c r="DM25" s="250"/>
      <c r="DN25" s="250"/>
      <c r="DO25" s="250"/>
      <c r="DP25" s="250"/>
      <c r="DQ25" s="250"/>
      <c r="DR25" s="250"/>
      <c r="DS25" s="250"/>
      <c r="DT25" s="250"/>
      <c r="DU25" s="250"/>
      <c r="DV25" s="250"/>
      <c r="DW25" s="250"/>
      <c r="DX25" s="250"/>
      <c r="DY25" s="250"/>
      <c r="DZ25" s="250"/>
      <c r="EA25" s="250"/>
      <c r="EB25" s="250"/>
      <c r="EC25" s="250"/>
      <c r="ED25" s="250"/>
      <c r="EE25" s="250"/>
      <c r="EF25" s="250"/>
      <c r="EG25" s="250"/>
      <c r="EH25" s="250"/>
      <c r="EI25" s="250"/>
      <c r="EJ25" s="250"/>
      <c r="EK25" s="250"/>
      <c r="EL25" s="250"/>
      <c r="EM25" s="250"/>
    </row>
    <row r="26" spans="1:143">
      <c r="A26" s="342" t="str">
        <f>IF('Fitting Data'!A19&lt;&gt;"",'Fitting Data'!A19,"")</f>
        <v/>
      </c>
      <c r="B26" s="343" t="str">
        <f>IF($A26="","",INDEX('Tank Data'!$1:$1048576,MATCH($A26,'Tank Data'!$A:$A,0),MATCH(B$17,'Tank Data'!$9:$9,0)))</f>
        <v/>
      </c>
      <c r="C26" s="344" t="str">
        <f>IF($A26="","",IF('Fitting Data'!$B19&lt;&gt;"Typical",'Fitting Data'!C19,'Fitting Data'!BG19))</f>
        <v/>
      </c>
      <c r="D26" s="344" t="str">
        <f>IF($A26="","",IF('Fitting Data'!$B19&lt;&gt;"Typical",'Fitting Data'!D19,'Fitting Data'!BH19))</f>
        <v/>
      </c>
      <c r="E26" s="344" t="str">
        <f>IF($A26="","",IF('Fitting Data'!$B19&lt;&gt;"Typical",'Fitting Data'!E19,'Fitting Data'!BI19))</f>
        <v/>
      </c>
      <c r="F26" s="344" t="str">
        <f>IF($A26="","",IF('Fitting Data'!$B19&lt;&gt;"Typical",'Fitting Data'!F19,'Fitting Data'!BJ19))</f>
        <v/>
      </c>
      <c r="G26" s="344" t="str">
        <f>IF($A26="","",IF('Fitting Data'!$B19&lt;&gt;"Typical",'Fitting Data'!G19,'Fitting Data'!BK19))</f>
        <v/>
      </c>
      <c r="H26" s="344" t="str">
        <f>IF($A26="","",IF('Fitting Data'!$B19&lt;&gt;"Typical",'Fitting Data'!H19,'Fitting Data'!BL19))</f>
        <v/>
      </c>
      <c r="I26" s="344" t="str">
        <f>IF($A26="","",IF('Fitting Data'!$B19&lt;&gt;"Typical",'Fitting Data'!I19,'Fitting Data'!BM19))</f>
        <v/>
      </c>
      <c r="J26" s="344" t="str">
        <f>IF($A26="","",IF('Fitting Data'!$B19&lt;&gt;"Typical",'Fitting Data'!J19,'Fitting Data'!BN19))</f>
        <v/>
      </c>
      <c r="K26" s="344" t="str">
        <f>IF($A26="","",IF('Fitting Data'!$B19&lt;&gt;"Typical",'Fitting Data'!K19,'Fitting Data'!BO19))</f>
        <v/>
      </c>
      <c r="L26" s="344" t="str">
        <f>IF($A26="","",IF('Fitting Data'!$B19&lt;&gt;"Typical",'Fitting Data'!L19,'Fitting Data'!BP19))</f>
        <v/>
      </c>
      <c r="M26" s="344" t="str">
        <f>IF($A26="","",IF('Fitting Data'!$B19&lt;&gt;"Typical",'Fitting Data'!M19,'Fitting Data'!BQ19))</f>
        <v/>
      </c>
      <c r="N26" s="344" t="str">
        <f>IF($A26="","",IF('Fitting Data'!$B19&lt;&gt;"Typical",'Fitting Data'!N19,'Fitting Data'!BR19))</f>
        <v/>
      </c>
      <c r="O26" s="344" t="str">
        <f>IF($A26="","",IF('Fitting Data'!$B19&lt;&gt;"Typical",'Fitting Data'!O19,'Fitting Data'!BS19))</f>
        <v/>
      </c>
      <c r="P26" s="344" t="str">
        <f>IF($A26="","",IF('Fitting Data'!$B19&lt;&gt;"Typical",'Fitting Data'!P19,'Fitting Data'!BT19))</f>
        <v/>
      </c>
      <c r="Q26" s="344" t="str">
        <f>IF($A26="","",IF('Fitting Data'!$B19&lt;&gt;"Typical",'Fitting Data'!Q19,'Fitting Data'!BU19))</f>
        <v/>
      </c>
      <c r="R26" s="344" t="str">
        <f>IF($A26="","",IF('Fitting Data'!$B19&lt;&gt;"Typical",'Fitting Data'!R19,'Fitting Data'!BV19))</f>
        <v/>
      </c>
      <c r="S26" s="344" t="str">
        <f>IF($A26="","",IF('Fitting Data'!$B19&lt;&gt;"Typical",'Fitting Data'!S19,'Fitting Data'!BW19))</f>
        <v/>
      </c>
      <c r="T26" s="344" t="str">
        <f>IF($A26="","",IF('Fitting Data'!$B19&lt;&gt;"Typical",'Fitting Data'!T19,'Fitting Data'!BX19))</f>
        <v/>
      </c>
      <c r="U26" s="344" t="str">
        <f>IF($A26="","",IF('Fitting Data'!$B19&lt;&gt;"Typical",'Fitting Data'!U19,'Fitting Data'!BY19))</f>
        <v/>
      </c>
      <c r="V26" s="344" t="str">
        <f>IF($A26="","",IF('Fitting Data'!$B19&lt;&gt;"Typical",'Fitting Data'!V19,'Fitting Data'!BZ19))</f>
        <v/>
      </c>
      <c r="W26" s="344" t="str">
        <f>IF($A26="","",IF('Fitting Data'!$B19&lt;&gt;"Typical",'Fitting Data'!W19,'Fitting Data'!CA19))</f>
        <v/>
      </c>
      <c r="X26" s="344" t="str">
        <f>IF($A26="","",IF('Fitting Data'!$B19&lt;&gt;"Typical",'Fitting Data'!X19,'Fitting Data'!CB19))</f>
        <v/>
      </c>
      <c r="Y26" s="344" t="str">
        <f>IF($A26="","",IF('Fitting Data'!$B19&lt;&gt;"Typical",'Fitting Data'!Y19,'Fitting Data'!CC19))</f>
        <v/>
      </c>
      <c r="Z26" s="344" t="str">
        <f>IF($A26="","",IF('Fitting Data'!$B19&lt;&gt;"Typical",'Fitting Data'!Z19,'Fitting Data'!CD19))</f>
        <v/>
      </c>
      <c r="AA26" s="344" t="str">
        <f>IF($A26="","",IF('Fitting Data'!$B19&lt;&gt;"Typical",'Fitting Data'!AA19,'Fitting Data'!CE19))</f>
        <v/>
      </c>
      <c r="AB26" s="344" t="str">
        <f>IF($A26="","",IF('Fitting Data'!$B19&lt;&gt;"Typical",'Fitting Data'!AB19,'Fitting Data'!CF19))</f>
        <v/>
      </c>
      <c r="AC26" s="344" t="str">
        <f>IF($A26="","",IF('Fitting Data'!$B19&lt;&gt;"Typical",'Fitting Data'!AC19,'Fitting Data'!CG19))</f>
        <v/>
      </c>
      <c r="AD26" s="344" t="str">
        <f>IF($A26="","",IF('Fitting Data'!$B19&lt;&gt;"Typical",'Fitting Data'!AD19,'Fitting Data'!CH19))</f>
        <v/>
      </c>
      <c r="AE26" s="344" t="str">
        <f>IF($A26="","",IF('Fitting Data'!$B19&lt;&gt;"Typical",'Fitting Data'!AE19,'Fitting Data'!CI19))</f>
        <v/>
      </c>
      <c r="AF26" s="344" t="str">
        <f>IF($A26="","",IF('Fitting Data'!$B19&lt;&gt;"Typical",'Fitting Data'!AF19,'Fitting Data'!CJ19))</f>
        <v/>
      </c>
      <c r="AG26" s="344" t="str">
        <f>IF($A26="","",IF('Fitting Data'!$B19&lt;&gt;"Typical",'Fitting Data'!AG19,'Fitting Data'!CK19))</f>
        <v/>
      </c>
      <c r="AH26" s="344" t="str">
        <f>IF($A26="","",IF('Fitting Data'!$B19&lt;&gt;"Typical",'Fitting Data'!AH19,'Fitting Data'!CL19))</f>
        <v/>
      </c>
      <c r="AI26" s="344" t="str">
        <f>IF($A26="","",IF('Fitting Data'!$B19&lt;&gt;"Typical",'Fitting Data'!AI19,'Fitting Data'!CM19))</f>
        <v/>
      </c>
      <c r="AJ26" s="344" t="str">
        <f>IF($A26="","",IF('Fitting Data'!$B19&lt;&gt;"Typical",'Fitting Data'!AJ19,'Fitting Data'!CN19))</f>
        <v/>
      </c>
      <c r="AK26" s="344" t="str">
        <f>IF($A26="","",IF('Fitting Data'!$B19&lt;&gt;"Typical",'Fitting Data'!AK19,'Fitting Data'!CO19))</f>
        <v/>
      </c>
      <c r="AL26" s="344" t="str">
        <f>IF($A26="","",IF('Fitting Data'!$B19&lt;&gt;"Typical",'Fitting Data'!AL19,'Fitting Data'!CP19))</f>
        <v/>
      </c>
      <c r="AM26" s="344" t="str">
        <f>IF($A26="","",IF('Fitting Data'!$B19&lt;&gt;"Typical",'Fitting Data'!AM19,'Fitting Data'!CQ19))</f>
        <v/>
      </c>
      <c r="AN26" s="344" t="str">
        <f>IF($A26="","",IF('Fitting Data'!$B19&lt;&gt;"Typical",'Fitting Data'!AN19,'Fitting Data'!CR19))</f>
        <v/>
      </c>
      <c r="AO26" s="344" t="str">
        <f>IF($A26="","",IF('Fitting Data'!$B19&lt;&gt;"Typical",'Fitting Data'!AO19,'Fitting Data'!CS19))</f>
        <v/>
      </c>
      <c r="AP26" s="344" t="str">
        <f>IF($A26="","",IF('Fitting Data'!$B19&lt;&gt;"Typical",'Fitting Data'!AP19,'Fitting Data'!CT19))</f>
        <v/>
      </c>
      <c r="AQ26" s="344" t="str">
        <f>IF($A26="","",IF('Fitting Data'!$B19&lt;&gt;"Typical",'Fitting Data'!AQ19,'Fitting Data'!CU19))</f>
        <v/>
      </c>
      <c r="AR26" s="344" t="str">
        <f>IF($A26="","",IF('Fitting Data'!$B19&lt;&gt;"Typical",'Fitting Data'!AR19,'Fitting Data'!CV19))</f>
        <v/>
      </c>
      <c r="AS26" s="344" t="str">
        <f>IF($A26="","",IF('Fitting Data'!$B19&lt;&gt;"Typical",'Fitting Data'!AS19,'Fitting Data'!CW19))</f>
        <v/>
      </c>
      <c r="AT26" s="344" t="str">
        <f>IF($A26="","",IF('Fitting Data'!$B19&lt;&gt;"Typical",'Fitting Data'!AT19,'Fitting Data'!CX19))</f>
        <v/>
      </c>
      <c r="AU26" s="345" t="str">
        <f>IF($A26="","",IF($B26="EFR",'Met Data'!$H$23,0))</f>
        <v/>
      </c>
      <c r="AV26" s="346" t="str">
        <f t="shared" si="4"/>
        <v/>
      </c>
      <c r="AW26" s="347" t="str">
        <f>IF($A26="","",C26*(SUMIFS('Reference Tables'!$C$879:$C$925,'Reference Tables'!$A$879:$A$925,AW$18,'Reference Tables'!$B$879:$B$925,AW$19)+IF($B26="EFR",SUMIFS('Reference Tables'!$D$879:$D$925,'Reference Tables'!$A$879:$A$925,AW$18,'Reference Tables'!$B$879:$B$925,AW$19)*($AU26*$AV26)^(SUMIFS('Reference Tables'!$E$879:$E$925,'Reference Tables'!$A$879:$A$925,AW$18,'Reference Tables'!$B$879:$B$925,AW$19)),0)))</f>
        <v/>
      </c>
      <c r="AX26" s="347" t="str">
        <f>IF($A26="","",D26*(SUMIFS('Reference Tables'!$C$879:$C$925,'Reference Tables'!$A$879:$A$925,AX$18,'Reference Tables'!$B$879:$B$925,AX$19)+IF($B26="EFR",SUMIFS('Reference Tables'!$D$879:$D$925,'Reference Tables'!$A$879:$A$925,AX$18,'Reference Tables'!$B$879:$B$925,AX$19)*($AU26*$AV26)^(SUMIFS('Reference Tables'!$E$879:$E$925,'Reference Tables'!$A$879:$A$925,AX$18,'Reference Tables'!$B$879:$B$925,AX$19)),0)))</f>
        <v/>
      </c>
      <c r="AY26" s="347" t="str">
        <f>IF($A26="","",E26*(SUMIFS('Reference Tables'!$C$879:$C$925,'Reference Tables'!$A$879:$A$925,AY$18,'Reference Tables'!$B$879:$B$925,AY$19)+IF($B26="EFR",SUMIFS('Reference Tables'!$D$879:$D$925,'Reference Tables'!$A$879:$A$925,AY$18,'Reference Tables'!$B$879:$B$925,AY$19)*($AU26*$AV26)^(SUMIFS('Reference Tables'!$E$879:$E$925,'Reference Tables'!$A$879:$A$925,AY$18,'Reference Tables'!$B$879:$B$925,AY$19)),0)))</f>
        <v/>
      </c>
      <c r="AZ26" s="347" t="str">
        <f>IF($A26="","",F26*(SUMIFS('Reference Tables'!$C$879:$C$925,'Reference Tables'!$A$879:$A$925,AZ$18,'Reference Tables'!$B$879:$B$925,AZ$19)+IF($B26="EFR",SUMIFS('Reference Tables'!$D$879:$D$925,'Reference Tables'!$A$879:$A$925,AZ$18,'Reference Tables'!$B$879:$B$925,AZ$19)*($AU26*$AV26)^(SUMIFS('Reference Tables'!$E$879:$E$925,'Reference Tables'!$A$879:$A$925,AZ$18,'Reference Tables'!$B$879:$B$925,AZ$19)),0)))</f>
        <v/>
      </c>
      <c r="BA26" s="347" t="str">
        <f>IF($A26="","",G26*(SUMIFS('Reference Tables'!$C$879:$C$925,'Reference Tables'!$A$879:$A$925,BA$18,'Reference Tables'!$B$879:$B$925,BA$19)+IF($B26="EFR",SUMIFS('Reference Tables'!$D$879:$D$925,'Reference Tables'!$A$879:$A$925,BA$18,'Reference Tables'!$B$879:$B$925,BA$19)*($AU26*$AV26)^(SUMIFS('Reference Tables'!$E$879:$E$925,'Reference Tables'!$A$879:$A$925,BA$18,'Reference Tables'!$B$879:$B$925,BA$19)),0)))</f>
        <v/>
      </c>
      <c r="BB26" s="347" t="str">
        <f>IF($A26="","",H26*(SUMIFS('Reference Tables'!$C$879:$C$925,'Reference Tables'!$A$879:$A$925,BB$18,'Reference Tables'!$B$879:$B$925,BB$19)+IF($B26="EFR",SUMIFS('Reference Tables'!$D$879:$D$925,'Reference Tables'!$A$879:$A$925,BB$18,'Reference Tables'!$B$879:$B$925,BB$19)*($AU26*$AV26)^(SUMIFS('Reference Tables'!$E$879:$E$925,'Reference Tables'!$A$879:$A$925,BB$18,'Reference Tables'!$B$879:$B$925,BB$19)),0)))</f>
        <v/>
      </c>
      <c r="BC26" s="347" t="str">
        <f>IF($A26="","",I26*(SUMIFS('Reference Tables'!$C$879:$C$925,'Reference Tables'!$A$879:$A$925,BC$18,'Reference Tables'!$B$879:$B$925,BC$19)+IF($B26="EFR",SUMIFS('Reference Tables'!$D$879:$D$925,'Reference Tables'!$A$879:$A$925,BC$18,'Reference Tables'!$B$879:$B$925,BC$19)*($AU26*$AV26)^(SUMIFS('Reference Tables'!$E$879:$E$925,'Reference Tables'!$A$879:$A$925,BC$18,'Reference Tables'!$B$879:$B$925,BC$19)),0)))</f>
        <v/>
      </c>
      <c r="BD26" s="347" t="str">
        <f>IF($A26="","",J26*(SUMIFS('Reference Tables'!$C$879:$C$925,'Reference Tables'!$A$879:$A$925,BD$18,'Reference Tables'!$B$879:$B$925,BD$19)+IF($B26="EFR",SUMIFS('Reference Tables'!$D$879:$D$925,'Reference Tables'!$A$879:$A$925,BD$18,'Reference Tables'!$B$879:$B$925,BD$19)*($AU26*$AV26)^(SUMIFS('Reference Tables'!$E$879:$E$925,'Reference Tables'!$A$879:$A$925,BD$18,'Reference Tables'!$B$879:$B$925,BD$19)),0)))</f>
        <v/>
      </c>
      <c r="BE26" s="347" t="str">
        <f>IF($A26="","",K26*(SUMIFS('Reference Tables'!$C$879:$C$925,'Reference Tables'!$A$879:$A$925,BE$18,'Reference Tables'!$B$879:$B$925,BE$19)+IF($B26="EFR",SUMIFS('Reference Tables'!$D$879:$D$925,'Reference Tables'!$A$879:$A$925,BE$18,'Reference Tables'!$B$879:$B$925,BE$19)*($AU26*$AV26)^(SUMIFS('Reference Tables'!$E$879:$E$925,'Reference Tables'!$A$879:$A$925,BE$18,'Reference Tables'!$B$879:$B$925,BE$19)),0)))</f>
        <v/>
      </c>
      <c r="BF26" s="347" t="str">
        <f>IF($A26="","",L26*(SUMIFS('Reference Tables'!$C$879:$C$925,'Reference Tables'!$A$879:$A$925,BF$18,'Reference Tables'!$B$879:$B$925,BF$19)+IF($B26="EFR",SUMIFS('Reference Tables'!$D$879:$D$925,'Reference Tables'!$A$879:$A$925,BF$18,'Reference Tables'!$B$879:$B$925,BF$19)*($AU26*$AV26)^(SUMIFS('Reference Tables'!$E$879:$E$925,'Reference Tables'!$A$879:$A$925,BF$18,'Reference Tables'!$B$879:$B$925,BF$19)),0)))</f>
        <v/>
      </c>
      <c r="BG26" s="347" t="str">
        <f>IF($A26="","",M26*(SUMIFS('Reference Tables'!$C$879:$C$925,'Reference Tables'!$A$879:$A$925,BG$18,'Reference Tables'!$B$879:$B$925,BG$19)+IF($B26="EFR",SUMIFS('Reference Tables'!$D$879:$D$925,'Reference Tables'!$A$879:$A$925,BG$18,'Reference Tables'!$B$879:$B$925,BG$19)*($AU26*$AV26)^(SUMIFS('Reference Tables'!$E$879:$E$925,'Reference Tables'!$A$879:$A$925,BG$18,'Reference Tables'!$B$879:$B$925,BG$19)),0)))</f>
        <v/>
      </c>
      <c r="BH26" s="347" t="str">
        <f>IF($A26="","",N26*(SUMIFS('Reference Tables'!$C$879:$C$925,'Reference Tables'!$A$879:$A$925,BH$18,'Reference Tables'!$B$879:$B$925,BH$19)+IF($B26="EFR",SUMIFS('Reference Tables'!$D$879:$D$925,'Reference Tables'!$A$879:$A$925,BH$18,'Reference Tables'!$B$879:$B$925,BH$19)*($AU26*$AV26)^(SUMIFS('Reference Tables'!$E$879:$E$925,'Reference Tables'!$A$879:$A$925,BH$18,'Reference Tables'!$B$879:$B$925,BH$19)),0)))</f>
        <v/>
      </c>
      <c r="BI26" s="347" t="str">
        <f>IF($A26="","",O26*(SUMIFS('Reference Tables'!$C$879:$C$925,'Reference Tables'!$A$879:$A$925,BI$18,'Reference Tables'!$B$879:$B$925,BI$19)+IF($B26="EFR",SUMIFS('Reference Tables'!$D$879:$D$925,'Reference Tables'!$A$879:$A$925,BI$18,'Reference Tables'!$B$879:$B$925,BI$19)*($AU26*$AV26)^(SUMIFS('Reference Tables'!$E$879:$E$925,'Reference Tables'!$A$879:$A$925,BI$18,'Reference Tables'!$B$879:$B$925,BI$19)),0)))</f>
        <v/>
      </c>
      <c r="BJ26" s="347" t="str">
        <f>IF($A26="","",P26*(SUMIFS('Reference Tables'!$C$879:$C$925,'Reference Tables'!$A$879:$A$925,BJ$18,'Reference Tables'!$B$879:$B$925,BJ$19)+IF($B26="EFR",SUMIFS('Reference Tables'!$D$879:$D$925,'Reference Tables'!$A$879:$A$925,BJ$18,'Reference Tables'!$B$879:$B$925,BJ$19)*($AU26*$AV26)^(SUMIFS('Reference Tables'!$E$879:$E$925,'Reference Tables'!$A$879:$A$925,BJ$18,'Reference Tables'!$B$879:$B$925,BJ$19)),0)))</f>
        <v/>
      </c>
      <c r="BK26" s="347" t="str">
        <f>IF($A26="","",Q26*(SUMIFS('Reference Tables'!$C$879:$C$925,'Reference Tables'!$A$879:$A$925,BK$18,'Reference Tables'!$B$879:$B$925,BK$19)+IF($B26="EFR",SUMIFS('Reference Tables'!$D$879:$D$925,'Reference Tables'!$A$879:$A$925,BK$18,'Reference Tables'!$B$879:$B$925,BK$19)*($AU26*$AV26)^(SUMIFS('Reference Tables'!$E$879:$E$925,'Reference Tables'!$A$879:$A$925,BK$18,'Reference Tables'!$B$879:$B$925,BK$19)),0)))</f>
        <v/>
      </c>
      <c r="BL26" s="347" t="str">
        <f>IF($A26="","",R26*(SUMIFS('Reference Tables'!$C$879:$C$925,'Reference Tables'!$A$879:$A$925,BL$18,'Reference Tables'!$B$879:$B$925,BL$19)+IF($B26="EFR",SUMIFS('Reference Tables'!$D$879:$D$925,'Reference Tables'!$A$879:$A$925,BL$18,'Reference Tables'!$B$879:$B$925,BL$19)*($AU26*$AV26)^(SUMIFS('Reference Tables'!$E$879:$E$925,'Reference Tables'!$A$879:$A$925,BL$18,'Reference Tables'!$B$879:$B$925,BL$19)),0)))</f>
        <v/>
      </c>
      <c r="BM26" s="347" t="str">
        <f>IF($A26="","",S26*(SUMIFS('Reference Tables'!$C$879:$C$925,'Reference Tables'!$A$879:$A$925,BM$18,'Reference Tables'!$B$879:$B$925,BM$19)+IF($B26="EFR",SUMIFS('Reference Tables'!$D$879:$D$925,'Reference Tables'!$A$879:$A$925,BM$18,'Reference Tables'!$B$879:$B$925,BM$19)*($AU26*$AV26)^(SUMIFS('Reference Tables'!$E$879:$E$925,'Reference Tables'!$A$879:$A$925,BM$18,'Reference Tables'!$B$879:$B$925,BM$19)),0)))</f>
        <v/>
      </c>
      <c r="BN26" s="347" t="str">
        <f>IF($A26="","",T26*(SUMIFS('Reference Tables'!$C$879:$C$925,'Reference Tables'!$A$879:$A$925,BN$18,'Reference Tables'!$B$879:$B$925,BN$19)+IF($B26="EFR",SUMIFS('Reference Tables'!$D$879:$D$925,'Reference Tables'!$A$879:$A$925,BN$18,'Reference Tables'!$B$879:$B$925,BN$19)*($AU26*$AV26)^(SUMIFS('Reference Tables'!$E$879:$E$925,'Reference Tables'!$A$879:$A$925,BN$18,'Reference Tables'!$B$879:$B$925,BN$19)),0)))</f>
        <v/>
      </c>
      <c r="BO26" s="347" t="str">
        <f>IF($A26="","",U26*(SUMIFS('Reference Tables'!$C$879:$C$925,'Reference Tables'!$A$879:$A$925,BO$18,'Reference Tables'!$B$879:$B$925,BO$19)+IF($B26="EFR",SUMIFS('Reference Tables'!$D$879:$D$925,'Reference Tables'!$A$879:$A$925,BO$18,'Reference Tables'!$B$879:$B$925,BO$19)*($AU26*$AV26)^(SUMIFS('Reference Tables'!$E$879:$E$925,'Reference Tables'!$A$879:$A$925,BO$18,'Reference Tables'!$B$879:$B$925,BO$19)),0)))</f>
        <v/>
      </c>
      <c r="BP26" s="347" t="str">
        <f>IF($A26="","",V26*(SUMIFS('Reference Tables'!$C$879:$C$925,'Reference Tables'!$A$879:$A$925,BP$18,'Reference Tables'!$B$879:$B$925,BP$19)+IF($B26="EFR",SUMIFS('Reference Tables'!$D$879:$D$925,'Reference Tables'!$A$879:$A$925,BP$18,'Reference Tables'!$B$879:$B$925,BP$19)*($AU26*$AV26)^(SUMIFS('Reference Tables'!$E$879:$E$925,'Reference Tables'!$A$879:$A$925,BP$18,'Reference Tables'!$B$879:$B$925,BP$19)),0)))</f>
        <v/>
      </c>
      <c r="BQ26" s="347" t="str">
        <f>IF($A26="","",W26*(SUMIFS('Reference Tables'!$C$879:$C$925,'Reference Tables'!$A$879:$A$925,BQ$18,'Reference Tables'!$B$879:$B$925,BQ$19)+IF($B26="EFR",SUMIFS('Reference Tables'!$D$879:$D$925,'Reference Tables'!$A$879:$A$925,BQ$18,'Reference Tables'!$B$879:$B$925,BQ$19)*($AU26*$AV26)^(SUMIFS('Reference Tables'!$E$879:$E$925,'Reference Tables'!$A$879:$A$925,BQ$18,'Reference Tables'!$B$879:$B$925,BQ$19)),0)))</f>
        <v/>
      </c>
      <c r="BR26" s="347" t="str">
        <f>IF($A26="","",X26*(SUMIFS('Reference Tables'!$C$879:$C$925,'Reference Tables'!$A$879:$A$925,BR$18,'Reference Tables'!$B$879:$B$925,BR$19)+IF($B26="EFR",SUMIFS('Reference Tables'!$D$879:$D$925,'Reference Tables'!$A$879:$A$925,BR$18,'Reference Tables'!$B$879:$B$925,BR$19)*($AU26*$AV26)^(SUMIFS('Reference Tables'!$E$879:$E$925,'Reference Tables'!$A$879:$A$925,BR$18,'Reference Tables'!$B$879:$B$925,BR$19)),0)))</f>
        <v/>
      </c>
      <c r="BS26" s="347" t="str">
        <f>IF($A26="","",Y26*(SUMIFS('Reference Tables'!$C$879:$C$925,'Reference Tables'!$A$879:$A$925,BS$18,'Reference Tables'!$B$879:$B$925,BS$19)+IF($B26="EFR",SUMIFS('Reference Tables'!$D$879:$D$925,'Reference Tables'!$A$879:$A$925,BS$18,'Reference Tables'!$B$879:$B$925,BS$19)*($AU26*$AV26)^(SUMIFS('Reference Tables'!$E$879:$E$925,'Reference Tables'!$A$879:$A$925,BS$18,'Reference Tables'!$B$879:$B$925,BS$19)),0)))</f>
        <v/>
      </c>
      <c r="BT26" s="347" t="str">
        <f>IF($A26="","",Z26*(SUMIFS('Reference Tables'!$C$879:$C$925,'Reference Tables'!$A$879:$A$925,BT$18,'Reference Tables'!$B$879:$B$925,BT$19)+IF($B26="EFR",SUMIFS('Reference Tables'!$D$879:$D$925,'Reference Tables'!$A$879:$A$925,BT$18,'Reference Tables'!$B$879:$B$925,BT$19)*($AU26*$AV26)^(SUMIFS('Reference Tables'!$E$879:$E$925,'Reference Tables'!$A$879:$A$925,BT$18,'Reference Tables'!$B$879:$B$925,BT$19)),0)))</f>
        <v/>
      </c>
      <c r="BU26" s="347" t="str">
        <f>IF($A26="","",AA26*(SUMIFS('Reference Tables'!$C$879:$C$925,'Reference Tables'!$A$879:$A$925,BU$18,'Reference Tables'!$B$879:$B$925,BU$19)+IF($B26="EFR",SUMIFS('Reference Tables'!$D$879:$D$925,'Reference Tables'!$A$879:$A$925,BU$18,'Reference Tables'!$B$879:$B$925,BU$19)*($AU26*$AV26)^(SUMIFS('Reference Tables'!$E$879:$E$925,'Reference Tables'!$A$879:$A$925,BU$18,'Reference Tables'!$B$879:$B$925,BU$19)),0)))</f>
        <v/>
      </c>
      <c r="BV26" s="347" t="str">
        <f>IF($A26="","",AB26*(SUMIFS('Reference Tables'!$C$879:$C$925,'Reference Tables'!$A$879:$A$925,BV$18,'Reference Tables'!$B$879:$B$925,BV$19)+IF($B26="EFR",SUMIFS('Reference Tables'!$D$879:$D$925,'Reference Tables'!$A$879:$A$925,BV$18,'Reference Tables'!$B$879:$B$925,BV$19)*($AU26*$AV26)^(SUMIFS('Reference Tables'!$E$879:$E$925,'Reference Tables'!$A$879:$A$925,BV$18,'Reference Tables'!$B$879:$B$925,BV$19)),0)))</f>
        <v/>
      </c>
      <c r="BW26" s="347" t="str">
        <f>IF($A26="","",AC26*(SUMIFS('Reference Tables'!$C$879:$C$925,'Reference Tables'!$A$879:$A$925,BW$18,'Reference Tables'!$B$879:$B$925,BW$19)+IF($B26="EFR",SUMIFS('Reference Tables'!$D$879:$D$925,'Reference Tables'!$A$879:$A$925,BW$18,'Reference Tables'!$B$879:$B$925,BW$19)*($AU26*$AV26)^(SUMIFS('Reference Tables'!$E$879:$E$925,'Reference Tables'!$A$879:$A$925,BW$18,'Reference Tables'!$B$879:$B$925,BW$19)),0)))</f>
        <v/>
      </c>
      <c r="BX26" s="347" t="str">
        <f>IF($A26="","",AD26*(SUMIFS('Reference Tables'!$C$879:$C$925,'Reference Tables'!$A$879:$A$925,BX$18,'Reference Tables'!$B$879:$B$925,BX$19)+IF($B26="EFR",SUMIFS('Reference Tables'!$D$879:$D$925,'Reference Tables'!$A$879:$A$925,BX$18,'Reference Tables'!$B$879:$B$925,BX$19)*($AU26*$AV26)^(SUMIFS('Reference Tables'!$E$879:$E$925,'Reference Tables'!$A$879:$A$925,BX$18,'Reference Tables'!$B$879:$B$925,BX$19)),0)))</f>
        <v/>
      </c>
      <c r="BY26" s="347" t="str">
        <f>IF($A26="","",AE26*(SUMIFS('Reference Tables'!$C$879:$C$925,'Reference Tables'!$A$879:$A$925,BY$18,'Reference Tables'!$B$879:$B$925,BY$19)+IF($B26="EFR",SUMIFS('Reference Tables'!$D$879:$D$925,'Reference Tables'!$A$879:$A$925,BY$18,'Reference Tables'!$B$879:$B$925,BY$19)*($AU26*$AV26)^(SUMIFS('Reference Tables'!$E$879:$E$925,'Reference Tables'!$A$879:$A$925,BY$18,'Reference Tables'!$B$879:$B$925,BY$19)),0)))</f>
        <v/>
      </c>
      <c r="BZ26" s="347" t="str">
        <f>IF($A26="","",AF26*(SUMIFS('Reference Tables'!$C$879:$C$925,'Reference Tables'!$A$879:$A$925,BZ$18,'Reference Tables'!$B$879:$B$925,BZ$19)+IF($B26="EFR",SUMIFS('Reference Tables'!$D$879:$D$925,'Reference Tables'!$A$879:$A$925,BZ$18,'Reference Tables'!$B$879:$B$925,BZ$19)*($AU26*$AV26)^(SUMIFS('Reference Tables'!$E$879:$E$925,'Reference Tables'!$A$879:$A$925,BZ$18,'Reference Tables'!$B$879:$B$925,BZ$19)),0)))</f>
        <v/>
      </c>
      <c r="CA26" s="347" t="str">
        <f>IF($A26="","",AG26*(SUMIFS('Reference Tables'!$C$879:$C$925,'Reference Tables'!$A$879:$A$925,CA$18,'Reference Tables'!$B$879:$B$925,CA$19)+IF($B26="EFR",SUMIFS('Reference Tables'!$D$879:$D$925,'Reference Tables'!$A$879:$A$925,CA$18,'Reference Tables'!$B$879:$B$925,CA$19)*($AU26*$AV26)^(SUMIFS('Reference Tables'!$E$879:$E$925,'Reference Tables'!$A$879:$A$925,CA$18,'Reference Tables'!$B$879:$B$925,CA$19)),0)))</f>
        <v/>
      </c>
      <c r="CB26" s="347" t="str">
        <f>IF($A26="","",AH26*(SUMIFS('Reference Tables'!$C$879:$C$925,'Reference Tables'!$A$879:$A$925,CB$18,'Reference Tables'!$B$879:$B$925,CB$19)+IF($B26="EFR",SUMIFS('Reference Tables'!$D$879:$D$925,'Reference Tables'!$A$879:$A$925,CB$18,'Reference Tables'!$B$879:$B$925,CB$19)*($AU26*$AV26)^(SUMIFS('Reference Tables'!$E$879:$E$925,'Reference Tables'!$A$879:$A$925,CB$18,'Reference Tables'!$B$879:$B$925,CB$19)),0)))</f>
        <v/>
      </c>
      <c r="CC26" s="347" t="str">
        <f>IF($A26="","",AI26*(SUMIFS('Reference Tables'!$C$879:$C$925,'Reference Tables'!$A$879:$A$925,CC$18,'Reference Tables'!$B$879:$B$925,CC$19)+IF($B26="EFR",SUMIFS('Reference Tables'!$D$879:$D$925,'Reference Tables'!$A$879:$A$925,CC$18,'Reference Tables'!$B$879:$B$925,CC$19)*($AU26*$AV26)^(SUMIFS('Reference Tables'!$E$879:$E$925,'Reference Tables'!$A$879:$A$925,CC$18,'Reference Tables'!$B$879:$B$925,CC$19)),0)))</f>
        <v/>
      </c>
      <c r="CD26" s="347" t="str">
        <f>IF($A26="","",AJ26*(SUMIFS('Reference Tables'!$C$879:$C$925,'Reference Tables'!$A$879:$A$925,CD$18,'Reference Tables'!$B$879:$B$925,CD$19)+IF($B26="EFR",SUMIFS('Reference Tables'!$D$879:$D$925,'Reference Tables'!$A$879:$A$925,CD$18,'Reference Tables'!$B$879:$B$925,CD$19)*($AU26*$AV26)^(SUMIFS('Reference Tables'!$E$879:$E$925,'Reference Tables'!$A$879:$A$925,CD$18,'Reference Tables'!$B$879:$B$925,CD$19)),0)))</f>
        <v/>
      </c>
      <c r="CE26" s="347" t="str">
        <f>IF($A26="","",AK26*(SUMIFS('Reference Tables'!$C$879:$C$925,'Reference Tables'!$A$879:$A$925,CE$18,'Reference Tables'!$B$879:$B$925,CE$19)+IF($B26="EFR",SUMIFS('Reference Tables'!$D$879:$D$925,'Reference Tables'!$A$879:$A$925,CE$18,'Reference Tables'!$B$879:$B$925,CE$19)*($AU26*$AV26)^(SUMIFS('Reference Tables'!$E$879:$E$925,'Reference Tables'!$A$879:$A$925,CE$18,'Reference Tables'!$B$879:$B$925,CE$19)),0)))</f>
        <v/>
      </c>
      <c r="CF26" s="347" t="str">
        <f>IF($A26="","",AL26*(SUMIFS('Reference Tables'!$C$879:$C$925,'Reference Tables'!$A$879:$A$925,CF$18,'Reference Tables'!$B$879:$B$925,CF$19)+IF($B26="EFR",SUMIFS('Reference Tables'!$D$879:$D$925,'Reference Tables'!$A$879:$A$925,CF$18,'Reference Tables'!$B$879:$B$925,CF$19)*($AU26*$AV26)^(SUMIFS('Reference Tables'!$E$879:$E$925,'Reference Tables'!$A$879:$A$925,CF$18,'Reference Tables'!$B$879:$B$925,CF$19)),0)))</f>
        <v/>
      </c>
      <c r="CG26" s="347" t="str">
        <f>IF($A26="","",AM26*(SUMIFS('Reference Tables'!$C$879:$C$925,'Reference Tables'!$A$879:$A$925,CG$18,'Reference Tables'!$B$879:$B$925,CG$19)+IF($B26="EFR",SUMIFS('Reference Tables'!$D$879:$D$925,'Reference Tables'!$A$879:$A$925,CG$18,'Reference Tables'!$B$879:$B$925,CG$19)*($AU26*$AV26)^(SUMIFS('Reference Tables'!$E$879:$E$925,'Reference Tables'!$A$879:$A$925,CG$18,'Reference Tables'!$B$879:$B$925,CG$19)),0)))</f>
        <v/>
      </c>
      <c r="CH26" s="347" t="str">
        <f>IF($A26="","",AN26*(SUMIFS('Reference Tables'!$C$879:$C$925,'Reference Tables'!$A$879:$A$925,CH$18,'Reference Tables'!$B$879:$B$925,CH$19)+IF($B26="EFR",SUMIFS('Reference Tables'!$D$879:$D$925,'Reference Tables'!$A$879:$A$925,CH$18,'Reference Tables'!$B$879:$B$925,CH$19)*($AU26*$AV26)^(SUMIFS('Reference Tables'!$E$879:$E$925,'Reference Tables'!$A$879:$A$925,CH$18,'Reference Tables'!$B$879:$B$925,CH$19)),0)))</f>
        <v/>
      </c>
      <c r="CI26" s="347" t="str">
        <f>IF($A26="","",AO26*(SUMIFS('Reference Tables'!$C$879:$C$925,'Reference Tables'!$A$879:$A$925,CI$18,'Reference Tables'!$B$879:$B$925,CI$19)+IF($B26="EFR",SUMIFS('Reference Tables'!$D$879:$D$925,'Reference Tables'!$A$879:$A$925,CI$18,'Reference Tables'!$B$879:$B$925,CI$19)*($AU26*$AV26)^(SUMIFS('Reference Tables'!$E$879:$E$925,'Reference Tables'!$A$879:$A$925,CI$18,'Reference Tables'!$B$879:$B$925,CI$19)),0)))</f>
        <v/>
      </c>
      <c r="CJ26" s="347" t="str">
        <f>IF($A26="","",AP26*(SUMIFS('Reference Tables'!$C$879:$C$925,'Reference Tables'!$A$879:$A$925,CJ$18,'Reference Tables'!$B$879:$B$925,CJ$19)+IF($B26="EFR",SUMIFS('Reference Tables'!$D$879:$D$925,'Reference Tables'!$A$879:$A$925,CJ$18,'Reference Tables'!$B$879:$B$925,CJ$19)*($AU26*$AV26)^(SUMIFS('Reference Tables'!$E$879:$E$925,'Reference Tables'!$A$879:$A$925,CJ$18,'Reference Tables'!$B$879:$B$925,CJ$19)),0)))</f>
        <v/>
      </c>
      <c r="CK26" s="347" t="str">
        <f>IF($A26="","",AQ26*(SUMIFS('Reference Tables'!$C$879:$C$925,'Reference Tables'!$A$879:$A$925,CK$18,'Reference Tables'!$B$879:$B$925,CK$19)+IF($B26="EFR",SUMIFS('Reference Tables'!$D$879:$D$925,'Reference Tables'!$A$879:$A$925,CK$18,'Reference Tables'!$B$879:$B$925,CK$19)*($AU26*$AV26)^(SUMIFS('Reference Tables'!$E$879:$E$925,'Reference Tables'!$A$879:$A$925,CK$18,'Reference Tables'!$B$879:$B$925,CK$19)),0)))</f>
        <v/>
      </c>
      <c r="CL26" s="347" t="str">
        <f>IF($A26="","",AR26*(SUMIFS('Reference Tables'!$C$879:$C$925,'Reference Tables'!$A$879:$A$925,CL$18,'Reference Tables'!$B$879:$B$925,CL$19)+IF($B26="EFR",SUMIFS('Reference Tables'!$D$879:$D$925,'Reference Tables'!$A$879:$A$925,CL$18,'Reference Tables'!$B$879:$B$925,CL$19)*($AU26*$AV26)^(SUMIFS('Reference Tables'!$E$879:$E$925,'Reference Tables'!$A$879:$A$925,CL$18,'Reference Tables'!$B$879:$B$925,CL$19)),0)))</f>
        <v/>
      </c>
      <c r="CM26" s="347" t="str">
        <f>IF($A26="","",AS26*(SUMIFS('Reference Tables'!$C$879:$C$925,'Reference Tables'!$A$879:$A$925,CM$18,'Reference Tables'!$B$879:$B$925,CM$19)+IF($B26="EFR",SUMIFS('Reference Tables'!$D$879:$D$925,'Reference Tables'!$A$879:$A$925,CM$18,'Reference Tables'!$B$879:$B$925,CM$19)*($AU26*$AV26)^(SUMIFS('Reference Tables'!$E$879:$E$925,'Reference Tables'!$A$879:$A$925,CM$18,'Reference Tables'!$B$879:$B$925,CM$19)),0)))</f>
        <v/>
      </c>
      <c r="CN26" s="347" t="str">
        <f>IF($A26="","",AT26*(SUMIFS('Reference Tables'!$C$879:$C$925,'Reference Tables'!$A$879:$A$925,CN$18,'Reference Tables'!$B$879:$B$925,CN$19)+IF($B26="EFR",SUMIFS('Reference Tables'!$D$879:$D$925,'Reference Tables'!$A$879:$A$925,CN$18,'Reference Tables'!$B$879:$B$925,CN$19)*($AU26*$AV26)^(SUMIFS('Reference Tables'!$E$879:$E$925,'Reference Tables'!$A$879:$A$925,CN$18,'Reference Tables'!$B$879:$B$925,CN$19)),0)))</f>
        <v/>
      </c>
      <c r="CO26" s="347" t="str">
        <f t="shared" si="5"/>
        <v/>
      </c>
      <c r="CU26" s="250"/>
      <c r="CV26" s="250"/>
      <c r="CW26" s="250"/>
      <c r="CX26" s="250"/>
      <c r="CY26" s="250"/>
      <c r="CZ26" s="250"/>
      <c r="DA26" s="250"/>
      <c r="DB26" s="250"/>
      <c r="DC26" s="250"/>
      <c r="DD26" s="250"/>
      <c r="DE26" s="250"/>
      <c r="DF26" s="250"/>
      <c r="DG26" s="250"/>
      <c r="DH26" s="250"/>
      <c r="DI26" s="250"/>
      <c r="DJ26" s="250"/>
      <c r="DK26" s="250"/>
      <c r="DL26" s="250"/>
      <c r="DM26" s="250"/>
      <c r="DN26" s="250"/>
      <c r="DO26" s="250"/>
      <c r="DP26" s="250"/>
      <c r="DQ26" s="250"/>
      <c r="DR26" s="250"/>
      <c r="DS26" s="250"/>
      <c r="DT26" s="250"/>
      <c r="DU26" s="250"/>
      <c r="DV26" s="250"/>
      <c r="DW26" s="250"/>
      <c r="DX26" s="250"/>
      <c r="DY26" s="250"/>
      <c r="DZ26" s="250"/>
      <c r="EA26" s="250"/>
      <c r="EB26" s="250"/>
      <c r="EC26" s="250"/>
      <c r="ED26" s="250"/>
      <c r="EE26" s="250"/>
      <c r="EF26" s="250"/>
      <c r="EG26" s="250"/>
      <c r="EH26" s="250"/>
      <c r="EI26" s="250"/>
      <c r="EJ26" s="250"/>
      <c r="EK26" s="250"/>
      <c r="EL26" s="250"/>
      <c r="EM26" s="250"/>
    </row>
    <row r="27" spans="1:143">
      <c r="A27" s="342" t="str">
        <f>IF('Fitting Data'!A20&lt;&gt;"",'Fitting Data'!A20,"")</f>
        <v/>
      </c>
      <c r="B27" s="343" t="str">
        <f>IF($A27="","",INDEX('Tank Data'!$1:$1048576,MATCH($A27,'Tank Data'!$A:$A,0),MATCH(B$17,'Tank Data'!$9:$9,0)))</f>
        <v/>
      </c>
      <c r="C27" s="344" t="str">
        <f>IF($A27="","",IF('Fitting Data'!$B20&lt;&gt;"Typical",'Fitting Data'!C20,'Fitting Data'!BG20))</f>
        <v/>
      </c>
      <c r="D27" s="344" t="str">
        <f>IF($A27="","",IF('Fitting Data'!$B20&lt;&gt;"Typical",'Fitting Data'!D20,'Fitting Data'!BH20))</f>
        <v/>
      </c>
      <c r="E27" s="344" t="str">
        <f>IF($A27="","",IF('Fitting Data'!$B20&lt;&gt;"Typical",'Fitting Data'!E20,'Fitting Data'!BI20))</f>
        <v/>
      </c>
      <c r="F27" s="344" t="str">
        <f>IF($A27="","",IF('Fitting Data'!$B20&lt;&gt;"Typical",'Fitting Data'!F20,'Fitting Data'!BJ20))</f>
        <v/>
      </c>
      <c r="G27" s="344" t="str">
        <f>IF($A27="","",IF('Fitting Data'!$B20&lt;&gt;"Typical",'Fitting Data'!G20,'Fitting Data'!BK20))</f>
        <v/>
      </c>
      <c r="H27" s="344" t="str">
        <f>IF($A27="","",IF('Fitting Data'!$B20&lt;&gt;"Typical",'Fitting Data'!H20,'Fitting Data'!BL20))</f>
        <v/>
      </c>
      <c r="I27" s="344" t="str">
        <f>IF($A27="","",IF('Fitting Data'!$B20&lt;&gt;"Typical",'Fitting Data'!I20,'Fitting Data'!BM20))</f>
        <v/>
      </c>
      <c r="J27" s="344" t="str">
        <f>IF($A27="","",IF('Fitting Data'!$B20&lt;&gt;"Typical",'Fitting Data'!J20,'Fitting Data'!BN20))</f>
        <v/>
      </c>
      <c r="K27" s="344" t="str">
        <f>IF($A27="","",IF('Fitting Data'!$B20&lt;&gt;"Typical",'Fitting Data'!K20,'Fitting Data'!BO20))</f>
        <v/>
      </c>
      <c r="L27" s="344" t="str">
        <f>IF($A27="","",IF('Fitting Data'!$B20&lt;&gt;"Typical",'Fitting Data'!L20,'Fitting Data'!BP20))</f>
        <v/>
      </c>
      <c r="M27" s="344" t="str">
        <f>IF($A27="","",IF('Fitting Data'!$B20&lt;&gt;"Typical",'Fitting Data'!M20,'Fitting Data'!BQ20))</f>
        <v/>
      </c>
      <c r="N27" s="344" t="str">
        <f>IF($A27="","",IF('Fitting Data'!$B20&lt;&gt;"Typical",'Fitting Data'!N20,'Fitting Data'!BR20))</f>
        <v/>
      </c>
      <c r="O27" s="344" t="str">
        <f>IF($A27="","",IF('Fitting Data'!$B20&lt;&gt;"Typical",'Fitting Data'!O20,'Fitting Data'!BS20))</f>
        <v/>
      </c>
      <c r="P27" s="344" t="str">
        <f>IF($A27="","",IF('Fitting Data'!$B20&lt;&gt;"Typical",'Fitting Data'!P20,'Fitting Data'!BT20))</f>
        <v/>
      </c>
      <c r="Q27" s="344" t="str">
        <f>IF($A27="","",IF('Fitting Data'!$B20&lt;&gt;"Typical",'Fitting Data'!Q20,'Fitting Data'!BU20))</f>
        <v/>
      </c>
      <c r="R27" s="344" t="str">
        <f>IF($A27="","",IF('Fitting Data'!$B20&lt;&gt;"Typical",'Fitting Data'!R20,'Fitting Data'!BV20))</f>
        <v/>
      </c>
      <c r="S27" s="344" t="str">
        <f>IF($A27="","",IF('Fitting Data'!$B20&lt;&gt;"Typical",'Fitting Data'!S20,'Fitting Data'!BW20))</f>
        <v/>
      </c>
      <c r="T27" s="344" t="str">
        <f>IF($A27="","",IF('Fitting Data'!$B20&lt;&gt;"Typical",'Fitting Data'!T20,'Fitting Data'!BX20))</f>
        <v/>
      </c>
      <c r="U27" s="344" t="str">
        <f>IF($A27="","",IF('Fitting Data'!$B20&lt;&gt;"Typical",'Fitting Data'!U20,'Fitting Data'!BY20))</f>
        <v/>
      </c>
      <c r="V27" s="344" t="str">
        <f>IF($A27="","",IF('Fitting Data'!$B20&lt;&gt;"Typical",'Fitting Data'!V20,'Fitting Data'!BZ20))</f>
        <v/>
      </c>
      <c r="W27" s="344" t="str">
        <f>IF($A27="","",IF('Fitting Data'!$B20&lt;&gt;"Typical",'Fitting Data'!W20,'Fitting Data'!CA20))</f>
        <v/>
      </c>
      <c r="X27" s="344" t="str">
        <f>IF($A27="","",IF('Fitting Data'!$B20&lt;&gt;"Typical",'Fitting Data'!X20,'Fitting Data'!CB20))</f>
        <v/>
      </c>
      <c r="Y27" s="344" t="str">
        <f>IF($A27="","",IF('Fitting Data'!$B20&lt;&gt;"Typical",'Fitting Data'!Y20,'Fitting Data'!CC20))</f>
        <v/>
      </c>
      <c r="Z27" s="344" t="str">
        <f>IF($A27="","",IF('Fitting Data'!$B20&lt;&gt;"Typical",'Fitting Data'!Z20,'Fitting Data'!CD20))</f>
        <v/>
      </c>
      <c r="AA27" s="344" t="str">
        <f>IF($A27="","",IF('Fitting Data'!$B20&lt;&gt;"Typical",'Fitting Data'!AA20,'Fitting Data'!CE20))</f>
        <v/>
      </c>
      <c r="AB27" s="344" t="str">
        <f>IF($A27="","",IF('Fitting Data'!$B20&lt;&gt;"Typical",'Fitting Data'!AB20,'Fitting Data'!CF20))</f>
        <v/>
      </c>
      <c r="AC27" s="344" t="str">
        <f>IF($A27="","",IF('Fitting Data'!$B20&lt;&gt;"Typical",'Fitting Data'!AC20,'Fitting Data'!CG20))</f>
        <v/>
      </c>
      <c r="AD27" s="344" t="str">
        <f>IF($A27="","",IF('Fitting Data'!$B20&lt;&gt;"Typical",'Fitting Data'!AD20,'Fitting Data'!CH20))</f>
        <v/>
      </c>
      <c r="AE27" s="344" t="str">
        <f>IF($A27="","",IF('Fitting Data'!$B20&lt;&gt;"Typical",'Fitting Data'!AE20,'Fitting Data'!CI20))</f>
        <v/>
      </c>
      <c r="AF27" s="344" t="str">
        <f>IF($A27="","",IF('Fitting Data'!$B20&lt;&gt;"Typical",'Fitting Data'!AF20,'Fitting Data'!CJ20))</f>
        <v/>
      </c>
      <c r="AG27" s="344" t="str">
        <f>IF($A27="","",IF('Fitting Data'!$B20&lt;&gt;"Typical",'Fitting Data'!AG20,'Fitting Data'!CK20))</f>
        <v/>
      </c>
      <c r="AH27" s="344" t="str">
        <f>IF($A27="","",IF('Fitting Data'!$B20&lt;&gt;"Typical",'Fitting Data'!AH20,'Fitting Data'!CL20))</f>
        <v/>
      </c>
      <c r="AI27" s="344" t="str">
        <f>IF($A27="","",IF('Fitting Data'!$B20&lt;&gt;"Typical",'Fitting Data'!AI20,'Fitting Data'!CM20))</f>
        <v/>
      </c>
      <c r="AJ27" s="344" t="str">
        <f>IF($A27="","",IF('Fitting Data'!$B20&lt;&gt;"Typical",'Fitting Data'!AJ20,'Fitting Data'!CN20))</f>
        <v/>
      </c>
      <c r="AK27" s="344" t="str">
        <f>IF($A27="","",IF('Fitting Data'!$B20&lt;&gt;"Typical",'Fitting Data'!AK20,'Fitting Data'!CO20))</f>
        <v/>
      </c>
      <c r="AL27" s="344" t="str">
        <f>IF($A27="","",IF('Fitting Data'!$B20&lt;&gt;"Typical",'Fitting Data'!AL20,'Fitting Data'!CP20))</f>
        <v/>
      </c>
      <c r="AM27" s="344" t="str">
        <f>IF($A27="","",IF('Fitting Data'!$B20&lt;&gt;"Typical",'Fitting Data'!AM20,'Fitting Data'!CQ20))</f>
        <v/>
      </c>
      <c r="AN27" s="344" t="str">
        <f>IF($A27="","",IF('Fitting Data'!$B20&lt;&gt;"Typical",'Fitting Data'!AN20,'Fitting Data'!CR20))</f>
        <v/>
      </c>
      <c r="AO27" s="344" t="str">
        <f>IF($A27="","",IF('Fitting Data'!$B20&lt;&gt;"Typical",'Fitting Data'!AO20,'Fitting Data'!CS20))</f>
        <v/>
      </c>
      <c r="AP27" s="344" t="str">
        <f>IF($A27="","",IF('Fitting Data'!$B20&lt;&gt;"Typical",'Fitting Data'!AP20,'Fitting Data'!CT20))</f>
        <v/>
      </c>
      <c r="AQ27" s="344" t="str">
        <f>IF($A27="","",IF('Fitting Data'!$B20&lt;&gt;"Typical",'Fitting Data'!AQ20,'Fitting Data'!CU20))</f>
        <v/>
      </c>
      <c r="AR27" s="344" t="str">
        <f>IF($A27="","",IF('Fitting Data'!$B20&lt;&gt;"Typical",'Fitting Data'!AR20,'Fitting Data'!CV20))</f>
        <v/>
      </c>
      <c r="AS27" s="344" t="str">
        <f>IF($A27="","",IF('Fitting Data'!$B20&lt;&gt;"Typical",'Fitting Data'!AS20,'Fitting Data'!CW20))</f>
        <v/>
      </c>
      <c r="AT27" s="344" t="str">
        <f>IF($A27="","",IF('Fitting Data'!$B20&lt;&gt;"Typical",'Fitting Data'!AT20,'Fitting Data'!CX20))</f>
        <v/>
      </c>
      <c r="AU27" s="345" t="str">
        <f>IF($A27="","",IF($B27="EFR",'Met Data'!$H$23,0))</f>
        <v/>
      </c>
      <c r="AV27" s="346" t="str">
        <f t="shared" si="4"/>
        <v/>
      </c>
      <c r="AW27" s="347" t="str">
        <f>IF($A27="","",C27*(SUMIFS('Reference Tables'!$C$879:$C$925,'Reference Tables'!$A$879:$A$925,AW$18,'Reference Tables'!$B$879:$B$925,AW$19)+IF($B27="EFR",SUMIFS('Reference Tables'!$D$879:$D$925,'Reference Tables'!$A$879:$A$925,AW$18,'Reference Tables'!$B$879:$B$925,AW$19)*($AU27*$AV27)^(SUMIFS('Reference Tables'!$E$879:$E$925,'Reference Tables'!$A$879:$A$925,AW$18,'Reference Tables'!$B$879:$B$925,AW$19)),0)))</f>
        <v/>
      </c>
      <c r="AX27" s="347" t="str">
        <f>IF($A27="","",D27*(SUMIFS('Reference Tables'!$C$879:$C$925,'Reference Tables'!$A$879:$A$925,AX$18,'Reference Tables'!$B$879:$B$925,AX$19)+IF($B27="EFR",SUMIFS('Reference Tables'!$D$879:$D$925,'Reference Tables'!$A$879:$A$925,AX$18,'Reference Tables'!$B$879:$B$925,AX$19)*($AU27*$AV27)^(SUMIFS('Reference Tables'!$E$879:$E$925,'Reference Tables'!$A$879:$A$925,AX$18,'Reference Tables'!$B$879:$B$925,AX$19)),0)))</f>
        <v/>
      </c>
      <c r="AY27" s="347" t="str">
        <f>IF($A27="","",E27*(SUMIFS('Reference Tables'!$C$879:$C$925,'Reference Tables'!$A$879:$A$925,AY$18,'Reference Tables'!$B$879:$B$925,AY$19)+IF($B27="EFR",SUMIFS('Reference Tables'!$D$879:$D$925,'Reference Tables'!$A$879:$A$925,AY$18,'Reference Tables'!$B$879:$B$925,AY$19)*($AU27*$AV27)^(SUMIFS('Reference Tables'!$E$879:$E$925,'Reference Tables'!$A$879:$A$925,AY$18,'Reference Tables'!$B$879:$B$925,AY$19)),0)))</f>
        <v/>
      </c>
      <c r="AZ27" s="347" t="str">
        <f>IF($A27="","",F27*(SUMIFS('Reference Tables'!$C$879:$C$925,'Reference Tables'!$A$879:$A$925,AZ$18,'Reference Tables'!$B$879:$B$925,AZ$19)+IF($B27="EFR",SUMIFS('Reference Tables'!$D$879:$D$925,'Reference Tables'!$A$879:$A$925,AZ$18,'Reference Tables'!$B$879:$B$925,AZ$19)*($AU27*$AV27)^(SUMIFS('Reference Tables'!$E$879:$E$925,'Reference Tables'!$A$879:$A$925,AZ$18,'Reference Tables'!$B$879:$B$925,AZ$19)),0)))</f>
        <v/>
      </c>
      <c r="BA27" s="347" t="str">
        <f>IF($A27="","",G27*(SUMIFS('Reference Tables'!$C$879:$C$925,'Reference Tables'!$A$879:$A$925,BA$18,'Reference Tables'!$B$879:$B$925,BA$19)+IF($B27="EFR",SUMIFS('Reference Tables'!$D$879:$D$925,'Reference Tables'!$A$879:$A$925,BA$18,'Reference Tables'!$B$879:$B$925,BA$19)*($AU27*$AV27)^(SUMIFS('Reference Tables'!$E$879:$E$925,'Reference Tables'!$A$879:$A$925,BA$18,'Reference Tables'!$B$879:$B$925,BA$19)),0)))</f>
        <v/>
      </c>
      <c r="BB27" s="347" t="str">
        <f>IF($A27="","",H27*(SUMIFS('Reference Tables'!$C$879:$C$925,'Reference Tables'!$A$879:$A$925,BB$18,'Reference Tables'!$B$879:$B$925,BB$19)+IF($B27="EFR",SUMIFS('Reference Tables'!$D$879:$D$925,'Reference Tables'!$A$879:$A$925,BB$18,'Reference Tables'!$B$879:$B$925,BB$19)*($AU27*$AV27)^(SUMIFS('Reference Tables'!$E$879:$E$925,'Reference Tables'!$A$879:$A$925,BB$18,'Reference Tables'!$B$879:$B$925,BB$19)),0)))</f>
        <v/>
      </c>
      <c r="BC27" s="347" t="str">
        <f>IF($A27="","",I27*(SUMIFS('Reference Tables'!$C$879:$C$925,'Reference Tables'!$A$879:$A$925,BC$18,'Reference Tables'!$B$879:$B$925,BC$19)+IF($B27="EFR",SUMIFS('Reference Tables'!$D$879:$D$925,'Reference Tables'!$A$879:$A$925,BC$18,'Reference Tables'!$B$879:$B$925,BC$19)*($AU27*$AV27)^(SUMIFS('Reference Tables'!$E$879:$E$925,'Reference Tables'!$A$879:$A$925,BC$18,'Reference Tables'!$B$879:$B$925,BC$19)),0)))</f>
        <v/>
      </c>
      <c r="BD27" s="347" t="str">
        <f>IF($A27="","",J27*(SUMIFS('Reference Tables'!$C$879:$C$925,'Reference Tables'!$A$879:$A$925,BD$18,'Reference Tables'!$B$879:$B$925,BD$19)+IF($B27="EFR",SUMIFS('Reference Tables'!$D$879:$D$925,'Reference Tables'!$A$879:$A$925,BD$18,'Reference Tables'!$B$879:$B$925,BD$19)*($AU27*$AV27)^(SUMIFS('Reference Tables'!$E$879:$E$925,'Reference Tables'!$A$879:$A$925,BD$18,'Reference Tables'!$B$879:$B$925,BD$19)),0)))</f>
        <v/>
      </c>
      <c r="BE27" s="347" t="str">
        <f>IF($A27="","",K27*(SUMIFS('Reference Tables'!$C$879:$C$925,'Reference Tables'!$A$879:$A$925,BE$18,'Reference Tables'!$B$879:$B$925,BE$19)+IF($B27="EFR",SUMIFS('Reference Tables'!$D$879:$D$925,'Reference Tables'!$A$879:$A$925,BE$18,'Reference Tables'!$B$879:$B$925,BE$19)*($AU27*$AV27)^(SUMIFS('Reference Tables'!$E$879:$E$925,'Reference Tables'!$A$879:$A$925,BE$18,'Reference Tables'!$B$879:$B$925,BE$19)),0)))</f>
        <v/>
      </c>
      <c r="BF27" s="347" t="str">
        <f>IF($A27="","",L27*(SUMIFS('Reference Tables'!$C$879:$C$925,'Reference Tables'!$A$879:$A$925,BF$18,'Reference Tables'!$B$879:$B$925,BF$19)+IF($B27="EFR",SUMIFS('Reference Tables'!$D$879:$D$925,'Reference Tables'!$A$879:$A$925,BF$18,'Reference Tables'!$B$879:$B$925,BF$19)*($AU27*$AV27)^(SUMIFS('Reference Tables'!$E$879:$E$925,'Reference Tables'!$A$879:$A$925,BF$18,'Reference Tables'!$B$879:$B$925,BF$19)),0)))</f>
        <v/>
      </c>
      <c r="BG27" s="347" t="str">
        <f>IF($A27="","",M27*(SUMIFS('Reference Tables'!$C$879:$C$925,'Reference Tables'!$A$879:$A$925,BG$18,'Reference Tables'!$B$879:$B$925,BG$19)+IF($B27="EFR",SUMIFS('Reference Tables'!$D$879:$D$925,'Reference Tables'!$A$879:$A$925,BG$18,'Reference Tables'!$B$879:$B$925,BG$19)*($AU27*$AV27)^(SUMIFS('Reference Tables'!$E$879:$E$925,'Reference Tables'!$A$879:$A$925,BG$18,'Reference Tables'!$B$879:$B$925,BG$19)),0)))</f>
        <v/>
      </c>
      <c r="BH27" s="347" t="str">
        <f>IF($A27="","",N27*(SUMIFS('Reference Tables'!$C$879:$C$925,'Reference Tables'!$A$879:$A$925,BH$18,'Reference Tables'!$B$879:$B$925,BH$19)+IF($B27="EFR",SUMIFS('Reference Tables'!$D$879:$D$925,'Reference Tables'!$A$879:$A$925,BH$18,'Reference Tables'!$B$879:$B$925,BH$19)*($AU27*$AV27)^(SUMIFS('Reference Tables'!$E$879:$E$925,'Reference Tables'!$A$879:$A$925,BH$18,'Reference Tables'!$B$879:$B$925,BH$19)),0)))</f>
        <v/>
      </c>
      <c r="BI27" s="347" t="str">
        <f>IF($A27="","",O27*(SUMIFS('Reference Tables'!$C$879:$C$925,'Reference Tables'!$A$879:$A$925,BI$18,'Reference Tables'!$B$879:$B$925,BI$19)+IF($B27="EFR",SUMIFS('Reference Tables'!$D$879:$D$925,'Reference Tables'!$A$879:$A$925,BI$18,'Reference Tables'!$B$879:$B$925,BI$19)*($AU27*$AV27)^(SUMIFS('Reference Tables'!$E$879:$E$925,'Reference Tables'!$A$879:$A$925,BI$18,'Reference Tables'!$B$879:$B$925,BI$19)),0)))</f>
        <v/>
      </c>
      <c r="BJ27" s="347" t="str">
        <f>IF($A27="","",P27*(SUMIFS('Reference Tables'!$C$879:$C$925,'Reference Tables'!$A$879:$A$925,BJ$18,'Reference Tables'!$B$879:$B$925,BJ$19)+IF($B27="EFR",SUMIFS('Reference Tables'!$D$879:$D$925,'Reference Tables'!$A$879:$A$925,BJ$18,'Reference Tables'!$B$879:$B$925,BJ$19)*($AU27*$AV27)^(SUMIFS('Reference Tables'!$E$879:$E$925,'Reference Tables'!$A$879:$A$925,BJ$18,'Reference Tables'!$B$879:$B$925,BJ$19)),0)))</f>
        <v/>
      </c>
      <c r="BK27" s="347" t="str">
        <f>IF($A27="","",Q27*(SUMIFS('Reference Tables'!$C$879:$C$925,'Reference Tables'!$A$879:$A$925,BK$18,'Reference Tables'!$B$879:$B$925,BK$19)+IF($B27="EFR",SUMIFS('Reference Tables'!$D$879:$D$925,'Reference Tables'!$A$879:$A$925,BK$18,'Reference Tables'!$B$879:$B$925,BK$19)*($AU27*$AV27)^(SUMIFS('Reference Tables'!$E$879:$E$925,'Reference Tables'!$A$879:$A$925,BK$18,'Reference Tables'!$B$879:$B$925,BK$19)),0)))</f>
        <v/>
      </c>
      <c r="BL27" s="347" t="str">
        <f>IF($A27="","",R27*(SUMIFS('Reference Tables'!$C$879:$C$925,'Reference Tables'!$A$879:$A$925,BL$18,'Reference Tables'!$B$879:$B$925,BL$19)+IF($B27="EFR",SUMIFS('Reference Tables'!$D$879:$D$925,'Reference Tables'!$A$879:$A$925,BL$18,'Reference Tables'!$B$879:$B$925,BL$19)*($AU27*$AV27)^(SUMIFS('Reference Tables'!$E$879:$E$925,'Reference Tables'!$A$879:$A$925,BL$18,'Reference Tables'!$B$879:$B$925,BL$19)),0)))</f>
        <v/>
      </c>
      <c r="BM27" s="347" t="str">
        <f>IF($A27="","",S27*(SUMIFS('Reference Tables'!$C$879:$C$925,'Reference Tables'!$A$879:$A$925,BM$18,'Reference Tables'!$B$879:$B$925,BM$19)+IF($B27="EFR",SUMIFS('Reference Tables'!$D$879:$D$925,'Reference Tables'!$A$879:$A$925,BM$18,'Reference Tables'!$B$879:$B$925,BM$19)*($AU27*$AV27)^(SUMIFS('Reference Tables'!$E$879:$E$925,'Reference Tables'!$A$879:$A$925,BM$18,'Reference Tables'!$B$879:$B$925,BM$19)),0)))</f>
        <v/>
      </c>
      <c r="BN27" s="347" t="str">
        <f>IF($A27="","",T27*(SUMIFS('Reference Tables'!$C$879:$C$925,'Reference Tables'!$A$879:$A$925,BN$18,'Reference Tables'!$B$879:$B$925,BN$19)+IF($B27="EFR",SUMIFS('Reference Tables'!$D$879:$D$925,'Reference Tables'!$A$879:$A$925,BN$18,'Reference Tables'!$B$879:$B$925,BN$19)*($AU27*$AV27)^(SUMIFS('Reference Tables'!$E$879:$E$925,'Reference Tables'!$A$879:$A$925,BN$18,'Reference Tables'!$B$879:$B$925,BN$19)),0)))</f>
        <v/>
      </c>
      <c r="BO27" s="347" t="str">
        <f>IF($A27="","",U27*(SUMIFS('Reference Tables'!$C$879:$C$925,'Reference Tables'!$A$879:$A$925,BO$18,'Reference Tables'!$B$879:$B$925,BO$19)+IF($B27="EFR",SUMIFS('Reference Tables'!$D$879:$D$925,'Reference Tables'!$A$879:$A$925,BO$18,'Reference Tables'!$B$879:$B$925,BO$19)*($AU27*$AV27)^(SUMIFS('Reference Tables'!$E$879:$E$925,'Reference Tables'!$A$879:$A$925,BO$18,'Reference Tables'!$B$879:$B$925,BO$19)),0)))</f>
        <v/>
      </c>
      <c r="BP27" s="347" t="str">
        <f>IF($A27="","",V27*(SUMIFS('Reference Tables'!$C$879:$C$925,'Reference Tables'!$A$879:$A$925,BP$18,'Reference Tables'!$B$879:$B$925,BP$19)+IF($B27="EFR",SUMIFS('Reference Tables'!$D$879:$D$925,'Reference Tables'!$A$879:$A$925,BP$18,'Reference Tables'!$B$879:$B$925,BP$19)*($AU27*$AV27)^(SUMIFS('Reference Tables'!$E$879:$E$925,'Reference Tables'!$A$879:$A$925,BP$18,'Reference Tables'!$B$879:$B$925,BP$19)),0)))</f>
        <v/>
      </c>
      <c r="BQ27" s="347" t="str">
        <f>IF($A27="","",W27*(SUMIFS('Reference Tables'!$C$879:$C$925,'Reference Tables'!$A$879:$A$925,BQ$18,'Reference Tables'!$B$879:$B$925,BQ$19)+IF($B27="EFR",SUMIFS('Reference Tables'!$D$879:$D$925,'Reference Tables'!$A$879:$A$925,BQ$18,'Reference Tables'!$B$879:$B$925,BQ$19)*($AU27*$AV27)^(SUMIFS('Reference Tables'!$E$879:$E$925,'Reference Tables'!$A$879:$A$925,BQ$18,'Reference Tables'!$B$879:$B$925,BQ$19)),0)))</f>
        <v/>
      </c>
      <c r="BR27" s="347" t="str">
        <f>IF($A27="","",X27*(SUMIFS('Reference Tables'!$C$879:$C$925,'Reference Tables'!$A$879:$A$925,BR$18,'Reference Tables'!$B$879:$B$925,BR$19)+IF($B27="EFR",SUMIFS('Reference Tables'!$D$879:$D$925,'Reference Tables'!$A$879:$A$925,BR$18,'Reference Tables'!$B$879:$B$925,BR$19)*($AU27*$AV27)^(SUMIFS('Reference Tables'!$E$879:$E$925,'Reference Tables'!$A$879:$A$925,BR$18,'Reference Tables'!$B$879:$B$925,BR$19)),0)))</f>
        <v/>
      </c>
      <c r="BS27" s="347" t="str">
        <f>IF($A27="","",Y27*(SUMIFS('Reference Tables'!$C$879:$C$925,'Reference Tables'!$A$879:$A$925,BS$18,'Reference Tables'!$B$879:$B$925,BS$19)+IF($B27="EFR",SUMIFS('Reference Tables'!$D$879:$D$925,'Reference Tables'!$A$879:$A$925,BS$18,'Reference Tables'!$B$879:$B$925,BS$19)*($AU27*$AV27)^(SUMIFS('Reference Tables'!$E$879:$E$925,'Reference Tables'!$A$879:$A$925,BS$18,'Reference Tables'!$B$879:$B$925,BS$19)),0)))</f>
        <v/>
      </c>
      <c r="BT27" s="347" t="str">
        <f>IF($A27="","",Z27*(SUMIFS('Reference Tables'!$C$879:$C$925,'Reference Tables'!$A$879:$A$925,BT$18,'Reference Tables'!$B$879:$B$925,BT$19)+IF($B27="EFR",SUMIFS('Reference Tables'!$D$879:$D$925,'Reference Tables'!$A$879:$A$925,BT$18,'Reference Tables'!$B$879:$B$925,BT$19)*($AU27*$AV27)^(SUMIFS('Reference Tables'!$E$879:$E$925,'Reference Tables'!$A$879:$A$925,BT$18,'Reference Tables'!$B$879:$B$925,BT$19)),0)))</f>
        <v/>
      </c>
      <c r="BU27" s="347" t="str">
        <f>IF($A27="","",AA27*(SUMIFS('Reference Tables'!$C$879:$C$925,'Reference Tables'!$A$879:$A$925,BU$18,'Reference Tables'!$B$879:$B$925,BU$19)+IF($B27="EFR",SUMIFS('Reference Tables'!$D$879:$D$925,'Reference Tables'!$A$879:$A$925,BU$18,'Reference Tables'!$B$879:$B$925,BU$19)*($AU27*$AV27)^(SUMIFS('Reference Tables'!$E$879:$E$925,'Reference Tables'!$A$879:$A$925,BU$18,'Reference Tables'!$B$879:$B$925,BU$19)),0)))</f>
        <v/>
      </c>
      <c r="BV27" s="347" t="str">
        <f>IF($A27="","",AB27*(SUMIFS('Reference Tables'!$C$879:$C$925,'Reference Tables'!$A$879:$A$925,BV$18,'Reference Tables'!$B$879:$B$925,BV$19)+IF($B27="EFR",SUMIFS('Reference Tables'!$D$879:$D$925,'Reference Tables'!$A$879:$A$925,BV$18,'Reference Tables'!$B$879:$B$925,BV$19)*($AU27*$AV27)^(SUMIFS('Reference Tables'!$E$879:$E$925,'Reference Tables'!$A$879:$A$925,BV$18,'Reference Tables'!$B$879:$B$925,BV$19)),0)))</f>
        <v/>
      </c>
      <c r="BW27" s="347" t="str">
        <f>IF($A27="","",AC27*(SUMIFS('Reference Tables'!$C$879:$C$925,'Reference Tables'!$A$879:$A$925,BW$18,'Reference Tables'!$B$879:$B$925,BW$19)+IF($B27="EFR",SUMIFS('Reference Tables'!$D$879:$D$925,'Reference Tables'!$A$879:$A$925,BW$18,'Reference Tables'!$B$879:$B$925,BW$19)*($AU27*$AV27)^(SUMIFS('Reference Tables'!$E$879:$E$925,'Reference Tables'!$A$879:$A$925,BW$18,'Reference Tables'!$B$879:$B$925,BW$19)),0)))</f>
        <v/>
      </c>
      <c r="BX27" s="347" t="str">
        <f>IF($A27="","",AD27*(SUMIFS('Reference Tables'!$C$879:$C$925,'Reference Tables'!$A$879:$A$925,BX$18,'Reference Tables'!$B$879:$B$925,BX$19)+IF($B27="EFR",SUMIFS('Reference Tables'!$D$879:$D$925,'Reference Tables'!$A$879:$A$925,BX$18,'Reference Tables'!$B$879:$B$925,BX$19)*($AU27*$AV27)^(SUMIFS('Reference Tables'!$E$879:$E$925,'Reference Tables'!$A$879:$A$925,BX$18,'Reference Tables'!$B$879:$B$925,BX$19)),0)))</f>
        <v/>
      </c>
      <c r="BY27" s="347" t="str">
        <f>IF($A27="","",AE27*(SUMIFS('Reference Tables'!$C$879:$C$925,'Reference Tables'!$A$879:$A$925,BY$18,'Reference Tables'!$B$879:$B$925,BY$19)+IF($B27="EFR",SUMIFS('Reference Tables'!$D$879:$D$925,'Reference Tables'!$A$879:$A$925,BY$18,'Reference Tables'!$B$879:$B$925,BY$19)*($AU27*$AV27)^(SUMIFS('Reference Tables'!$E$879:$E$925,'Reference Tables'!$A$879:$A$925,BY$18,'Reference Tables'!$B$879:$B$925,BY$19)),0)))</f>
        <v/>
      </c>
      <c r="BZ27" s="347" t="str">
        <f>IF($A27="","",AF27*(SUMIFS('Reference Tables'!$C$879:$C$925,'Reference Tables'!$A$879:$A$925,BZ$18,'Reference Tables'!$B$879:$B$925,BZ$19)+IF($B27="EFR",SUMIFS('Reference Tables'!$D$879:$D$925,'Reference Tables'!$A$879:$A$925,BZ$18,'Reference Tables'!$B$879:$B$925,BZ$19)*($AU27*$AV27)^(SUMIFS('Reference Tables'!$E$879:$E$925,'Reference Tables'!$A$879:$A$925,BZ$18,'Reference Tables'!$B$879:$B$925,BZ$19)),0)))</f>
        <v/>
      </c>
      <c r="CA27" s="347" t="str">
        <f>IF($A27="","",AG27*(SUMIFS('Reference Tables'!$C$879:$C$925,'Reference Tables'!$A$879:$A$925,CA$18,'Reference Tables'!$B$879:$B$925,CA$19)+IF($B27="EFR",SUMIFS('Reference Tables'!$D$879:$D$925,'Reference Tables'!$A$879:$A$925,CA$18,'Reference Tables'!$B$879:$B$925,CA$19)*($AU27*$AV27)^(SUMIFS('Reference Tables'!$E$879:$E$925,'Reference Tables'!$A$879:$A$925,CA$18,'Reference Tables'!$B$879:$B$925,CA$19)),0)))</f>
        <v/>
      </c>
      <c r="CB27" s="347" t="str">
        <f>IF($A27="","",AH27*(SUMIFS('Reference Tables'!$C$879:$C$925,'Reference Tables'!$A$879:$A$925,CB$18,'Reference Tables'!$B$879:$B$925,CB$19)+IF($B27="EFR",SUMIFS('Reference Tables'!$D$879:$D$925,'Reference Tables'!$A$879:$A$925,CB$18,'Reference Tables'!$B$879:$B$925,CB$19)*($AU27*$AV27)^(SUMIFS('Reference Tables'!$E$879:$E$925,'Reference Tables'!$A$879:$A$925,CB$18,'Reference Tables'!$B$879:$B$925,CB$19)),0)))</f>
        <v/>
      </c>
      <c r="CC27" s="347" t="str">
        <f>IF($A27="","",AI27*(SUMIFS('Reference Tables'!$C$879:$C$925,'Reference Tables'!$A$879:$A$925,CC$18,'Reference Tables'!$B$879:$B$925,CC$19)+IF($B27="EFR",SUMIFS('Reference Tables'!$D$879:$D$925,'Reference Tables'!$A$879:$A$925,CC$18,'Reference Tables'!$B$879:$B$925,CC$19)*($AU27*$AV27)^(SUMIFS('Reference Tables'!$E$879:$E$925,'Reference Tables'!$A$879:$A$925,CC$18,'Reference Tables'!$B$879:$B$925,CC$19)),0)))</f>
        <v/>
      </c>
      <c r="CD27" s="347" t="str">
        <f>IF($A27="","",AJ27*(SUMIFS('Reference Tables'!$C$879:$C$925,'Reference Tables'!$A$879:$A$925,CD$18,'Reference Tables'!$B$879:$B$925,CD$19)+IF($B27="EFR",SUMIFS('Reference Tables'!$D$879:$D$925,'Reference Tables'!$A$879:$A$925,CD$18,'Reference Tables'!$B$879:$B$925,CD$19)*($AU27*$AV27)^(SUMIFS('Reference Tables'!$E$879:$E$925,'Reference Tables'!$A$879:$A$925,CD$18,'Reference Tables'!$B$879:$B$925,CD$19)),0)))</f>
        <v/>
      </c>
      <c r="CE27" s="347" t="str">
        <f>IF($A27="","",AK27*(SUMIFS('Reference Tables'!$C$879:$C$925,'Reference Tables'!$A$879:$A$925,CE$18,'Reference Tables'!$B$879:$B$925,CE$19)+IF($B27="EFR",SUMIFS('Reference Tables'!$D$879:$D$925,'Reference Tables'!$A$879:$A$925,CE$18,'Reference Tables'!$B$879:$B$925,CE$19)*($AU27*$AV27)^(SUMIFS('Reference Tables'!$E$879:$E$925,'Reference Tables'!$A$879:$A$925,CE$18,'Reference Tables'!$B$879:$B$925,CE$19)),0)))</f>
        <v/>
      </c>
      <c r="CF27" s="347" t="str">
        <f>IF($A27="","",AL27*(SUMIFS('Reference Tables'!$C$879:$C$925,'Reference Tables'!$A$879:$A$925,CF$18,'Reference Tables'!$B$879:$B$925,CF$19)+IF($B27="EFR",SUMIFS('Reference Tables'!$D$879:$D$925,'Reference Tables'!$A$879:$A$925,CF$18,'Reference Tables'!$B$879:$B$925,CF$19)*($AU27*$AV27)^(SUMIFS('Reference Tables'!$E$879:$E$925,'Reference Tables'!$A$879:$A$925,CF$18,'Reference Tables'!$B$879:$B$925,CF$19)),0)))</f>
        <v/>
      </c>
      <c r="CG27" s="347" t="str">
        <f>IF($A27="","",AM27*(SUMIFS('Reference Tables'!$C$879:$C$925,'Reference Tables'!$A$879:$A$925,CG$18,'Reference Tables'!$B$879:$B$925,CG$19)+IF($B27="EFR",SUMIFS('Reference Tables'!$D$879:$D$925,'Reference Tables'!$A$879:$A$925,CG$18,'Reference Tables'!$B$879:$B$925,CG$19)*($AU27*$AV27)^(SUMIFS('Reference Tables'!$E$879:$E$925,'Reference Tables'!$A$879:$A$925,CG$18,'Reference Tables'!$B$879:$B$925,CG$19)),0)))</f>
        <v/>
      </c>
      <c r="CH27" s="347" t="str">
        <f>IF($A27="","",AN27*(SUMIFS('Reference Tables'!$C$879:$C$925,'Reference Tables'!$A$879:$A$925,CH$18,'Reference Tables'!$B$879:$B$925,CH$19)+IF($B27="EFR",SUMIFS('Reference Tables'!$D$879:$D$925,'Reference Tables'!$A$879:$A$925,CH$18,'Reference Tables'!$B$879:$B$925,CH$19)*($AU27*$AV27)^(SUMIFS('Reference Tables'!$E$879:$E$925,'Reference Tables'!$A$879:$A$925,CH$18,'Reference Tables'!$B$879:$B$925,CH$19)),0)))</f>
        <v/>
      </c>
      <c r="CI27" s="347" t="str">
        <f>IF($A27="","",AO27*(SUMIFS('Reference Tables'!$C$879:$C$925,'Reference Tables'!$A$879:$A$925,CI$18,'Reference Tables'!$B$879:$B$925,CI$19)+IF($B27="EFR",SUMIFS('Reference Tables'!$D$879:$D$925,'Reference Tables'!$A$879:$A$925,CI$18,'Reference Tables'!$B$879:$B$925,CI$19)*($AU27*$AV27)^(SUMIFS('Reference Tables'!$E$879:$E$925,'Reference Tables'!$A$879:$A$925,CI$18,'Reference Tables'!$B$879:$B$925,CI$19)),0)))</f>
        <v/>
      </c>
      <c r="CJ27" s="347" t="str">
        <f>IF($A27="","",AP27*(SUMIFS('Reference Tables'!$C$879:$C$925,'Reference Tables'!$A$879:$A$925,CJ$18,'Reference Tables'!$B$879:$B$925,CJ$19)+IF($B27="EFR",SUMIFS('Reference Tables'!$D$879:$D$925,'Reference Tables'!$A$879:$A$925,CJ$18,'Reference Tables'!$B$879:$B$925,CJ$19)*($AU27*$AV27)^(SUMIFS('Reference Tables'!$E$879:$E$925,'Reference Tables'!$A$879:$A$925,CJ$18,'Reference Tables'!$B$879:$B$925,CJ$19)),0)))</f>
        <v/>
      </c>
      <c r="CK27" s="347" t="str">
        <f>IF($A27="","",AQ27*(SUMIFS('Reference Tables'!$C$879:$C$925,'Reference Tables'!$A$879:$A$925,CK$18,'Reference Tables'!$B$879:$B$925,CK$19)+IF($B27="EFR",SUMIFS('Reference Tables'!$D$879:$D$925,'Reference Tables'!$A$879:$A$925,CK$18,'Reference Tables'!$B$879:$B$925,CK$19)*($AU27*$AV27)^(SUMIFS('Reference Tables'!$E$879:$E$925,'Reference Tables'!$A$879:$A$925,CK$18,'Reference Tables'!$B$879:$B$925,CK$19)),0)))</f>
        <v/>
      </c>
      <c r="CL27" s="347" t="str">
        <f>IF($A27="","",AR27*(SUMIFS('Reference Tables'!$C$879:$C$925,'Reference Tables'!$A$879:$A$925,CL$18,'Reference Tables'!$B$879:$B$925,CL$19)+IF($B27="EFR",SUMIFS('Reference Tables'!$D$879:$D$925,'Reference Tables'!$A$879:$A$925,CL$18,'Reference Tables'!$B$879:$B$925,CL$19)*($AU27*$AV27)^(SUMIFS('Reference Tables'!$E$879:$E$925,'Reference Tables'!$A$879:$A$925,CL$18,'Reference Tables'!$B$879:$B$925,CL$19)),0)))</f>
        <v/>
      </c>
      <c r="CM27" s="347" t="str">
        <f>IF($A27="","",AS27*(SUMIFS('Reference Tables'!$C$879:$C$925,'Reference Tables'!$A$879:$A$925,CM$18,'Reference Tables'!$B$879:$B$925,CM$19)+IF($B27="EFR",SUMIFS('Reference Tables'!$D$879:$D$925,'Reference Tables'!$A$879:$A$925,CM$18,'Reference Tables'!$B$879:$B$925,CM$19)*($AU27*$AV27)^(SUMIFS('Reference Tables'!$E$879:$E$925,'Reference Tables'!$A$879:$A$925,CM$18,'Reference Tables'!$B$879:$B$925,CM$19)),0)))</f>
        <v/>
      </c>
      <c r="CN27" s="347" t="str">
        <f>IF($A27="","",AT27*(SUMIFS('Reference Tables'!$C$879:$C$925,'Reference Tables'!$A$879:$A$925,CN$18,'Reference Tables'!$B$879:$B$925,CN$19)+IF($B27="EFR",SUMIFS('Reference Tables'!$D$879:$D$925,'Reference Tables'!$A$879:$A$925,CN$18,'Reference Tables'!$B$879:$B$925,CN$19)*($AU27*$AV27)^(SUMIFS('Reference Tables'!$E$879:$E$925,'Reference Tables'!$A$879:$A$925,CN$18,'Reference Tables'!$B$879:$B$925,CN$19)),0)))</f>
        <v/>
      </c>
      <c r="CO27" s="347" t="str">
        <f t="shared" si="5"/>
        <v/>
      </c>
      <c r="CU27" s="250"/>
      <c r="CV27" s="250"/>
      <c r="CW27" s="250"/>
      <c r="CX27" s="250"/>
      <c r="CY27" s="250"/>
      <c r="CZ27" s="250"/>
      <c r="DA27" s="250"/>
      <c r="DB27" s="250"/>
      <c r="DC27" s="250"/>
      <c r="DD27" s="250"/>
      <c r="DE27" s="250"/>
      <c r="DF27" s="250"/>
      <c r="DG27" s="250"/>
      <c r="DH27" s="250"/>
      <c r="DI27" s="250"/>
      <c r="DJ27" s="250"/>
      <c r="DK27" s="250"/>
      <c r="DL27" s="250"/>
      <c r="DM27" s="250"/>
      <c r="DN27" s="250"/>
      <c r="DO27" s="250"/>
      <c r="DP27" s="250"/>
      <c r="DQ27" s="250"/>
      <c r="DR27" s="250"/>
      <c r="DS27" s="250"/>
      <c r="DT27" s="250"/>
      <c r="DU27" s="250"/>
      <c r="DV27" s="250"/>
      <c r="DW27" s="250"/>
      <c r="DX27" s="250"/>
      <c r="DY27" s="250"/>
      <c r="DZ27" s="250"/>
      <c r="EA27" s="250"/>
      <c r="EB27" s="250"/>
      <c r="EC27" s="250"/>
      <c r="ED27" s="250"/>
      <c r="EE27" s="250"/>
      <c r="EF27" s="250"/>
      <c r="EG27" s="250"/>
      <c r="EH27" s="250"/>
      <c r="EI27" s="250"/>
      <c r="EJ27" s="250"/>
      <c r="EK27" s="250"/>
      <c r="EL27" s="250"/>
      <c r="EM27" s="250"/>
    </row>
    <row r="28" spans="1:143">
      <c r="A28" s="342" t="str">
        <f>IF('Fitting Data'!A21&lt;&gt;"",'Fitting Data'!A21,"")</f>
        <v/>
      </c>
      <c r="B28" s="343" t="str">
        <f>IF($A28="","",INDEX('Tank Data'!$1:$1048576,MATCH($A28,'Tank Data'!$A:$A,0),MATCH(B$17,'Tank Data'!$9:$9,0)))</f>
        <v/>
      </c>
      <c r="C28" s="344" t="str">
        <f>IF($A28="","",IF('Fitting Data'!$B21&lt;&gt;"Typical",'Fitting Data'!C21,'Fitting Data'!BG21))</f>
        <v/>
      </c>
      <c r="D28" s="344" t="str">
        <f>IF($A28="","",IF('Fitting Data'!$B21&lt;&gt;"Typical",'Fitting Data'!D21,'Fitting Data'!BH21))</f>
        <v/>
      </c>
      <c r="E28" s="344" t="str">
        <f>IF($A28="","",IF('Fitting Data'!$B21&lt;&gt;"Typical",'Fitting Data'!E21,'Fitting Data'!BI21))</f>
        <v/>
      </c>
      <c r="F28" s="344" t="str">
        <f>IF($A28="","",IF('Fitting Data'!$B21&lt;&gt;"Typical",'Fitting Data'!F21,'Fitting Data'!BJ21))</f>
        <v/>
      </c>
      <c r="G28" s="344" t="str">
        <f>IF($A28="","",IF('Fitting Data'!$B21&lt;&gt;"Typical",'Fitting Data'!G21,'Fitting Data'!BK21))</f>
        <v/>
      </c>
      <c r="H28" s="344" t="str">
        <f>IF($A28="","",IF('Fitting Data'!$B21&lt;&gt;"Typical",'Fitting Data'!H21,'Fitting Data'!BL21))</f>
        <v/>
      </c>
      <c r="I28" s="344" t="str">
        <f>IF($A28="","",IF('Fitting Data'!$B21&lt;&gt;"Typical",'Fitting Data'!I21,'Fitting Data'!BM21))</f>
        <v/>
      </c>
      <c r="J28" s="344" t="str">
        <f>IF($A28="","",IF('Fitting Data'!$B21&lt;&gt;"Typical",'Fitting Data'!J21,'Fitting Data'!BN21))</f>
        <v/>
      </c>
      <c r="K28" s="344" t="str">
        <f>IF($A28="","",IF('Fitting Data'!$B21&lt;&gt;"Typical",'Fitting Data'!K21,'Fitting Data'!BO21))</f>
        <v/>
      </c>
      <c r="L28" s="344" t="str">
        <f>IF($A28="","",IF('Fitting Data'!$B21&lt;&gt;"Typical",'Fitting Data'!L21,'Fitting Data'!BP21))</f>
        <v/>
      </c>
      <c r="M28" s="344" t="str">
        <f>IF($A28="","",IF('Fitting Data'!$B21&lt;&gt;"Typical",'Fitting Data'!M21,'Fitting Data'!BQ21))</f>
        <v/>
      </c>
      <c r="N28" s="344" t="str">
        <f>IF($A28="","",IF('Fitting Data'!$B21&lt;&gt;"Typical",'Fitting Data'!N21,'Fitting Data'!BR21))</f>
        <v/>
      </c>
      <c r="O28" s="344" t="str">
        <f>IF($A28="","",IF('Fitting Data'!$B21&lt;&gt;"Typical",'Fitting Data'!O21,'Fitting Data'!BS21))</f>
        <v/>
      </c>
      <c r="P28" s="344" t="str">
        <f>IF($A28="","",IF('Fitting Data'!$B21&lt;&gt;"Typical",'Fitting Data'!P21,'Fitting Data'!BT21))</f>
        <v/>
      </c>
      <c r="Q28" s="344" t="str">
        <f>IF($A28="","",IF('Fitting Data'!$B21&lt;&gt;"Typical",'Fitting Data'!Q21,'Fitting Data'!BU21))</f>
        <v/>
      </c>
      <c r="R28" s="344" t="str">
        <f>IF($A28="","",IF('Fitting Data'!$B21&lt;&gt;"Typical",'Fitting Data'!R21,'Fitting Data'!BV21))</f>
        <v/>
      </c>
      <c r="S28" s="344" t="str">
        <f>IF($A28="","",IF('Fitting Data'!$B21&lt;&gt;"Typical",'Fitting Data'!S21,'Fitting Data'!BW21))</f>
        <v/>
      </c>
      <c r="T28" s="344" t="str">
        <f>IF($A28="","",IF('Fitting Data'!$B21&lt;&gt;"Typical",'Fitting Data'!T21,'Fitting Data'!BX21))</f>
        <v/>
      </c>
      <c r="U28" s="344" t="str">
        <f>IF($A28="","",IF('Fitting Data'!$B21&lt;&gt;"Typical",'Fitting Data'!U21,'Fitting Data'!BY21))</f>
        <v/>
      </c>
      <c r="V28" s="344" t="str">
        <f>IF($A28="","",IF('Fitting Data'!$B21&lt;&gt;"Typical",'Fitting Data'!V21,'Fitting Data'!BZ21))</f>
        <v/>
      </c>
      <c r="W28" s="344" t="str">
        <f>IF($A28="","",IF('Fitting Data'!$B21&lt;&gt;"Typical",'Fitting Data'!W21,'Fitting Data'!CA21))</f>
        <v/>
      </c>
      <c r="X28" s="344" t="str">
        <f>IF($A28="","",IF('Fitting Data'!$B21&lt;&gt;"Typical",'Fitting Data'!X21,'Fitting Data'!CB21))</f>
        <v/>
      </c>
      <c r="Y28" s="344" t="str">
        <f>IF($A28="","",IF('Fitting Data'!$B21&lt;&gt;"Typical",'Fitting Data'!Y21,'Fitting Data'!CC21))</f>
        <v/>
      </c>
      <c r="Z28" s="344" t="str">
        <f>IF($A28="","",IF('Fitting Data'!$B21&lt;&gt;"Typical",'Fitting Data'!Z21,'Fitting Data'!CD21))</f>
        <v/>
      </c>
      <c r="AA28" s="344" t="str">
        <f>IF($A28="","",IF('Fitting Data'!$B21&lt;&gt;"Typical",'Fitting Data'!AA21,'Fitting Data'!CE21))</f>
        <v/>
      </c>
      <c r="AB28" s="344" t="str">
        <f>IF($A28="","",IF('Fitting Data'!$B21&lt;&gt;"Typical",'Fitting Data'!AB21,'Fitting Data'!CF21))</f>
        <v/>
      </c>
      <c r="AC28" s="344" t="str">
        <f>IF($A28="","",IF('Fitting Data'!$B21&lt;&gt;"Typical",'Fitting Data'!AC21,'Fitting Data'!CG21))</f>
        <v/>
      </c>
      <c r="AD28" s="344" t="str">
        <f>IF($A28="","",IF('Fitting Data'!$B21&lt;&gt;"Typical",'Fitting Data'!AD21,'Fitting Data'!CH21))</f>
        <v/>
      </c>
      <c r="AE28" s="344" t="str">
        <f>IF($A28="","",IF('Fitting Data'!$B21&lt;&gt;"Typical",'Fitting Data'!AE21,'Fitting Data'!CI21))</f>
        <v/>
      </c>
      <c r="AF28" s="344" t="str">
        <f>IF($A28="","",IF('Fitting Data'!$B21&lt;&gt;"Typical",'Fitting Data'!AF21,'Fitting Data'!CJ21))</f>
        <v/>
      </c>
      <c r="AG28" s="344" t="str">
        <f>IF($A28="","",IF('Fitting Data'!$B21&lt;&gt;"Typical",'Fitting Data'!AG21,'Fitting Data'!CK21))</f>
        <v/>
      </c>
      <c r="AH28" s="344" t="str">
        <f>IF($A28="","",IF('Fitting Data'!$B21&lt;&gt;"Typical",'Fitting Data'!AH21,'Fitting Data'!CL21))</f>
        <v/>
      </c>
      <c r="AI28" s="344" t="str">
        <f>IF($A28="","",IF('Fitting Data'!$B21&lt;&gt;"Typical",'Fitting Data'!AI21,'Fitting Data'!CM21))</f>
        <v/>
      </c>
      <c r="AJ28" s="344" t="str">
        <f>IF($A28="","",IF('Fitting Data'!$B21&lt;&gt;"Typical",'Fitting Data'!AJ21,'Fitting Data'!CN21))</f>
        <v/>
      </c>
      <c r="AK28" s="344" t="str">
        <f>IF($A28="","",IF('Fitting Data'!$B21&lt;&gt;"Typical",'Fitting Data'!AK21,'Fitting Data'!CO21))</f>
        <v/>
      </c>
      <c r="AL28" s="344" t="str">
        <f>IF($A28="","",IF('Fitting Data'!$B21&lt;&gt;"Typical",'Fitting Data'!AL21,'Fitting Data'!CP21))</f>
        <v/>
      </c>
      <c r="AM28" s="344" t="str">
        <f>IF($A28="","",IF('Fitting Data'!$B21&lt;&gt;"Typical",'Fitting Data'!AM21,'Fitting Data'!CQ21))</f>
        <v/>
      </c>
      <c r="AN28" s="344" t="str">
        <f>IF($A28="","",IF('Fitting Data'!$B21&lt;&gt;"Typical",'Fitting Data'!AN21,'Fitting Data'!CR21))</f>
        <v/>
      </c>
      <c r="AO28" s="344" t="str">
        <f>IF($A28="","",IF('Fitting Data'!$B21&lt;&gt;"Typical",'Fitting Data'!AO21,'Fitting Data'!CS21))</f>
        <v/>
      </c>
      <c r="AP28" s="344" t="str">
        <f>IF($A28="","",IF('Fitting Data'!$B21&lt;&gt;"Typical",'Fitting Data'!AP21,'Fitting Data'!CT21))</f>
        <v/>
      </c>
      <c r="AQ28" s="344" t="str">
        <f>IF($A28="","",IF('Fitting Data'!$B21&lt;&gt;"Typical",'Fitting Data'!AQ21,'Fitting Data'!CU21))</f>
        <v/>
      </c>
      <c r="AR28" s="344" t="str">
        <f>IF($A28="","",IF('Fitting Data'!$B21&lt;&gt;"Typical",'Fitting Data'!AR21,'Fitting Data'!CV21))</f>
        <v/>
      </c>
      <c r="AS28" s="344" t="str">
        <f>IF($A28="","",IF('Fitting Data'!$B21&lt;&gt;"Typical",'Fitting Data'!AS21,'Fitting Data'!CW21))</f>
        <v/>
      </c>
      <c r="AT28" s="344" t="str">
        <f>IF($A28="","",IF('Fitting Data'!$B21&lt;&gt;"Typical",'Fitting Data'!AT21,'Fitting Data'!CX21))</f>
        <v/>
      </c>
      <c r="AU28" s="345" t="str">
        <f>IF($A28="","",IF($B28="EFR",'Met Data'!$H$23,0))</f>
        <v/>
      </c>
      <c r="AV28" s="346" t="str">
        <f t="shared" si="4"/>
        <v/>
      </c>
      <c r="AW28" s="347" t="str">
        <f>IF($A28="","",C28*(SUMIFS('Reference Tables'!$C$879:$C$925,'Reference Tables'!$A$879:$A$925,AW$18,'Reference Tables'!$B$879:$B$925,AW$19)+IF($B28="EFR",SUMIFS('Reference Tables'!$D$879:$D$925,'Reference Tables'!$A$879:$A$925,AW$18,'Reference Tables'!$B$879:$B$925,AW$19)*($AU28*$AV28)^(SUMIFS('Reference Tables'!$E$879:$E$925,'Reference Tables'!$A$879:$A$925,AW$18,'Reference Tables'!$B$879:$B$925,AW$19)),0)))</f>
        <v/>
      </c>
      <c r="AX28" s="347" t="str">
        <f>IF($A28="","",D28*(SUMIFS('Reference Tables'!$C$879:$C$925,'Reference Tables'!$A$879:$A$925,AX$18,'Reference Tables'!$B$879:$B$925,AX$19)+IF($B28="EFR",SUMIFS('Reference Tables'!$D$879:$D$925,'Reference Tables'!$A$879:$A$925,AX$18,'Reference Tables'!$B$879:$B$925,AX$19)*($AU28*$AV28)^(SUMIFS('Reference Tables'!$E$879:$E$925,'Reference Tables'!$A$879:$A$925,AX$18,'Reference Tables'!$B$879:$B$925,AX$19)),0)))</f>
        <v/>
      </c>
      <c r="AY28" s="347" t="str">
        <f>IF($A28="","",E28*(SUMIFS('Reference Tables'!$C$879:$C$925,'Reference Tables'!$A$879:$A$925,AY$18,'Reference Tables'!$B$879:$B$925,AY$19)+IF($B28="EFR",SUMIFS('Reference Tables'!$D$879:$D$925,'Reference Tables'!$A$879:$A$925,AY$18,'Reference Tables'!$B$879:$B$925,AY$19)*($AU28*$AV28)^(SUMIFS('Reference Tables'!$E$879:$E$925,'Reference Tables'!$A$879:$A$925,AY$18,'Reference Tables'!$B$879:$B$925,AY$19)),0)))</f>
        <v/>
      </c>
      <c r="AZ28" s="347" t="str">
        <f>IF($A28="","",F28*(SUMIFS('Reference Tables'!$C$879:$C$925,'Reference Tables'!$A$879:$A$925,AZ$18,'Reference Tables'!$B$879:$B$925,AZ$19)+IF($B28="EFR",SUMIFS('Reference Tables'!$D$879:$D$925,'Reference Tables'!$A$879:$A$925,AZ$18,'Reference Tables'!$B$879:$B$925,AZ$19)*($AU28*$AV28)^(SUMIFS('Reference Tables'!$E$879:$E$925,'Reference Tables'!$A$879:$A$925,AZ$18,'Reference Tables'!$B$879:$B$925,AZ$19)),0)))</f>
        <v/>
      </c>
      <c r="BA28" s="347" t="str">
        <f>IF($A28="","",G28*(SUMIFS('Reference Tables'!$C$879:$C$925,'Reference Tables'!$A$879:$A$925,BA$18,'Reference Tables'!$B$879:$B$925,BA$19)+IF($B28="EFR",SUMIFS('Reference Tables'!$D$879:$D$925,'Reference Tables'!$A$879:$A$925,BA$18,'Reference Tables'!$B$879:$B$925,BA$19)*($AU28*$AV28)^(SUMIFS('Reference Tables'!$E$879:$E$925,'Reference Tables'!$A$879:$A$925,BA$18,'Reference Tables'!$B$879:$B$925,BA$19)),0)))</f>
        <v/>
      </c>
      <c r="BB28" s="347" t="str">
        <f>IF($A28="","",H28*(SUMIFS('Reference Tables'!$C$879:$C$925,'Reference Tables'!$A$879:$A$925,BB$18,'Reference Tables'!$B$879:$B$925,BB$19)+IF($B28="EFR",SUMIFS('Reference Tables'!$D$879:$D$925,'Reference Tables'!$A$879:$A$925,BB$18,'Reference Tables'!$B$879:$B$925,BB$19)*($AU28*$AV28)^(SUMIFS('Reference Tables'!$E$879:$E$925,'Reference Tables'!$A$879:$A$925,BB$18,'Reference Tables'!$B$879:$B$925,BB$19)),0)))</f>
        <v/>
      </c>
      <c r="BC28" s="347" t="str">
        <f>IF($A28="","",I28*(SUMIFS('Reference Tables'!$C$879:$C$925,'Reference Tables'!$A$879:$A$925,BC$18,'Reference Tables'!$B$879:$B$925,BC$19)+IF($B28="EFR",SUMIFS('Reference Tables'!$D$879:$D$925,'Reference Tables'!$A$879:$A$925,BC$18,'Reference Tables'!$B$879:$B$925,BC$19)*($AU28*$AV28)^(SUMIFS('Reference Tables'!$E$879:$E$925,'Reference Tables'!$A$879:$A$925,BC$18,'Reference Tables'!$B$879:$B$925,BC$19)),0)))</f>
        <v/>
      </c>
      <c r="BD28" s="347" t="str">
        <f>IF($A28="","",J28*(SUMIFS('Reference Tables'!$C$879:$C$925,'Reference Tables'!$A$879:$A$925,BD$18,'Reference Tables'!$B$879:$B$925,BD$19)+IF($B28="EFR",SUMIFS('Reference Tables'!$D$879:$D$925,'Reference Tables'!$A$879:$A$925,BD$18,'Reference Tables'!$B$879:$B$925,BD$19)*($AU28*$AV28)^(SUMIFS('Reference Tables'!$E$879:$E$925,'Reference Tables'!$A$879:$A$925,BD$18,'Reference Tables'!$B$879:$B$925,BD$19)),0)))</f>
        <v/>
      </c>
      <c r="BE28" s="347" t="str">
        <f>IF($A28="","",K28*(SUMIFS('Reference Tables'!$C$879:$C$925,'Reference Tables'!$A$879:$A$925,BE$18,'Reference Tables'!$B$879:$B$925,BE$19)+IF($B28="EFR",SUMIFS('Reference Tables'!$D$879:$D$925,'Reference Tables'!$A$879:$A$925,BE$18,'Reference Tables'!$B$879:$B$925,BE$19)*($AU28*$AV28)^(SUMIFS('Reference Tables'!$E$879:$E$925,'Reference Tables'!$A$879:$A$925,BE$18,'Reference Tables'!$B$879:$B$925,BE$19)),0)))</f>
        <v/>
      </c>
      <c r="BF28" s="347" t="str">
        <f>IF($A28="","",L28*(SUMIFS('Reference Tables'!$C$879:$C$925,'Reference Tables'!$A$879:$A$925,BF$18,'Reference Tables'!$B$879:$B$925,BF$19)+IF($B28="EFR",SUMIFS('Reference Tables'!$D$879:$D$925,'Reference Tables'!$A$879:$A$925,BF$18,'Reference Tables'!$B$879:$B$925,BF$19)*($AU28*$AV28)^(SUMIFS('Reference Tables'!$E$879:$E$925,'Reference Tables'!$A$879:$A$925,BF$18,'Reference Tables'!$B$879:$B$925,BF$19)),0)))</f>
        <v/>
      </c>
      <c r="BG28" s="347" t="str">
        <f>IF($A28="","",M28*(SUMIFS('Reference Tables'!$C$879:$C$925,'Reference Tables'!$A$879:$A$925,BG$18,'Reference Tables'!$B$879:$B$925,BG$19)+IF($B28="EFR",SUMIFS('Reference Tables'!$D$879:$D$925,'Reference Tables'!$A$879:$A$925,BG$18,'Reference Tables'!$B$879:$B$925,BG$19)*($AU28*$AV28)^(SUMIFS('Reference Tables'!$E$879:$E$925,'Reference Tables'!$A$879:$A$925,BG$18,'Reference Tables'!$B$879:$B$925,BG$19)),0)))</f>
        <v/>
      </c>
      <c r="BH28" s="347" t="str">
        <f>IF($A28="","",N28*(SUMIFS('Reference Tables'!$C$879:$C$925,'Reference Tables'!$A$879:$A$925,BH$18,'Reference Tables'!$B$879:$B$925,BH$19)+IF($B28="EFR",SUMIFS('Reference Tables'!$D$879:$D$925,'Reference Tables'!$A$879:$A$925,BH$18,'Reference Tables'!$B$879:$B$925,BH$19)*($AU28*$AV28)^(SUMIFS('Reference Tables'!$E$879:$E$925,'Reference Tables'!$A$879:$A$925,BH$18,'Reference Tables'!$B$879:$B$925,BH$19)),0)))</f>
        <v/>
      </c>
      <c r="BI28" s="347" t="str">
        <f>IF($A28="","",O28*(SUMIFS('Reference Tables'!$C$879:$C$925,'Reference Tables'!$A$879:$A$925,BI$18,'Reference Tables'!$B$879:$B$925,BI$19)+IF($B28="EFR",SUMIFS('Reference Tables'!$D$879:$D$925,'Reference Tables'!$A$879:$A$925,BI$18,'Reference Tables'!$B$879:$B$925,BI$19)*($AU28*$AV28)^(SUMIFS('Reference Tables'!$E$879:$E$925,'Reference Tables'!$A$879:$A$925,BI$18,'Reference Tables'!$B$879:$B$925,BI$19)),0)))</f>
        <v/>
      </c>
      <c r="BJ28" s="347" t="str">
        <f>IF($A28="","",P28*(SUMIFS('Reference Tables'!$C$879:$C$925,'Reference Tables'!$A$879:$A$925,BJ$18,'Reference Tables'!$B$879:$B$925,BJ$19)+IF($B28="EFR",SUMIFS('Reference Tables'!$D$879:$D$925,'Reference Tables'!$A$879:$A$925,BJ$18,'Reference Tables'!$B$879:$B$925,BJ$19)*($AU28*$AV28)^(SUMIFS('Reference Tables'!$E$879:$E$925,'Reference Tables'!$A$879:$A$925,BJ$18,'Reference Tables'!$B$879:$B$925,BJ$19)),0)))</f>
        <v/>
      </c>
      <c r="BK28" s="347" t="str">
        <f>IF($A28="","",Q28*(SUMIFS('Reference Tables'!$C$879:$C$925,'Reference Tables'!$A$879:$A$925,BK$18,'Reference Tables'!$B$879:$B$925,BK$19)+IF($B28="EFR",SUMIFS('Reference Tables'!$D$879:$D$925,'Reference Tables'!$A$879:$A$925,BK$18,'Reference Tables'!$B$879:$B$925,BK$19)*($AU28*$AV28)^(SUMIFS('Reference Tables'!$E$879:$E$925,'Reference Tables'!$A$879:$A$925,BK$18,'Reference Tables'!$B$879:$B$925,BK$19)),0)))</f>
        <v/>
      </c>
      <c r="BL28" s="347" t="str">
        <f>IF($A28="","",R28*(SUMIFS('Reference Tables'!$C$879:$C$925,'Reference Tables'!$A$879:$A$925,BL$18,'Reference Tables'!$B$879:$B$925,BL$19)+IF($B28="EFR",SUMIFS('Reference Tables'!$D$879:$D$925,'Reference Tables'!$A$879:$A$925,BL$18,'Reference Tables'!$B$879:$B$925,BL$19)*($AU28*$AV28)^(SUMIFS('Reference Tables'!$E$879:$E$925,'Reference Tables'!$A$879:$A$925,BL$18,'Reference Tables'!$B$879:$B$925,BL$19)),0)))</f>
        <v/>
      </c>
      <c r="BM28" s="347" t="str">
        <f>IF($A28="","",S28*(SUMIFS('Reference Tables'!$C$879:$C$925,'Reference Tables'!$A$879:$A$925,BM$18,'Reference Tables'!$B$879:$B$925,BM$19)+IF($B28="EFR",SUMIFS('Reference Tables'!$D$879:$D$925,'Reference Tables'!$A$879:$A$925,BM$18,'Reference Tables'!$B$879:$B$925,BM$19)*($AU28*$AV28)^(SUMIFS('Reference Tables'!$E$879:$E$925,'Reference Tables'!$A$879:$A$925,BM$18,'Reference Tables'!$B$879:$B$925,BM$19)),0)))</f>
        <v/>
      </c>
      <c r="BN28" s="347" t="str">
        <f>IF($A28="","",T28*(SUMIFS('Reference Tables'!$C$879:$C$925,'Reference Tables'!$A$879:$A$925,BN$18,'Reference Tables'!$B$879:$B$925,BN$19)+IF($B28="EFR",SUMIFS('Reference Tables'!$D$879:$D$925,'Reference Tables'!$A$879:$A$925,BN$18,'Reference Tables'!$B$879:$B$925,BN$19)*($AU28*$AV28)^(SUMIFS('Reference Tables'!$E$879:$E$925,'Reference Tables'!$A$879:$A$925,BN$18,'Reference Tables'!$B$879:$B$925,BN$19)),0)))</f>
        <v/>
      </c>
      <c r="BO28" s="347" t="str">
        <f>IF($A28="","",U28*(SUMIFS('Reference Tables'!$C$879:$C$925,'Reference Tables'!$A$879:$A$925,BO$18,'Reference Tables'!$B$879:$B$925,BO$19)+IF($B28="EFR",SUMIFS('Reference Tables'!$D$879:$D$925,'Reference Tables'!$A$879:$A$925,BO$18,'Reference Tables'!$B$879:$B$925,BO$19)*($AU28*$AV28)^(SUMIFS('Reference Tables'!$E$879:$E$925,'Reference Tables'!$A$879:$A$925,BO$18,'Reference Tables'!$B$879:$B$925,BO$19)),0)))</f>
        <v/>
      </c>
      <c r="BP28" s="347" t="str">
        <f>IF($A28="","",V28*(SUMIFS('Reference Tables'!$C$879:$C$925,'Reference Tables'!$A$879:$A$925,BP$18,'Reference Tables'!$B$879:$B$925,BP$19)+IF($B28="EFR",SUMIFS('Reference Tables'!$D$879:$D$925,'Reference Tables'!$A$879:$A$925,BP$18,'Reference Tables'!$B$879:$B$925,BP$19)*($AU28*$AV28)^(SUMIFS('Reference Tables'!$E$879:$E$925,'Reference Tables'!$A$879:$A$925,BP$18,'Reference Tables'!$B$879:$B$925,BP$19)),0)))</f>
        <v/>
      </c>
      <c r="BQ28" s="347" t="str">
        <f>IF($A28="","",W28*(SUMIFS('Reference Tables'!$C$879:$C$925,'Reference Tables'!$A$879:$A$925,BQ$18,'Reference Tables'!$B$879:$B$925,BQ$19)+IF($B28="EFR",SUMIFS('Reference Tables'!$D$879:$D$925,'Reference Tables'!$A$879:$A$925,BQ$18,'Reference Tables'!$B$879:$B$925,BQ$19)*($AU28*$AV28)^(SUMIFS('Reference Tables'!$E$879:$E$925,'Reference Tables'!$A$879:$A$925,BQ$18,'Reference Tables'!$B$879:$B$925,BQ$19)),0)))</f>
        <v/>
      </c>
      <c r="BR28" s="347" t="str">
        <f>IF($A28="","",X28*(SUMIFS('Reference Tables'!$C$879:$C$925,'Reference Tables'!$A$879:$A$925,BR$18,'Reference Tables'!$B$879:$B$925,BR$19)+IF($B28="EFR",SUMIFS('Reference Tables'!$D$879:$D$925,'Reference Tables'!$A$879:$A$925,BR$18,'Reference Tables'!$B$879:$B$925,BR$19)*($AU28*$AV28)^(SUMIFS('Reference Tables'!$E$879:$E$925,'Reference Tables'!$A$879:$A$925,BR$18,'Reference Tables'!$B$879:$B$925,BR$19)),0)))</f>
        <v/>
      </c>
      <c r="BS28" s="347" t="str">
        <f>IF($A28="","",Y28*(SUMIFS('Reference Tables'!$C$879:$C$925,'Reference Tables'!$A$879:$A$925,BS$18,'Reference Tables'!$B$879:$B$925,BS$19)+IF($B28="EFR",SUMIFS('Reference Tables'!$D$879:$D$925,'Reference Tables'!$A$879:$A$925,BS$18,'Reference Tables'!$B$879:$B$925,BS$19)*($AU28*$AV28)^(SUMIFS('Reference Tables'!$E$879:$E$925,'Reference Tables'!$A$879:$A$925,BS$18,'Reference Tables'!$B$879:$B$925,BS$19)),0)))</f>
        <v/>
      </c>
      <c r="BT28" s="347" t="str">
        <f>IF($A28="","",Z28*(SUMIFS('Reference Tables'!$C$879:$C$925,'Reference Tables'!$A$879:$A$925,BT$18,'Reference Tables'!$B$879:$B$925,BT$19)+IF($B28="EFR",SUMIFS('Reference Tables'!$D$879:$D$925,'Reference Tables'!$A$879:$A$925,BT$18,'Reference Tables'!$B$879:$B$925,BT$19)*($AU28*$AV28)^(SUMIFS('Reference Tables'!$E$879:$E$925,'Reference Tables'!$A$879:$A$925,BT$18,'Reference Tables'!$B$879:$B$925,BT$19)),0)))</f>
        <v/>
      </c>
      <c r="BU28" s="347" t="str">
        <f>IF($A28="","",AA28*(SUMIFS('Reference Tables'!$C$879:$C$925,'Reference Tables'!$A$879:$A$925,BU$18,'Reference Tables'!$B$879:$B$925,BU$19)+IF($B28="EFR",SUMIFS('Reference Tables'!$D$879:$D$925,'Reference Tables'!$A$879:$A$925,BU$18,'Reference Tables'!$B$879:$B$925,BU$19)*($AU28*$AV28)^(SUMIFS('Reference Tables'!$E$879:$E$925,'Reference Tables'!$A$879:$A$925,BU$18,'Reference Tables'!$B$879:$B$925,BU$19)),0)))</f>
        <v/>
      </c>
      <c r="BV28" s="347" t="str">
        <f>IF($A28="","",AB28*(SUMIFS('Reference Tables'!$C$879:$C$925,'Reference Tables'!$A$879:$A$925,BV$18,'Reference Tables'!$B$879:$B$925,BV$19)+IF($B28="EFR",SUMIFS('Reference Tables'!$D$879:$D$925,'Reference Tables'!$A$879:$A$925,BV$18,'Reference Tables'!$B$879:$B$925,BV$19)*($AU28*$AV28)^(SUMIFS('Reference Tables'!$E$879:$E$925,'Reference Tables'!$A$879:$A$925,BV$18,'Reference Tables'!$B$879:$B$925,BV$19)),0)))</f>
        <v/>
      </c>
      <c r="BW28" s="347" t="str">
        <f>IF($A28="","",AC28*(SUMIFS('Reference Tables'!$C$879:$C$925,'Reference Tables'!$A$879:$A$925,BW$18,'Reference Tables'!$B$879:$B$925,BW$19)+IF($B28="EFR",SUMIFS('Reference Tables'!$D$879:$D$925,'Reference Tables'!$A$879:$A$925,BW$18,'Reference Tables'!$B$879:$B$925,BW$19)*($AU28*$AV28)^(SUMIFS('Reference Tables'!$E$879:$E$925,'Reference Tables'!$A$879:$A$925,BW$18,'Reference Tables'!$B$879:$B$925,BW$19)),0)))</f>
        <v/>
      </c>
      <c r="BX28" s="347" t="str">
        <f>IF($A28="","",AD28*(SUMIFS('Reference Tables'!$C$879:$C$925,'Reference Tables'!$A$879:$A$925,BX$18,'Reference Tables'!$B$879:$B$925,BX$19)+IF($B28="EFR",SUMIFS('Reference Tables'!$D$879:$D$925,'Reference Tables'!$A$879:$A$925,BX$18,'Reference Tables'!$B$879:$B$925,BX$19)*($AU28*$AV28)^(SUMIFS('Reference Tables'!$E$879:$E$925,'Reference Tables'!$A$879:$A$925,BX$18,'Reference Tables'!$B$879:$B$925,BX$19)),0)))</f>
        <v/>
      </c>
      <c r="BY28" s="347" t="str">
        <f>IF($A28="","",AE28*(SUMIFS('Reference Tables'!$C$879:$C$925,'Reference Tables'!$A$879:$A$925,BY$18,'Reference Tables'!$B$879:$B$925,BY$19)+IF($B28="EFR",SUMIFS('Reference Tables'!$D$879:$D$925,'Reference Tables'!$A$879:$A$925,BY$18,'Reference Tables'!$B$879:$B$925,BY$19)*($AU28*$AV28)^(SUMIFS('Reference Tables'!$E$879:$E$925,'Reference Tables'!$A$879:$A$925,BY$18,'Reference Tables'!$B$879:$B$925,BY$19)),0)))</f>
        <v/>
      </c>
      <c r="BZ28" s="347" t="str">
        <f>IF($A28="","",AF28*(SUMIFS('Reference Tables'!$C$879:$C$925,'Reference Tables'!$A$879:$A$925,BZ$18,'Reference Tables'!$B$879:$B$925,BZ$19)+IF($B28="EFR",SUMIFS('Reference Tables'!$D$879:$D$925,'Reference Tables'!$A$879:$A$925,BZ$18,'Reference Tables'!$B$879:$B$925,BZ$19)*($AU28*$AV28)^(SUMIFS('Reference Tables'!$E$879:$E$925,'Reference Tables'!$A$879:$A$925,BZ$18,'Reference Tables'!$B$879:$B$925,BZ$19)),0)))</f>
        <v/>
      </c>
      <c r="CA28" s="347" t="str">
        <f>IF($A28="","",AG28*(SUMIFS('Reference Tables'!$C$879:$C$925,'Reference Tables'!$A$879:$A$925,CA$18,'Reference Tables'!$B$879:$B$925,CA$19)+IF($B28="EFR",SUMIFS('Reference Tables'!$D$879:$D$925,'Reference Tables'!$A$879:$A$925,CA$18,'Reference Tables'!$B$879:$B$925,CA$19)*($AU28*$AV28)^(SUMIFS('Reference Tables'!$E$879:$E$925,'Reference Tables'!$A$879:$A$925,CA$18,'Reference Tables'!$B$879:$B$925,CA$19)),0)))</f>
        <v/>
      </c>
      <c r="CB28" s="347" t="str">
        <f>IF($A28="","",AH28*(SUMIFS('Reference Tables'!$C$879:$C$925,'Reference Tables'!$A$879:$A$925,CB$18,'Reference Tables'!$B$879:$B$925,CB$19)+IF($B28="EFR",SUMIFS('Reference Tables'!$D$879:$D$925,'Reference Tables'!$A$879:$A$925,CB$18,'Reference Tables'!$B$879:$B$925,CB$19)*($AU28*$AV28)^(SUMIFS('Reference Tables'!$E$879:$E$925,'Reference Tables'!$A$879:$A$925,CB$18,'Reference Tables'!$B$879:$B$925,CB$19)),0)))</f>
        <v/>
      </c>
      <c r="CC28" s="347" t="str">
        <f>IF($A28="","",AI28*(SUMIFS('Reference Tables'!$C$879:$C$925,'Reference Tables'!$A$879:$A$925,CC$18,'Reference Tables'!$B$879:$B$925,CC$19)+IF($B28="EFR",SUMIFS('Reference Tables'!$D$879:$D$925,'Reference Tables'!$A$879:$A$925,CC$18,'Reference Tables'!$B$879:$B$925,CC$19)*($AU28*$AV28)^(SUMIFS('Reference Tables'!$E$879:$E$925,'Reference Tables'!$A$879:$A$925,CC$18,'Reference Tables'!$B$879:$B$925,CC$19)),0)))</f>
        <v/>
      </c>
      <c r="CD28" s="347" t="str">
        <f>IF($A28="","",AJ28*(SUMIFS('Reference Tables'!$C$879:$C$925,'Reference Tables'!$A$879:$A$925,CD$18,'Reference Tables'!$B$879:$B$925,CD$19)+IF($B28="EFR",SUMIFS('Reference Tables'!$D$879:$D$925,'Reference Tables'!$A$879:$A$925,CD$18,'Reference Tables'!$B$879:$B$925,CD$19)*($AU28*$AV28)^(SUMIFS('Reference Tables'!$E$879:$E$925,'Reference Tables'!$A$879:$A$925,CD$18,'Reference Tables'!$B$879:$B$925,CD$19)),0)))</f>
        <v/>
      </c>
      <c r="CE28" s="347" t="str">
        <f>IF($A28="","",AK28*(SUMIFS('Reference Tables'!$C$879:$C$925,'Reference Tables'!$A$879:$A$925,CE$18,'Reference Tables'!$B$879:$B$925,CE$19)+IF($B28="EFR",SUMIFS('Reference Tables'!$D$879:$D$925,'Reference Tables'!$A$879:$A$925,CE$18,'Reference Tables'!$B$879:$B$925,CE$19)*($AU28*$AV28)^(SUMIFS('Reference Tables'!$E$879:$E$925,'Reference Tables'!$A$879:$A$925,CE$18,'Reference Tables'!$B$879:$B$925,CE$19)),0)))</f>
        <v/>
      </c>
      <c r="CF28" s="347" t="str">
        <f>IF($A28="","",AL28*(SUMIFS('Reference Tables'!$C$879:$C$925,'Reference Tables'!$A$879:$A$925,CF$18,'Reference Tables'!$B$879:$B$925,CF$19)+IF($B28="EFR",SUMIFS('Reference Tables'!$D$879:$D$925,'Reference Tables'!$A$879:$A$925,CF$18,'Reference Tables'!$B$879:$B$925,CF$19)*($AU28*$AV28)^(SUMIFS('Reference Tables'!$E$879:$E$925,'Reference Tables'!$A$879:$A$925,CF$18,'Reference Tables'!$B$879:$B$925,CF$19)),0)))</f>
        <v/>
      </c>
      <c r="CG28" s="347" t="str">
        <f>IF($A28="","",AM28*(SUMIFS('Reference Tables'!$C$879:$C$925,'Reference Tables'!$A$879:$A$925,CG$18,'Reference Tables'!$B$879:$B$925,CG$19)+IF($B28="EFR",SUMIFS('Reference Tables'!$D$879:$D$925,'Reference Tables'!$A$879:$A$925,CG$18,'Reference Tables'!$B$879:$B$925,CG$19)*($AU28*$AV28)^(SUMIFS('Reference Tables'!$E$879:$E$925,'Reference Tables'!$A$879:$A$925,CG$18,'Reference Tables'!$B$879:$B$925,CG$19)),0)))</f>
        <v/>
      </c>
      <c r="CH28" s="347" t="str">
        <f>IF($A28="","",AN28*(SUMIFS('Reference Tables'!$C$879:$C$925,'Reference Tables'!$A$879:$A$925,CH$18,'Reference Tables'!$B$879:$B$925,CH$19)+IF($B28="EFR",SUMIFS('Reference Tables'!$D$879:$D$925,'Reference Tables'!$A$879:$A$925,CH$18,'Reference Tables'!$B$879:$B$925,CH$19)*($AU28*$AV28)^(SUMIFS('Reference Tables'!$E$879:$E$925,'Reference Tables'!$A$879:$A$925,CH$18,'Reference Tables'!$B$879:$B$925,CH$19)),0)))</f>
        <v/>
      </c>
      <c r="CI28" s="347" t="str">
        <f>IF($A28="","",AO28*(SUMIFS('Reference Tables'!$C$879:$C$925,'Reference Tables'!$A$879:$A$925,CI$18,'Reference Tables'!$B$879:$B$925,CI$19)+IF($B28="EFR",SUMIFS('Reference Tables'!$D$879:$D$925,'Reference Tables'!$A$879:$A$925,CI$18,'Reference Tables'!$B$879:$B$925,CI$19)*($AU28*$AV28)^(SUMIFS('Reference Tables'!$E$879:$E$925,'Reference Tables'!$A$879:$A$925,CI$18,'Reference Tables'!$B$879:$B$925,CI$19)),0)))</f>
        <v/>
      </c>
      <c r="CJ28" s="347" t="str">
        <f>IF($A28="","",AP28*(SUMIFS('Reference Tables'!$C$879:$C$925,'Reference Tables'!$A$879:$A$925,CJ$18,'Reference Tables'!$B$879:$B$925,CJ$19)+IF($B28="EFR",SUMIFS('Reference Tables'!$D$879:$D$925,'Reference Tables'!$A$879:$A$925,CJ$18,'Reference Tables'!$B$879:$B$925,CJ$19)*($AU28*$AV28)^(SUMIFS('Reference Tables'!$E$879:$E$925,'Reference Tables'!$A$879:$A$925,CJ$18,'Reference Tables'!$B$879:$B$925,CJ$19)),0)))</f>
        <v/>
      </c>
      <c r="CK28" s="347" t="str">
        <f>IF($A28="","",AQ28*(SUMIFS('Reference Tables'!$C$879:$C$925,'Reference Tables'!$A$879:$A$925,CK$18,'Reference Tables'!$B$879:$B$925,CK$19)+IF($B28="EFR",SUMIFS('Reference Tables'!$D$879:$D$925,'Reference Tables'!$A$879:$A$925,CK$18,'Reference Tables'!$B$879:$B$925,CK$19)*($AU28*$AV28)^(SUMIFS('Reference Tables'!$E$879:$E$925,'Reference Tables'!$A$879:$A$925,CK$18,'Reference Tables'!$B$879:$B$925,CK$19)),0)))</f>
        <v/>
      </c>
      <c r="CL28" s="347" t="str">
        <f>IF($A28="","",AR28*(SUMIFS('Reference Tables'!$C$879:$C$925,'Reference Tables'!$A$879:$A$925,CL$18,'Reference Tables'!$B$879:$B$925,CL$19)+IF($B28="EFR",SUMIFS('Reference Tables'!$D$879:$D$925,'Reference Tables'!$A$879:$A$925,CL$18,'Reference Tables'!$B$879:$B$925,CL$19)*($AU28*$AV28)^(SUMIFS('Reference Tables'!$E$879:$E$925,'Reference Tables'!$A$879:$A$925,CL$18,'Reference Tables'!$B$879:$B$925,CL$19)),0)))</f>
        <v/>
      </c>
      <c r="CM28" s="347" t="str">
        <f>IF($A28="","",AS28*(SUMIFS('Reference Tables'!$C$879:$C$925,'Reference Tables'!$A$879:$A$925,CM$18,'Reference Tables'!$B$879:$B$925,CM$19)+IF($B28="EFR",SUMIFS('Reference Tables'!$D$879:$D$925,'Reference Tables'!$A$879:$A$925,CM$18,'Reference Tables'!$B$879:$B$925,CM$19)*($AU28*$AV28)^(SUMIFS('Reference Tables'!$E$879:$E$925,'Reference Tables'!$A$879:$A$925,CM$18,'Reference Tables'!$B$879:$B$925,CM$19)),0)))</f>
        <v/>
      </c>
      <c r="CN28" s="347" t="str">
        <f>IF($A28="","",AT28*(SUMIFS('Reference Tables'!$C$879:$C$925,'Reference Tables'!$A$879:$A$925,CN$18,'Reference Tables'!$B$879:$B$925,CN$19)+IF($B28="EFR",SUMIFS('Reference Tables'!$D$879:$D$925,'Reference Tables'!$A$879:$A$925,CN$18,'Reference Tables'!$B$879:$B$925,CN$19)*($AU28*$AV28)^(SUMIFS('Reference Tables'!$E$879:$E$925,'Reference Tables'!$A$879:$A$925,CN$18,'Reference Tables'!$B$879:$B$925,CN$19)),0)))</f>
        <v/>
      </c>
      <c r="CO28" s="347" t="str">
        <f t="shared" si="5"/>
        <v/>
      </c>
      <c r="CU28" s="250"/>
      <c r="CV28" s="250"/>
      <c r="CW28" s="250"/>
      <c r="CX28" s="250"/>
      <c r="CY28" s="250"/>
      <c r="CZ28" s="250"/>
      <c r="DA28" s="250"/>
      <c r="DB28" s="250"/>
      <c r="DC28" s="250"/>
      <c r="DD28" s="250"/>
      <c r="DE28" s="250"/>
      <c r="DF28" s="250"/>
      <c r="DG28" s="250"/>
      <c r="DH28" s="250"/>
      <c r="DI28" s="250"/>
      <c r="DJ28" s="250"/>
      <c r="DK28" s="250"/>
      <c r="DL28" s="250"/>
      <c r="DM28" s="250"/>
      <c r="DN28" s="250"/>
      <c r="DO28" s="250"/>
      <c r="DP28" s="250"/>
      <c r="DQ28" s="250"/>
      <c r="DR28" s="250"/>
      <c r="DS28" s="250"/>
      <c r="DT28" s="250"/>
      <c r="DU28" s="250"/>
      <c r="DV28" s="250"/>
      <c r="DW28" s="250"/>
      <c r="DX28" s="250"/>
      <c r="DY28" s="250"/>
      <c r="DZ28" s="250"/>
      <c r="EA28" s="250"/>
      <c r="EB28" s="250"/>
      <c r="EC28" s="250"/>
      <c r="ED28" s="250"/>
      <c r="EE28" s="250"/>
      <c r="EF28" s="250"/>
      <c r="EG28" s="250"/>
      <c r="EH28" s="250"/>
      <c r="EI28" s="250"/>
      <c r="EJ28" s="250"/>
      <c r="EK28" s="250"/>
      <c r="EL28" s="250"/>
      <c r="EM28" s="250"/>
    </row>
    <row r="29" spans="1:143">
      <c r="A29" s="342" t="str">
        <f>IF('Fitting Data'!A22&lt;&gt;"",'Fitting Data'!A22,"")</f>
        <v/>
      </c>
      <c r="B29" s="343" t="str">
        <f>IF($A29="","",INDEX('Tank Data'!$1:$1048576,MATCH($A29,'Tank Data'!$A:$A,0),MATCH(B$17,'Tank Data'!$9:$9,0)))</f>
        <v/>
      </c>
      <c r="C29" s="344" t="str">
        <f>IF($A29="","",IF('Fitting Data'!$B22&lt;&gt;"Typical",'Fitting Data'!C22,'Fitting Data'!BG22))</f>
        <v/>
      </c>
      <c r="D29" s="344" t="str">
        <f>IF($A29="","",IF('Fitting Data'!$B22&lt;&gt;"Typical",'Fitting Data'!D22,'Fitting Data'!BH22))</f>
        <v/>
      </c>
      <c r="E29" s="344" t="str">
        <f>IF($A29="","",IF('Fitting Data'!$B22&lt;&gt;"Typical",'Fitting Data'!E22,'Fitting Data'!BI22))</f>
        <v/>
      </c>
      <c r="F29" s="344" t="str">
        <f>IF($A29="","",IF('Fitting Data'!$B22&lt;&gt;"Typical",'Fitting Data'!F22,'Fitting Data'!BJ22))</f>
        <v/>
      </c>
      <c r="G29" s="344" t="str">
        <f>IF($A29="","",IF('Fitting Data'!$B22&lt;&gt;"Typical",'Fitting Data'!G22,'Fitting Data'!BK22))</f>
        <v/>
      </c>
      <c r="H29" s="344" t="str">
        <f>IF($A29="","",IF('Fitting Data'!$B22&lt;&gt;"Typical",'Fitting Data'!H22,'Fitting Data'!BL22))</f>
        <v/>
      </c>
      <c r="I29" s="344" t="str">
        <f>IF($A29="","",IF('Fitting Data'!$B22&lt;&gt;"Typical",'Fitting Data'!I22,'Fitting Data'!BM22))</f>
        <v/>
      </c>
      <c r="J29" s="344" t="str">
        <f>IF($A29="","",IF('Fitting Data'!$B22&lt;&gt;"Typical",'Fitting Data'!J22,'Fitting Data'!BN22))</f>
        <v/>
      </c>
      <c r="K29" s="344" t="str">
        <f>IF($A29="","",IF('Fitting Data'!$B22&lt;&gt;"Typical",'Fitting Data'!K22,'Fitting Data'!BO22))</f>
        <v/>
      </c>
      <c r="L29" s="344" t="str">
        <f>IF($A29="","",IF('Fitting Data'!$B22&lt;&gt;"Typical",'Fitting Data'!L22,'Fitting Data'!BP22))</f>
        <v/>
      </c>
      <c r="M29" s="344" t="str">
        <f>IF($A29="","",IF('Fitting Data'!$B22&lt;&gt;"Typical",'Fitting Data'!M22,'Fitting Data'!BQ22))</f>
        <v/>
      </c>
      <c r="N29" s="344" t="str">
        <f>IF($A29="","",IF('Fitting Data'!$B22&lt;&gt;"Typical",'Fitting Data'!N22,'Fitting Data'!BR22))</f>
        <v/>
      </c>
      <c r="O29" s="344" t="str">
        <f>IF($A29="","",IF('Fitting Data'!$B22&lt;&gt;"Typical",'Fitting Data'!O22,'Fitting Data'!BS22))</f>
        <v/>
      </c>
      <c r="P29" s="344" t="str">
        <f>IF($A29="","",IF('Fitting Data'!$B22&lt;&gt;"Typical",'Fitting Data'!P22,'Fitting Data'!BT22))</f>
        <v/>
      </c>
      <c r="Q29" s="344" t="str">
        <f>IF($A29="","",IF('Fitting Data'!$B22&lt;&gt;"Typical",'Fitting Data'!Q22,'Fitting Data'!BU22))</f>
        <v/>
      </c>
      <c r="R29" s="344" t="str">
        <f>IF($A29="","",IF('Fitting Data'!$B22&lt;&gt;"Typical",'Fitting Data'!R22,'Fitting Data'!BV22))</f>
        <v/>
      </c>
      <c r="S29" s="344" t="str">
        <f>IF($A29="","",IF('Fitting Data'!$B22&lt;&gt;"Typical",'Fitting Data'!S22,'Fitting Data'!BW22))</f>
        <v/>
      </c>
      <c r="T29" s="344" t="str">
        <f>IF($A29="","",IF('Fitting Data'!$B22&lt;&gt;"Typical",'Fitting Data'!T22,'Fitting Data'!BX22))</f>
        <v/>
      </c>
      <c r="U29" s="344" t="str">
        <f>IF($A29="","",IF('Fitting Data'!$B22&lt;&gt;"Typical",'Fitting Data'!U22,'Fitting Data'!BY22))</f>
        <v/>
      </c>
      <c r="V29" s="344" t="str">
        <f>IF($A29="","",IF('Fitting Data'!$B22&lt;&gt;"Typical",'Fitting Data'!V22,'Fitting Data'!BZ22))</f>
        <v/>
      </c>
      <c r="W29" s="344" t="str">
        <f>IF($A29="","",IF('Fitting Data'!$B22&lt;&gt;"Typical",'Fitting Data'!W22,'Fitting Data'!CA22))</f>
        <v/>
      </c>
      <c r="X29" s="344" t="str">
        <f>IF($A29="","",IF('Fitting Data'!$B22&lt;&gt;"Typical",'Fitting Data'!X22,'Fitting Data'!CB22))</f>
        <v/>
      </c>
      <c r="Y29" s="344" t="str">
        <f>IF($A29="","",IF('Fitting Data'!$B22&lt;&gt;"Typical",'Fitting Data'!Y22,'Fitting Data'!CC22))</f>
        <v/>
      </c>
      <c r="Z29" s="344" t="str">
        <f>IF($A29="","",IF('Fitting Data'!$B22&lt;&gt;"Typical",'Fitting Data'!Z22,'Fitting Data'!CD22))</f>
        <v/>
      </c>
      <c r="AA29" s="344" t="str">
        <f>IF($A29="","",IF('Fitting Data'!$B22&lt;&gt;"Typical",'Fitting Data'!AA22,'Fitting Data'!CE22))</f>
        <v/>
      </c>
      <c r="AB29" s="344" t="str">
        <f>IF($A29="","",IF('Fitting Data'!$B22&lt;&gt;"Typical",'Fitting Data'!AB22,'Fitting Data'!CF22))</f>
        <v/>
      </c>
      <c r="AC29" s="344" t="str">
        <f>IF($A29="","",IF('Fitting Data'!$B22&lt;&gt;"Typical",'Fitting Data'!AC22,'Fitting Data'!CG22))</f>
        <v/>
      </c>
      <c r="AD29" s="344" t="str">
        <f>IF($A29="","",IF('Fitting Data'!$B22&lt;&gt;"Typical",'Fitting Data'!AD22,'Fitting Data'!CH22))</f>
        <v/>
      </c>
      <c r="AE29" s="344" t="str">
        <f>IF($A29="","",IF('Fitting Data'!$B22&lt;&gt;"Typical",'Fitting Data'!AE22,'Fitting Data'!CI22))</f>
        <v/>
      </c>
      <c r="AF29" s="344" t="str">
        <f>IF($A29="","",IF('Fitting Data'!$B22&lt;&gt;"Typical",'Fitting Data'!AF22,'Fitting Data'!CJ22))</f>
        <v/>
      </c>
      <c r="AG29" s="344" t="str">
        <f>IF($A29="","",IF('Fitting Data'!$B22&lt;&gt;"Typical",'Fitting Data'!AG22,'Fitting Data'!CK22))</f>
        <v/>
      </c>
      <c r="AH29" s="344" t="str">
        <f>IF($A29="","",IF('Fitting Data'!$B22&lt;&gt;"Typical",'Fitting Data'!AH22,'Fitting Data'!CL22))</f>
        <v/>
      </c>
      <c r="AI29" s="344" t="str">
        <f>IF($A29="","",IF('Fitting Data'!$B22&lt;&gt;"Typical",'Fitting Data'!AI22,'Fitting Data'!CM22))</f>
        <v/>
      </c>
      <c r="AJ29" s="344" t="str">
        <f>IF($A29="","",IF('Fitting Data'!$B22&lt;&gt;"Typical",'Fitting Data'!AJ22,'Fitting Data'!CN22))</f>
        <v/>
      </c>
      <c r="AK29" s="344" t="str">
        <f>IF($A29="","",IF('Fitting Data'!$B22&lt;&gt;"Typical",'Fitting Data'!AK22,'Fitting Data'!CO22))</f>
        <v/>
      </c>
      <c r="AL29" s="344" t="str">
        <f>IF($A29="","",IF('Fitting Data'!$B22&lt;&gt;"Typical",'Fitting Data'!AL22,'Fitting Data'!CP22))</f>
        <v/>
      </c>
      <c r="AM29" s="344" t="str">
        <f>IF($A29="","",IF('Fitting Data'!$B22&lt;&gt;"Typical",'Fitting Data'!AM22,'Fitting Data'!CQ22))</f>
        <v/>
      </c>
      <c r="AN29" s="344" t="str">
        <f>IF($A29="","",IF('Fitting Data'!$B22&lt;&gt;"Typical",'Fitting Data'!AN22,'Fitting Data'!CR22))</f>
        <v/>
      </c>
      <c r="AO29" s="344" t="str">
        <f>IF($A29="","",IF('Fitting Data'!$B22&lt;&gt;"Typical",'Fitting Data'!AO22,'Fitting Data'!CS22))</f>
        <v/>
      </c>
      <c r="AP29" s="344" t="str">
        <f>IF($A29="","",IF('Fitting Data'!$B22&lt;&gt;"Typical",'Fitting Data'!AP22,'Fitting Data'!CT22))</f>
        <v/>
      </c>
      <c r="AQ29" s="344" t="str">
        <f>IF($A29="","",IF('Fitting Data'!$B22&lt;&gt;"Typical",'Fitting Data'!AQ22,'Fitting Data'!CU22))</f>
        <v/>
      </c>
      <c r="AR29" s="344" t="str">
        <f>IF($A29="","",IF('Fitting Data'!$B22&lt;&gt;"Typical",'Fitting Data'!AR22,'Fitting Data'!CV22))</f>
        <v/>
      </c>
      <c r="AS29" s="344" t="str">
        <f>IF($A29="","",IF('Fitting Data'!$B22&lt;&gt;"Typical",'Fitting Data'!AS22,'Fitting Data'!CW22))</f>
        <v/>
      </c>
      <c r="AT29" s="344" t="str">
        <f>IF($A29="","",IF('Fitting Data'!$B22&lt;&gt;"Typical",'Fitting Data'!AT22,'Fitting Data'!CX22))</f>
        <v/>
      </c>
      <c r="AU29" s="345" t="str">
        <f>IF($A29="","",IF($B29="EFR",'Met Data'!$H$23,0))</f>
        <v/>
      </c>
      <c r="AV29" s="346" t="str">
        <f t="shared" si="4"/>
        <v/>
      </c>
      <c r="AW29" s="347" t="str">
        <f>IF($A29="","",C29*(SUMIFS('Reference Tables'!$C$879:$C$925,'Reference Tables'!$A$879:$A$925,AW$18,'Reference Tables'!$B$879:$B$925,AW$19)+IF($B29="EFR",SUMIFS('Reference Tables'!$D$879:$D$925,'Reference Tables'!$A$879:$A$925,AW$18,'Reference Tables'!$B$879:$B$925,AW$19)*($AU29*$AV29)^(SUMIFS('Reference Tables'!$E$879:$E$925,'Reference Tables'!$A$879:$A$925,AW$18,'Reference Tables'!$B$879:$B$925,AW$19)),0)))</f>
        <v/>
      </c>
      <c r="AX29" s="347" t="str">
        <f>IF($A29="","",D29*(SUMIFS('Reference Tables'!$C$879:$C$925,'Reference Tables'!$A$879:$A$925,AX$18,'Reference Tables'!$B$879:$B$925,AX$19)+IF($B29="EFR",SUMIFS('Reference Tables'!$D$879:$D$925,'Reference Tables'!$A$879:$A$925,AX$18,'Reference Tables'!$B$879:$B$925,AX$19)*($AU29*$AV29)^(SUMIFS('Reference Tables'!$E$879:$E$925,'Reference Tables'!$A$879:$A$925,AX$18,'Reference Tables'!$B$879:$B$925,AX$19)),0)))</f>
        <v/>
      </c>
      <c r="AY29" s="347" t="str">
        <f>IF($A29="","",E29*(SUMIFS('Reference Tables'!$C$879:$C$925,'Reference Tables'!$A$879:$A$925,AY$18,'Reference Tables'!$B$879:$B$925,AY$19)+IF($B29="EFR",SUMIFS('Reference Tables'!$D$879:$D$925,'Reference Tables'!$A$879:$A$925,AY$18,'Reference Tables'!$B$879:$B$925,AY$19)*($AU29*$AV29)^(SUMIFS('Reference Tables'!$E$879:$E$925,'Reference Tables'!$A$879:$A$925,AY$18,'Reference Tables'!$B$879:$B$925,AY$19)),0)))</f>
        <v/>
      </c>
      <c r="AZ29" s="347" t="str">
        <f>IF($A29="","",F29*(SUMIFS('Reference Tables'!$C$879:$C$925,'Reference Tables'!$A$879:$A$925,AZ$18,'Reference Tables'!$B$879:$B$925,AZ$19)+IF($B29="EFR",SUMIFS('Reference Tables'!$D$879:$D$925,'Reference Tables'!$A$879:$A$925,AZ$18,'Reference Tables'!$B$879:$B$925,AZ$19)*($AU29*$AV29)^(SUMIFS('Reference Tables'!$E$879:$E$925,'Reference Tables'!$A$879:$A$925,AZ$18,'Reference Tables'!$B$879:$B$925,AZ$19)),0)))</f>
        <v/>
      </c>
      <c r="BA29" s="347" t="str">
        <f>IF($A29="","",G29*(SUMIFS('Reference Tables'!$C$879:$C$925,'Reference Tables'!$A$879:$A$925,BA$18,'Reference Tables'!$B$879:$B$925,BA$19)+IF($B29="EFR",SUMIFS('Reference Tables'!$D$879:$D$925,'Reference Tables'!$A$879:$A$925,BA$18,'Reference Tables'!$B$879:$B$925,BA$19)*($AU29*$AV29)^(SUMIFS('Reference Tables'!$E$879:$E$925,'Reference Tables'!$A$879:$A$925,BA$18,'Reference Tables'!$B$879:$B$925,BA$19)),0)))</f>
        <v/>
      </c>
      <c r="BB29" s="347" t="str">
        <f>IF($A29="","",H29*(SUMIFS('Reference Tables'!$C$879:$C$925,'Reference Tables'!$A$879:$A$925,BB$18,'Reference Tables'!$B$879:$B$925,BB$19)+IF($B29="EFR",SUMIFS('Reference Tables'!$D$879:$D$925,'Reference Tables'!$A$879:$A$925,BB$18,'Reference Tables'!$B$879:$B$925,BB$19)*($AU29*$AV29)^(SUMIFS('Reference Tables'!$E$879:$E$925,'Reference Tables'!$A$879:$A$925,BB$18,'Reference Tables'!$B$879:$B$925,BB$19)),0)))</f>
        <v/>
      </c>
      <c r="BC29" s="347" t="str">
        <f>IF($A29="","",I29*(SUMIFS('Reference Tables'!$C$879:$C$925,'Reference Tables'!$A$879:$A$925,BC$18,'Reference Tables'!$B$879:$B$925,BC$19)+IF($B29="EFR",SUMIFS('Reference Tables'!$D$879:$D$925,'Reference Tables'!$A$879:$A$925,BC$18,'Reference Tables'!$B$879:$B$925,BC$19)*($AU29*$AV29)^(SUMIFS('Reference Tables'!$E$879:$E$925,'Reference Tables'!$A$879:$A$925,BC$18,'Reference Tables'!$B$879:$B$925,BC$19)),0)))</f>
        <v/>
      </c>
      <c r="BD29" s="347" t="str">
        <f>IF($A29="","",J29*(SUMIFS('Reference Tables'!$C$879:$C$925,'Reference Tables'!$A$879:$A$925,BD$18,'Reference Tables'!$B$879:$B$925,BD$19)+IF($B29="EFR",SUMIFS('Reference Tables'!$D$879:$D$925,'Reference Tables'!$A$879:$A$925,BD$18,'Reference Tables'!$B$879:$B$925,BD$19)*($AU29*$AV29)^(SUMIFS('Reference Tables'!$E$879:$E$925,'Reference Tables'!$A$879:$A$925,BD$18,'Reference Tables'!$B$879:$B$925,BD$19)),0)))</f>
        <v/>
      </c>
      <c r="BE29" s="347" t="str">
        <f>IF($A29="","",K29*(SUMIFS('Reference Tables'!$C$879:$C$925,'Reference Tables'!$A$879:$A$925,BE$18,'Reference Tables'!$B$879:$B$925,BE$19)+IF($B29="EFR",SUMIFS('Reference Tables'!$D$879:$D$925,'Reference Tables'!$A$879:$A$925,BE$18,'Reference Tables'!$B$879:$B$925,BE$19)*($AU29*$AV29)^(SUMIFS('Reference Tables'!$E$879:$E$925,'Reference Tables'!$A$879:$A$925,BE$18,'Reference Tables'!$B$879:$B$925,BE$19)),0)))</f>
        <v/>
      </c>
      <c r="BF29" s="347" t="str">
        <f>IF($A29="","",L29*(SUMIFS('Reference Tables'!$C$879:$C$925,'Reference Tables'!$A$879:$A$925,BF$18,'Reference Tables'!$B$879:$B$925,BF$19)+IF($B29="EFR",SUMIFS('Reference Tables'!$D$879:$D$925,'Reference Tables'!$A$879:$A$925,BF$18,'Reference Tables'!$B$879:$B$925,BF$19)*($AU29*$AV29)^(SUMIFS('Reference Tables'!$E$879:$E$925,'Reference Tables'!$A$879:$A$925,BF$18,'Reference Tables'!$B$879:$B$925,BF$19)),0)))</f>
        <v/>
      </c>
      <c r="BG29" s="347" t="str">
        <f>IF($A29="","",M29*(SUMIFS('Reference Tables'!$C$879:$C$925,'Reference Tables'!$A$879:$A$925,BG$18,'Reference Tables'!$B$879:$B$925,BG$19)+IF($B29="EFR",SUMIFS('Reference Tables'!$D$879:$D$925,'Reference Tables'!$A$879:$A$925,BG$18,'Reference Tables'!$B$879:$B$925,BG$19)*($AU29*$AV29)^(SUMIFS('Reference Tables'!$E$879:$E$925,'Reference Tables'!$A$879:$A$925,BG$18,'Reference Tables'!$B$879:$B$925,BG$19)),0)))</f>
        <v/>
      </c>
      <c r="BH29" s="347" t="str">
        <f>IF($A29="","",N29*(SUMIFS('Reference Tables'!$C$879:$C$925,'Reference Tables'!$A$879:$A$925,BH$18,'Reference Tables'!$B$879:$B$925,BH$19)+IF($B29="EFR",SUMIFS('Reference Tables'!$D$879:$D$925,'Reference Tables'!$A$879:$A$925,BH$18,'Reference Tables'!$B$879:$B$925,BH$19)*($AU29*$AV29)^(SUMIFS('Reference Tables'!$E$879:$E$925,'Reference Tables'!$A$879:$A$925,BH$18,'Reference Tables'!$B$879:$B$925,BH$19)),0)))</f>
        <v/>
      </c>
      <c r="BI29" s="347" t="str">
        <f>IF($A29="","",O29*(SUMIFS('Reference Tables'!$C$879:$C$925,'Reference Tables'!$A$879:$A$925,BI$18,'Reference Tables'!$B$879:$B$925,BI$19)+IF($B29="EFR",SUMIFS('Reference Tables'!$D$879:$D$925,'Reference Tables'!$A$879:$A$925,BI$18,'Reference Tables'!$B$879:$B$925,BI$19)*($AU29*$AV29)^(SUMIFS('Reference Tables'!$E$879:$E$925,'Reference Tables'!$A$879:$A$925,BI$18,'Reference Tables'!$B$879:$B$925,BI$19)),0)))</f>
        <v/>
      </c>
      <c r="BJ29" s="347" t="str">
        <f>IF($A29="","",P29*(SUMIFS('Reference Tables'!$C$879:$C$925,'Reference Tables'!$A$879:$A$925,BJ$18,'Reference Tables'!$B$879:$B$925,BJ$19)+IF($B29="EFR",SUMIFS('Reference Tables'!$D$879:$D$925,'Reference Tables'!$A$879:$A$925,BJ$18,'Reference Tables'!$B$879:$B$925,BJ$19)*($AU29*$AV29)^(SUMIFS('Reference Tables'!$E$879:$E$925,'Reference Tables'!$A$879:$A$925,BJ$18,'Reference Tables'!$B$879:$B$925,BJ$19)),0)))</f>
        <v/>
      </c>
      <c r="BK29" s="347" t="str">
        <f>IF($A29="","",Q29*(SUMIFS('Reference Tables'!$C$879:$C$925,'Reference Tables'!$A$879:$A$925,BK$18,'Reference Tables'!$B$879:$B$925,BK$19)+IF($B29="EFR",SUMIFS('Reference Tables'!$D$879:$D$925,'Reference Tables'!$A$879:$A$925,BK$18,'Reference Tables'!$B$879:$B$925,BK$19)*($AU29*$AV29)^(SUMIFS('Reference Tables'!$E$879:$E$925,'Reference Tables'!$A$879:$A$925,BK$18,'Reference Tables'!$B$879:$B$925,BK$19)),0)))</f>
        <v/>
      </c>
      <c r="BL29" s="347" t="str">
        <f>IF($A29="","",R29*(SUMIFS('Reference Tables'!$C$879:$C$925,'Reference Tables'!$A$879:$A$925,BL$18,'Reference Tables'!$B$879:$B$925,BL$19)+IF($B29="EFR",SUMIFS('Reference Tables'!$D$879:$D$925,'Reference Tables'!$A$879:$A$925,BL$18,'Reference Tables'!$B$879:$B$925,BL$19)*($AU29*$AV29)^(SUMIFS('Reference Tables'!$E$879:$E$925,'Reference Tables'!$A$879:$A$925,BL$18,'Reference Tables'!$B$879:$B$925,BL$19)),0)))</f>
        <v/>
      </c>
      <c r="BM29" s="347" t="str">
        <f>IF($A29="","",S29*(SUMIFS('Reference Tables'!$C$879:$C$925,'Reference Tables'!$A$879:$A$925,BM$18,'Reference Tables'!$B$879:$B$925,BM$19)+IF($B29="EFR",SUMIFS('Reference Tables'!$D$879:$D$925,'Reference Tables'!$A$879:$A$925,BM$18,'Reference Tables'!$B$879:$B$925,BM$19)*($AU29*$AV29)^(SUMIFS('Reference Tables'!$E$879:$E$925,'Reference Tables'!$A$879:$A$925,BM$18,'Reference Tables'!$B$879:$B$925,BM$19)),0)))</f>
        <v/>
      </c>
      <c r="BN29" s="347" t="str">
        <f>IF($A29="","",T29*(SUMIFS('Reference Tables'!$C$879:$C$925,'Reference Tables'!$A$879:$A$925,BN$18,'Reference Tables'!$B$879:$B$925,BN$19)+IF($B29="EFR",SUMIFS('Reference Tables'!$D$879:$D$925,'Reference Tables'!$A$879:$A$925,BN$18,'Reference Tables'!$B$879:$B$925,BN$19)*($AU29*$AV29)^(SUMIFS('Reference Tables'!$E$879:$E$925,'Reference Tables'!$A$879:$A$925,BN$18,'Reference Tables'!$B$879:$B$925,BN$19)),0)))</f>
        <v/>
      </c>
      <c r="BO29" s="347" t="str">
        <f>IF($A29="","",U29*(SUMIFS('Reference Tables'!$C$879:$C$925,'Reference Tables'!$A$879:$A$925,BO$18,'Reference Tables'!$B$879:$B$925,BO$19)+IF($B29="EFR",SUMIFS('Reference Tables'!$D$879:$D$925,'Reference Tables'!$A$879:$A$925,BO$18,'Reference Tables'!$B$879:$B$925,BO$19)*($AU29*$AV29)^(SUMIFS('Reference Tables'!$E$879:$E$925,'Reference Tables'!$A$879:$A$925,BO$18,'Reference Tables'!$B$879:$B$925,BO$19)),0)))</f>
        <v/>
      </c>
      <c r="BP29" s="347" t="str">
        <f>IF($A29="","",V29*(SUMIFS('Reference Tables'!$C$879:$C$925,'Reference Tables'!$A$879:$A$925,BP$18,'Reference Tables'!$B$879:$B$925,BP$19)+IF($B29="EFR",SUMIFS('Reference Tables'!$D$879:$D$925,'Reference Tables'!$A$879:$A$925,BP$18,'Reference Tables'!$B$879:$B$925,BP$19)*($AU29*$AV29)^(SUMIFS('Reference Tables'!$E$879:$E$925,'Reference Tables'!$A$879:$A$925,BP$18,'Reference Tables'!$B$879:$B$925,BP$19)),0)))</f>
        <v/>
      </c>
      <c r="BQ29" s="347" t="str">
        <f>IF($A29="","",W29*(SUMIFS('Reference Tables'!$C$879:$C$925,'Reference Tables'!$A$879:$A$925,BQ$18,'Reference Tables'!$B$879:$B$925,BQ$19)+IF($B29="EFR",SUMIFS('Reference Tables'!$D$879:$D$925,'Reference Tables'!$A$879:$A$925,BQ$18,'Reference Tables'!$B$879:$B$925,BQ$19)*($AU29*$AV29)^(SUMIFS('Reference Tables'!$E$879:$E$925,'Reference Tables'!$A$879:$A$925,BQ$18,'Reference Tables'!$B$879:$B$925,BQ$19)),0)))</f>
        <v/>
      </c>
      <c r="BR29" s="347" t="str">
        <f>IF($A29="","",X29*(SUMIFS('Reference Tables'!$C$879:$C$925,'Reference Tables'!$A$879:$A$925,BR$18,'Reference Tables'!$B$879:$B$925,BR$19)+IF($B29="EFR",SUMIFS('Reference Tables'!$D$879:$D$925,'Reference Tables'!$A$879:$A$925,BR$18,'Reference Tables'!$B$879:$B$925,BR$19)*($AU29*$AV29)^(SUMIFS('Reference Tables'!$E$879:$E$925,'Reference Tables'!$A$879:$A$925,BR$18,'Reference Tables'!$B$879:$B$925,BR$19)),0)))</f>
        <v/>
      </c>
      <c r="BS29" s="347" t="str">
        <f>IF($A29="","",Y29*(SUMIFS('Reference Tables'!$C$879:$C$925,'Reference Tables'!$A$879:$A$925,BS$18,'Reference Tables'!$B$879:$B$925,BS$19)+IF($B29="EFR",SUMIFS('Reference Tables'!$D$879:$D$925,'Reference Tables'!$A$879:$A$925,BS$18,'Reference Tables'!$B$879:$B$925,BS$19)*($AU29*$AV29)^(SUMIFS('Reference Tables'!$E$879:$E$925,'Reference Tables'!$A$879:$A$925,BS$18,'Reference Tables'!$B$879:$B$925,BS$19)),0)))</f>
        <v/>
      </c>
      <c r="BT29" s="347" t="str">
        <f>IF($A29="","",Z29*(SUMIFS('Reference Tables'!$C$879:$C$925,'Reference Tables'!$A$879:$A$925,BT$18,'Reference Tables'!$B$879:$B$925,BT$19)+IF($B29="EFR",SUMIFS('Reference Tables'!$D$879:$D$925,'Reference Tables'!$A$879:$A$925,BT$18,'Reference Tables'!$B$879:$B$925,BT$19)*($AU29*$AV29)^(SUMIFS('Reference Tables'!$E$879:$E$925,'Reference Tables'!$A$879:$A$925,BT$18,'Reference Tables'!$B$879:$B$925,BT$19)),0)))</f>
        <v/>
      </c>
      <c r="BU29" s="347" t="str">
        <f>IF($A29="","",AA29*(SUMIFS('Reference Tables'!$C$879:$C$925,'Reference Tables'!$A$879:$A$925,BU$18,'Reference Tables'!$B$879:$B$925,BU$19)+IF($B29="EFR",SUMIFS('Reference Tables'!$D$879:$D$925,'Reference Tables'!$A$879:$A$925,BU$18,'Reference Tables'!$B$879:$B$925,BU$19)*($AU29*$AV29)^(SUMIFS('Reference Tables'!$E$879:$E$925,'Reference Tables'!$A$879:$A$925,BU$18,'Reference Tables'!$B$879:$B$925,BU$19)),0)))</f>
        <v/>
      </c>
      <c r="BV29" s="347" t="str">
        <f>IF($A29="","",AB29*(SUMIFS('Reference Tables'!$C$879:$C$925,'Reference Tables'!$A$879:$A$925,BV$18,'Reference Tables'!$B$879:$B$925,BV$19)+IF($B29="EFR",SUMIFS('Reference Tables'!$D$879:$D$925,'Reference Tables'!$A$879:$A$925,BV$18,'Reference Tables'!$B$879:$B$925,BV$19)*($AU29*$AV29)^(SUMIFS('Reference Tables'!$E$879:$E$925,'Reference Tables'!$A$879:$A$925,BV$18,'Reference Tables'!$B$879:$B$925,BV$19)),0)))</f>
        <v/>
      </c>
      <c r="BW29" s="347" t="str">
        <f>IF($A29="","",AC29*(SUMIFS('Reference Tables'!$C$879:$C$925,'Reference Tables'!$A$879:$A$925,BW$18,'Reference Tables'!$B$879:$B$925,BW$19)+IF($B29="EFR",SUMIFS('Reference Tables'!$D$879:$D$925,'Reference Tables'!$A$879:$A$925,BW$18,'Reference Tables'!$B$879:$B$925,BW$19)*($AU29*$AV29)^(SUMIFS('Reference Tables'!$E$879:$E$925,'Reference Tables'!$A$879:$A$925,BW$18,'Reference Tables'!$B$879:$B$925,BW$19)),0)))</f>
        <v/>
      </c>
      <c r="BX29" s="347" t="str">
        <f>IF($A29="","",AD29*(SUMIFS('Reference Tables'!$C$879:$C$925,'Reference Tables'!$A$879:$A$925,BX$18,'Reference Tables'!$B$879:$B$925,BX$19)+IF($B29="EFR",SUMIFS('Reference Tables'!$D$879:$D$925,'Reference Tables'!$A$879:$A$925,BX$18,'Reference Tables'!$B$879:$B$925,BX$19)*($AU29*$AV29)^(SUMIFS('Reference Tables'!$E$879:$E$925,'Reference Tables'!$A$879:$A$925,BX$18,'Reference Tables'!$B$879:$B$925,BX$19)),0)))</f>
        <v/>
      </c>
      <c r="BY29" s="347" t="str">
        <f>IF($A29="","",AE29*(SUMIFS('Reference Tables'!$C$879:$C$925,'Reference Tables'!$A$879:$A$925,BY$18,'Reference Tables'!$B$879:$B$925,BY$19)+IF($B29="EFR",SUMIFS('Reference Tables'!$D$879:$D$925,'Reference Tables'!$A$879:$A$925,BY$18,'Reference Tables'!$B$879:$B$925,BY$19)*($AU29*$AV29)^(SUMIFS('Reference Tables'!$E$879:$E$925,'Reference Tables'!$A$879:$A$925,BY$18,'Reference Tables'!$B$879:$B$925,BY$19)),0)))</f>
        <v/>
      </c>
      <c r="BZ29" s="347" t="str">
        <f>IF($A29="","",AF29*(SUMIFS('Reference Tables'!$C$879:$C$925,'Reference Tables'!$A$879:$A$925,BZ$18,'Reference Tables'!$B$879:$B$925,BZ$19)+IF($B29="EFR",SUMIFS('Reference Tables'!$D$879:$D$925,'Reference Tables'!$A$879:$A$925,BZ$18,'Reference Tables'!$B$879:$B$925,BZ$19)*($AU29*$AV29)^(SUMIFS('Reference Tables'!$E$879:$E$925,'Reference Tables'!$A$879:$A$925,BZ$18,'Reference Tables'!$B$879:$B$925,BZ$19)),0)))</f>
        <v/>
      </c>
      <c r="CA29" s="347" t="str">
        <f>IF($A29="","",AG29*(SUMIFS('Reference Tables'!$C$879:$C$925,'Reference Tables'!$A$879:$A$925,CA$18,'Reference Tables'!$B$879:$B$925,CA$19)+IF($B29="EFR",SUMIFS('Reference Tables'!$D$879:$D$925,'Reference Tables'!$A$879:$A$925,CA$18,'Reference Tables'!$B$879:$B$925,CA$19)*($AU29*$AV29)^(SUMIFS('Reference Tables'!$E$879:$E$925,'Reference Tables'!$A$879:$A$925,CA$18,'Reference Tables'!$B$879:$B$925,CA$19)),0)))</f>
        <v/>
      </c>
      <c r="CB29" s="347" t="str">
        <f>IF($A29="","",AH29*(SUMIFS('Reference Tables'!$C$879:$C$925,'Reference Tables'!$A$879:$A$925,CB$18,'Reference Tables'!$B$879:$B$925,CB$19)+IF($B29="EFR",SUMIFS('Reference Tables'!$D$879:$D$925,'Reference Tables'!$A$879:$A$925,CB$18,'Reference Tables'!$B$879:$B$925,CB$19)*($AU29*$AV29)^(SUMIFS('Reference Tables'!$E$879:$E$925,'Reference Tables'!$A$879:$A$925,CB$18,'Reference Tables'!$B$879:$B$925,CB$19)),0)))</f>
        <v/>
      </c>
      <c r="CC29" s="347" t="str">
        <f>IF($A29="","",AI29*(SUMIFS('Reference Tables'!$C$879:$C$925,'Reference Tables'!$A$879:$A$925,CC$18,'Reference Tables'!$B$879:$B$925,CC$19)+IF($B29="EFR",SUMIFS('Reference Tables'!$D$879:$D$925,'Reference Tables'!$A$879:$A$925,CC$18,'Reference Tables'!$B$879:$B$925,CC$19)*($AU29*$AV29)^(SUMIFS('Reference Tables'!$E$879:$E$925,'Reference Tables'!$A$879:$A$925,CC$18,'Reference Tables'!$B$879:$B$925,CC$19)),0)))</f>
        <v/>
      </c>
      <c r="CD29" s="347" t="str">
        <f>IF($A29="","",AJ29*(SUMIFS('Reference Tables'!$C$879:$C$925,'Reference Tables'!$A$879:$A$925,CD$18,'Reference Tables'!$B$879:$B$925,CD$19)+IF($B29="EFR",SUMIFS('Reference Tables'!$D$879:$D$925,'Reference Tables'!$A$879:$A$925,CD$18,'Reference Tables'!$B$879:$B$925,CD$19)*($AU29*$AV29)^(SUMIFS('Reference Tables'!$E$879:$E$925,'Reference Tables'!$A$879:$A$925,CD$18,'Reference Tables'!$B$879:$B$925,CD$19)),0)))</f>
        <v/>
      </c>
      <c r="CE29" s="347" t="str">
        <f>IF($A29="","",AK29*(SUMIFS('Reference Tables'!$C$879:$C$925,'Reference Tables'!$A$879:$A$925,CE$18,'Reference Tables'!$B$879:$B$925,CE$19)+IF($B29="EFR",SUMIFS('Reference Tables'!$D$879:$D$925,'Reference Tables'!$A$879:$A$925,CE$18,'Reference Tables'!$B$879:$B$925,CE$19)*($AU29*$AV29)^(SUMIFS('Reference Tables'!$E$879:$E$925,'Reference Tables'!$A$879:$A$925,CE$18,'Reference Tables'!$B$879:$B$925,CE$19)),0)))</f>
        <v/>
      </c>
      <c r="CF29" s="347" t="str">
        <f>IF($A29="","",AL29*(SUMIFS('Reference Tables'!$C$879:$C$925,'Reference Tables'!$A$879:$A$925,CF$18,'Reference Tables'!$B$879:$B$925,CF$19)+IF($B29="EFR",SUMIFS('Reference Tables'!$D$879:$D$925,'Reference Tables'!$A$879:$A$925,CF$18,'Reference Tables'!$B$879:$B$925,CF$19)*($AU29*$AV29)^(SUMIFS('Reference Tables'!$E$879:$E$925,'Reference Tables'!$A$879:$A$925,CF$18,'Reference Tables'!$B$879:$B$925,CF$19)),0)))</f>
        <v/>
      </c>
      <c r="CG29" s="347" t="str">
        <f>IF($A29="","",AM29*(SUMIFS('Reference Tables'!$C$879:$C$925,'Reference Tables'!$A$879:$A$925,CG$18,'Reference Tables'!$B$879:$B$925,CG$19)+IF($B29="EFR",SUMIFS('Reference Tables'!$D$879:$D$925,'Reference Tables'!$A$879:$A$925,CG$18,'Reference Tables'!$B$879:$B$925,CG$19)*($AU29*$AV29)^(SUMIFS('Reference Tables'!$E$879:$E$925,'Reference Tables'!$A$879:$A$925,CG$18,'Reference Tables'!$B$879:$B$925,CG$19)),0)))</f>
        <v/>
      </c>
      <c r="CH29" s="347" t="str">
        <f>IF($A29="","",AN29*(SUMIFS('Reference Tables'!$C$879:$C$925,'Reference Tables'!$A$879:$A$925,CH$18,'Reference Tables'!$B$879:$B$925,CH$19)+IF($B29="EFR",SUMIFS('Reference Tables'!$D$879:$D$925,'Reference Tables'!$A$879:$A$925,CH$18,'Reference Tables'!$B$879:$B$925,CH$19)*($AU29*$AV29)^(SUMIFS('Reference Tables'!$E$879:$E$925,'Reference Tables'!$A$879:$A$925,CH$18,'Reference Tables'!$B$879:$B$925,CH$19)),0)))</f>
        <v/>
      </c>
      <c r="CI29" s="347" t="str">
        <f>IF($A29="","",AO29*(SUMIFS('Reference Tables'!$C$879:$C$925,'Reference Tables'!$A$879:$A$925,CI$18,'Reference Tables'!$B$879:$B$925,CI$19)+IF($B29="EFR",SUMIFS('Reference Tables'!$D$879:$D$925,'Reference Tables'!$A$879:$A$925,CI$18,'Reference Tables'!$B$879:$B$925,CI$19)*($AU29*$AV29)^(SUMIFS('Reference Tables'!$E$879:$E$925,'Reference Tables'!$A$879:$A$925,CI$18,'Reference Tables'!$B$879:$B$925,CI$19)),0)))</f>
        <v/>
      </c>
      <c r="CJ29" s="347" t="str">
        <f>IF($A29="","",AP29*(SUMIFS('Reference Tables'!$C$879:$C$925,'Reference Tables'!$A$879:$A$925,CJ$18,'Reference Tables'!$B$879:$B$925,CJ$19)+IF($B29="EFR",SUMIFS('Reference Tables'!$D$879:$D$925,'Reference Tables'!$A$879:$A$925,CJ$18,'Reference Tables'!$B$879:$B$925,CJ$19)*($AU29*$AV29)^(SUMIFS('Reference Tables'!$E$879:$E$925,'Reference Tables'!$A$879:$A$925,CJ$18,'Reference Tables'!$B$879:$B$925,CJ$19)),0)))</f>
        <v/>
      </c>
      <c r="CK29" s="347" t="str">
        <f>IF($A29="","",AQ29*(SUMIFS('Reference Tables'!$C$879:$C$925,'Reference Tables'!$A$879:$A$925,CK$18,'Reference Tables'!$B$879:$B$925,CK$19)+IF($B29="EFR",SUMIFS('Reference Tables'!$D$879:$D$925,'Reference Tables'!$A$879:$A$925,CK$18,'Reference Tables'!$B$879:$B$925,CK$19)*($AU29*$AV29)^(SUMIFS('Reference Tables'!$E$879:$E$925,'Reference Tables'!$A$879:$A$925,CK$18,'Reference Tables'!$B$879:$B$925,CK$19)),0)))</f>
        <v/>
      </c>
      <c r="CL29" s="347" t="str">
        <f>IF($A29="","",AR29*(SUMIFS('Reference Tables'!$C$879:$C$925,'Reference Tables'!$A$879:$A$925,CL$18,'Reference Tables'!$B$879:$B$925,CL$19)+IF($B29="EFR",SUMIFS('Reference Tables'!$D$879:$D$925,'Reference Tables'!$A$879:$A$925,CL$18,'Reference Tables'!$B$879:$B$925,CL$19)*($AU29*$AV29)^(SUMIFS('Reference Tables'!$E$879:$E$925,'Reference Tables'!$A$879:$A$925,CL$18,'Reference Tables'!$B$879:$B$925,CL$19)),0)))</f>
        <v/>
      </c>
      <c r="CM29" s="347" t="str">
        <f>IF($A29="","",AS29*(SUMIFS('Reference Tables'!$C$879:$C$925,'Reference Tables'!$A$879:$A$925,CM$18,'Reference Tables'!$B$879:$B$925,CM$19)+IF($B29="EFR",SUMIFS('Reference Tables'!$D$879:$D$925,'Reference Tables'!$A$879:$A$925,CM$18,'Reference Tables'!$B$879:$B$925,CM$19)*($AU29*$AV29)^(SUMIFS('Reference Tables'!$E$879:$E$925,'Reference Tables'!$A$879:$A$925,CM$18,'Reference Tables'!$B$879:$B$925,CM$19)),0)))</f>
        <v/>
      </c>
      <c r="CN29" s="347" t="str">
        <f>IF($A29="","",AT29*(SUMIFS('Reference Tables'!$C$879:$C$925,'Reference Tables'!$A$879:$A$925,CN$18,'Reference Tables'!$B$879:$B$925,CN$19)+IF($B29="EFR",SUMIFS('Reference Tables'!$D$879:$D$925,'Reference Tables'!$A$879:$A$925,CN$18,'Reference Tables'!$B$879:$B$925,CN$19)*($AU29*$AV29)^(SUMIFS('Reference Tables'!$E$879:$E$925,'Reference Tables'!$A$879:$A$925,CN$18,'Reference Tables'!$B$879:$B$925,CN$19)),0)))</f>
        <v/>
      </c>
      <c r="CO29" s="347" t="str">
        <f t="shared" si="5"/>
        <v/>
      </c>
      <c r="CU29" s="250"/>
      <c r="CV29" s="250"/>
      <c r="CW29" s="250"/>
      <c r="CX29" s="250"/>
      <c r="CY29" s="250"/>
      <c r="CZ29" s="250"/>
      <c r="DA29" s="250"/>
      <c r="DB29" s="250"/>
      <c r="DC29" s="250"/>
      <c r="DD29" s="250"/>
      <c r="DE29" s="250"/>
      <c r="DF29" s="250"/>
      <c r="DG29" s="250"/>
      <c r="DH29" s="250"/>
      <c r="DI29" s="250"/>
      <c r="DJ29" s="250"/>
      <c r="DK29" s="250"/>
      <c r="DL29" s="250"/>
      <c r="DM29" s="250"/>
      <c r="DN29" s="250"/>
      <c r="DO29" s="250"/>
      <c r="DP29" s="250"/>
      <c r="DQ29" s="250"/>
      <c r="DR29" s="250"/>
      <c r="DS29" s="250"/>
      <c r="DT29" s="250"/>
      <c r="DU29" s="250"/>
      <c r="DV29" s="250"/>
      <c r="DW29" s="250"/>
      <c r="DX29" s="250"/>
      <c r="DY29" s="250"/>
      <c r="DZ29" s="250"/>
      <c r="EA29" s="250"/>
      <c r="EB29" s="250"/>
      <c r="EC29" s="250"/>
      <c r="ED29" s="250"/>
      <c r="EE29" s="250"/>
      <c r="EF29" s="250"/>
      <c r="EG29" s="250"/>
      <c r="EH29" s="250"/>
      <c r="EI29" s="250"/>
      <c r="EJ29" s="250"/>
      <c r="EK29" s="250"/>
      <c r="EL29" s="250"/>
      <c r="EM29" s="250"/>
    </row>
    <row r="30" spans="1:143">
      <c r="G30" s="308"/>
      <c r="AU30" s="250"/>
      <c r="AV30" s="250"/>
    </row>
    <row r="31" spans="1:143">
      <c r="G31" s="308"/>
      <c r="AU31" s="250"/>
      <c r="AV31" s="250"/>
    </row>
    <row r="32" spans="1:143">
      <c r="G32" s="308"/>
      <c r="AU32" s="250"/>
      <c r="AV32" s="250"/>
    </row>
    <row r="33" spans="4:48">
      <c r="G33" s="308"/>
      <c r="AU33" s="250"/>
      <c r="AV33" s="250"/>
    </row>
    <row r="34" spans="4:48">
      <c r="G34" s="308"/>
      <c r="AU34" s="250"/>
      <c r="AV34" s="250"/>
    </row>
    <row r="35" spans="4:48">
      <c r="G35" s="308"/>
      <c r="AU35" s="250"/>
      <c r="AV35" s="250"/>
    </row>
    <row r="36" spans="4:48">
      <c r="G36" s="308"/>
      <c r="AU36" s="250"/>
      <c r="AV36" s="250"/>
    </row>
    <row r="37" spans="4:48">
      <c r="G37" s="308"/>
      <c r="AU37" s="250"/>
      <c r="AV37" s="250"/>
    </row>
    <row r="38" spans="4:48">
      <c r="D38" s="286"/>
      <c r="E38" s="286"/>
      <c r="G38" s="308"/>
      <c r="AU38" s="250"/>
      <c r="AV38" s="250"/>
    </row>
    <row r="39" spans="4:48">
      <c r="D39" s="286"/>
      <c r="E39" s="286"/>
      <c r="G39" s="308"/>
      <c r="AU39" s="250"/>
      <c r="AV39" s="250"/>
    </row>
    <row r="40" spans="4:48">
      <c r="D40" s="286"/>
      <c r="E40" s="286"/>
      <c r="G40" s="308"/>
      <c r="AU40" s="250"/>
      <c r="AV40" s="250"/>
    </row>
    <row r="41" spans="4:48">
      <c r="D41" s="286"/>
      <c r="E41" s="286"/>
      <c r="G41" s="308"/>
      <c r="AU41" s="250"/>
      <c r="AV41" s="250"/>
    </row>
    <row r="42" spans="4:48">
      <c r="D42" s="286"/>
      <c r="E42" s="286"/>
      <c r="G42" s="308"/>
      <c r="AU42" s="250"/>
      <c r="AV42" s="250"/>
    </row>
    <row r="43" spans="4:48">
      <c r="D43" s="286"/>
      <c r="E43" s="286"/>
      <c r="G43" s="308"/>
      <c r="AU43" s="250"/>
      <c r="AV43" s="250"/>
    </row>
    <row r="44" spans="4:48">
      <c r="D44" s="286"/>
      <c r="E44" s="286"/>
      <c r="G44" s="308"/>
      <c r="AU44" s="250"/>
      <c r="AV44" s="250"/>
    </row>
    <row r="45" spans="4:48">
      <c r="D45" s="286"/>
      <c r="E45" s="286"/>
      <c r="G45" s="308"/>
      <c r="AU45" s="250"/>
      <c r="AV45" s="250"/>
    </row>
    <row r="46" spans="4:48">
      <c r="D46" s="286"/>
      <c r="E46" s="286"/>
      <c r="G46" s="308"/>
      <c r="AU46" s="250"/>
      <c r="AV46" s="250"/>
    </row>
    <row r="47" spans="4:48">
      <c r="D47" s="286"/>
      <c r="E47" s="286"/>
      <c r="G47" s="308"/>
      <c r="AU47" s="250"/>
      <c r="AV47" s="250"/>
    </row>
    <row r="48" spans="4:48">
      <c r="D48" s="286"/>
      <c r="E48" s="286"/>
      <c r="G48" s="308"/>
      <c r="AU48" s="250"/>
      <c r="AV48" s="250"/>
    </row>
    <row r="49" spans="4:48">
      <c r="D49" s="286"/>
      <c r="E49" s="286"/>
      <c r="G49" s="308"/>
      <c r="AU49" s="250"/>
      <c r="AV49" s="250"/>
    </row>
    <row r="50" spans="4:48">
      <c r="D50" s="286"/>
      <c r="E50" s="286"/>
      <c r="G50" s="308"/>
      <c r="AU50" s="250"/>
      <c r="AV50" s="250"/>
    </row>
    <row r="51" spans="4:48">
      <c r="D51" s="286"/>
      <c r="E51" s="286"/>
      <c r="G51" s="308"/>
      <c r="AU51" s="250"/>
      <c r="AV51" s="250"/>
    </row>
    <row r="52" spans="4:48">
      <c r="D52" s="286"/>
      <c r="E52" s="286"/>
      <c r="G52" s="308"/>
      <c r="AU52" s="250"/>
      <c r="AV52" s="250"/>
    </row>
    <row r="53" spans="4:48">
      <c r="D53" s="286"/>
      <c r="E53" s="286"/>
      <c r="G53" s="308"/>
      <c r="AU53" s="250"/>
      <c r="AV53" s="250"/>
    </row>
    <row r="54" spans="4:48">
      <c r="D54" s="286"/>
      <c r="E54" s="286"/>
      <c r="G54" s="308"/>
      <c r="AU54" s="250"/>
      <c r="AV54" s="250"/>
    </row>
    <row r="55" spans="4:48">
      <c r="D55" s="286"/>
      <c r="E55" s="286"/>
      <c r="G55" s="308"/>
      <c r="AU55" s="250"/>
      <c r="AV55" s="250"/>
    </row>
    <row r="56" spans="4:48">
      <c r="D56" s="286"/>
      <c r="E56" s="286"/>
      <c r="G56" s="308"/>
      <c r="AU56" s="250"/>
      <c r="AV56" s="250"/>
    </row>
    <row r="57" spans="4:48">
      <c r="D57" s="286"/>
      <c r="E57" s="286"/>
      <c r="G57" s="308"/>
      <c r="AU57" s="250"/>
      <c r="AV57" s="250"/>
    </row>
    <row r="58" spans="4:48">
      <c r="G58" s="308"/>
      <c r="AU58" s="250"/>
      <c r="AV58" s="250"/>
    </row>
    <row r="59" spans="4:48">
      <c r="G59" s="308"/>
      <c r="AU59" s="250"/>
      <c r="AV59" s="250"/>
    </row>
    <row r="60" spans="4:48">
      <c r="G60" s="308"/>
      <c r="AU60" s="250"/>
      <c r="AV60" s="250"/>
    </row>
    <row r="61" spans="4:48">
      <c r="G61" s="308"/>
      <c r="AU61" s="250"/>
      <c r="AV61" s="250"/>
    </row>
    <row r="62" spans="4:48">
      <c r="G62" s="308"/>
    </row>
    <row r="63" spans="4:48">
      <c r="G63" s="308"/>
    </row>
    <row r="64" spans="4:48">
      <c r="G64" s="308"/>
    </row>
    <row r="65" spans="7:7">
      <c r="G65" s="308"/>
    </row>
    <row r="66" spans="7:7">
      <c r="G66" s="308"/>
    </row>
    <row r="67" spans="7:7">
      <c r="G67" s="308"/>
    </row>
    <row r="68" spans="7:7">
      <c r="G68" s="308"/>
    </row>
    <row r="69" spans="7:7">
      <c r="G69" s="308"/>
    </row>
    <row r="70" spans="7:7">
      <c r="G70" s="308"/>
    </row>
    <row r="71" spans="7:7">
      <c r="G71" s="308"/>
    </row>
    <row r="72" spans="7:7">
      <c r="G72" s="308"/>
    </row>
    <row r="73" spans="7:7">
      <c r="G73" s="308"/>
    </row>
    <row r="74" spans="7:7">
      <c r="G74" s="308"/>
    </row>
    <row r="75" spans="7:7">
      <c r="G75" s="308"/>
    </row>
    <row r="76" spans="7:7">
      <c r="G76" s="308"/>
    </row>
    <row r="77" spans="7:7">
      <c r="G77" s="308"/>
    </row>
    <row r="78" spans="7:7">
      <c r="G78" s="308"/>
    </row>
    <row r="79" spans="7:7">
      <c r="G79" s="308"/>
    </row>
    <row r="80" spans="7:7">
      <c r="G80" s="308"/>
    </row>
    <row r="81" spans="7:7">
      <c r="G81" s="308"/>
    </row>
    <row r="82" spans="7:7">
      <c r="G82" s="308"/>
    </row>
    <row r="83" spans="7:7">
      <c r="G83" s="308"/>
    </row>
    <row r="84" spans="7:7">
      <c r="G84" s="308"/>
    </row>
    <row r="85" spans="7:7">
      <c r="G85" s="308"/>
    </row>
    <row r="86" spans="7:7">
      <c r="G86" s="308"/>
    </row>
    <row r="87" spans="7:7">
      <c r="G87" s="308"/>
    </row>
    <row r="88" spans="7:7">
      <c r="G88" s="308"/>
    </row>
    <row r="89" spans="7:7">
      <c r="G89" s="308"/>
    </row>
    <row r="90" spans="7:7">
      <c r="G90" s="308"/>
    </row>
    <row r="91" spans="7:7">
      <c r="G91" s="308"/>
    </row>
    <row r="92" spans="7:7">
      <c r="G92" s="308"/>
    </row>
    <row r="93" spans="7:7">
      <c r="G93" s="308"/>
    </row>
    <row r="94" spans="7:7">
      <c r="G94" s="308"/>
    </row>
    <row r="95" spans="7:7">
      <c r="G95" s="308"/>
    </row>
    <row r="96" spans="7:7">
      <c r="G96" s="308"/>
    </row>
    <row r="97" spans="7:7">
      <c r="G97" s="308"/>
    </row>
    <row r="98" spans="7:7">
      <c r="G98" s="308"/>
    </row>
    <row r="99" spans="7:7">
      <c r="G99" s="308"/>
    </row>
    <row r="100" spans="7:7">
      <c r="G100" s="308"/>
    </row>
    <row r="101" spans="7:7">
      <c r="G101" s="308"/>
    </row>
    <row r="102" spans="7:7">
      <c r="G102" s="308"/>
    </row>
    <row r="103" spans="7:7">
      <c r="G103" s="308"/>
    </row>
    <row r="104" spans="7:7">
      <c r="G104" s="308"/>
    </row>
    <row r="105" spans="7:7">
      <c r="G105" s="308"/>
    </row>
    <row r="106" spans="7:7">
      <c r="G106" s="308"/>
    </row>
    <row r="107" spans="7:7">
      <c r="G107" s="308"/>
    </row>
    <row r="108" spans="7:7">
      <c r="G108" s="308"/>
    </row>
    <row r="109" spans="7:7">
      <c r="G109" s="308"/>
    </row>
    <row r="110" spans="7:7">
      <c r="G110" s="308"/>
    </row>
    <row r="111" spans="7:7">
      <c r="G111" s="308"/>
    </row>
    <row r="112" spans="7:7">
      <c r="G112" s="308"/>
    </row>
    <row r="113" spans="7:7">
      <c r="G113" s="308"/>
    </row>
    <row r="114" spans="7:7">
      <c r="G114" s="308"/>
    </row>
    <row r="115" spans="7:7">
      <c r="G115" s="308"/>
    </row>
    <row r="116" spans="7:7">
      <c r="G116" s="308"/>
    </row>
    <row r="117" spans="7:7">
      <c r="G117" s="308"/>
    </row>
    <row r="118" spans="7:7">
      <c r="G118" s="308"/>
    </row>
    <row r="119" spans="7:7">
      <c r="G119" s="308"/>
    </row>
    <row r="120" spans="7:7">
      <c r="G120" s="308"/>
    </row>
    <row r="121" spans="7:7">
      <c r="G121" s="308"/>
    </row>
    <row r="122" spans="7:7">
      <c r="G122" s="308"/>
    </row>
    <row r="123" spans="7:7">
      <c r="G123" s="308"/>
    </row>
    <row r="124" spans="7:7">
      <c r="G124" s="308"/>
    </row>
    <row r="125" spans="7:7">
      <c r="G125" s="308"/>
    </row>
    <row r="126" spans="7:7">
      <c r="G126" s="308"/>
    </row>
    <row r="127" spans="7:7">
      <c r="G127" s="308"/>
    </row>
    <row r="128" spans="7:7">
      <c r="G128" s="308"/>
    </row>
    <row r="129" spans="7:7">
      <c r="G129" s="308"/>
    </row>
    <row r="130" spans="7:7">
      <c r="G130" s="308"/>
    </row>
    <row r="131" spans="7:7">
      <c r="G131" s="308"/>
    </row>
    <row r="132" spans="7:7">
      <c r="G132" s="308"/>
    </row>
    <row r="133" spans="7:7">
      <c r="G133" s="308"/>
    </row>
    <row r="134" spans="7:7">
      <c r="G134" s="308"/>
    </row>
    <row r="135" spans="7:7">
      <c r="G135" s="308"/>
    </row>
    <row r="136" spans="7:7">
      <c r="G136" s="308"/>
    </row>
    <row r="137" spans="7:7">
      <c r="G137" s="308"/>
    </row>
    <row r="138" spans="7:7">
      <c r="G138" s="308"/>
    </row>
    <row r="139" spans="7:7">
      <c r="G139" s="308"/>
    </row>
  </sheetData>
  <mergeCells count="6">
    <mergeCell ref="A17:A19"/>
    <mergeCell ref="B17:B19"/>
    <mergeCell ref="AU17:AU19"/>
    <mergeCell ref="AV17:AV19"/>
    <mergeCell ref="CO17:CO19"/>
    <mergeCell ref="AG18:AG19"/>
  </mergeCells>
  <printOptions horizontalCentered="1"/>
  <pageMargins left="0.25" right="0.25" top="0.75" bottom="0.75" header="0.3" footer="0.3"/>
  <pageSetup scale="55" orientation="landscape" r:id="rId1"/>
  <headerFooter>
    <oddFooter>&amp;L&amp;F&amp;CPage &amp;P of &amp;N&amp;R&amp;D</oddFooter>
  </headerFooter>
  <colBreaks count="4" manualBreakCount="4">
    <brk id="15" max="40" man="1"/>
    <brk id="33" max="1048575" man="1"/>
    <brk id="48" max="29" man="1"/>
    <brk id="69" max="40" man="1"/>
  </col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9AC2-64BB-42E2-BB04-76C98F802237}">
  <sheetPr codeName="Sheet9">
    <pageSetUpPr fitToPage="1"/>
  </sheetPr>
  <dimension ref="A1:AA1058"/>
  <sheetViews>
    <sheetView workbookViewId="0">
      <selection sqref="A1:XFD1048576"/>
    </sheetView>
  </sheetViews>
  <sheetFormatPr defaultColWidth="8.90625" defaultRowHeight="14"/>
  <cols>
    <col min="1" max="1" width="31.6328125" style="354" customWidth="1"/>
    <col min="2" max="2" width="24.36328125" style="354" customWidth="1"/>
    <col min="3" max="3" width="22" style="354" customWidth="1"/>
    <col min="4" max="4" width="21.453125" style="354" customWidth="1"/>
    <col min="5" max="5" width="18.36328125" style="354" customWidth="1"/>
    <col min="6" max="6" width="17.36328125" style="354" customWidth="1"/>
    <col min="7" max="7" width="24.36328125" style="354" customWidth="1"/>
    <col min="8" max="8" width="11.36328125" style="354" customWidth="1"/>
    <col min="9" max="9" width="34" style="354" customWidth="1"/>
    <col min="10" max="10" width="12.453125" style="354" customWidth="1"/>
    <col min="11" max="11" width="12.54296875" style="354" customWidth="1"/>
    <col min="12" max="12" width="26.36328125" style="354" customWidth="1"/>
    <col min="13" max="21" width="8.90625" style="354"/>
    <col min="22" max="22" width="41.453125" style="354" customWidth="1"/>
    <col min="23" max="23" width="8.90625" style="354"/>
    <col min="24" max="24" width="19.453125" style="354" customWidth="1"/>
    <col min="25" max="25" width="23.08984375" style="354" customWidth="1"/>
    <col min="26" max="26" width="14" style="354" customWidth="1"/>
    <col min="27" max="27" width="30.36328125" style="354" customWidth="1"/>
    <col min="28" max="16384" width="8.90625" style="354"/>
  </cols>
  <sheetData>
    <row r="1" spans="1:12" s="353" customFormat="1" ht="18">
      <c r="A1" s="1" t="s">
        <v>0</v>
      </c>
      <c r="B1" s="350"/>
      <c r="C1" s="350"/>
      <c r="D1" s="350"/>
      <c r="E1" s="350"/>
      <c r="F1" s="350"/>
      <c r="G1" s="350"/>
      <c r="H1" s="350"/>
      <c r="I1" s="350"/>
      <c r="J1" s="351"/>
      <c r="K1" s="4" t="s">
        <v>2</v>
      </c>
      <c r="L1" s="352"/>
    </row>
    <row r="2" spans="1:12" s="353" customFormat="1" ht="18">
      <c r="A2" s="9" t="str">
        <f>[1]Summary!A2</f>
        <v>Client Name</v>
      </c>
      <c r="B2" s="350"/>
      <c r="C2" s="350"/>
      <c r="D2" s="350"/>
      <c r="E2" s="350"/>
      <c r="F2" s="350"/>
      <c r="G2" s="350"/>
      <c r="H2" s="350"/>
      <c r="I2" s="350"/>
      <c r="J2" s="351"/>
      <c r="K2" s="13" t="s">
        <v>980</v>
      </c>
      <c r="L2" s="352"/>
    </row>
    <row r="3" spans="1:12" s="353" customFormat="1" ht="18">
      <c r="A3" s="9" t="str">
        <f>[1]Summary!A3</f>
        <v>Client Facility</v>
      </c>
      <c r="B3" s="350"/>
      <c r="C3" s="350"/>
      <c r="D3" s="350"/>
      <c r="E3" s="350"/>
      <c r="F3" s="350"/>
      <c r="G3" s="350"/>
      <c r="H3" s="350"/>
      <c r="I3" s="350"/>
      <c r="J3" s="351"/>
      <c r="K3" s="352"/>
      <c r="L3" s="352"/>
    </row>
    <row r="4" spans="1:12" s="353" customFormat="1" ht="18">
      <c r="A4" s="1" t="s">
        <v>981</v>
      </c>
      <c r="B4" s="350"/>
      <c r="C4" s="350"/>
      <c r="D4" s="350"/>
      <c r="E4" s="350"/>
      <c r="F4" s="350"/>
      <c r="G4" s="350"/>
      <c r="H4" s="350"/>
      <c r="I4" s="350"/>
      <c r="J4" s="351"/>
      <c r="K4" s="352"/>
      <c r="L4" s="352"/>
    </row>
    <row r="5" spans="1:12">
      <c r="J5" s="355"/>
    </row>
    <row r="6" spans="1:12">
      <c r="A6" s="356" t="s">
        <v>982</v>
      </c>
      <c r="B6" s="135"/>
      <c r="C6" s="135"/>
      <c r="G6" s="355"/>
    </row>
    <row r="7" spans="1:12" ht="42">
      <c r="A7" s="86" t="s">
        <v>983</v>
      </c>
      <c r="B7" s="225" t="s">
        <v>984</v>
      </c>
      <c r="C7" s="225" t="s">
        <v>985</v>
      </c>
      <c r="G7" s="355"/>
      <c r="K7" s="32"/>
    </row>
    <row r="8" spans="1:12">
      <c r="A8" s="303" t="s">
        <v>986</v>
      </c>
      <c r="B8" s="357">
        <v>0.39</v>
      </c>
      <c r="C8" s="357">
        <v>0.49</v>
      </c>
      <c r="G8" s="355"/>
      <c r="K8" s="13"/>
    </row>
    <row r="9" spans="1:12">
      <c r="A9" s="303" t="s">
        <v>987</v>
      </c>
      <c r="B9" s="357">
        <v>0.6</v>
      </c>
      <c r="C9" s="357">
        <v>0.68</v>
      </c>
      <c r="G9" s="355"/>
    </row>
    <row r="10" spans="1:12">
      <c r="A10" s="303" t="s">
        <v>988</v>
      </c>
      <c r="B10" s="357">
        <v>0.1</v>
      </c>
      <c r="C10" s="357">
        <v>0.15</v>
      </c>
      <c r="G10" s="355"/>
    </row>
    <row r="11" spans="1:12">
      <c r="A11" s="303" t="s">
        <v>989</v>
      </c>
      <c r="B11" s="357">
        <v>0.35</v>
      </c>
      <c r="C11" s="357">
        <v>0.49</v>
      </c>
      <c r="G11" s="355"/>
    </row>
    <row r="12" spans="1:12">
      <c r="A12" s="303" t="s">
        <v>990</v>
      </c>
      <c r="B12" s="357">
        <v>0.97</v>
      </c>
      <c r="C12" s="357">
        <v>0.97</v>
      </c>
      <c r="G12" s="355"/>
    </row>
    <row r="13" spans="1:12">
      <c r="A13" s="303" t="s">
        <v>991</v>
      </c>
      <c r="B13" s="357">
        <v>0.57999999999999996</v>
      </c>
      <c r="C13" s="357">
        <v>0.67</v>
      </c>
      <c r="G13" s="355"/>
    </row>
    <row r="14" spans="1:12">
      <c r="A14" s="303" t="s">
        <v>992</v>
      </c>
      <c r="B14" s="357">
        <v>0.54</v>
      </c>
      <c r="C14" s="357">
        <v>0.63</v>
      </c>
      <c r="G14" s="355"/>
    </row>
    <row r="15" spans="1:12">
      <c r="A15" s="303" t="s">
        <v>993</v>
      </c>
      <c r="B15" s="357">
        <v>0.68</v>
      </c>
      <c r="C15" s="357">
        <v>0.74</v>
      </c>
      <c r="G15" s="355"/>
    </row>
    <row r="16" spans="1:12">
      <c r="A16" s="303" t="s">
        <v>994</v>
      </c>
      <c r="B16" s="357">
        <v>0.89</v>
      </c>
      <c r="C16" s="357">
        <v>0.91</v>
      </c>
      <c r="G16" s="355"/>
    </row>
    <row r="17" spans="1:13">
      <c r="A17" s="303" t="s">
        <v>995</v>
      </c>
      <c r="B17" s="357">
        <v>0.89</v>
      </c>
      <c r="C17" s="357">
        <v>0.91</v>
      </c>
      <c r="G17" s="355"/>
    </row>
    <row r="18" spans="1:13">
      <c r="A18" s="303" t="s">
        <v>996</v>
      </c>
      <c r="B18" s="357">
        <v>0.38</v>
      </c>
      <c r="C18" s="357">
        <v>0.5</v>
      </c>
      <c r="G18" s="355"/>
    </row>
    <row r="19" spans="1:13">
      <c r="A19" s="303" t="s">
        <v>997</v>
      </c>
      <c r="B19" s="357">
        <v>0.43</v>
      </c>
      <c r="C19" s="357">
        <v>0.55000000000000004</v>
      </c>
      <c r="G19" s="355"/>
    </row>
    <row r="20" spans="1:13">
      <c r="A20" s="303" t="s">
        <v>801</v>
      </c>
      <c r="B20" s="357">
        <v>0.17</v>
      </c>
      <c r="C20" s="357">
        <v>0.34</v>
      </c>
      <c r="G20" s="355"/>
    </row>
    <row r="21" spans="1:13">
      <c r="A21" s="358"/>
    </row>
    <row r="22" spans="1:13" ht="17">
      <c r="A22" s="314" t="s">
        <v>998</v>
      </c>
      <c r="B22" s="135"/>
      <c r="C22" s="135"/>
      <c r="D22" s="135"/>
      <c r="E22" s="135"/>
      <c r="F22" s="135"/>
      <c r="G22" s="135"/>
      <c r="H22" s="352"/>
      <c r="I22" s="352"/>
    </row>
    <row r="23" spans="1:13" ht="59">
      <c r="A23" s="85" t="s">
        <v>704</v>
      </c>
      <c r="B23" s="85" t="s">
        <v>707</v>
      </c>
      <c r="C23" s="85" t="s">
        <v>999</v>
      </c>
      <c r="D23" s="85" t="s">
        <v>1000</v>
      </c>
      <c r="E23" s="85" t="s">
        <v>1001</v>
      </c>
      <c r="F23" s="85" t="s">
        <v>1002</v>
      </c>
      <c r="G23" s="359" t="s">
        <v>1003</v>
      </c>
      <c r="I23" s="85" t="s">
        <v>1004</v>
      </c>
      <c r="K23" s="360"/>
    </row>
    <row r="24" spans="1:13" s="365" customFormat="1">
      <c r="A24" s="361" t="s">
        <v>1005</v>
      </c>
      <c r="B24" s="181">
        <v>1</v>
      </c>
      <c r="C24" s="362">
        <v>33</v>
      </c>
      <c r="D24" s="362">
        <v>52.7</v>
      </c>
      <c r="E24" s="363">
        <v>707</v>
      </c>
      <c r="F24" s="362">
        <v>7.2</v>
      </c>
      <c r="G24" s="364">
        <v>14.442</v>
      </c>
      <c r="I24" s="361" t="s">
        <v>1005</v>
      </c>
      <c r="K24" s="360"/>
      <c r="L24" s="354"/>
      <c r="M24" s="354"/>
    </row>
    <row r="25" spans="1:13" s="365" customFormat="1">
      <c r="A25" s="361" t="s">
        <v>1005</v>
      </c>
      <c r="B25" s="181">
        <v>2</v>
      </c>
      <c r="C25" s="362">
        <v>35.200000000000003</v>
      </c>
      <c r="D25" s="362">
        <v>57.3</v>
      </c>
      <c r="E25" s="363">
        <v>967</v>
      </c>
      <c r="F25" s="362">
        <v>7.2</v>
      </c>
      <c r="G25" s="364">
        <v>14.442</v>
      </c>
      <c r="I25" s="361" t="s">
        <v>1006</v>
      </c>
      <c r="K25" s="360"/>
      <c r="L25" s="354"/>
      <c r="M25" s="354"/>
    </row>
    <row r="26" spans="1:13" s="365" customFormat="1">
      <c r="A26" s="361" t="s">
        <v>1005</v>
      </c>
      <c r="B26" s="181">
        <v>3</v>
      </c>
      <c r="C26" s="362">
        <v>42.1</v>
      </c>
      <c r="D26" s="362">
        <v>65.2</v>
      </c>
      <c r="E26" s="363">
        <v>1296</v>
      </c>
      <c r="F26" s="362">
        <v>7.2</v>
      </c>
      <c r="G26" s="364">
        <v>14.442</v>
      </c>
      <c r="I26" s="361" t="s">
        <v>1007</v>
      </c>
      <c r="K26" s="360"/>
      <c r="L26" s="354"/>
      <c r="M26" s="354"/>
    </row>
    <row r="27" spans="1:13" s="365" customFormat="1">
      <c r="A27" s="361" t="s">
        <v>1005</v>
      </c>
      <c r="B27" s="181">
        <v>4</v>
      </c>
      <c r="C27" s="362">
        <v>50.4</v>
      </c>
      <c r="D27" s="362">
        <v>75.2</v>
      </c>
      <c r="E27" s="363">
        <v>1674</v>
      </c>
      <c r="F27" s="362">
        <v>7.2</v>
      </c>
      <c r="G27" s="364">
        <v>14.442</v>
      </c>
      <c r="I27" s="361" t="s">
        <v>1008</v>
      </c>
      <c r="K27" s="360"/>
      <c r="L27" s="354"/>
      <c r="M27" s="354"/>
    </row>
    <row r="28" spans="1:13" s="365" customFormat="1">
      <c r="A28" s="361" t="s">
        <v>1005</v>
      </c>
      <c r="B28" s="181">
        <v>5</v>
      </c>
      <c r="C28" s="362">
        <v>58.3</v>
      </c>
      <c r="D28" s="362">
        <v>81.599999999999994</v>
      </c>
      <c r="E28" s="363">
        <v>1857</v>
      </c>
      <c r="F28" s="362">
        <v>7.2</v>
      </c>
      <c r="G28" s="364">
        <v>14.442</v>
      </c>
      <c r="I28" s="361" t="s">
        <v>1009</v>
      </c>
      <c r="K28" s="360"/>
      <c r="L28" s="354"/>
      <c r="M28" s="354"/>
    </row>
    <row r="29" spans="1:13" s="365" customFormat="1">
      <c r="A29" s="361" t="s">
        <v>1005</v>
      </c>
      <c r="B29" s="181">
        <v>6</v>
      </c>
      <c r="C29" s="362">
        <v>65.900000000000006</v>
      </c>
      <c r="D29" s="362">
        <v>87.9</v>
      </c>
      <c r="E29" s="363">
        <v>1919</v>
      </c>
      <c r="F29" s="362">
        <v>7.2</v>
      </c>
      <c r="G29" s="364">
        <v>14.442</v>
      </c>
      <c r="I29" s="361" t="s">
        <v>1010</v>
      </c>
      <c r="K29" s="360"/>
      <c r="L29" s="354"/>
      <c r="M29" s="354"/>
    </row>
    <row r="30" spans="1:13" s="365" customFormat="1">
      <c r="A30" s="361" t="s">
        <v>1005</v>
      </c>
      <c r="B30" s="181">
        <v>7</v>
      </c>
      <c r="C30" s="362">
        <v>69.8</v>
      </c>
      <c r="D30" s="362">
        <v>90.3</v>
      </c>
      <c r="E30" s="363">
        <v>1810</v>
      </c>
      <c r="F30" s="362">
        <v>7.2</v>
      </c>
      <c r="G30" s="364">
        <v>14.442</v>
      </c>
      <c r="I30" s="361" t="s">
        <v>1011</v>
      </c>
      <c r="K30" s="360"/>
      <c r="L30" s="354"/>
      <c r="M30" s="354"/>
    </row>
    <row r="31" spans="1:13" s="365" customFormat="1">
      <c r="A31" s="361" t="s">
        <v>1005</v>
      </c>
      <c r="B31" s="181">
        <v>8</v>
      </c>
      <c r="C31" s="362">
        <v>69.099999999999994</v>
      </c>
      <c r="D31" s="362">
        <v>89.7</v>
      </c>
      <c r="E31" s="363">
        <v>1724</v>
      </c>
      <c r="F31" s="362">
        <v>7.2</v>
      </c>
      <c r="G31" s="364">
        <v>14.442</v>
      </c>
      <c r="I31" s="361" t="s">
        <v>1012</v>
      </c>
      <c r="K31" s="360"/>
      <c r="L31" s="354"/>
      <c r="M31" s="354"/>
    </row>
    <row r="32" spans="1:13" s="365" customFormat="1">
      <c r="A32" s="361" t="s">
        <v>1005</v>
      </c>
      <c r="B32" s="181">
        <v>9</v>
      </c>
      <c r="C32" s="362">
        <v>63.6</v>
      </c>
      <c r="D32" s="362">
        <v>84.6</v>
      </c>
      <c r="E32" s="363">
        <v>1455</v>
      </c>
      <c r="F32" s="362">
        <v>7.2</v>
      </c>
      <c r="G32" s="364">
        <v>14.442</v>
      </c>
      <c r="I32" s="361" t="s">
        <v>1013</v>
      </c>
      <c r="K32" s="360"/>
      <c r="L32" s="354"/>
      <c r="M32" s="354"/>
    </row>
    <row r="33" spans="1:13" s="365" customFormat="1">
      <c r="A33" s="361" t="s">
        <v>1005</v>
      </c>
      <c r="B33" s="181">
        <v>10</v>
      </c>
      <c r="C33" s="362">
        <v>50.4</v>
      </c>
      <c r="D33" s="362">
        <v>74.8</v>
      </c>
      <c r="E33" s="363">
        <v>1211</v>
      </c>
      <c r="F33" s="362">
        <v>7.2</v>
      </c>
      <c r="G33" s="364">
        <v>14.442</v>
      </c>
      <c r="I33" s="361" t="s">
        <v>1014</v>
      </c>
      <c r="K33" s="360"/>
      <c r="L33" s="354"/>
      <c r="M33" s="354"/>
    </row>
    <row r="34" spans="1:13" s="365" customFormat="1">
      <c r="A34" s="361" t="s">
        <v>1005</v>
      </c>
      <c r="B34" s="181">
        <v>11</v>
      </c>
      <c r="C34" s="362">
        <v>40.5</v>
      </c>
      <c r="D34" s="362">
        <v>63.7</v>
      </c>
      <c r="E34" s="363">
        <v>858</v>
      </c>
      <c r="F34" s="362">
        <v>7.2</v>
      </c>
      <c r="G34" s="364">
        <v>14.442</v>
      </c>
      <c r="I34" s="361" t="s">
        <v>1015</v>
      </c>
      <c r="K34" s="360"/>
      <c r="L34" s="354"/>
      <c r="M34" s="354"/>
    </row>
    <row r="35" spans="1:13" s="365" customFormat="1">
      <c r="A35" s="361" t="s">
        <v>1005</v>
      </c>
      <c r="B35" s="181">
        <v>12</v>
      </c>
      <c r="C35" s="362">
        <v>35.200000000000003</v>
      </c>
      <c r="D35" s="362">
        <v>55.9</v>
      </c>
      <c r="E35" s="363">
        <v>661</v>
      </c>
      <c r="F35" s="362">
        <v>7.2</v>
      </c>
      <c r="G35" s="364">
        <v>14.442</v>
      </c>
      <c r="I35" s="361" t="s">
        <v>1016</v>
      </c>
      <c r="K35" s="360"/>
      <c r="L35" s="354"/>
      <c r="M35" s="354"/>
    </row>
    <row r="36" spans="1:13" s="365" customFormat="1">
      <c r="A36" s="361" t="s">
        <v>1005</v>
      </c>
      <c r="B36" s="181" t="s">
        <v>726</v>
      </c>
      <c r="C36" s="366">
        <f>AVERAGE(C24:C35)</f>
        <v>51.125</v>
      </c>
      <c r="D36" s="366">
        <f t="shared" ref="D36:E36" si="0">AVERAGE(D24:D35)</f>
        <v>73.24166666666666</v>
      </c>
      <c r="E36" s="367">
        <f t="shared" si="0"/>
        <v>1344.9166666666667</v>
      </c>
      <c r="F36" s="366">
        <f>AVERAGE(F24:F35)</f>
        <v>7.200000000000002</v>
      </c>
      <c r="G36" s="368">
        <f>AVERAGE(G24:G35)</f>
        <v>14.442000000000005</v>
      </c>
      <c r="I36" s="361" t="s">
        <v>1017</v>
      </c>
      <c r="K36" s="360"/>
      <c r="L36" s="354"/>
      <c r="M36" s="354"/>
    </row>
    <row r="37" spans="1:13" s="365" customFormat="1">
      <c r="A37" s="361" t="s">
        <v>1006</v>
      </c>
      <c r="B37" s="181">
        <v>1</v>
      </c>
      <c r="C37" s="362">
        <v>36.4</v>
      </c>
      <c r="D37" s="362">
        <v>57</v>
      </c>
      <c r="E37" s="363">
        <v>752</v>
      </c>
      <c r="F37" s="362">
        <v>6.6</v>
      </c>
      <c r="G37" s="364">
        <v>14.6595</v>
      </c>
      <c r="I37" s="361" t="s">
        <v>1018</v>
      </c>
      <c r="K37" s="360"/>
      <c r="L37" s="354"/>
      <c r="M37" s="354"/>
    </row>
    <row r="38" spans="1:13" s="365" customFormat="1">
      <c r="A38" s="361" t="s">
        <v>1006</v>
      </c>
      <c r="B38" s="181">
        <v>2</v>
      </c>
      <c r="C38" s="362">
        <v>38.799999999999997</v>
      </c>
      <c r="D38" s="362">
        <v>60.9</v>
      </c>
      <c r="E38" s="363">
        <v>1013</v>
      </c>
      <c r="F38" s="362">
        <v>6.6</v>
      </c>
      <c r="G38" s="364">
        <v>14.6595</v>
      </c>
      <c r="I38" s="361" t="s">
        <v>1019</v>
      </c>
      <c r="K38" s="360"/>
      <c r="L38" s="354"/>
      <c r="M38" s="354"/>
    </row>
    <row r="39" spans="1:13" s="365" customFormat="1">
      <c r="A39" s="361" t="s">
        <v>1006</v>
      </c>
      <c r="B39" s="181">
        <v>3</v>
      </c>
      <c r="C39" s="362">
        <v>45.5</v>
      </c>
      <c r="D39" s="362">
        <v>68.099999999999994</v>
      </c>
      <c r="E39" s="363">
        <v>1341</v>
      </c>
      <c r="F39" s="362">
        <v>6.6</v>
      </c>
      <c r="G39" s="364">
        <v>14.6595</v>
      </c>
      <c r="I39" s="361" t="s">
        <v>1020</v>
      </c>
      <c r="K39" s="360"/>
      <c r="L39" s="354"/>
      <c r="M39" s="354"/>
    </row>
    <row r="40" spans="1:13" s="365" customFormat="1">
      <c r="A40" s="361" t="s">
        <v>1006</v>
      </c>
      <c r="B40" s="181">
        <v>4</v>
      </c>
      <c r="C40" s="362">
        <v>53.3</v>
      </c>
      <c r="D40" s="362">
        <v>77</v>
      </c>
      <c r="E40" s="363">
        <v>1729</v>
      </c>
      <c r="F40" s="362">
        <v>6.6</v>
      </c>
      <c r="G40" s="364">
        <v>14.6595</v>
      </c>
      <c r="I40" s="361" t="s">
        <v>1021</v>
      </c>
      <c r="K40" s="360"/>
      <c r="L40" s="354"/>
      <c r="M40" s="354"/>
    </row>
    <row r="41" spans="1:13" s="365" customFormat="1">
      <c r="A41" s="361" t="s">
        <v>1006</v>
      </c>
      <c r="B41" s="181">
        <v>5</v>
      </c>
      <c r="C41" s="362">
        <v>61.1</v>
      </c>
      <c r="D41" s="362">
        <v>83.6</v>
      </c>
      <c r="E41" s="363">
        <v>1897</v>
      </c>
      <c r="F41" s="362">
        <v>6.6</v>
      </c>
      <c r="G41" s="364">
        <v>14.6595</v>
      </c>
      <c r="I41" s="361" t="s">
        <v>1022</v>
      </c>
      <c r="K41" s="360"/>
      <c r="L41" s="354"/>
      <c r="M41" s="354"/>
    </row>
    <row r="42" spans="1:13" s="365" customFormat="1">
      <c r="A42" s="361" t="s">
        <v>1006</v>
      </c>
      <c r="B42" s="181">
        <v>6</v>
      </c>
      <c r="C42" s="362">
        <v>68.400000000000006</v>
      </c>
      <c r="D42" s="362">
        <v>89.8</v>
      </c>
      <c r="E42" s="363">
        <v>1972</v>
      </c>
      <c r="F42" s="362">
        <v>6.6</v>
      </c>
      <c r="G42" s="364">
        <v>14.6595</v>
      </c>
      <c r="I42" s="361" t="s">
        <v>1023</v>
      </c>
      <c r="K42" s="360"/>
      <c r="L42" s="354"/>
      <c r="M42" s="354"/>
    </row>
    <row r="43" spans="1:13" s="365" customFormat="1">
      <c r="A43" s="361" t="s">
        <v>1006</v>
      </c>
      <c r="B43" s="181">
        <v>7</v>
      </c>
      <c r="C43" s="362">
        <v>71.8</v>
      </c>
      <c r="D43" s="362">
        <v>91.5</v>
      </c>
      <c r="E43" s="363">
        <v>1841</v>
      </c>
      <c r="F43" s="362">
        <v>6.6</v>
      </c>
      <c r="G43" s="364">
        <v>14.6595</v>
      </c>
      <c r="I43" s="361" t="s">
        <v>1024</v>
      </c>
      <c r="K43" s="360"/>
      <c r="L43" s="354"/>
      <c r="M43" s="354"/>
    </row>
    <row r="44" spans="1:13" s="365" customFormat="1">
      <c r="A44" s="361" t="s">
        <v>1006</v>
      </c>
      <c r="B44" s="181">
        <v>8</v>
      </c>
      <c r="C44" s="362">
        <v>71.099999999999994</v>
      </c>
      <c r="D44" s="362">
        <v>91.2</v>
      </c>
      <c r="E44" s="363">
        <v>1746</v>
      </c>
      <c r="F44" s="362">
        <v>6.6</v>
      </c>
      <c r="G44" s="364">
        <v>14.6595</v>
      </c>
      <c r="I44" s="361" t="s">
        <v>1025</v>
      </c>
      <c r="K44" s="360"/>
      <c r="L44" s="354"/>
      <c r="M44" s="354"/>
    </row>
    <row r="45" spans="1:13" s="365" customFormat="1">
      <c r="A45" s="361" t="s">
        <v>1006</v>
      </c>
      <c r="B45" s="181">
        <v>9</v>
      </c>
      <c r="C45" s="362">
        <v>66.400000000000006</v>
      </c>
      <c r="D45" s="362">
        <v>86.9</v>
      </c>
      <c r="E45" s="363">
        <v>1468</v>
      </c>
      <c r="F45" s="362">
        <v>6.6</v>
      </c>
      <c r="G45" s="364">
        <v>14.6595</v>
      </c>
      <c r="I45" s="361" t="s">
        <v>1026</v>
      </c>
      <c r="K45" s="360"/>
      <c r="L45" s="354"/>
      <c r="M45" s="354"/>
    </row>
    <row r="46" spans="1:13" s="365" customFormat="1">
      <c r="A46" s="361" t="s">
        <v>1006</v>
      </c>
      <c r="B46" s="181">
        <v>10</v>
      </c>
      <c r="C46" s="362">
        <v>53.1</v>
      </c>
      <c r="D46" s="362">
        <v>77.5</v>
      </c>
      <c r="E46" s="363">
        <v>1262</v>
      </c>
      <c r="F46" s="362">
        <v>6.6</v>
      </c>
      <c r="G46" s="364">
        <v>14.6595</v>
      </c>
      <c r="I46" s="361" t="s">
        <v>1027</v>
      </c>
      <c r="K46" s="360"/>
      <c r="L46" s="354"/>
      <c r="M46" s="354"/>
    </row>
    <row r="47" spans="1:13" s="365" customFormat="1">
      <c r="A47" s="361" t="s">
        <v>1006</v>
      </c>
      <c r="B47" s="181">
        <v>11</v>
      </c>
      <c r="C47" s="362">
        <v>43</v>
      </c>
      <c r="D47" s="362">
        <v>67</v>
      </c>
      <c r="E47" s="363">
        <v>915</v>
      </c>
      <c r="F47" s="362">
        <v>6.6</v>
      </c>
      <c r="G47" s="364">
        <v>14.6595</v>
      </c>
      <c r="I47" s="361" t="s">
        <v>1028</v>
      </c>
      <c r="K47" s="360"/>
      <c r="L47" s="354"/>
      <c r="M47" s="354"/>
    </row>
    <row r="48" spans="1:13" s="365" customFormat="1">
      <c r="A48" s="361" t="s">
        <v>1006</v>
      </c>
      <c r="B48" s="181">
        <v>12</v>
      </c>
      <c r="C48" s="362">
        <v>37.9</v>
      </c>
      <c r="D48" s="362">
        <v>59.8</v>
      </c>
      <c r="E48" s="363">
        <v>719</v>
      </c>
      <c r="F48" s="362">
        <v>6.6</v>
      </c>
      <c r="G48" s="364">
        <v>14.6595</v>
      </c>
      <c r="I48" s="361" t="s">
        <v>1029</v>
      </c>
      <c r="K48" s="360"/>
      <c r="L48" s="354"/>
      <c r="M48" s="354"/>
    </row>
    <row r="49" spans="1:13" s="365" customFormat="1">
      <c r="A49" s="361" t="s">
        <v>1006</v>
      </c>
      <c r="B49" s="181" t="s">
        <v>726</v>
      </c>
      <c r="C49" s="366">
        <f>AVERAGE(C37:C48)</f>
        <v>53.9</v>
      </c>
      <c r="D49" s="366">
        <f t="shared" ref="D49:E49" si="1">AVERAGE(D37:D48)</f>
        <v>75.858333333333334</v>
      </c>
      <c r="E49" s="367">
        <f t="shared" si="1"/>
        <v>1387.9166666666667</v>
      </c>
      <c r="F49" s="366">
        <f>AVERAGE(F37:F48)</f>
        <v>6.5999999999999988</v>
      </c>
      <c r="G49" s="368">
        <f>AVERAGE(G37:G48)</f>
        <v>14.659500000000001</v>
      </c>
      <c r="I49" s="361" t="s">
        <v>1030</v>
      </c>
      <c r="K49" s="360"/>
      <c r="L49" s="354"/>
      <c r="M49" s="354"/>
    </row>
    <row r="50" spans="1:13" ht="59">
      <c r="A50" s="85" t="s">
        <v>704</v>
      </c>
      <c r="B50" s="85" t="s">
        <v>707</v>
      </c>
      <c r="C50" s="85" t="s">
        <v>999</v>
      </c>
      <c r="D50" s="85" t="s">
        <v>1000</v>
      </c>
      <c r="E50" s="85" t="s">
        <v>1001</v>
      </c>
      <c r="F50" s="85" t="s">
        <v>1002</v>
      </c>
      <c r="G50" s="359" t="s">
        <v>1003</v>
      </c>
      <c r="I50" s="85" t="s">
        <v>1004</v>
      </c>
      <c r="K50" s="360"/>
    </row>
    <row r="51" spans="1:13" s="365" customFormat="1">
      <c r="A51" s="361" t="s">
        <v>1007</v>
      </c>
      <c r="B51" s="181">
        <v>1</v>
      </c>
      <c r="C51" s="362">
        <v>14.4</v>
      </c>
      <c r="D51" s="362">
        <v>27</v>
      </c>
      <c r="E51" s="363">
        <v>122</v>
      </c>
      <c r="F51" s="362">
        <v>7.6</v>
      </c>
      <c r="G51" s="364">
        <v>14.558</v>
      </c>
      <c r="I51" s="361" t="s">
        <v>1031</v>
      </c>
      <c r="K51" s="360"/>
      <c r="L51" s="354"/>
      <c r="M51" s="354"/>
    </row>
    <row r="52" spans="1:13" s="365" customFormat="1">
      <c r="A52" s="361" t="s">
        <v>1007</v>
      </c>
      <c r="B52" s="181">
        <v>2</v>
      </c>
      <c r="C52" s="362">
        <v>17.399999999999999</v>
      </c>
      <c r="D52" s="362">
        <v>31.2</v>
      </c>
      <c r="E52" s="363">
        <v>334</v>
      </c>
      <c r="F52" s="362">
        <v>7.6</v>
      </c>
      <c r="G52" s="364">
        <v>14.558</v>
      </c>
      <c r="I52" s="361" t="s">
        <v>1032</v>
      </c>
      <c r="K52" s="360"/>
      <c r="L52" s="354"/>
      <c r="M52" s="354"/>
    </row>
    <row r="53" spans="1:13" s="365" customFormat="1">
      <c r="A53" s="361" t="s">
        <v>1007</v>
      </c>
      <c r="B53" s="181">
        <v>3</v>
      </c>
      <c r="C53" s="362">
        <v>19.3</v>
      </c>
      <c r="D53" s="362">
        <v>34.4</v>
      </c>
      <c r="E53" s="363">
        <v>759</v>
      </c>
      <c r="F53" s="362">
        <v>7.6</v>
      </c>
      <c r="G53" s="364">
        <v>14.558</v>
      </c>
      <c r="I53" s="361" t="s">
        <v>1033</v>
      </c>
      <c r="K53" s="360"/>
      <c r="L53" s="354"/>
      <c r="M53" s="354"/>
    </row>
    <row r="54" spans="1:13" s="365" customFormat="1">
      <c r="A54" s="361" t="s">
        <v>1007</v>
      </c>
      <c r="B54" s="181">
        <v>4</v>
      </c>
      <c r="C54" s="362">
        <v>28.1</v>
      </c>
      <c r="D54" s="362">
        <v>42.1</v>
      </c>
      <c r="E54" s="363">
        <v>1248</v>
      </c>
      <c r="F54" s="362">
        <v>7.6</v>
      </c>
      <c r="G54" s="364">
        <v>14.558</v>
      </c>
      <c r="I54" s="361" t="s">
        <v>1034</v>
      </c>
      <c r="K54" s="360"/>
      <c r="L54" s="354"/>
      <c r="M54" s="354"/>
    </row>
    <row r="55" spans="1:13" s="365" customFormat="1">
      <c r="A55" s="361" t="s">
        <v>1007</v>
      </c>
      <c r="B55" s="181">
        <v>5</v>
      </c>
      <c r="C55" s="362">
        <v>34.6</v>
      </c>
      <c r="D55" s="362">
        <v>49.8</v>
      </c>
      <c r="E55" s="363">
        <v>1583</v>
      </c>
      <c r="F55" s="362">
        <v>7.6</v>
      </c>
      <c r="G55" s="364">
        <v>14.558</v>
      </c>
      <c r="I55" s="361" t="s">
        <v>1035</v>
      </c>
      <c r="K55" s="360"/>
      <c r="L55" s="354"/>
      <c r="M55" s="354"/>
    </row>
    <row r="56" spans="1:13" s="365" customFormat="1">
      <c r="A56" s="361" t="s">
        <v>1007</v>
      </c>
      <c r="B56" s="181">
        <v>6</v>
      </c>
      <c r="C56" s="362">
        <v>41.2</v>
      </c>
      <c r="D56" s="362">
        <v>56.3</v>
      </c>
      <c r="E56" s="363">
        <v>1751</v>
      </c>
      <c r="F56" s="362">
        <v>7.6</v>
      </c>
      <c r="G56" s="364">
        <v>14.558</v>
      </c>
      <c r="I56" s="361" t="s">
        <v>1036</v>
      </c>
      <c r="K56" s="360"/>
      <c r="L56" s="354"/>
      <c r="M56" s="354"/>
    </row>
    <row r="57" spans="1:13" s="365" customFormat="1">
      <c r="A57" s="361" t="s">
        <v>1007</v>
      </c>
      <c r="B57" s="181">
        <v>7</v>
      </c>
      <c r="C57" s="362">
        <v>45.1</v>
      </c>
      <c r="D57" s="362">
        <v>60.5</v>
      </c>
      <c r="E57" s="363">
        <v>1598</v>
      </c>
      <c r="F57" s="362">
        <v>7.6</v>
      </c>
      <c r="G57" s="364">
        <v>14.558</v>
      </c>
      <c r="I57" s="361" t="s">
        <v>1037</v>
      </c>
      <c r="K57" s="360"/>
      <c r="L57" s="354"/>
      <c r="M57" s="354"/>
    </row>
    <row r="58" spans="1:13" s="365" customFormat="1">
      <c r="A58" s="361" t="s">
        <v>1007</v>
      </c>
      <c r="B58" s="181">
        <v>8</v>
      </c>
      <c r="C58" s="362">
        <v>45.2</v>
      </c>
      <c r="D58" s="362">
        <v>60.3</v>
      </c>
      <c r="E58" s="363">
        <v>1189</v>
      </c>
      <c r="F58" s="362">
        <v>7.6</v>
      </c>
      <c r="G58" s="364">
        <v>14.558</v>
      </c>
      <c r="I58" s="361" t="s">
        <v>1038</v>
      </c>
      <c r="K58" s="360"/>
      <c r="L58" s="354"/>
      <c r="M58" s="354"/>
    </row>
    <row r="59" spans="1:13" s="365" customFormat="1">
      <c r="A59" s="361" t="s">
        <v>1007</v>
      </c>
      <c r="B59" s="181">
        <v>9</v>
      </c>
      <c r="C59" s="362">
        <v>39.700000000000003</v>
      </c>
      <c r="D59" s="362">
        <v>54.8</v>
      </c>
      <c r="E59" s="363">
        <v>791</v>
      </c>
      <c r="F59" s="362">
        <v>7.6</v>
      </c>
      <c r="G59" s="364">
        <v>14.558</v>
      </c>
      <c r="I59" s="361" t="s">
        <v>1039</v>
      </c>
      <c r="K59" s="360"/>
      <c r="L59" s="354"/>
      <c r="M59" s="354"/>
    </row>
    <row r="60" spans="1:13" s="365" customFormat="1">
      <c r="A60" s="361" t="s">
        <v>1007</v>
      </c>
      <c r="B60" s="181">
        <v>10</v>
      </c>
      <c r="C60" s="362">
        <v>30.6</v>
      </c>
      <c r="D60" s="362">
        <v>44</v>
      </c>
      <c r="E60" s="363">
        <v>437</v>
      </c>
      <c r="F60" s="362">
        <v>7.6</v>
      </c>
      <c r="G60" s="364">
        <v>14.558</v>
      </c>
      <c r="I60" s="361" t="s">
        <v>1040</v>
      </c>
      <c r="K60" s="360"/>
      <c r="L60" s="354"/>
      <c r="M60" s="354"/>
    </row>
    <row r="61" spans="1:13" s="365" customFormat="1">
      <c r="A61" s="361" t="s">
        <v>1007</v>
      </c>
      <c r="B61" s="181">
        <v>11</v>
      </c>
      <c r="C61" s="362">
        <v>22.8</v>
      </c>
      <c r="D61" s="362">
        <v>34.9</v>
      </c>
      <c r="E61" s="363">
        <v>175</v>
      </c>
      <c r="F61" s="362">
        <v>7.6</v>
      </c>
      <c r="G61" s="364">
        <v>14.558</v>
      </c>
      <c r="I61" s="361" t="s">
        <v>1041</v>
      </c>
      <c r="K61" s="360"/>
      <c r="L61" s="354"/>
      <c r="M61" s="354"/>
    </row>
    <row r="62" spans="1:13" s="365" customFormat="1">
      <c r="A62" s="361" t="s">
        <v>1007</v>
      </c>
      <c r="B62" s="181">
        <v>12</v>
      </c>
      <c r="C62" s="362">
        <v>15.8</v>
      </c>
      <c r="D62" s="362">
        <v>27.7</v>
      </c>
      <c r="E62" s="363">
        <v>64</v>
      </c>
      <c r="F62" s="362">
        <v>7.6</v>
      </c>
      <c r="G62" s="364">
        <v>14.558</v>
      </c>
      <c r="I62" s="361" t="s">
        <v>1042</v>
      </c>
      <c r="K62" s="360"/>
      <c r="L62" s="354"/>
      <c r="M62" s="354"/>
    </row>
    <row r="63" spans="1:13" s="365" customFormat="1">
      <c r="A63" s="361" t="s">
        <v>1007</v>
      </c>
      <c r="B63" s="181" t="s">
        <v>726</v>
      </c>
      <c r="C63" s="366">
        <f>AVERAGE(C51:C62)</f>
        <v>29.516666666666669</v>
      </c>
      <c r="D63" s="366">
        <f t="shared" ref="D63:E63" si="2">AVERAGE(D51:D62)</f>
        <v>43.583333333333336</v>
      </c>
      <c r="E63" s="367">
        <f t="shared" si="2"/>
        <v>837.58333333333337</v>
      </c>
      <c r="F63" s="366">
        <f>AVERAGE(F51:F62)</f>
        <v>7.5999999999999988</v>
      </c>
      <c r="G63" s="368">
        <f>AVERAGE(G51:G62)</f>
        <v>14.557999999999995</v>
      </c>
      <c r="I63" s="361" t="s">
        <v>1043</v>
      </c>
      <c r="K63" s="360"/>
      <c r="L63" s="354"/>
      <c r="M63" s="354"/>
    </row>
    <row r="64" spans="1:13" s="365" customFormat="1">
      <c r="A64" s="361" t="s">
        <v>1008</v>
      </c>
      <c r="B64" s="181">
        <v>1</v>
      </c>
      <c r="C64" s="362">
        <v>39.4</v>
      </c>
      <c r="D64" s="362">
        <v>65.2</v>
      </c>
      <c r="E64" s="363">
        <v>1021</v>
      </c>
      <c r="F64" s="362">
        <v>6.3</v>
      </c>
      <c r="G64" s="364">
        <v>14.122999999999999</v>
      </c>
      <c r="I64" s="361" t="s">
        <v>1044</v>
      </c>
      <c r="K64" s="360"/>
      <c r="L64" s="354"/>
      <c r="M64" s="354"/>
    </row>
    <row r="65" spans="1:13" s="365" customFormat="1">
      <c r="A65" s="361" t="s">
        <v>1008</v>
      </c>
      <c r="B65" s="181">
        <v>2</v>
      </c>
      <c r="C65" s="362">
        <v>42.5</v>
      </c>
      <c r="D65" s="362">
        <v>69.7</v>
      </c>
      <c r="E65" s="363">
        <v>1374</v>
      </c>
      <c r="F65" s="362">
        <v>6.3</v>
      </c>
      <c r="G65" s="364">
        <v>14.122999999999999</v>
      </c>
      <c r="I65" s="361" t="s">
        <v>1045</v>
      </c>
      <c r="K65" s="360"/>
      <c r="L65" s="354"/>
      <c r="M65" s="354"/>
    </row>
    <row r="66" spans="1:13" s="365" customFormat="1">
      <c r="A66" s="361" t="s">
        <v>1008</v>
      </c>
      <c r="B66" s="181">
        <v>3</v>
      </c>
      <c r="C66" s="362">
        <v>46.7</v>
      </c>
      <c r="D66" s="362">
        <v>74.5</v>
      </c>
      <c r="E66" s="363">
        <v>1814</v>
      </c>
      <c r="F66" s="362">
        <v>6.3</v>
      </c>
      <c r="G66" s="364">
        <v>14.122999999999999</v>
      </c>
      <c r="I66" s="361" t="s">
        <v>1046</v>
      </c>
      <c r="K66" s="360"/>
      <c r="L66" s="354"/>
      <c r="M66" s="354"/>
    </row>
    <row r="67" spans="1:13" s="365" customFormat="1">
      <c r="A67" s="361" t="s">
        <v>1008</v>
      </c>
      <c r="B67" s="181">
        <v>4</v>
      </c>
      <c r="C67" s="362">
        <v>53</v>
      </c>
      <c r="D67" s="362">
        <v>83.1</v>
      </c>
      <c r="E67" s="363">
        <v>2355</v>
      </c>
      <c r="F67" s="362">
        <v>6.3</v>
      </c>
      <c r="G67" s="364">
        <v>14.122999999999999</v>
      </c>
      <c r="I67" s="361" t="s">
        <v>1047</v>
      </c>
      <c r="K67" s="360"/>
      <c r="L67" s="354"/>
      <c r="M67" s="354"/>
    </row>
    <row r="68" spans="1:13" s="365" customFormat="1">
      <c r="A68" s="361" t="s">
        <v>1008</v>
      </c>
      <c r="B68" s="181">
        <v>5</v>
      </c>
      <c r="C68" s="362">
        <v>61.5</v>
      </c>
      <c r="D68" s="362">
        <v>92.4</v>
      </c>
      <c r="E68" s="363">
        <v>2677</v>
      </c>
      <c r="F68" s="362">
        <v>6.3</v>
      </c>
      <c r="G68" s="364">
        <v>14.122999999999999</v>
      </c>
      <c r="I68" s="361" t="s">
        <v>1048</v>
      </c>
      <c r="K68" s="360"/>
      <c r="L68" s="354"/>
      <c r="M68" s="354"/>
    </row>
    <row r="69" spans="1:13" s="365" customFormat="1">
      <c r="A69" s="361" t="s">
        <v>1008</v>
      </c>
      <c r="B69" s="181">
        <v>6</v>
      </c>
      <c r="C69" s="362">
        <v>70.599999999999994</v>
      </c>
      <c r="D69" s="362">
        <v>102.3</v>
      </c>
      <c r="E69" s="363">
        <v>2739</v>
      </c>
      <c r="F69" s="362">
        <v>6.3</v>
      </c>
      <c r="G69" s="364">
        <v>14.122999999999999</v>
      </c>
      <c r="I69" s="361" t="s">
        <v>1049</v>
      </c>
      <c r="K69" s="360"/>
      <c r="L69" s="354"/>
      <c r="M69" s="354"/>
    </row>
    <row r="70" spans="1:13" s="365" customFormat="1">
      <c r="A70" s="361" t="s">
        <v>1008</v>
      </c>
      <c r="B70" s="181">
        <v>7</v>
      </c>
      <c r="C70" s="362">
        <v>79.5</v>
      </c>
      <c r="D70" s="362">
        <v>105</v>
      </c>
      <c r="E70" s="363">
        <v>2487</v>
      </c>
      <c r="F70" s="362">
        <v>6.3</v>
      </c>
      <c r="G70" s="364">
        <v>14.122999999999999</v>
      </c>
      <c r="I70" s="361" t="s">
        <v>1050</v>
      </c>
      <c r="K70" s="360"/>
      <c r="L70" s="354"/>
      <c r="M70" s="354"/>
    </row>
    <row r="71" spans="1:13" s="365" customFormat="1">
      <c r="A71" s="361" t="s">
        <v>1008</v>
      </c>
      <c r="B71" s="181">
        <v>8</v>
      </c>
      <c r="C71" s="362">
        <v>77.5</v>
      </c>
      <c r="D71" s="362">
        <v>102.3</v>
      </c>
      <c r="E71" s="363">
        <v>2293</v>
      </c>
      <c r="F71" s="362">
        <v>6.3</v>
      </c>
      <c r="G71" s="364">
        <v>14.122999999999999</v>
      </c>
      <c r="I71" s="361" t="s">
        <v>1051</v>
      </c>
      <c r="K71" s="360"/>
      <c r="L71" s="354"/>
      <c r="M71" s="354"/>
    </row>
    <row r="72" spans="1:13" s="365" customFormat="1">
      <c r="A72" s="361" t="s">
        <v>1008</v>
      </c>
      <c r="B72" s="181">
        <v>9</v>
      </c>
      <c r="C72" s="362">
        <v>70.900000000000006</v>
      </c>
      <c r="D72" s="362">
        <v>98.2</v>
      </c>
      <c r="E72" s="363">
        <v>2015</v>
      </c>
      <c r="F72" s="362">
        <v>6.3</v>
      </c>
      <c r="G72" s="364">
        <v>14.122999999999999</v>
      </c>
      <c r="I72" s="361" t="s">
        <v>1052</v>
      </c>
      <c r="K72" s="360"/>
      <c r="L72" s="354"/>
      <c r="M72" s="354"/>
    </row>
    <row r="73" spans="1:13" s="365" customFormat="1">
      <c r="A73" s="361" t="s">
        <v>1008</v>
      </c>
      <c r="B73" s="181">
        <v>10</v>
      </c>
      <c r="C73" s="362">
        <v>59.1</v>
      </c>
      <c r="D73" s="362">
        <v>87.7</v>
      </c>
      <c r="E73" s="363">
        <v>1577</v>
      </c>
      <c r="F73" s="362">
        <v>6.3</v>
      </c>
      <c r="G73" s="364">
        <v>14.122999999999999</v>
      </c>
      <c r="I73" s="361" t="s">
        <v>1053</v>
      </c>
      <c r="K73" s="360"/>
      <c r="L73" s="354"/>
      <c r="M73" s="354"/>
    </row>
    <row r="74" spans="1:13" s="365" customFormat="1">
      <c r="A74" s="361" t="s">
        <v>1008</v>
      </c>
      <c r="B74" s="181">
        <v>11</v>
      </c>
      <c r="C74" s="362">
        <v>46.9</v>
      </c>
      <c r="D74" s="362">
        <v>74.3</v>
      </c>
      <c r="E74" s="363">
        <v>1151</v>
      </c>
      <c r="F74" s="362">
        <v>6.3</v>
      </c>
      <c r="G74" s="364">
        <v>14.122999999999999</v>
      </c>
      <c r="I74" s="361" t="s">
        <v>1054</v>
      </c>
      <c r="K74" s="360"/>
      <c r="L74" s="354"/>
      <c r="M74" s="354"/>
    </row>
    <row r="75" spans="1:13" s="365" customFormat="1">
      <c r="A75" s="361" t="s">
        <v>1008</v>
      </c>
      <c r="B75" s="181">
        <v>12</v>
      </c>
      <c r="C75" s="362">
        <v>40.200000000000003</v>
      </c>
      <c r="D75" s="362">
        <v>66.400000000000006</v>
      </c>
      <c r="E75" s="363">
        <v>932</v>
      </c>
      <c r="F75" s="362">
        <v>6.3</v>
      </c>
      <c r="G75" s="364">
        <v>14.122999999999999</v>
      </c>
      <c r="I75" s="361" t="s">
        <v>1055</v>
      </c>
      <c r="K75" s="360"/>
      <c r="L75" s="354"/>
      <c r="M75" s="354"/>
    </row>
    <row r="76" spans="1:13" s="365" customFormat="1">
      <c r="A76" s="361" t="s">
        <v>1008</v>
      </c>
      <c r="B76" s="181" t="s">
        <v>726</v>
      </c>
      <c r="C76" s="366">
        <f>AVERAGE(C64:C75)</f>
        <v>57.31666666666667</v>
      </c>
      <c r="D76" s="366">
        <f t="shared" ref="D76:E76" si="3">AVERAGE(D64:D75)</f>
        <v>85.091666666666669</v>
      </c>
      <c r="E76" s="367">
        <f t="shared" si="3"/>
        <v>1869.5833333333333</v>
      </c>
      <c r="F76" s="366">
        <f>AVERAGE(F64:F75)</f>
        <v>6.299999999999998</v>
      </c>
      <c r="G76" s="368">
        <f>AVERAGE(G64:G75)</f>
        <v>14.122999999999999</v>
      </c>
      <c r="I76" s="361" t="s">
        <v>1056</v>
      </c>
      <c r="K76" s="360"/>
      <c r="L76" s="354"/>
      <c r="M76" s="354"/>
    </row>
    <row r="77" spans="1:13" s="365" customFormat="1">
      <c r="A77" s="361" t="s">
        <v>1009</v>
      </c>
      <c r="B77" s="181">
        <v>1</v>
      </c>
      <c r="C77" s="362">
        <v>38.1</v>
      </c>
      <c r="D77" s="362">
        <v>64.099999999999994</v>
      </c>
      <c r="E77" s="363">
        <v>1099</v>
      </c>
      <c r="F77" s="362">
        <v>8.3000000000000007</v>
      </c>
      <c r="G77" s="364">
        <v>13.4125</v>
      </c>
      <c r="I77" s="361" t="s">
        <v>703</v>
      </c>
      <c r="K77" s="360"/>
      <c r="L77" s="354"/>
      <c r="M77" s="354"/>
    </row>
    <row r="78" spans="1:13" s="365" customFormat="1">
      <c r="A78" s="361" t="s">
        <v>1009</v>
      </c>
      <c r="B78" s="181">
        <v>2</v>
      </c>
      <c r="C78" s="362">
        <v>40</v>
      </c>
      <c r="D78" s="362">
        <v>67.400000000000006</v>
      </c>
      <c r="E78" s="363">
        <v>1432</v>
      </c>
      <c r="F78" s="362">
        <v>8.3000000000000007</v>
      </c>
      <c r="G78" s="364">
        <v>13.4125</v>
      </c>
      <c r="I78" s="361" t="s">
        <v>1057</v>
      </c>
      <c r="K78" s="360"/>
      <c r="L78" s="354"/>
      <c r="M78" s="354"/>
    </row>
    <row r="79" spans="1:13" s="365" customFormat="1">
      <c r="A79" s="361" t="s">
        <v>1009</v>
      </c>
      <c r="B79" s="181">
        <v>3</v>
      </c>
      <c r="C79" s="362">
        <v>43.8</v>
      </c>
      <c r="D79" s="362">
        <v>71.8</v>
      </c>
      <c r="E79" s="363">
        <v>1864</v>
      </c>
      <c r="F79" s="362">
        <v>8.3000000000000007</v>
      </c>
      <c r="G79" s="364">
        <v>13.4125</v>
      </c>
      <c r="I79" s="361" t="s">
        <v>1058</v>
      </c>
      <c r="K79" s="360"/>
      <c r="L79" s="354"/>
      <c r="M79" s="354"/>
    </row>
    <row r="80" spans="1:13" s="365" customFormat="1">
      <c r="A80" s="361" t="s">
        <v>1009</v>
      </c>
      <c r="B80" s="181">
        <v>4</v>
      </c>
      <c r="C80" s="362">
        <v>49.7</v>
      </c>
      <c r="D80" s="362">
        <v>80.099999999999994</v>
      </c>
      <c r="E80" s="363">
        <v>2363</v>
      </c>
      <c r="F80" s="362">
        <v>8.3000000000000007</v>
      </c>
      <c r="G80" s="364">
        <v>13.4125</v>
      </c>
      <c r="I80" s="361" t="s">
        <v>1059</v>
      </c>
      <c r="K80" s="360"/>
      <c r="L80" s="354"/>
      <c r="M80" s="354"/>
    </row>
    <row r="81" spans="1:13" s="365" customFormat="1">
      <c r="A81" s="361" t="s">
        <v>1009</v>
      </c>
      <c r="B81" s="181">
        <v>5</v>
      </c>
      <c r="C81" s="362">
        <v>57.5</v>
      </c>
      <c r="D81" s="362">
        <v>88.8</v>
      </c>
      <c r="E81" s="363">
        <v>2671</v>
      </c>
      <c r="F81" s="362">
        <v>8.3000000000000007</v>
      </c>
      <c r="G81" s="364">
        <v>13.4125</v>
      </c>
      <c r="I81" s="361" t="s">
        <v>1060</v>
      </c>
      <c r="K81" s="360"/>
      <c r="L81" s="354"/>
      <c r="M81" s="354"/>
    </row>
    <row r="82" spans="1:13" s="365" customFormat="1">
      <c r="A82" s="361" t="s">
        <v>1009</v>
      </c>
      <c r="B82" s="181">
        <v>6</v>
      </c>
      <c r="C82" s="362">
        <v>67.400000000000006</v>
      </c>
      <c r="D82" s="362">
        <v>98.5</v>
      </c>
      <c r="E82" s="363">
        <v>2730</v>
      </c>
      <c r="F82" s="362">
        <v>8.3000000000000007</v>
      </c>
      <c r="G82" s="364">
        <v>13.4125</v>
      </c>
      <c r="I82" s="361" t="s">
        <v>1061</v>
      </c>
      <c r="K82" s="360"/>
      <c r="L82" s="354"/>
      <c r="M82" s="354"/>
    </row>
    <row r="83" spans="1:13" s="365" customFormat="1">
      <c r="A83" s="361" t="s">
        <v>1009</v>
      </c>
      <c r="B83" s="181">
        <v>7</v>
      </c>
      <c r="C83" s="362">
        <v>73.8</v>
      </c>
      <c r="D83" s="362">
        <v>98.5</v>
      </c>
      <c r="E83" s="363">
        <v>2341</v>
      </c>
      <c r="F83" s="362">
        <v>8.3000000000000007</v>
      </c>
      <c r="G83" s="364">
        <v>13.4125</v>
      </c>
      <c r="I83" s="361" t="s">
        <v>1062</v>
      </c>
      <c r="K83" s="360"/>
      <c r="L83" s="354"/>
      <c r="M83" s="354"/>
    </row>
    <row r="84" spans="1:13" s="365" customFormat="1">
      <c r="A84" s="361" t="s">
        <v>1009</v>
      </c>
      <c r="B84" s="181">
        <v>8</v>
      </c>
      <c r="C84" s="362">
        <v>72</v>
      </c>
      <c r="D84" s="362">
        <v>95.9</v>
      </c>
      <c r="E84" s="363">
        <v>2183</v>
      </c>
      <c r="F84" s="362">
        <v>8.3000000000000007</v>
      </c>
      <c r="G84" s="364">
        <v>13.4125</v>
      </c>
      <c r="I84" s="361" t="s">
        <v>1063</v>
      </c>
      <c r="K84" s="360"/>
      <c r="L84" s="354"/>
      <c r="M84" s="354"/>
    </row>
    <row r="85" spans="1:13" s="365" customFormat="1">
      <c r="A85" s="361" t="s">
        <v>1009</v>
      </c>
      <c r="B85" s="181">
        <v>9</v>
      </c>
      <c r="C85" s="362">
        <v>67.3</v>
      </c>
      <c r="D85" s="362">
        <v>93.5</v>
      </c>
      <c r="E85" s="363">
        <v>1979</v>
      </c>
      <c r="F85" s="362">
        <v>8.3000000000000007</v>
      </c>
      <c r="G85" s="364">
        <v>13.4125</v>
      </c>
      <c r="I85" s="361" t="s">
        <v>1064</v>
      </c>
      <c r="K85" s="360"/>
      <c r="L85" s="354"/>
      <c r="M85" s="354"/>
    </row>
    <row r="86" spans="1:13" s="365" customFormat="1">
      <c r="A86" s="361" t="s">
        <v>1009</v>
      </c>
      <c r="B86" s="181">
        <v>10</v>
      </c>
      <c r="C86" s="362">
        <v>56.7</v>
      </c>
      <c r="D86" s="362">
        <v>84.1</v>
      </c>
      <c r="E86" s="363">
        <v>1602</v>
      </c>
      <c r="F86" s="362">
        <v>8.3000000000000007</v>
      </c>
      <c r="G86" s="364">
        <v>13.4125</v>
      </c>
      <c r="K86" s="360"/>
      <c r="L86" s="354"/>
      <c r="M86" s="354"/>
    </row>
    <row r="87" spans="1:13" s="365" customFormat="1">
      <c r="A87" s="361" t="s">
        <v>1009</v>
      </c>
      <c r="B87" s="181">
        <v>11</v>
      </c>
      <c r="C87" s="362">
        <v>45.2</v>
      </c>
      <c r="D87" s="362">
        <v>72.2</v>
      </c>
      <c r="E87" s="363">
        <v>1208</v>
      </c>
      <c r="F87" s="362">
        <v>8.3000000000000007</v>
      </c>
      <c r="G87" s="364">
        <v>13.4125</v>
      </c>
      <c r="K87" s="369"/>
    </row>
    <row r="88" spans="1:13" s="365" customFormat="1">
      <c r="A88" s="361" t="s">
        <v>1009</v>
      </c>
      <c r="B88" s="181">
        <v>12</v>
      </c>
      <c r="C88" s="362">
        <v>39</v>
      </c>
      <c r="D88" s="362">
        <v>65</v>
      </c>
      <c r="E88" s="363">
        <v>996</v>
      </c>
      <c r="F88" s="362">
        <v>8.3000000000000007</v>
      </c>
      <c r="G88" s="364">
        <v>13.4125</v>
      </c>
      <c r="K88" s="369"/>
    </row>
    <row r="89" spans="1:13" s="365" customFormat="1">
      <c r="A89" s="361" t="s">
        <v>1009</v>
      </c>
      <c r="B89" s="181" t="s">
        <v>726</v>
      </c>
      <c r="C89" s="366">
        <f>AVERAGE(C77:C88)</f>
        <v>54.208333333333343</v>
      </c>
      <c r="D89" s="366">
        <f t="shared" ref="D89:E89" si="4">AVERAGE(D77:D88)</f>
        <v>81.658333333333346</v>
      </c>
      <c r="E89" s="367">
        <f t="shared" si="4"/>
        <v>1872.3333333333333</v>
      </c>
      <c r="F89" s="366">
        <f>AVERAGE(F77:F88)</f>
        <v>8.2999999999999989</v>
      </c>
      <c r="G89" s="368">
        <f>AVERAGE(G77:G88)</f>
        <v>13.412499999999996</v>
      </c>
      <c r="K89" s="369"/>
    </row>
    <row r="90" spans="1:13" ht="59">
      <c r="A90" s="85" t="s">
        <v>704</v>
      </c>
      <c r="B90" s="85" t="s">
        <v>707</v>
      </c>
      <c r="C90" s="85" t="s">
        <v>999</v>
      </c>
      <c r="D90" s="85" t="s">
        <v>1000</v>
      </c>
      <c r="E90" s="85" t="s">
        <v>1001</v>
      </c>
      <c r="F90" s="85" t="s">
        <v>1002</v>
      </c>
      <c r="G90" s="359" t="s">
        <v>1003</v>
      </c>
      <c r="I90" s="85" t="s">
        <v>1004</v>
      </c>
      <c r="K90" s="360"/>
    </row>
    <row r="91" spans="1:13" s="365" customFormat="1">
      <c r="A91" s="361" t="s">
        <v>1010</v>
      </c>
      <c r="B91" s="181">
        <v>1</v>
      </c>
      <c r="C91" s="362">
        <v>26.6</v>
      </c>
      <c r="D91" s="362">
        <v>48.4</v>
      </c>
      <c r="E91" s="363">
        <v>744</v>
      </c>
      <c r="F91" s="362">
        <v>7.6</v>
      </c>
      <c r="G91" s="364">
        <v>14.5145</v>
      </c>
      <c r="K91" s="369"/>
    </row>
    <row r="92" spans="1:13" s="365" customFormat="1">
      <c r="A92" s="361" t="s">
        <v>1010</v>
      </c>
      <c r="B92" s="181">
        <v>2</v>
      </c>
      <c r="C92" s="362">
        <v>30.9</v>
      </c>
      <c r="D92" s="362">
        <v>53.8</v>
      </c>
      <c r="E92" s="363">
        <v>999</v>
      </c>
      <c r="F92" s="362">
        <v>7.6</v>
      </c>
      <c r="G92" s="364">
        <v>14.5145</v>
      </c>
      <c r="K92" s="369"/>
    </row>
    <row r="93" spans="1:13" s="365" customFormat="1">
      <c r="A93" s="361" t="s">
        <v>1010</v>
      </c>
      <c r="B93" s="181">
        <v>3</v>
      </c>
      <c r="C93" s="362">
        <v>38.5</v>
      </c>
      <c r="D93" s="362">
        <v>62.5</v>
      </c>
      <c r="E93" s="363">
        <v>1312</v>
      </c>
      <c r="F93" s="362">
        <v>7.6</v>
      </c>
      <c r="G93" s="364">
        <v>14.5145</v>
      </c>
      <c r="K93" s="369"/>
    </row>
    <row r="94" spans="1:13" s="365" customFormat="1">
      <c r="A94" s="361" t="s">
        <v>1010</v>
      </c>
      <c r="B94" s="181">
        <v>4</v>
      </c>
      <c r="C94" s="362">
        <v>49.1</v>
      </c>
      <c r="D94" s="362">
        <v>73.7</v>
      </c>
      <c r="E94" s="363">
        <v>1616</v>
      </c>
      <c r="F94" s="362">
        <v>7.6</v>
      </c>
      <c r="G94" s="364">
        <v>14.5145</v>
      </c>
      <c r="K94" s="369"/>
    </row>
    <row r="95" spans="1:13" s="365" customFormat="1">
      <c r="A95" s="361" t="s">
        <v>1010</v>
      </c>
      <c r="B95" s="181">
        <v>5</v>
      </c>
      <c r="C95" s="362">
        <v>58.2</v>
      </c>
      <c r="D95" s="362">
        <v>81</v>
      </c>
      <c r="E95" s="363">
        <v>1912</v>
      </c>
      <c r="F95" s="362">
        <v>7.6</v>
      </c>
      <c r="G95" s="364">
        <v>14.5145</v>
      </c>
      <c r="K95" s="369"/>
    </row>
    <row r="96" spans="1:13" s="365" customFormat="1">
      <c r="A96" s="361" t="s">
        <v>1010</v>
      </c>
      <c r="B96" s="181">
        <v>6</v>
      </c>
      <c r="C96" s="362">
        <v>66.3</v>
      </c>
      <c r="D96" s="362">
        <v>88.5</v>
      </c>
      <c r="E96" s="363">
        <v>2089</v>
      </c>
      <c r="F96" s="362">
        <v>7.6</v>
      </c>
      <c r="G96" s="364">
        <v>14.5145</v>
      </c>
      <c r="K96" s="369"/>
    </row>
    <row r="97" spans="1:11" s="365" customFormat="1">
      <c r="A97" s="361" t="s">
        <v>1010</v>
      </c>
      <c r="B97" s="181">
        <v>7</v>
      </c>
      <c r="C97" s="362">
        <v>70.5</v>
      </c>
      <c r="D97" s="362">
        <v>93.6</v>
      </c>
      <c r="E97" s="363">
        <v>2065</v>
      </c>
      <c r="F97" s="362">
        <v>7.6</v>
      </c>
      <c r="G97" s="364">
        <v>14.5145</v>
      </c>
      <c r="K97" s="369"/>
    </row>
    <row r="98" spans="1:11" s="365" customFormat="1">
      <c r="A98" s="361" t="s">
        <v>1010</v>
      </c>
      <c r="B98" s="181">
        <v>8</v>
      </c>
      <c r="C98" s="362">
        <v>68.900000000000006</v>
      </c>
      <c r="D98" s="362">
        <v>92.9</v>
      </c>
      <c r="E98" s="363">
        <v>1877</v>
      </c>
      <c r="F98" s="362">
        <v>7.6</v>
      </c>
      <c r="G98" s="364">
        <v>14.5145</v>
      </c>
      <c r="K98" s="369"/>
    </row>
    <row r="99" spans="1:11" s="365" customFormat="1">
      <c r="A99" s="361" t="s">
        <v>1010</v>
      </c>
      <c r="B99" s="181">
        <v>9</v>
      </c>
      <c r="C99" s="362">
        <v>62.1</v>
      </c>
      <c r="D99" s="362">
        <v>85.7</v>
      </c>
      <c r="E99" s="363">
        <v>1502</v>
      </c>
      <c r="F99" s="362">
        <v>7.6</v>
      </c>
      <c r="G99" s="364">
        <v>14.5145</v>
      </c>
      <c r="K99" s="369"/>
    </row>
    <row r="100" spans="1:11" s="365" customFormat="1">
      <c r="A100" s="361" t="s">
        <v>1010</v>
      </c>
      <c r="B100" s="181">
        <v>10</v>
      </c>
      <c r="C100" s="362">
        <v>49</v>
      </c>
      <c r="D100" s="362">
        <v>75.900000000000006</v>
      </c>
      <c r="E100" s="363">
        <v>1201</v>
      </c>
      <c r="F100" s="362">
        <v>7.6</v>
      </c>
      <c r="G100" s="364">
        <v>14.5145</v>
      </c>
      <c r="K100" s="369"/>
    </row>
    <row r="101" spans="1:11" s="365" customFormat="1">
      <c r="A101" s="361" t="s">
        <v>1010</v>
      </c>
      <c r="B101" s="181">
        <v>11</v>
      </c>
      <c r="C101" s="362">
        <v>37.700000000000003</v>
      </c>
      <c r="D101" s="362">
        <v>61.9</v>
      </c>
      <c r="E101" s="363">
        <v>851</v>
      </c>
      <c r="F101" s="362">
        <v>7.6</v>
      </c>
      <c r="G101" s="364">
        <v>14.5145</v>
      </c>
      <c r="K101" s="369"/>
    </row>
    <row r="102" spans="1:11" s="365" customFormat="1">
      <c r="A102" s="361" t="s">
        <v>1010</v>
      </c>
      <c r="B102" s="181">
        <v>12</v>
      </c>
      <c r="C102" s="362">
        <v>30.2</v>
      </c>
      <c r="D102" s="362">
        <v>52.1</v>
      </c>
      <c r="E102" s="363">
        <v>682</v>
      </c>
      <c r="F102" s="362">
        <v>7.6</v>
      </c>
      <c r="G102" s="364">
        <v>14.5145</v>
      </c>
      <c r="K102" s="369"/>
    </row>
    <row r="103" spans="1:11" s="365" customFormat="1">
      <c r="A103" s="361" t="s">
        <v>1010</v>
      </c>
      <c r="B103" s="181" t="s">
        <v>726</v>
      </c>
      <c r="C103" s="366">
        <f>AVERAGE(C91:C102)</f>
        <v>49.000000000000007</v>
      </c>
      <c r="D103" s="366">
        <f t="shared" ref="D103:E103" si="5">AVERAGE(D91:D102)</f>
        <v>72.5</v>
      </c>
      <c r="E103" s="367">
        <f t="shared" si="5"/>
        <v>1404.1666666666667</v>
      </c>
      <c r="F103" s="366">
        <f>AVERAGE(F91:F102)</f>
        <v>7.5999999999999988</v>
      </c>
      <c r="G103" s="368">
        <f>AVERAGE(G91:G102)</f>
        <v>14.5145</v>
      </c>
      <c r="K103" s="369"/>
    </row>
    <row r="104" spans="1:11" s="365" customFormat="1">
      <c r="A104" s="361" t="s">
        <v>1011</v>
      </c>
      <c r="B104" s="181">
        <v>1</v>
      </c>
      <c r="C104" s="362">
        <v>29.9</v>
      </c>
      <c r="D104" s="362">
        <v>49.8</v>
      </c>
      <c r="E104" s="363">
        <v>731</v>
      </c>
      <c r="F104" s="362">
        <v>7.8</v>
      </c>
      <c r="G104" s="364">
        <v>14.616</v>
      </c>
      <c r="K104" s="369"/>
    </row>
    <row r="105" spans="1:11" s="365" customFormat="1">
      <c r="A105" s="361" t="s">
        <v>1011</v>
      </c>
      <c r="B105" s="181">
        <v>2</v>
      </c>
      <c r="C105" s="362">
        <v>33.6</v>
      </c>
      <c r="D105" s="362">
        <v>54.5</v>
      </c>
      <c r="E105" s="363">
        <v>1003</v>
      </c>
      <c r="F105" s="362">
        <v>7.8</v>
      </c>
      <c r="G105" s="364">
        <v>14.616</v>
      </c>
      <c r="K105" s="369"/>
    </row>
    <row r="106" spans="1:11" s="365" customFormat="1">
      <c r="A106" s="361" t="s">
        <v>1011</v>
      </c>
      <c r="B106" s="181">
        <v>3</v>
      </c>
      <c r="C106" s="362">
        <v>41.2</v>
      </c>
      <c r="D106" s="362">
        <v>63.2</v>
      </c>
      <c r="E106" s="363">
        <v>1313</v>
      </c>
      <c r="F106" s="362">
        <v>7.8</v>
      </c>
      <c r="G106" s="364">
        <v>14.616</v>
      </c>
      <c r="K106" s="369"/>
    </row>
    <row r="107" spans="1:11" s="365" customFormat="1">
      <c r="A107" s="361" t="s">
        <v>1011</v>
      </c>
      <c r="B107" s="181">
        <v>4</v>
      </c>
      <c r="C107" s="362">
        <v>50.9</v>
      </c>
      <c r="D107" s="362">
        <v>73.8</v>
      </c>
      <c r="E107" s="363">
        <v>1611</v>
      </c>
      <c r="F107" s="362">
        <v>7.8</v>
      </c>
      <c r="G107" s="364">
        <v>14.616</v>
      </c>
      <c r="K107" s="369"/>
    </row>
    <row r="108" spans="1:11" s="365" customFormat="1">
      <c r="A108" s="361" t="s">
        <v>1011</v>
      </c>
      <c r="B108" s="181">
        <v>5</v>
      </c>
      <c r="C108" s="362">
        <v>59.2</v>
      </c>
      <c r="D108" s="362">
        <v>81.7</v>
      </c>
      <c r="E108" s="363">
        <v>1929</v>
      </c>
      <c r="F108" s="362">
        <v>7.8</v>
      </c>
      <c r="G108" s="364">
        <v>14.616</v>
      </c>
      <c r="K108" s="369"/>
    </row>
    <row r="109" spans="1:11" s="365" customFormat="1">
      <c r="A109" s="361" t="s">
        <v>1011</v>
      </c>
      <c r="B109" s="181">
        <v>6</v>
      </c>
      <c r="C109" s="362">
        <v>67.5</v>
      </c>
      <c r="D109" s="362">
        <v>89.5</v>
      </c>
      <c r="E109" s="363">
        <v>2107</v>
      </c>
      <c r="F109" s="362">
        <v>7.8</v>
      </c>
      <c r="G109" s="364">
        <v>14.616</v>
      </c>
      <c r="K109" s="369"/>
    </row>
    <row r="110" spans="1:11" s="365" customFormat="1">
      <c r="A110" s="361" t="s">
        <v>1011</v>
      </c>
      <c r="B110" s="181">
        <v>7</v>
      </c>
      <c r="C110" s="362">
        <v>71.400000000000006</v>
      </c>
      <c r="D110" s="362">
        <v>92.7</v>
      </c>
      <c r="E110" s="363">
        <v>2032</v>
      </c>
      <c r="F110" s="362">
        <v>7.8</v>
      </c>
      <c r="G110" s="364">
        <v>14.616</v>
      </c>
      <c r="K110" s="369"/>
    </row>
    <row r="111" spans="1:11" s="365" customFormat="1">
      <c r="A111" s="361" t="s">
        <v>1011</v>
      </c>
      <c r="B111" s="181">
        <v>8</v>
      </c>
      <c r="C111" s="362">
        <v>69.599999999999994</v>
      </c>
      <c r="D111" s="362">
        <v>92.3</v>
      </c>
      <c r="E111" s="363">
        <v>1861</v>
      </c>
      <c r="F111" s="362">
        <v>7.8</v>
      </c>
      <c r="G111" s="364">
        <v>14.616</v>
      </c>
      <c r="K111" s="369"/>
    </row>
    <row r="112" spans="1:11" s="365" customFormat="1">
      <c r="A112" s="361" t="s">
        <v>1011</v>
      </c>
      <c r="B112" s="181">
        <v>9</v>
      </c>
      <c r="C112" s="362">
        <v>63</v>
      </c>
      <c r="D112" s="362">
        <v>85.6</v>
      </c>
      <c r="E112" s="363">
        <v>1518</v>
      </c>
      <c r="F112" s="362">
        <v>7.8</v>
      </c>
      <c r="G112" s="364">
        <v>14.616</v>
      </c>
      <c r="K112" s="369"/>
    </row>
    <row r="113" spans="1:11" s="365" customFormat="1">
      <c r="A113" s="361" t="s">
        <v>1011</v>
      </c>
      <c r="B113" s="181">
        <v>10</v>
      </c>
      <c r="C113" s="362">
        <v>50.4</v>
      </c>
      <c r="D113" s="362">
        <v>75.8</v>
      </c>
      <c r="E113" s="363">
        <v>1228</v>
      </c>
      <c r="F113" s="362">
        <v>7.8</v>
      </c>
      <c r="G113" s="364">
        <v>14.616</v>
      </c>
      <c r="K113" s="369"/>
    </row>
    <row r="114" spans="1:11" s="365" customFormat="1">
      <c r="A114" s="361" t="s">
        <v>1011</v>
      </c>
      <c r="B114" s="181">
        <v>11</v>
      </c>
      <c r="C114" s="362">
        <v>40</v>
      </c>
      <c r="D114" s="362">
        <v>62.4</v>
      </c>
      <c r="E114" s="363">
        <v>847</v>
      </c>
      <c r="F114" s="362">
        <v>7.8</v>
      </c>
      <c r="G114" s="364">
        <v>14.616</v>
      </c>
      <c r="K114" s="369"/>
    </row>
    <row r="115" spans="1:11" s="365" customFormat="1">
      <c r="A115" s="361" t="s">
        <v>1011</v>
      </c>
      <c r="B115" s="181">
        <v>12</v>
      </c>
      <c r="C115" s="362">
        <v>33.200000000000003</v>
      </c>
      <c r="D115" s="362">
        <v>53.2</v>
      </c>
      <c r="E115" s="363">
        <v>674</v>
      </c>
      <c r="F115" s="362">
        <v>7.8</v>
      </c>
      <c r="G115" s="364">
        <v>14.616</v>
      </c>
      <c r="K115" s="369"/>
    </row>
    <row r="116" spans="1:11" s="365" customFormat="1">
      <c r="A116" s="361" t="s">
        <v>1011</v>
      </c>
      <c r="B116" s="181" t="s">
        <v>726</v>
      </c>
      <c r="C116" s="366">
        <f>AVERAGE(C104:C115)</f>
        <v>50.82500000000001</v>
      </c>
      <c r="D116" s="366">
        <f t="shared" ref="D116:E116" si="6">AVERAGE(D104:D115)</f>
        <v>72.875</v>
      </c>
      <c r="E116" s="367">
        <f t="shared" si="6"/>
        <v>1404.5</v>
      </c>
      <c r="F116" s="366">
        <f>AVERAGE(F104:F115)</f>
        <v>7.799999999999998</v>
      </c>
      <c r="G116" s="368">
        <f>AVERAGE(G104:G115)</f>
        <v>14.615999999999994</v>
      </c>
      <c r="K116" s="369"/>
    </row>
    <row r="117" spans="1:11" s="365" customFormat="1">
      <c r="A117" s="361" t="s">
        <v>1012</v>
      </c>
      <c r="B117" s="181">
        <v>1</v>
      </c>
      <c r="C117" s="362">
        <v>38.9</v>
      </c>
      <c r="D117" s="362">
        <v>57.4</v>
      </c>
      <c r="E117" s="363">
        <v>766</v>
      </c>
      <c r="F117" s="362">
        <v>6.4</v>
      </c>
      <c r="G117" s="364">
        <v>14.471</v>
      </c>
      <c r="K117" s="369"/>
    </row>
    <row r="118" spans="1:11" s="365" customFormat="1">
      <c r="A118" s="361" t="s">
        <v>1012</v>
      </c>
      <c r="B118" s="181">
        <v>2</v>
      </c>
      <c r="C118" s="362">
        <v>42.6</v>
      </c>
      <c r="D118" s="362">
        <v>63.7</v>
      </c>
      <c r="E118" s="363">
        <v>1102</v>
      </c>
      <c r="F118" s="362">
        <v>6.4</v>
      </c>
      <c r="G118" s="364">
        <v>14.471</v>
      </c>
      <c r="K118" s="369"/>
    </row>
    <row r="119" spans="1:11" s="365" customFormat="1">
      <c r="A119" s="361" t="s">
        <v>1012</v>
      </c>
      <c r="B119" s="181">
        <v>3</v>
      </c>
      <c r="C119" s="362">
        <v>45.5</v>
      </c>
      <c r="D119" s="362">
        <v>68.599999999999994</v>
      </c>
      <c r="E119" s="363">
        <v>1595</v>
      </c>
      <c r="F119" s="362">
        <v>6.4</v>
      </c>
      <c r="G119" s="364">
        <v>14.471</v>
      </c>
      <c r="K119" s="369"/>
    </row>
    <row r="120" spans="1:11" s="365" customFormat="1">
      <c r="A120" s="361" t="s">
        <v>1012</v>
      </c>
      <c r="B120" s="181">
        <v>4</v>
      </c>
      <c r="C120" s="362">
        <v>50.1</v>
      </c>
      <c r="D120" s="362">
        <v>75.099999999999994</v>
      </c>
      <c r="E120" s="363">
        <v>2095</v>
      </c>
      <c r="F120" s="362">
        <v>6.4</v>
      </c>
      <c r="G120" s="364">
        <v>14.471</v>
      </c>
      <c r="K120" s="369"/>
    </row>
    <row r="121" spans="1:11" s="365" customFormat="1">
      <c r="A121" s="361" t="s">
        <v>1012</v>
      </c>
      <c r="B121" s="181">
        <v>5</v>
      </c>
      <c r="C121" s="362">
        <v>57.2</v>
      </c>
      <c r="D121" s="362">
        <v>83.9</v>
      </c>
      <c r="E121" s="363">
        <v>2509</v>
      </c>
      <c r="F121" s="362">
        <v>6.4</v>
      </c>
      <c r="G121" s="364">
        <v>14.471</v>
      </c>
      <c r="K121" s="369"/>
    </row>
    <row r="122" spans="1:11" s="365" customFormat="1">
      <c r="A122" s="361" t="s">
        <v>1012</v>
      </c>
      <c r="B122" s="181">
        <v>6</v>
      </c>
      <c r="C122" s="362">
        <v>64.3</v>
      </c>
      <c r="D122" s="362">
        <v>92.2</v>
      </c>
      <c r="E122" s="363">
        <v>2749</v>
      </c>
      <c r="F122" s="362">
        <v>6.4</v>
      </c>
      <c r="G122" s="364">
        <v>14.471</v>
      </c>
      <c r="K122" s="369"/>
    </row>
    <row r="123" spans="1:11" s="365" customFormat="1">
      <c r="A123" s="361" t="s">
        <v>1012</v>
      </c>
      <c r="B123" s="181">
        <v>7</v>
      </c>
      <c r="C123" s="362">
        <v>70.099999999999994</v>
      </c>
      <c r="D123" s="362">
        <v>98.8</v>
      </c>
      <c r="E123" s="363">
        <v>2684</v>
      </c>
      <c r="F123" s="362">
        <v>6.4</v>
      </c>
      <c r="G123" s="364">
        <v>14.471</v>
      </c>
      <c r="K123" s="369"/>
    </row>
    <row r="124" spans="1:11" s="365" customFormat="1">
      <c r="A124" s="361" t="s">
        <v>1012</v>
      </c>
      <c r="B124" s="181">
        <v>8</v>
      </c>
      <c r="C124" s="362">
        <v>68.5</v>
      </c>
      <c r="D124" s="362">
        <v>96.4</v>
      </c>
      <c r="E124" s="363">
        <v>2421</v>
      </c>
      <c r="F124" s="362">
        <v>6.4</v>
      </c>
      <c r="G124" s="364">
        <v>14.471</v>
      </c>
      <c r="K124" s="369"/>
    </row>
    <row r="125" spans="1:11" s="365" customFormat="1">
      <c r="A125" s="361" t="s">
        <v>1012</v>
      </c>
      <c r="B125" s="181">
        <v>9</v>
      </c>
      <c r="C125" s="362">
        <v>63.8</v>
      </c>
      <c r="D125" s="362">
        <v>90.8</v>
      </c>
      <c r="E125" s="363">
        <v>1992</v>
      </c>
      <c r="F125" s="362">
        <v>6.4</v>
      </c>
      <c r="G125" s="364">
        <v>14.471</v>
      </c>
      <c r="K125" s="369"/>
    </row>
    <row r="126" spans="1:11" s="365" customFormat="1">
      <c r="A126" s="361" t="s">
        <v>1012</v>
      </c>
      <c r="B126" s="181">
        <v>10</v>
      </c>
      <c r="C126" s="362">
        <v>54.9</v>
      </c>
      <c r="D126" s="362">
        <v>81</v>
      </c>
      <c r="E126" s="363">
        <v>1458</v>
      </c>
      <c r="F126" s="362">
        <v>6.4</v>
      </c>
      <c r="G126" s="364">
        <v>14.471</v>
      </c>
      <c r="K126" s="369"/>
    </row>
    <row r="127" spans="1:11" s="365" customFormat="1">
      <c r="A127" s="361" t="s">
        <v>1012</v>
      </c>
      <c r="B127" s="181">
        <v>11</v>
      </c>
      <c r="C127" s="362">
        <v>44.9</v>
      </c>
      <c r="D127" s="362">
        <v>67.400000000000006</v>
      </c>
      <c r="E127" s="363">
        <v>942</v>
      </c>
      <c r="F127" s="362">
        <v>6.4</v>
      </c>
      <c r="G127" s="364">
        <v>14.471</v>
      </c>
      <c r="K127" s="369"/>
    </row>
    <row r="128" spans="1:11" s="365" customFormat="1">
      <c r="A128" s="361" t="s">
        <v>1012</v>
      </c>
      <c r="B128" s="181">
        <v>12</v>
      </c>
      <c r="C128" s="362">
        <v>38.700000000000003</v>
      </c>
      <c r="D128" s="362">
        <v>57.6</v>
      </c>
      <c r="E128" s="363">
        <v>677</v>
      </c>
      <c r="F128" s="362">
        <v>6.4</v>
      </c>
      <c r="G128" s="364">
        <v>14.471</v>
      </c>
      <c r="K128" s="369"/>
    </row>
    <row r="129" spans="1:11" s="365" customFormat="1">
      <c r="A129" s="361" t="s">
        <v>1012</v>
      </c>
      <c r="B129" s="181" t="s">
        <v>726</v>
      </c>
      <c r="C129" s="366">
        <f>AVERAGE(C117:C128)</f>
        <v>53.291666666666679</v>
      </c>
      <c r="D129" s="366">
        <f t="shared" ref="D129:E129" si="7">AVERAGE(D117:D128)</f>
        <v>77.74166666666666</v>
      </c>
      <c r="E129" s="367">
        <f t="shared" si="7"/>
        <v>1749.1666666666667</v>
      </c>
      <c r="F129" s="366">
        <f>AVERAGE(F117:F128)</f>
        <v>6.3999999999999995</v>
      </c>
      <c r="G129" s="368">
        <f>AVERAGE(G117:G128)</f>
        <v>14.471000000000002</v>
      </c>
      <c r="K129" s="369"/>
    </row>
    <row r="130" spans="1:11" ht="59">
      <c r="A130" s="85" t="s">
        <v>704</v>
      </c>
      <c r="B130" s="85" t="s">
        <v>707</v>
      </c>
      <c r="C130" s="85" t="s">
        <v>999</v>
      </c>
      <c r="D130" s="85" t="s">
        <v>1000</v>
      </c>
      <c r="E130" s="85" t="s">
        <v>1001</v>
      </c>
      <c r="F130" s="85" t="s">
        <v>1002</v>
      </c>
      <c r="G130" s="359" t="s">
        <v>1003</v>
      </c>
      <c r="I130" s="85" t="s">
        <v>1004</v>
      </c>
      <c r="K130" s="360"/>
    </row>
    <row r="131" spans="1:11" s="365" customFormat="1">
      <c r="A131" s="361" t="s">
        <v>1013</v>
      </c>
      <c r="B131" s="181">
        <v>1</v>
      </c>
      <c r="C131" s="362">
        <v>44.3</v>
      </c>
      <c r="D131" s="362">
        <v>66</v>
      </c>
      <c r="E131" s="363">
        <v>928</v>
      </c>
      <c r="F131" s="362">
        <v>6.4</v>
      </c>
      <c r="G131" s="364">
        <v>14.702999999999999</v>
      </c>
      <c r="K131" s="369"/>
    </row>
    <row r="132" spans="1:11" s="365" customFormat="1">
      <c r="A132" s="361" t="s">
        <v>1013</v>
      </c>
      <c r="B132" s="181">
        <v>2</v>
      </c>
      <c r="C132" s="362">
        <v>45.9</v>
      </c>
      <c r="D132" s="362">
        <v>67.3</v>
      </c>
      <c r="E132" s="363">
        <v>1215</v>
      </c>
      <c r="F132" s="362">
        <v>6.4</v>
      </c>
      <c r="G132" s="364">
        <v>14.702999999999999</v>
      </c>
      <c r="K132" s="369"/>
    </row>
    <row r="133" spans="1:11" s="365" customFormat="1">
      <c r="A133" s="361" t="s">
        <v>1013</v>
      </c>
      <c r="B133" s="181">
        <v>3</v>
      </c>
      <c r="C133" s="362">
        <v>47.7</v>
      </c>
      <c r="D133" s="362">
        <v>68</v>
      </c>
      <c r="E133" s="363">
        <v>1610</v>
      </c>
      <c r="F133" s="362">
        <v>6.4</v>
      </c>
      <c r="G133" s="364">
        <v>14.702999999999999</v>
      </c>
      <c r="K133" s="369"/>
    </row>
    <row r="134" spans="1:11" s="365" customFormat="1">
      <c r="A134" s="361" t="s">
        <v>1013</v>
      </c>
      <c r="B134" s="181">
        <v>4</v>
      </c>
      <c r="C134" s="362">
        <v>50.8</v>
      </c>
      <c r="D134" s="362">
        <v>70.900000000000006</v>
      </c>
      <c r="E134" s="363">
        <v>1938</v>
      </c>
      <c r="F134" s="362">
        <v>6.4</v>
      </c>
      <c r="G134" s="364">
        <v>14.702999999999999</v>
      </c>
      <c r="K134" s="369"/>
    </row>
    <row r="135" spans="1:11" s="365" customFormat="1">
      <c r="A135" s="361" t="s">
        <v>1013</v>
      </c>
      <c r="B135" s="181">
        <v>5</v>
      </c>
      <c r="C135" s="362">
        <v>55.2</v>
      </c>
      <c r="D135" s="362">
        <v>73.400000000000006</v>
      </c>
      <c r="E135" s="363">
        <v>2065</v>
      </c>
      <c r="F135" s="362">
        <v>6.4</v>
      </c>
      <c r="G135" s="364">
        <v>14.702999999999999</v>
      </c>
      <c r="K135" s="369"/>
    </row>
    <row r="136" spans="1:11" s="365" customFormat="1">
      <c r="A136" s="361" t="s">
        <v>1013</v>
      </c>
      <c r="B136" s="181">
        <v>6</v>
      </c>
      <c r="C136" s="362">
        <v>58.9</v>
      </c>
      <c r="D136" s="362">
        <v>77.400000000000006</v>
      </c>
      <c r="E136" s="363">
        <v>2140</v>
      </c>
      <c r="F136" s="362">
        <v>6.4</v>
      </c>
      <c r="G136" s="364">
        <v>14.702999999999999</v>
      </c>
      <c r="K136" s="369"/>
    </row>
    <row r="137" spans="1:11" s="365" customFormat="1">
      <c r="A137" s="361" t="s">
        <v>1013</v>
      </c>
      <c r="B137" s="181">
        <v>7</v>
      </c>
      <c r="C137" s="362">
        <v>62.6</v>
      </c>
      <c r="D137" s="362">
        <v>83</v>
      </c>
      <c r="E137" s="363">
        <v>2300</v>
      </c>
      <c r="F137" s="362">
        <v>6.4</v>
      </c>
      <c r="G137" s="364">
        <v>14.702999999999999</v>
      </c>
      <c r="K137" s="369"/>
    </row>
    <row r="138" spans="1:11" s="365" customFormat="1">
      <c r="A138" s="361" t="s">
        <v>1013</v>
      </c>
      <c r="B138" s="181">
        <v>8</v>
      </c>
      <c r="C138" s="362">
        <v>64</v>
      </c>
      <c r="D138" s="362">
        <v>83.8</v>
      </c>
      <c r="E138" s="363">
        <v>2100</v>
      </c>
      <c r="F138" s="362">
        <v>6.4</v>
      </c>
      <c r="G138" s="364">
        <v>14.702999999999999</v>
      </c>
      <c r="K138" s="369"/>
    </row>
    <row r="139" spans="1:11" s="365" customFormat="1">
      <c r="A139" s="361" t="s">
        <v>1013</v>
      </c>
      <c r="B139" s="181">
        <v>9</v>
      </c>
      <c r="C139" s="362">
        <v>61.6</v>
      </c>
      <c r="D139" s="362">
        <v>82.5</v>
      </c>
      <c r="E139" s="363">
        <v>1701</v>
      </c>
      <c r="F139" s="362">
        <v>6.4</v>
      </c>
      <c r="G139" s="364">
        <v>14.702999999999999</v>
      </c>
      <c r="K139" s="369"/>
    </row>
    <row r="140" spans="1:11" s="365" customFormat="1">
      <c r="A140" s="361" t="s">
        <v>1013</v>
      </c>
      <c r="B140" s="181">
        <v>10</v>
      </c>
      <c r="C140" s="362">
        <v>56.6</v>
      </c>
      <c r="D140" s="362">
        <v>78.400000000000006</v>
      </c>
      <c r="E140" s="363">
        <v>1326</v>
      </c>
      <c r="F140" s="362">
        <v>6.4</v>
      </c>
      <c r="G140" s="364">
        <v>14.702999999999999</v>
      </c>
      <c r="K140" s="369"/>
    </row>
    <row r="141" spans="1:11" s="365" customFormat="1">
      <c r="A141" s="361" t="s">
        <v>1013</v>
      </c>
      <c r="B141" s="181">
        <v>11</v>
      </c>
      <c r="C141" s="362">
        <v>49.6</v>
      </c>
      <c r="D141" s="362">
        <v>72.7</v>
      </c>
      <c r="E141" s="363">
        <v>1004</v>
      </c>
      <c r="F141" s="362">
        <v>6.4</v>
      </c>
      <c r="G141" s="364">
        <v>14.702999999999999</v>
      </c>
      <c r="K141" s="369"/>
    </row>
    <row r="142" spans="1:11" s="365" customFormat="1">
      <c r="A142" s="361" t="s">
        <v>1013</v>
      </c>
      <c r="B142" s="181">
        <v>12</v>
      </c>
      <c r="C142" s="362">
        <v>44.7</v>
      </c>
      <c r="D142" s="362">
        <v>67.400000000000006</v>
      </c>
      <c r="E142" s="363">
        <v>847</v>
      </c>
      <c r="F142" s="362">
        <v>6.4</v>
      </c>
      <c r="G142" s="364">
        <v>14.702999999999999</v>
      </c>
      <c r="K142" s="369"/>
    </row>
    <row r="143" spans="1:11" s="365" customFormat="1">
      <c r="A143" s="361" t="s">
        <v>1013</v>
      </c>
      <c r="B143" s="181" t="s">
        <v>726</v>
      </c>
      <c r="C143" s="366">
        <f>AVERAGE(C131:C142)</f>
        <v>53.491666666666674</v>
      </c>
      <c r="D143" s="366">
        <f t="shared" ref="D143:E143" si="8">AVERAGE(D131:D142)</f>
        <v>74.233333333333334</v>
      </c>
      <c r="E143" s="367">
        <f t="shared" si="8"/>
        <v>1597.8333333333333</v>
      </c>
      <c r="F143" s="366">
        <f>AVERAGE(F131:F142)</f>
        <v>6.3999999999999995</v>
      </c>
      <c r="G143" s="368">
        <f>AVERAGE(G131:G142)</f>
        <v>14.703000000000001</v>
      </c>
      <c r="K143" s="369"/>
    </row>
    <row r="144" spans="1:11" s="365" customFormat="1">
      <c r="A144" s="361" t="s">
        <v>1014</v>
      </c>
      <c r="B144" s="181">
        <v>1</v>
      </c>
      <c r="C144" s="362">
        <v>47.3</v>
      </c>
      <c r="D144" s="362">
        <v>64.599999999999994</v>
      </c>
      <c r="E144" s="363">
        <v>926</v>
      </c>
      <c r="F144" s="362">
        <v>7.5</v>
      </c>
      <c r="G144" s="364">
        <v>14.673999999999999</v>
      </c>
      <c r="K144" s="369"/>
    </row>
    <row r="145" spans="1:11" s="365" customFormat="1">
      <c r="A145" s="361" t="s">
        <v>1014</v>
      </c>
      <c r="B145" s="181">
        <v>2</v>
      </c>
      <c r="C145" s="362">
        <v>48.6</v>
      </c>
      <c r="D145" s="362">
        <v>65.5</v>
      </c>
      <c r="E145" s="363">
        <v>1214</v>
      </c>
      <c r="F145" s="362">
        <v>7.5</v>
      </c>
      <c r="G145" s="364">
        <v>14.673999999999999</v>
      </c>
      <c r="K145" s="369"/>
    </row>
    <row r="146" spans="1:11" s="365" customFormat="1">
      <c r="A146" s="361" t="s">
        <v>1014</v>
      </c>
      <c r="B146" s="181">
        <v>3</v>
      </c>
      <c r="C146" s="362">
        <v>49.7</v>
      </c>
      <c r="D146" s="362">
        <v>65.099999999999994</v>
      </c>
      <c r="E146" s="363">
        <v>1619</v>
      </c>
      <c r="F146" s="362">
        <v>7.5</v>
      </c>
      <c r="G146" s="364">
        <v>14.673999999999999</v>
      </c>
      <c r="K146" s="369"/>
    </row>
    <row r="147" spans="1:11" s="365" customFormat="1">
      <c r="A147" s="361" t="s">
        <v>1014</v>
      </c>
      <c r="B147" s="181">
        <v>4</v>
      </c>
      <c r="C147" s="362">
        <v>52.2</v>
      </c>
      <c r="D147" s="362">
        <v>66.7</v>
      </c>
      <c r="E147" s="363">
        <v>1951</v>
      </c>
      <c r="F147" s="362">
        <v>7.5</v>
      </c>
      <c r="G147" s="364">
        <v>14.673999999999999</v>
      </c>
      <c r="K147" s="369"/>
    </row>
    <row r="148" spans="1:11" s="365" customFormat="1">
      <c r="A148" s="361" t="s">
        <v>1014</v>
      </c>
      <c r="B148" s="181">
        <v>5</v>
      </c>
      <c r="C148" s="362">
        <v>55.7</v>
      </c>
      <c r="D148" s="362">
        <v>69.099999999999994</v>
      </c>
      <c r="E148" s="363">
        <v>2060</v>
      </c>
      <c r="F148" s="362">
        <v>7.5</v>
      </c>
      <c r="G148" s="364">
        <v>14.673999999999999</v>
      </c>
      <c r="K148" s="369"/>
    </row>
    <row r="149" spans="1:11" s="365" customFormat="1">
      <c r="A149" s="361" t="s">
        <v>1014</v>
      </c>
      <c r="B149" s="181">
        <v>6</v>
      </c>
      <c r="C149" s="362">
        <v>59.1</v>
      </c>
      <c r="D149" s="362">
        <v>72</v>
      </c>
      <c r="E149" s="363">
        <v>2119</v>
      </c>
      <c r="F149" s="362">
        <v>7.5</v>
      </c>
      <c r="G149" s="364">
        <v>14.673999999999999</v>
      </c>
      <c r="K149" s="369"/>
    </row>
    <row r="150" spans="1:11" s="365" customFormat="1">
      <c r="A150" s="361" t="s">
        <v>1014</v>
      </c>
      <c r="B150" s="181">
        <v>7</v>
      </c>
      <c r="C150" s="362">
        <v>62.6</v>
      </c>
      <c r="D150" s="362">
        <v>75.3</v>
      </c>
      <c r="E150" s="363">
        <v>2308</v>
      </c>
      <c r="F150" s="362">
        <v>7.5</v>
      </c>
      <c r="G150" s="364">
        <v>14.673999999999999</v>
      </c>
      <c r="K150" s="369"/>
    </row>
    <row r="151" spans="1:11" s="365" customFormat="1">
      <c r="A151" s="361" t="s">
        <v>1014</v>
      </c>
      <c r="B151" s="181">
        <v>8</v>
      </c>
      <c r="C151" s="362">
        <v>64</v>
      </c>
      <c r="D151" s="362">
        <v>76.5</v>
      </c>
      <c r="E151" s="363">
        <v>2080</v>
      </c>
      <c r="F151" s="362">
        <v>7.5</v>
      </c>
      <c r="G151" s="364">
        <v>14.673999999999999</v>
      </c>
      <c r="K151" s="369"/>
    </row>
    <row r="152" spans="1:11" s="365" customFormat="1">
      <c r="A152" s="361" t="s">
        <v>1014</v>
      </c>
      <c r="B152" s="181">
        <v>9</v>
      </c>
      <c r="C152" s="362">
        <v>62.5</v>
      </c>
      <c r="D152" s="362">
        <v>76.400000000000006</v>
      </c>
      <c r="E152" s="363">
        <v>1681</v>
      </c>
      <c r="F152" s="362">
        <v>7.5</v>
      </c>
      <c r="G152" s="364">
        <v>14.673999999999999</v>
      </c>
      <c r="K152" s="369"/>
    </row>
    <row r="153" spans="1:11" s="365" customFormat="1">
      <c r="A153" s="361" t="s">
        <v>1014</v>
      </c>
      <c r="B153" s="181">
        <v>10</v>
      </c>
      <c r="C153" s="362">
        <v>58.5</v>
      </c>
      <c r="D153" s="362">
        <v>74</v>
      </c>
      <c r="E153" s="363">
        <v>1317</v>
      </c>
      <c r="F153" s="362">
        <v>7.5</v>
      </c>
      <c r="G153" s="364">
        <v>14.673999999999999</v>
      </c>
      <c r="K153" s="369"/>
    </row>
    <row r="154" spans="1:11" s="365" customFormat="1">
      <c r="A154" s="361" t="s">
        <v>1014</v>
      </c>
      <c r="B154" s="181">
        <v>11</v>
      </c>
      <c r="C154" s="362">
        <v>52.1</v>
      </c>
      <c r="D154" s="362">
        <v>70.3</v>
      </c>
      <c r="E154" s="363">
        <v>1004</v>
      </c>
      <c r="F154" s="362">
        <v>7.5</v>
      </c>
      <c r="G154" s="364">
        <v>14.673999999999999</v>
      </c>
      <c r="K154" s="369"/>
    </row>
    <row r="155" spans="1:11" s="365" customFormat="1">
      <c r="A155" s="361" t="s">
        <v>1014</v>
      </c>
      <c r="B155" s="181">
        <v>12</v>
      </c>
      <c r="C155" s="362">
        <v>47.8</v>
      </c>
      <c r="D155" s="362">
        <v>66.099999999999994</v>
      </c>
      <c r="E155" s="363">
        <v>849</v>
      </c>
      <c r="F155" s="362">
        <v>7.5</v>
      </c>
      <c r="G155" s="364">
        <v>14.673999999999999</v>
      </c>
      <c r="K155" s="369"/>
    </row>
    <row r="156" spans="1:11" s="365" customFormat="1">
      <c r="A156" s="361" t="s">
        <v>1014</v>
      </c>
      <c r="B156" s="181" t="s">
        <v>726</v>
      </c>
      <c r="C156" s="366">
        <f>AVERAGE(C144:C155)</f>
        <v>55.008333333333333</v>
      </c>
      <c r="D156" s="366">
        <f t="shared" ref="D156:E156" si="9">AVERAGE(D144:D155)</f>
        <v>70.133333333333326</v>
      </c>
      <c r="E156" s="367">
        <f t="shared" si="9"/>
        <v>1594</v>
      </c>
      <c r="F156" s="366">
        <f>AVERAGE(F144:F155)</f>
        <v>7.5</v>
      </c>
      <c r="G156" s="368">
        <f>AVERAGE(G144:G155)</f>
        <v>14.674000000000005</v>
      </c>
      <c r="K156" s="369"/>
    </row>
    <row r="157" spans="1:11" s="365" customFormat="1">
      <c r="A157" s="361" t="s">
        <v>1015</v>
      </c>
      <c r="B157" s="181">
        <v>1</v>
      </c>
      <c r="C157" s="362">
        <v>37.9</v>
      </c>
      <c r="D157" s="362">
        <v>52.6</v>
      </c>
      <c r="E157" s="363">
        <v>597</v>
      </c>
      <c r="F157" s="362">
        <v>7.9</v>
      </c>
      <c r="G157" s="364">
        <v>14.717499999999999</v>
      </c>
      <c r="K157" s="369"/>
    </row>
    <row r="158" spans="1:11" s="365" customFormat="1">
      <c r="A158" s="361" t="s">
        <v>1015</v>
      </c>
      <c r="B158" s="181">
        <v>2</v>
      </c>
      <c r="C158" s="362">
        <v>41.2</v>
      </c>
      <c r="D158" s="362">
        <v>59.4</v>
      </c>
      <c r="E158" s="363">
        <v>939</v>
      </c>
      <c r="F158" s="362">
        <v>7.9</v>
      </c>
      <c r="G158" s="364">
        <v>14.717499999999999</v>
      </c>
      <c r="K158" s="369"/>
    </row>
    <row r="159" spans="1:11" s="365" customFormat="1">
      <c r="A159" s="361" t="s">
        <v>1015</v>
      </c>
      <c r="B159" s="181">
        <v>3</v>
      </c>
      <c r="C159" s="362">
        <v>42.4</v>
      </c>
      <c r="D159" s="362">
        <v>64.099999999999994</v>
      </c>
      <c r="E159" s="363">
        <v>1458</v>
      </c>
      <c r="F159" s="362">
        <v>7.9</v>
      </c>
      <c r="G159" s="364">
        <v>14.717499999999999</v>
      </c>
      <c r="K159" s="369"/>
    </row>
    <row r="160" spans="1:11" s="365" customFormat="1">
      <c r="A160" s="361" t="s">
        <v>1015</v>
      </c>
      <c r="B160" s="181">
        <v>4</v>
      </c>
      <c r="C160" s="362">
        <v>45.3</v>
      </c>
      <c r="D160" s="362">
        <v>71</v>
      </c>
      <c r="E160" s="363">
        <v>2004</v>
      </c>
      <c r="F160" s="362">
        <v>7.9</v>
      </c>
      <c r="G160" s="364">
        <v>14.717499999999999</v>
      </c>
      <c r="K160" s="369"/>
    </row>
    <row r="161" spans="1:11" s="365" customFormat="1">
      <c r="A161" s="361" t="s">
        <v>1015</v>
      </c>
      <c r="B161" s="181">
        <v>5</v>
      </c>
      <c r="C161" s="362">
        <v>50.1</v>
      </c>
      <c r="D161" s="362">
        <v>79.7</v>
      </c>
      <c r="E161" s="363">
        <v>2435</v>
      </c>
      <c r="F161" s="362">
        <v>7.9</v>
      </c>
      <c r="G161" s="364">
        <v>14.717499999999999</v>
      </c>
      <c r="K161" s="369"/>
    </row>
    <row r="162" spans="1:11" s="365" customFormat="1">
      <c r="A162" s="361" t="s">
        <v>1015</v>
      </c>
      <c r="B162" s="181">
        <v>6</v>
      </c>
      <c r="C162" s="362">
        <v>55.1</v>
      </c>
      <c r="D162" s="362">
        <v>87.4</v>
      </c>
      <c r="E162" s="363">
        <v>2684</v>
      </c>
      <c r="F162" s="362">
        <v>7.9</v>
      </c>
      <c r="G162" s="364">
        <v>14.717499999999999</v>
      </c>
      <c r="K162" s="369"/>
    </row>
    <row r="163" spans="1:11" s="365" customFormat="1">
      <c r="A163" s="361" t="s">
        <v>1015</v>
      </c>
      <c r="B163" s="181">
        <v>7</v>
      </c>
      <c r="C163" s="362">
        <v>57.9</v>
      </c>
      <c r="D163" s="362">
        <v>93.3</v>
      </c>
      <c r="E163" s="363">
        <v>2688</v>
      </c>
      <c r="F163" s="362">
        <v>7.9</v>
      </c>
      <c r="G163" s="364">
        <v>14.717499999999999</v>
      </c>
      <c r="K163" s="369"/>
    </row>
    <row r="164" spans="1:11" s="365" customFormat="1">
      <c r="A164" s="361" t="s">
        <v>1015</v>
      </c>
      <c r="B164" s="181">
        <v>8</v>
      </c>
      <c r="C164" s="362">
        <v>57.6</v>
      </c>
      <c r="D164" s="362">
        <v>91.7</v>
      </c>
      <c r="E164" s="363">
        <v>2368</v>
      </c>
      <c r="F164" s="362">
        <v>7.9</v>
      </c>
      <c r="G164" s="364">
        <v>14.717499999999999</v>
      </c>
      <c r="K164" s="369"/>
    </row>
    <row r="165" spans="1:11" s="365" customFormat="1">
      <c r="A165" s="361" t="s">
        <v>1015</v>
      </c>
      <c r="B165" s="181">
        <v>9</v>
      </c>
      <c r="C165" s="362">
        <v>55.8</v>
      </c>
      <c r="D165" s="362">
        <v>87.6</v>
      </c>
      <c r="E165" s="363">
        <v>1907</v>
      </c>
      <c r="F165" s="362">
        <v>7.9</v>
      </c>
      <c r="G165" s="364">
        <v>14.717499999999999</v>
      </c>
      <c r="K165" s="369"/>
    </row>
    <row r="166" spans="1:11" s="365" customFormat="1">
      <c r="A166" s="361" t="s">
        <v>1015</v>
      </c>
      <c r="B166" s="181">
        <v>10</v>
      </c>
      <c r="C166" s="362">
        <v>50</v>
      </c>
      <c r="D166" s="362">
        <v>77.7</v>
      </c>
      <c r="E166" s="363">
        <v>1315</v>
      </c>
      <c r="F166" s="362">
        <v>7.9</v>
      </c>
      <c r="G166" s="364">
        <v>14.717499999999999</v>
      </c>
      <c r="K166" s="369"/>
    </row>
    <row r="167" spans="1:11" s="365" customFormat="1">
      <c r="A167" s="361" t="s">
        <v>1015</v>
      </c>
      <c r="B167" s="181">
        <v>11</v>
      </c>
      <c r="C167" s="362">
        <v>42.8</v>
      </c>
      <c r="D167" s="362">
        <v>63.2</v>
      </c>
      <c r="E167" s="363">
        <v>782</v>
      </c>
      <c r="F167" s="362">
        <v>7.9</v>
      </c>
      <c r="G167" s="364">
        <v>14.717499999999999</v>
      </c>
      <c r="K167" s="369"/>
    </row>
    <row r="168" spans="1:11" s="365" customFormat="1">
      <c r="A168" s="361" t="s">
        <v>1015</v>
      </c>
      <c r="B168" s="181">
        <v>12</v>
      </c>
      <c r="C168" s="362">
        <v>37.9</v>
      </c>
      <c r="D168" s="362">
        <v>53.2</v>
      </c>
      <c r="E168" s="363">
        <v>538</v>
      </c>
      <c r="F168" s="362">
        <v>7.9</v>
      </c>
      <c r="G168" s="364">
        <v>14.717499999999999</v>
      </c>
      <c r="K168" s="369"/>
    </row>
    <row r="169" spans="1:11" s="365" customFormat="1">
      <c r="A169" s="361" t="s">
        <v>1015</v>
      </c>
      <c r="B169" s="181" t="s">
        <v>726</v>
      </c>
      <c r="C169" s="366">
        <f>AVERAGE(C157:C168)</f>
        <v>47.833333333333336</v>
      </c>
      <c r="D169" s="366">
        <f t="shared" ref="D169:E169" si="10">AVERAGE(D157:D168)</f>
        <v>73.408333333333346</v>
      </c>
      <c r="E169" s="367">
        <f t="shared" si="10"/>
        <v>1642.9166666666667</v>
      </c>
      <c r="F169" s="366">
        <f>AVERAGE(F157:F168)</f>
        <v>7.9000000000000012</v>
      </c>
      <c r="G169" s="368">
        <f>AVERAGE(G157:G168)</f>
        <v>14.717499999999999</v>
      </c>
      <c r="K169" s="369"/>
    </row>
    <row r="170" spans="1:11" ht="59">
      <c r="A170" s="85" t="s">
        <v>704</v>
      </c>
      <c r="B170" s="85" t="s">
        <v>707</v>
      </c>
      <c r="C170" s="85" t="s">
        <v>999</v>
      </c>
      <c r="D170" s="85" t="s">
        <v>1000</v>
      </c>
      <c r="E170" s="85" t="s">
        <v>1001</v>
      </c>
      <c r="F170" s="85" t="s">
        <v>1002</v>
      </c>
      <c r="G170" s="359" t="s">
        <v>1003</v>
      </c>
      <c r="I170" s="85" t="s">
        <v>1004</v>
      </c>
      <c r="K170" s="360"/>
    </row>
    <row r="171" spans="1:11" s="365" customFormat="1">
      <c r="A171" s="361" t="s">
        <v>1016</v>
      </c>
      <c r="B171" s="181">
        <v>1</v>
      </c>
      <c r="C171" s="362">
        <v>41.5</v>
      </c>
      <c r="D171" s="362">
        <v>55.5</v>
      </c>
      <c r="E171" s="363">
        <v>708</v>
      </c>
      <c r="F171" s="362">
        <v>10.6</v>
      </c>
      <c r="G171" s="364">
        <v>14.746499999999999</v>
      </c>
      <c r="K171" s="369"/>
    </row>
    <row r="172" spans="1:11" s="365" customFormat="1">
      <c r="A172" s="361" t="s">
        <v>1016</v>
      </c>
      <c r="B172" s="181">
        <v>2</v>
      </c>
      <c r="C172" s="362">
        <v>44.1</v>
      </c>
      <c r="D172" s="362">
        <v>59</v>
      </c>
      <c r="E172" s="363">
        <v>1009</v>
      </c>
      <c r="F172" s="362">
        <v>10.6</v>
      </c>
      <c r="G172" s="364">
        <v>14.746499999999999</v>
      </c>
      <c r="K172" s="369"/>
    </row>
    <row r="173" spans="1:11" s="365" customFormat="1">
      <c r="A173" s="361" t="s">
        <v>1016</v>
      </c>
      <c r="B173" s="181">
        <v>3</v>
      </c>
      <c r="C173" s="362">
        <v>44.9</v>
      </c>
      <c r="D173" s="362">
        <v>60.6</v>
      </c>
      <c r="E173" s="363">
        <v>1455</v>
      </c>
      <c r="F173" s="362">
        <v>10.6</v>
      </c>
      <c r="G173" s="364">
        <v>14.746499999999999</v>
      </c>
      <c r="K173" s="369"/>
    </row>
    <row r="174" spans="1:11" s="365" customFormat="1">
      <c r="A174" s="361" t="s">
        <v>1016</v>
      </c>
      <c r="B174" s="181">
        <v>4</v>
      </c>
      <c r="C174" s="362">
        <v>46.6</v>
      </c>
      <c r="D174" s="362">
        <v>63</v>
      </c>
      <c r="E174" s="363">
        <v>1920</v>
      </c>
      <c r="F174" s="362">
        <v>10.6</v>
      </c>
      <c r="G174" s="364">
        <v>14.746499999999999</v>
      </c>
      <c r="K174" s="369"/>
    </row>
    <row r="175" spans="1:11" s="365" customFormat="1">
      <c r="A175" s="361" t="s">
        <v>1016</v>
      </c>
      <c r="B175" s="181">
        <v>5</v>
      </c>
      <c r="C175" s="362">
        <v>49.3</v>
      </c>
      <c r="D175" s="362">
        <v>66.3</v>
      </c>
      <c r="E175" s="363">
        <v>2226</v>
      </c>
      <c r="F175" s="362">
        <v>10.6</v>
      </c>
      <c r="G175" s="364">
        <v>14.746499999999999</v>
      </c>
      <c r="K175" s="369"/>
    </row>
    <row r="176" spans="1:11" s="365" customFormat="1">
      <c r="A176" s="361" t="s">
        <v>1016</v>
      </c>
      <c r="B176" s="181">
        <v>6</v>
      </c>
      <c r="C176" s="362">
        <v>52</v>
      </c>
      <c r="D176" s="362">
        <v>69.599999999999994</v>
      </c>
      <c r="E176" s="363">
        <v>2377</v>
      </c>
      <c r="F176" s="362">
        <v>10.6</v>
      </c>
      <c r="G176" s="364">
        <v>14.746499999999999</v>
      </c>
      <c r="K176" s="369"/>
    </row>
    <row r="177" spans="1:11" s="365" customFormat="1">
      <c r="A177" s="361" t="s">
        <v>1016</v>
      </c>
      <c r="B177" s="181">
        <v>7</v>
      </c>
      <c r="C177" s="362">
        <v>53.3</v>
      </c>
      <c r="D177" s="362">
        <v>71</v>
      </c>
      <c r="E177" s="363">
        <v>2392</v>
      </c>
      <c r="F177" s="362">
        <v>10.6</v>
      </c>
      <c r="G177" s="364">
        <v>14.746499999999999</v>
      </c>
      <c r="K177" s="369"/>
    </row>
    <row r="178" spans="1:11" s="365" customFormat="1">
      <c r="A178" s="361" t="s">
        <v>1016</v>
      </c>
      <c r="B178" s="181">
        <v>8</v>
      </c>
      <c r="C178" s="362">
        <v>54.2</v>
      </c>
      <c r="D178" s="362">
        <v>71.8</v>
      </c>
      <c r="E178" s="363">
        <v>2117</v>
      </c>
      <c r="F178" s="362">
        <v>10.6</v>
      </c>
      <c r="G178" s="364">
        <v>14.746499999999999</v>
      </c>
      <c r="K178" s="369"/>
    </row>
    <row r="179" spans="1:11" s="365" customFormat="1">
      <c r="A179" s="361" t="s">
        <v>1016</v>
      </c>
      <c r="B179" s="181">
        <v>9</v>
      </c>
      <c r="C179" s="362">
        <v>54.3</v>
      </c>
      <c r="D179" s="362">
        <v>73.400000000000006</v>
      </c>
      <c r="E179" s="363">
        <v>1742</v>
      </c>
      <c r="F179" s="362">
        <v>10.6</v>
      </c>
      <c r="G179" s="364">
        <v>14.746499999999999</v>
      </c>
      <c r="K179" s="369"/>
    </row>
    <row r="180" spans="1:11" s="365" customFormat="1">
      <c r="A180" s="361" t="s">
        <v>1016</v>
      </c>
      <c r="B180" s="181">
        <v>10</v>
      </c>
      <c r="C180" s="362">
        <v>51.2</v>
      </c>
      <c r="D180" s="362">
        <v>70</v>
      </c>
      <c r="E180" s="363">
        <v>1226</v>
      </c>
      <c r="F180" s="362">
        <v>10.6</v>
      </c>
      <c r="G180" s="364">
        <v>14.746499999999999</v>
      </c>
      <c r="K180" s="369"/>
    </row>
    <row r="181" spans="1:11" s="365" customFormat="1">
      <c r="A181" s="361" t="s">
        <v>1016</v>
      </c>
      <c r="B181" s="181">
        <v>11</v>
      </c>
      <c r="C181" s="362">
        <v>46.3</v>
      </c>
      <c r="D181" s="362">
        <v>62.7</v>
      </c>
      <c r="E181" s="363">
        <v>821</v>
      </c>
      <c r="F181" s="362">
        <v>10.6</v>
      </c>
      <c r="G181" s="364">
        <v>14.746499999999999</v>
      </c>
      <c r="K181" s="369"/>
    </row>
    <row r="182" spans="1:11" s="365" customFormat="1">
      <c r="A182" s="361" t="s">
        <v>1016</v>
      </c>
      <c r="B182" s="181">
        <v>12</v>
      </c>
      <c r="C182" s="362">
        <v>42.2</v>
      </c>
      <c r="D182" s="362">
        <v>56.3</v>
      </c>
      <c r="E182" s="363">
        <v>642</v>
      </c>
      <c r="F182" s="362">
        <v>10.6</v>
      </c>
      <c r="G182" s="364">
        <v>14.746499999999999</v>
      </c>
      <c r="K182" s="369"/>
    </row>
    <row r="183" spans="1:11" s="365" customFormat="1">
      <c r="A183" s="361" t="s">
        <v>1016</v>
      </c>
      <c r="B183" s="181" t="s">
        <v>726</v>
      </c>
      <c r="C183" s="366">
        <f>AVERAGE(C171:C182)</f>
        <v>48.324999999999996</v>
      </c>
      <c r="D183" s="366">
        <f t="shared" ref="D183" si="11">AVERAGE(D171:D182)</f>
        <v>64.933333333333323</v>
      </c>
      <c r="E183" s="367">
        <f>AVERAGE(E171:E182)</f>
        <v>1552.9166666666667</v>
      </c>
      <c r="F183" s="366">
        <f>AVERAGE(F171:F182)</f>
        <v>10.599999999999998</v>
      </c>
      <c r="G183" s="368">
        <f>AVERAGE(G171:G182)</f>
        <v>14.746499999999999</v>
      </c>
      <c r="K183" s="369"/>
    </row>
    <row r="184" spans="1:11" s="365" customFormat="1">
      <c r="A184" s="361" t="s">
        <v>1017</v>
      </c>
      <c r="B184" s="181">
        <v>1</v>
      </c>
      <c r="C184" s="362">
        <v>38.799999999999997</v>
      </c>
      <c r="D184" s="362">
        <v>62.8</v>
      </c>
      <c r="E184" s="363">
        <v>854</v>
      </c>
      <c r="F184" s="362">
        <v>7</v>
      </c>
      <c r="G184" s="364">
        <v>14.616</v>
      </c>
      <c r="K184" s="369"/>
    </row>
    <row r="185" spans="1:11" s="365" customFormat="1">
      <c r="A185" s="361" t="s">
        <v>1017</v>
      </c>
      <c r="B185" s="181">
        <v>2</v>
      </c>
      <c r="C185" s="362">
        <v>40.299999999999997</v>
      </c>
      <c r="D185" s="362">
        <v>64.2</v>
      </c>
      <c r="E185" s="363">
        <v>1141</v>
      </c>
      <c r="F185" s="362">
        <v>7</v>
      </c>
      <c r="G185" s="364">
        <v>14.616</v>
      </c>
      <c r="K185" s="369"/>
    </row>
    <row r="186" spans="1:11" s="365" customFormat="1">
      <c r="A186" s="361" t="s">
        <v>1017</v>
      </c>
      <c r="B186" s="181">
        <v>3</v>
      </c>
      <c r="C186" s="362">
        <v>40.9</v>
      </c>
      <c r="D186" s="362">
        <v>63.9</v>
      </c>
      <c r="E186" s="363">
        <v>1582</v>
      </c>
      <c r="F186" s="362">
        <v>7</v>
      </c>
      <c r="G186" s="364">
        <v>14.616</v>
      </c>
      <c r="K186" s="369"/>
    </row>
    <row r="187" spans="1:11" s="365" customFormat="1">
      <c r="A187" s="361" t="s">
        <v>1017</v>
      </c>
      <c r="B187" s="181">
        <v>4</v>
      </c>
      <c r="C187" s="362">
        <v>42.7</v>
      </c>
      <c r="D187" s="362">
        <v>65.599999999999994</v>
      </c>
      <c r="E187" s="363">
        <v>1921</v>
      </c>
      <c r="F187" s="362">
        <v>7</v>
      </c>
      <c r="G187" s="364">
        <v>14.616</v>
      </c>
      <c r="K187" s="369"/>
    </row>
    <row r="188" spans="1:11" s="365" customFormat="1">
      <c r="A188" s="361" t="s">
        <v>1017</v>
      </c>
      <c r="B188" s="181">
        <v>5</v>
      </c>
      <c r="C188" s="362">
        <v>46.2</v>
      </c>
      <c r="D188" s="362">
        <v>67.3</v>
      </c>
      <c r="E188" s="363">
        <v>2141</v>
      </c>
      <c r="F188" s="362">
        <v>7</v>
      </c>
      <c r="G188" s="364">
        <v>14.616</v>
      </c>
      <c r="K188" s="369"/>
    </row>
    <row r="189" spans="1:11" s="365" customFormat="1">
      <c r="A189" s="361" t="s">
        <v>1017</v>
      </c>
      <c r="B189" s="181">
        <v>6</v>
      </c>
      <c r="C189" s="362">
        <v>49.6</v>
      </c>
      <c r="D189" s="362">
        <v>69.900000000000006</v>
      </c>
      <c r="E189" s="363">
        <v>2349</v>
      </c>
      <c r="F189" s="362">
        <v>7</v>
      </c>
      <c r="G189" s="364">
        <v>14.616</v>
      </c>
      <c r="K189" s="369"/>
    </row>
    <row r="190" spans="1:11" s="365" customFormat="1">
      <c r="A190" s="361" t="s">
        <v>1017</v>
      </c>
      <c r="B190" s="181">
        <v>7</v>
      </c>
      <c r="C190" s="362">
        <v>52.4</v>
      </c>
      <c r="D190" s="362">
        <v>72.099999999999994</v>
      </c>
      <c r="E190" s="363">
        <v>2341</v>
      </c>
      <c r="F190" s="362">
        <v>7</v>
      </c>
      <c r="G190" s="364">
        <v>14.616</v>
      </c>
      <c r="K190" s="369"/>
    </row>
    <row r="191" spans="1:11" s="365" customFormat="1">
      <c r="A191" s="361" t="s">
        <v>1017</v>
      </c>
      <c r="B191" s="181">
        <v>8</v>
      </c>
      <c r="C191" s="362">
        <v>53.2</v>
      </c>
      <c r="D191" s="362">
        <v>72.8</v>
      </c>
      <c r="E191" s="363">
        <v>2106</v>
      </c>
      <c r="F191" s="362">
        <v>7</v>
      </c>
      <c r="G191" s="364">
        <v>14.616</v>
      </c>
      <c r="K191" s="369"/>
    </row>
    <row r="192" spans="1:11" s="365" customFormat="1">
      <c r="A192" s="361" t="s">
        <v>1017</v>
      </c>
      <c r="B192" s="181">
        <v>9</v>
      </c>
      <c r="C192" s="362">
        <v>51.8</v>
      </c>
      <c r="D192" s="362">
        <v>74.2</v>
      </c>
      <c r="E192" s="363">
        <v>1730</v>
      </c>
      <c r="F192" s="362">
        <v>7</v>
      </c>
      <c r="G192" s="364">
        <v>14.616</v>
      </c>
      <c r="K192" s="369"/>
    </row>
    <row r="193" spans="1:11" s="365" customFormat="1">
      <c r="A193" s="361" t="s">
        <v>1017</v>
      </c>
      <c r="B193" s="181">
        <v>10</v>
      </c>
      <c r="C193" s="362">
        <v>47.6</v>
      </c>
      <c r="D193" s="362">
        <v>73.3</v>
      </c>
      <c r="E193" s="363">
        <v>1353</v>
      </c>
      <c r="F193" s="362">
        <v>7</v>
      </c>
      <c r="G193" s="364">
        <v>14.616</v>
      </c>
      <c r="K193" s="369"/>
    </row>
    <row r="194" spans="1:11" s="365" customFormat="1">
      <c r="A194" s="361" t="s">
        <v>1017</v>
      </c>
      <c r="B194" s="181">
        <v>11</v>
      </c>
      <c r="C194" s="362">
        <v>42.1</v>
      </c>
      <c r="D194" s="362">
        <v>68.900000000000006</v>
      </c>
      <c r="E194" s="363">
        <v>974</v>
      </c>
      <c r="F194" s="362">
        <v>7</v>
      </c>
      <c r="G194" s="364">
        <v>14.616</v>
      </c>
      <c r="K194" s="369"/>
    </row>
    <row r="195" spans="1:11" s="365" customFormat="1">
      <c r="A195" s="361" t="s">
        <v>1017</v>
      </c>
      <c r="B195" s="181">
        <v>12</v>
      </c>
      <c r="C195" s="362">
        <v>38.299999999999997</v>
      </c>
      <c r="D195" s="362">
        <v>64.599999999999994</v>
      </c>
      <c r="E195" s="363">
        <v>804</v>
      </c>
      <c r="F195" s="362">
        <v>7</v>
      </c>
      <c r="G195" s="364">
        <v>14.616</v>
      </c>
      <c r="K195" s="369"/>
    </row>
    <row r="196" spans="1:11" s="365" customFormat="1">
      <c r="A196" s="361" t="s">
        <v>1017</v>
      </c>
      <c r="B196" s="181" t="s">
        <v>726</v>
      </c>
      <c r="C196" s="366">
        <f>AVERAGE(C184:C195)</f>
        <v>45.324999999999996</v>
      </c>
      <c r="D196" s="366">
        <f t="shared" ref="D196:E196" si="12">AVERAGE(D184:D195)</f>
        <v>68.3</v>
      </c>
      <c r="E196" s="367">
        <f t="shared" si="12"/>
        <v>1608</v>
      </c>
      <c r="F196" s="366">
        <f>AVERAGE(F184:F195)</f>
        <v>7</v>
      </c>
      <c r="G196" s="368">
        <f>AVERAGE(G184:G195)</f>
        <v>14.615999999999994</v>
      </c>
      <c r="K196" s="369"/>
    </row>
    <row r="197" spans="1:11" s="365" customFormat="1">
      <c r="A197" s="361" t="s">
        <v>1018</v>
      </c>
      <c r="B197" s="181">
        <v>1</v>
      </c>
      <c r="C197" s="362">
        <v>15.9</v>
      </c>
      <c r="D197" s="362">
        <v>43.1</v>
      </c>
      <c r="E197" s="363">
        <v>840</v>
      </c>
      <c r="F197" s="362">
        <v>8.6999999999999993</v>
      </c>
      <c r="G197" s="364">
        <v>12.122</v>
      </c>
      <c r="K197" s="369"/>
    </row>
    <row r="198" spans="1:11" s="365" customFormat="1">
      <c r="A198" s="361" t="s">
        <v>1018</v>
      </c>
      <c r="B198" s="181">
        <v>2</v>
      </c>
      <c r="C198" s="362">
        <v>20.2</v>
      </c>
      <c r="D198" s="362">
        <v>46.9</v>
      </c>
      <c r="E198" s="363">
        <v>1127</v>
      </c>
      <c r="F198" s="362">
        <v>8.6999999999999993</v>
      </c>
      <c r="G198" s="364">
        <v>12.122</v>
      </c>
      <c r="K198" s="369"/>
    </row>
    <row r="199" spans="1:11" s="365" customFormat="1">
      <c r="A199" s="361" t="s">
        <v>1018</v>
      </c>
      <c r="B199" s="181">
        <v>3</v>
      </c>
      <c r="C199" s="362">
        <v>24.7</v>
      </c>
      <c r="D199" s="362">
        <v>51.2</v>
      </c>
      <c r="E199" s="363">
        <v>1530</v>
      </c>
      <c r="F199" s="362">
        <v>8.6999999999999993</v>
      </c>
      <c r="G199" s="364">
        <v>12.122</v>
      </c>
      <c r="K199" s="369"/>
    </row>
    <row r="200" spans="1:11" s="365" customFormat="1">
      <c r="A200" s="361" t="s">
        <v>1018</v>
      </c>
      <c r="B200" s="181">
        <v>4</v>
      </c>
      <c r="C200" s="362">
        <v>33.700000000000003</v>
      </c>
      <c r="D200" s="362">
        <v>61</v>
      </c>
      <c r="E200" s="363">
        <v>1879</v>
      </c>
      <c r="F200" s="362">
        <v>8.6999999999999993</v>
      </c>
      <c r="G200" s="364">
        <v>12.122</v>
      </c>
      <c r="K200" s="369"/>
    </row>
    <row r="201" spans="1:11" s="365" customFormat="1">
      <c r="A201" s="361" t="s">
        <v>1018</v>
      </c>
      <c r="B201" s="181">
        <v>5</v>
      </c>
      <c r="C201" s="362">
        <v>43.6</v>
      </c>
      <c r="D201" s="362">
        <v>70.7</v>
      </c>
      <c r="E201" s="363">
        <v>2135</v>
      </c>
      <c r="F201" s="362">
        <v>8.6999999999999993</v>
      </c>
      <c r="G201" s="364">
        <v>12.122</v>
      </c>
      <c r="K201" s="369"/>
    </row>
    <row r="202" spans="1:11" s="365" customFormat="1">
      <c r="A202" s="361" t="s">
        <v>1018</v>
      </c>
      <c r="B202" s="181">
        <v>6</v>
      </c>
      <c r="C202" s="362">
        <v>52.4</v>
      </c>
      <c r="D202" s="362">
        <v>81.599999999999994</v>
      </c>
      <c r="E202" s="363">
        <v>2351</v>
      </c>
      <c r="F202" s="362">
        <v>8.6999999999999993</v>
      </c>
      <c r="G202" s="364">
        <v>12.122</v>
      </c>
      <c r="K202" s="369"/>
    </row>
    <row r="203" spans="1:11" s="365" customFormat="1">
      <c r="A203" s="361" t="s">
        <v>1018</v>
      </c>
      <c r="B203" s="181">
        <v>7</v>
      </c>
      <c r="C203" s="362">
        <v>58.7</v>
      </c>
      <c r="D203" s="362">
        <v>88</v>
      </c>
      <c r="E203" s="363">
        <v>2273</v>
      </c>
      <c r="F203" s="362">
        <v>8.6999999999999993</v>
      </c>
      <c r="G203" s="364">
        <v>12.122</v>
      </c>
      <c r="K203" s="369"/>
    </row>
    <row r="204" spans="1:11" s="365" customFormat="1">
      <c r="A204" s="361" t="s">
        <v>1018</v>
      </c>
      <c r="B204" s="181">
        <v>8</v>
      </c>
      <c r="C204" s="362">
        <v>57</v>
      </c>
      <c r="D204" s="362">
        <v>85.8</v>
      </c>
      <c r="E204" s="363">
        <v>2044</v>
      </c>
      <c r="F204" s="362">
        <v>8.6999999999999993</v>
      </c>
      <c r="G204" s="364">
        <v>12.122</v>
      </c>
      <c r="K204" s="369"/>
    </row>
    <row r="205" spans="1:11" s="365" customFormat="1">
      <c r="A205" s="361" t="s">
        <v>1018</v>
      </c>
      <c r="B205" s="181">
        <v>9</v>
      </c>
      <c r="C205" s="362">
        <v>47.7</v>
      </c>
      <c r="D205" s="362">
        <v>77.5</v>
      </c>
      <c r="E205" s="363">
        <v>1727</v>
      </c>
      <c r="F205" s="362">
        <v>8.6999999999999993</v>
      </c>
      <c r="G205" s="364">
        <v>12.122</v>
      </c>
      <c r="K205" s="369"/>
    </row>
    <row r="206" spans="1:11" s="365" customFormat="1">
      <c r="A206" s="361" t="s">
        <v>1018</v>
      </c>
      <c r="B206" s="181">
        <v>10</v>
      </c>
      <c r="C206" s="362">
        <v>36.9</v>
      </c>
      <c r="D206" s="362">
        <v>66.8</v>
      </c>
      <c r="E206" s="363">
        <v>1301</v>
      </c>
      <c r="F206" s="362">
        <v>8.6999999999999993</v>
      </c>
      <c r="G206" s="364">
        <v>12.122</v>
      </c>
      <c r="K206" s="369"/>
    </row>
    <row r="207" spans="1:11" s="365" customFormat="1">
      <c r="A207" s="361" t="s">
        <v>1018</v>
      </c>
      <c r="B207" s="181">
        <v>11</v>
      </c>
      <c r="C207" s="362">
        <v>25.1</v>
      </c>
      <c r="D207" s="362">
        <v>52.4</v>
      </c>
      <c r="E207" s="363">
        <v>884</v>
      </c>
      <c r="F207" s="362">
        <v>8.6999999999999993</v>
      </c>
      <c r="G207" s="364">
        <v>12.122</v>
      </c>
      <c r="K207" s="369"/>
    </row>
    <row r="208" spans="1:11" s="365" customFormat="1">
      <c r="A208" s="361" t="s">
        <v>1018</v>
      </c>
      <c r="B208" s="181">
        <v>12</v>
      </c>
      <c r="C208" s="362">
        <v>18.899999999999999</v>
      </c>
      <c r="D208" s="362">
        <v>46.1</v>
      </c>
      <c r="E208" s="363">
        <v>732</v>
      </c>
      <c r="F208" s="362">
        <v>8.6999999999999993</v>
      </c>
      <c r="G208" s="364">
        <v>12.122</v>
      </c>
      <c r="K208" s="369"/>
    </row>
    <row r="209" spans="1:11" s="365" customFormat="1">
      <c r="A209" s="361" t="s">
        <v>1018</v>
      </c>
      <c r="B209" s="181" t="s">
        <v>726</v>
      </c>
      <c r="C209" s="366">
        <f>AVERAGE(C197:C208)</f>
        <v>36.233333333333327</v>
      </c>
      <c r="D209" s="366">
        <f t="shared" ref="D209:E209" si="13">AVERAGE(D197:D208)</f>
        <v>64.258333333333326</v>
      </c>
      <c r="E209" s="367">
        <f t="shared" si="13"/>
        <v>1568.5833333333333</v>
      </c>
      <c r="F209" s="366">
        <f>AVERAGE(F197:F208)</f>
        <v>8.7000000000000011</v>
      </c>
      <c r="G209" s="368">
        <f>AVERAGE(G197:G208)</f>
        <v>12.122</v>
      </c>
      <c r="K209" s="369"/>
    </row>
    <row r="210" spans="1:11" ht="59">
      <c r="A210" s="85" t="s">
        <v>704</v>
      </c>
      <c r="B210" s="85" t="s">
        <v>707</v>
      </c>
      <c r="C210" s="85" t="s">
        <v>999</v>
      </c>
      <c r="D210" s="85" t="s">
        <v>1000</v>
      </c>
      <c r="E210" s="85" t="s">
        <v>1001</v>
      </c>
      <c r="F210" s="85" t="s">
        <v>1002</v>
      </c>
      <c r="G210" s="359" t="s">
        <v>1003</v>
      </c>
      <c r="I210" s="85" t="s">
        <v>1004</v>
      </c>
      <c r="K210" s="360"/>
    </row>
    <row r="211" spans="1:11" s="365" customFormat="1">
      <c r="A211" s="361" t="s">
        <v>1019</v>
      </c>
      <c r="B211" s="181">
        <v>1</v>
      </c>
      <c r="C211" s="362">
        <v>15.2</v>
      </c>
      <c r="D211" s="362">
        <v>35.700000000000003</v>
      </c>
      <c r="E211" s="363">
        <v>791</v>
      </c>
      <c r="F211" s="362">
        <v>8.1</v>
      </c>
      <c r="G211" s="364">
        <v>12.368499999999999</v>
      </c>
      <c r="K211" s="369"/>
    </row>
    <row r="212" spans="1:11" s="365" customFormat="1">
      <c r="A212" s="361" t="s">
        <v>1019</v>
      </c>
      <c r="B212" s="181">
        <v>2</v>
      </c>
      <c r="C212" s="362">
        <v>22.4</v>
      </c>
      <c r="D212" s="362">
        <v>44.5</v>
      </c>
      <c r="E212" s="363">
        <v>1119</v>
      </c>
      <c r="F212" s="362">
        <v>8.1</v>
      </c>
      <c r="G212" s="364">
        <v>12.368499999999999</v>
      </c>
      <c r="K212" s="369"/>
    </row>
    <row r="213" spans="1:11" s="365" customFormat="1">
      <c r="A213" s="361" t="s">
        <v>1019</v>
      </c>
      <c r="B213" s="181">
        <v>3</v>
      </c>
      <c r="C213" s="362">
        <v>29.7</v>
      </c>
      <c r="D213" s="362">
        <v>54.1</v>
      </c>
      <c r="E213" s="363">
        <v>1554</v>
      </c>
      <c r="F213" s="362">
        <v>8.1</v>
      </c>
      <c r="G213" s="364">
        <v>12.368499999999999</v>
      </c>
      <c r="K213" s="369"/>
    </row>
    <row r="214" spans="1:11" s="365" customFormat="1">
      <c r="A214" s="361" t="s">
        <v>1019</v>
      </c>
      <c r="B214" s="181">
        <v>4</v>
      </c>
      <c r="C214" s="362">
        <v>38.200000000000003</v>
      </c>
      <c r="D214" s="362">
        <v>65.2</v>
      </c>
      <c r="E214" s="363">
        <v>1986</v>
      </c>
      <c r="F214" s="362">
        <v>8.1</v>
      </c>
      <c r="G214" s="364">
        <v>12.368499999999999</v>
      </c>
      <c r="K214" s="369"/>
    </row>
    <row r="215" spans="1:11" s="365" customFormat="1">
      <c r="A215" s="361" t="s">
        <v>1019</v>
      </c>
      <c r="B215" s="181">
        <v>5</v>
      </c>
      <c r="C215" s="362">
        <v>48</v>
      </c>
      <c r="D215" s="362">
        <v>76.2</v>
      </c>
      <c r="E215" s="363">
        <v>2380</v>
      </c>
      <c r="F215" s="362">
        <v>8.1</v>
      </c>
      <c r="G215" s="364">
        <v>12.368499999999999</v>
      </c>
      <c r="K215" s="369"/>
    </row>
    <row r="216" spans="1:11" s="365" customFormat="1">
      <c r="A216" s="361" t="s">
        <v>1019</v>
      </c>
      <c r="B216" s="181">
        <v>6</v>
      </c>
      <c r="C216" s="362">
        <v>56.6</v>
      </c>
      <c r="D216" s="362">
        <v>87.9</v>
      </c>
      <c r="E216" s="363">
        <v>2599</v>
      </c>
      <c r="F216" s="362">
        <v>8.1</v>
      </c>
      <c r="G216" s="364">
        <v>12.368499999999999</v>
      </c>
      <c r="K216" s="369"/>
    </row>
    <row r="217" spans="1:11" s="365" customFormat="1">
      <c r="A217" s="361" t="s">
        <v>1019</v>
      </c>
      <c r="B217" s="181">
        <v>7</v>
      </c>
      <c r="C217" s="362">
        <v>63.8</v>
      </c>
      <c r="D217" s="362">
        <v>94</v>
      </c>
      <c r="E217" s="363">
        <v>2465</v>
      </c>
      <c r="F217" s="362">
        <v>8.1</v>
      </c>
      <c r="G217" s="364">
        <v>12.368499999999999</v>
      </c>
      <c r="K217" s="369"/>
    </row>
    <row r="218" spans="1:11" s="365" customFormat="1">
      <c r="A218" s="361" t="s">
        <v>1019</v>
      </c>
      <c r="B218" s="181">
        <v>8</v>
      </c>
      <c r="C218" s="362">
        <v>61.5</v>
      </c>
      <c r="D218" s="362">
        <v>90.3</v>
      </c>
      <c r="E218" s="363">
        <v>2182</v>
      </c>
      <c r="F218" s="362">
        <v>8.1</v>
      </c>
      <c r="G218" s="364">
        <v>12.368499999999999</v>
      </c>
      <c r="K218" s="369"/>
    </row>
    <row r="219" spans="1:11" s="365" customFormat="1">
      <c r="A219" s="361" t="s">
        <v>1019</v>
      </c>
      <c r="B219" s="181">
        <v>9</v>
      </c>
      <c r="C219" s="362">
        <v>52.2</v>
      </c>
      <c r="D219" s="362">
        <v>81.900000000000006</v>
      </c>
      <c r="E219" s="363">
        <v>1834</v>
      </c>
      <c r="F219" s="362">
        <v>8.1</v>
      </c>
      <c r="G219" s="364">
        <v>12.368499999999999</v>
      </c>
      <c r="K219" s="369"/>
    </row>
    <row r="220" spans="1:11" s="365" customFormat="1">
      <c r="A220" s="361" t="s">
        <v>1019</v>
      </c>
      <c r="B220" s="181">
        <v>10</v>
      </c>
      <c r="C220" s="362">
        <v>41.1</v>
      </c>
      <c r="D220" s="362">
        <v>68.7</v>
      </c>
      <c r="E220" s="363">
        <v>1345</v>
      </c>
      <c r="F220" s="362">
        <v>8.1</v>
      </c>
      <c r="G220" s="364">
        <v>12.368499999999999</v>
      </c>
      <c r="K220" s="369"/>
    </row>
    <row r="221" spans="1:11" s="365" customFormat="1">
      <c r="A221" s="361" t="s">
        <v>1019</v>
      </c>
      <c r="B221" s="181">
        <v>11</v>
      </c>
      <c r="C221" s="362">
        <v>28.2</v>
      </c>
      <c r="D221" s="362">
        <v>51</v>
      </c>
      <c r="E221" s="363">
        <v>918</v>
      </c>
      <c r="F221" s="362">
        <v>8.1</v>
      </c>
      <c r="G221" s="364">
        <v>12.368499999999999</v>
      </c>
      <c r="K221" s="369"/>
    </row>
    <row r="222" spans="1:11" s="365" customFormat="1">
      <c r="A222" s="361" t="s">
        <v>1019</v>
      </c>
      <c r="B222" s="181">
        <v>12</v>
      </c>
      <c r="C222" s="362">
        <v>17.899999999999999</v>
      </c>
      <c r="D222" s="362">
        <v>38.700000000000003</v>
      </c>
      <c r="E222" s="363">
        <v>731</v>
      </c>
      <c r="F222" s="362">
        <v>8.1</v>
      </c>
      <c r="G222" s="364">
        <v>12.368499999999999</v>
      </c>
      <c r="K222" s="369"/>
    </row>
    <row r="223" spans="1:11" s="365" customFormat="1">
      <c r="A223" s="361" t="s">
        <v>1019</v>
      </c>
      <c r="B223" s="181" t="s">
        <v>726</v>
      </c>
      <c r="C223" s="366">
        <f>AVERAGE(C211:C222)</f>
        <v>39.566666666666663</v>
      </c>
      <c r="D223" s="366">
        <f t="shared" ref="D223:E223" si="14">AVERAGE(D211:D222)</f>
        <v>65.683333333333337</v>
      </c>
      <c r="E223" s="367">
        <f t="shared" si="14"/>
        <v>1658.6666666666667</v>
      </c>
      <c r="F223" s="366">
        <f>AVERAGE(F211:F222)</f>
        <v>8.0999999999999979</v>
      </c>
      <c r="G223" s="368">
        <f>AVERAGE(G211:G222)</f>
        <v>12.368499999999999</v>
      </c>
      <c r="K223" s="369"/>
    </row>
    <row r="224" spans="1:11" s="365" customFormat="1">
      <c r="A224" s="361" t="s">
        <v>1020</v>
      </c>
      <c r="B224" s="181">
        <v>1</v>
      </c>
      <c r="C224" s="362">
        <v>23.2</v>
      </c>
      <c r="D224" s="362">
        <v>39.200000000000003</v>
      </c>
      <c r="E224" s="363">
        <v>571</v>
      </c>
      <c r="F224" s="362">
        <v>9.1</v>
      </c>
      <c r="G224" s="364">
        <v>14.717499999999999</v>
      </c>
      <c r="K224" s="369"/>
    </row>
    <row r="225" spans="1:11" s="365" customFormat="1">
      <c r="A225" s="361" t="s">
        <v>1020</v>
      </c>
      <c r="B225" s="181">
        <v>2</v>
      </c>
      <c r="C225" s="362">
        <v>24.6</v>
      </c>
      <c r="D225" s="362">
        <v>41.8</v>
      </c>
      <c r="E225" s="363">
        <v>827</v>
      </c>
      <c r="F225" s="362">
        <v>9.1</v>
      </c>
      <c r="G225" s="364">
        <v>14.717499999999999</v>
      </c>
      <c r="K225" s="369"/>
    </row>
    <row r="226" spans="1:11" s="365" customFormat="1">
      <c r="A226" s="361" t="s">
        <v>1020</v>
      </c>
      <c r="B226" s="181">
        <v>3</v>
      </c>
      <c r="C226" s="362">
        <v>32.6</v>
      </c>
      <c r="D226" s="362">
        <v>50.9</v>
      </c>
      <c r="E226" s="363">
        <v>1149</v>
      </c>
      <c r="F226" s="362">
        <v>9.1</v>
      </c>
      <c r="G226" s="364">
        <v>14.717499999999999</v>
      </c>
      <c r="K226" s="369"/>
    </row>
    <row r="227" spans="1:11" s="365" customFormat="1">
      <c r="A227" s="361" t="s">
        <v>1020</v>
      </c>
      <c r="B227" s="181">
        <v>4</v>
      </c>
      <c r="C227" s="362">
        <v>41.8</v>
      </c>
      <c r="D227" s="362">
        <v>63</v>
      </c>
      <c r="E227" s="363">
        <v>1480</v>
      </c>
      <c r="F227" s="362">
        <v>9.1</v>
      </c>
      <c r="G227" s="364">
        <v>14.717499999999999</v>
      </c>
      <c r="K227" s="369"/>
    </row>
    <row r="228" spans="1:11" s="365" customFormat="1">
      <c r="A228" s="361" t="s">
        <v>1020</v>
      </c>
      <c r="B228" s="181">
        <v>5</v>
      </c>
      <c r="C228" s="362">
        <v>51.7</v>
      </c>
      <c r="D228" s="362">
        <v>72.7</v>
      </c>
      <c r="E228" s="363">
        <v>1710</v>
      </c>
      <c r="F228" s="362">
        <v>9.1</v>
      </c>
      <c r="G228" s="364">
        <v>14.717499999999999</v>
      </c>
      <c r="K228" s="369"/>
    </row>
    <row r="229" spans="1:11" s="365" customFormat="1">
      <c r="A229" s="361" t="s">
        <v>1020</v>
      </c>
      <c r="B229" s="181">
        <v>6</v>
      </c>
      <c r="C229" s="362">
        <v>61.2</v>
      </c>
      <c r="D229" s="362">
        <v>81.2</v>
      </c>
      <c r="E229" s="363">
        <v>1883</v>
      </c>
      <c r="F229" s="362">
        <v>9.1</v>
      </c>
      <c r="G229" s="364">
        <v>14.717499999999999</v>
      </c>
      <c r="K229" s="369"/>
    </row>
    <row r="230" spans="1:11" s="365" customFormat="1">
      <c r="A230" s="361" t="s">
        <v>1020</v>
      </c>
      <c r="B230" s="181">
        <v>7</v>
      </c>
      <c r="C230" s="362">
        <v>66.3</v>
      </c>
      <c r="D230" s="362">
        <v>85.6</v>
      </c>
      <c r="E230" s="363">
        <v>1823</v>
      </c>
      <c r="F230" s="362">
        <v>9.1</v>
      </c>
      <c r="G230" s="364">
        <v>14.717499999999999</v>
      </c>
      <c r="K230" s="369"/>
    </row>
    <row r="231" spans="1:11" s="365" customFormat="1">
      <c r="A231" s="361" t="s">
        <v>1020</v>
      </c>
      <c r="B231" s="181">
        <v>8</v>
      </c>
      <c r="C231" s="362">
        <v>65.400000000000006</v>
      </c>
      <c r="D231" s="362">
        <v>84.1</v>
      </c>
      <c r="E231" s="363">
        <v>1615</v>
      </c>
      <c r="F231" s="362">
        <v>9.1</v>
      </c>
      <c r="G231" s="364">
        <v>14.717499999999999</v>
      </c>
      <c r="K231" s="369"/>
    </row>
    <row r="232" spans="1:11" s="365" customFormat="1">
      <c r="A232" s="361" t="s">
        <v>1020</v>
      </c>
      <c r="B232" s="181">
        <v>9</v>
      </c>
      <c r="C232" s="362">
        <v>58</v>
      </c>
      <c r="D232" s="362">
        <v>77.8</v>
      </c>
      <c r="E232" s="363">
        <v>1318</v>
      </c>
      <c r="F232" s="362">
        <v>9.1</v>
      </c>
      <c r="G232" s="364">
        <v>14.717499999999999</v>
      </c>
      <c r="K232" s="369"/>
    </row>
    <row r="233" spans="1:11" s="365" customFormat="1">
      <c r="A233" s="361" t="s">
        <v>1020</v>
      </c>
      <c r="B233" s="181">
        <v>10</v>
      </c>
      <c r="C233" s="362">
        <v>45.9</v>
      </c>
      <c r="D233" s="362">
        <v>66.7</v>
      </c>
      <c r="E233" s="363">
        <v>984</v>
      </c>
      <c r="F233" s="362">
        <v>9.1</v>
      </c>
      <c r="G233" s="364">
        <v>14.717499999999999</v>
      </c>
      <c r="K233" s="369"/>
    </row>
    <row r="234" spans="1:11" s="365" customFormat="1">
      <c r="A234" s="361" t="s">
        <v>1020</v>
      </c>
      <c r="B234" s="181">
        <v>11</v>
      </c>
      <c r="C234" s="362">
        <v>36.4</v>
      </c>
      <c r="D234" s="362">
        <v>54.8</v>
      </c>
      <c r="E234" s="363">
        <v>645</v>
      </c>
      <c r="F234" s="362">
        <v>9.1</v>
      </c>
      <c r="G234" s="364">
        <v>14.717499999999999</v>
      </c>
      <c r="K234" s="369"/>
    </row>
    <row r="235" spans="1:11" s="365" customFormat="1">
      <c r="A235" s="361" t="s">
        <v>1020</v>
      </c>
      <c r="B235" s="181">
        <v>12</v>
      </c>
      <c r="C235" s="362">
        <v>27.3</v>
      </c>
      <c r="D235" s="362">
        <v>43.6</v>
      </c>
      <c r="E235" s="363">
        <v>489</v>
      </c>
      <c r="F235" s="362">
        <v>9.1</v>
      </c>
      <c r="G235" s="364">
        <v>14.717499999999999</v>
      </c>
      <c r="K235" s="369"/>
    </row>
    <row r="236" spans="1:11" s="365" customFormat="1">
      <c r="A236" s="361" t="s">
        <v>1020</v>
      </c>
      <c r="B236" s="181" t="s">
        <v>726</v>
      </c>
      <c r="C236" s="366">
        <f>AVERAGE(C224:C235)</f>
        <v>44.533333333333331</v>
      </c>
      <c r="D236" s="366">
        <f t="shared" ref="D236:E236" si="15">AVERAGE(D224:D235)</f>
        <v>63.449999999999996</v>
      </c>
      <c r="E236" s="367">
        <f t="shared" si="15"/>
        <v>1207.8333333333333</v>
      </c>
      <c r="F236" s="366">
        <f>AVERAGE(F224:F235)</f>
        <v>9.0999999999999979</v>
      </c>
      <c r="G236" s="368">
        <f>AVERAGE(G224:G235)</f>
        <v>14.717499999999999</v>
      </c>
      <c r="K236" s="369"/>
    </row>
    <row r="237" spans="1:11" s="365" customFormat="1">
      <c r="A237" s="361" t="s">
        <v>1021</v>
      </c>
      <c r="B237" s="181">
        <v>1</v>
      </c>
      <c r="C237" s="362">
        <v>32.6</v>
      </c>
      <c r="D237" s="362">
        <v>51.2</v>
      </c>
      <c r="E237" s="363">
        <v>718</v>
      </c>
      <c r="F237" s="362">
        <v>9.1</v>
      </c>
      <c r="G237" s="364">
        <v>14.224500000000001</v>
      </c>
      <c r="K237" s="369"/>
    </row>
    <row r="238" spans="1:11" s="365" customFormat="1">
      <c r="A238" s="361" t="s">
        <v>1021</v>
      </c>
      <c r="B238" s="181">
        <v>2</v>
      </c>
      <c r="C238" s="362">
        <v>34.5</v>
      </c>
      <c r="D238" s="362">
        <v>55.3</v>
      </c>
      <c r="E238" s="363">
        <v>969</v>
      </c>
      <c r="F238" s="362">
        <v>9.1</v>
      </c>
      <c r="G238" s="364">
        <v>14.224500000000001</v>
      </c>
      <c r="K238" s="369"/>
    </row>
    <row r="239" spans="1:11" s="365" customFormat="1">
      <c r="A239" s="361" t="s">
        <v>1021</v>
      </c>
      <c r="B239" s="181">
        <v>3</v>
      </c>
      <c r="C239" s="362">
        <v>41.7</v>
      </c>
      <c r="D239" s="362">
        <v>63.2</v>
      </c>
      <c r="E239" s="363">
        <v>1304</v>
      </c>
      <c r="F239" s="362">
        <v>9.1</v>
      </c>
      <c r="G239" s="364">
        <v>14.224500000000001</v>
      </c>
      <c r="K239" s="369"/>
    </row>
    <row r="240" spans="1:11" s="365" customFormat="1">
      <c r="A240" s="361" t="s">
        <v>1021</v>
      </c>
      <c r="B240" s="181">
        <v>4</v>
      </c>
      <c r="C240" s="362">
        <v>50.4</v>
      </c>
      <c r="D240" s="362">
        <v>73.2</v>
      </c>
      <c r="E240" s="363">
        <v>1686</v>
      </c>
      <c r="F240" s="362">
        <v>9.1</v>
      </c>
      <c r="G240" s="364">
        <v>14.224500000000001</v>
      </c>
      <c r="K240" s="369"/>
    </row>
    <row r="241" spans="1:11" s="365" customFormat="1">
      <c r="A241" s="361" t="s">
        <v>1021</v>
      </c>
      <c r="B241" s="181">
        <v>5</v>
      </c>
      <c r="C241" s="362">
        <v>58.7</v>
      </c>
      <c r="D241" s="362">
        <v>79.8</v>
      </c>
      <c r="E241" s="363">
        <v>1854</v>
      </c>
      <c r="F241" s="362">
        <v>9.1</v>
      </c>
      <c r="G241" s="364">
        <v>14.224500000000001</v>
      </c>
      <c r="K241" s="369"/>
    </row>
    <row r="242" spans="1:11" s="365" customFormat="1">
      <c r="A242" s="361" t="s">
        <v>1021</v>
      </c>
      <c r="B242" s="181">
        <v>6</v>
      </c>
      <c r="C242" s="362">
        <v>65.900000000000006</v>
      </c>
      <c r="D242" s="362">
        <v>85.6</v>
      </c>
      <c r="E242" s="363">
        <v>1914</v>
      </c>
      <c r="F242" s="362">
        <v>9.1</v>
      </c>
      <c r="G242" s="364">
        <v>14.224500000000001</v>
      </c>
      <c r="K242" s="369"/>
    </row>
    <row r="243" spans="1:11" s="365" customFormat="1">
      <c r="A243" s="361" t="s">
        <v>1021</v>
      </c>
      <c r="B243" s="181">
        <v>7</v>
      </c>
      <c r="C243" s="362">
        <v>69.2</v>
      </c>
      <c r="D243" s="362">
        <v>87.9</v>
      </c>
      <c r="E243" s="363">
        <v>1812</v>
      </c>
      <c r="F243" s="362">
        <v>9.1</v>
      </c>
      <c r="G243" s="364">
        <v>14.224500000000001</v>
      </c>
      <c r="K243" s="369"/>
    </row>
    <row r="244" spans="1:11" s="365" customFormat="1">
      <c r="A244" s="361" t="s">
        <v>1021</v>
      </c>
      <c r="B244" s="181">
        <v>8</v>
      </c>
      <c r="C244" s="362">
        <v>68.7</v>
      </c>
      <c r="D244" s="362">
        <v>87.6</v>
      </c>
      <c r="E244" s="363">
        <v>1709</v>
      </c>
      <c r="F244" s="362">
        <v>9.1</v>
      </c>
      <c r="G244" s="364">
        <v>14.224500000000001</v>
      </c>
      <c r="K244" s="369"/>
    </row>
    <row r="245" spans="1:11" s="365" customFormat="1">
      <c r="A245" s="361" t="s">
        <v>1021</v>
      </c>
      <c r="B245" s="181">
        <v>9</v>
      </c>
      <c r="C245" s="362">
        <v>63.6</v>
      </c>
      <c r="D245" s="362">
        <v>82.3</v>
      </c>
      <c r="E245" s="363">
        <v>1422</v>
      </c>
      <c r="F245" s="362">
        <v>9.1</v>
      </c>
      <c r="G245" s="364">
        <v>14.224500000000001</v>
      </c>
      <c r="K245" s="369"/>
    </row>
    <row r="246" spans="1:11" s="365" customFormat="1">
      <c r="A246" s="361" t="s">
        <v>1021</v>
      </c>
      <c r="B246" s="181">
        <v>10</v>
      </c>
      <c r="C246" s="362">
        <v>51.4</v>
      </c>
      <c r="D246" s="362">
        <v>72.900000000000006</v>
      </c>
      <c r="E246" s="363">
        <v>1200</v>
      </c>
      <c r="F246" s="362">
        <v>9.1</v>
      </c>
      <c r="G246" s="364">
        <v>14.224500000000001</v>
      </c>
      <c r="K246" s="369"/>
    </row>
    <row r="247" spans="1:11" s="365" customFormat="1">
      <c r="A247" s="361" t="s">
        <v>1021</v>
      </c>
      <c r="B247" s="181">
        <v>11</v>
      </c>
      <c r="C247" s="362">
        <v>41.3</v>
      </c>
      <c r="D247" s="362">
        <v>62.6</v>
      </c>
      <c r="E247" s="363">
        <v>883</v>
      </c>
      <c r="F247" s="362">
        <v>9.1</v>
      </c>
      <c r="G247" s="364">
        <v>14.224500000000001</v>
      </c>
      <c r="K247" s="369"/>
    </row>
    <row r="248" spans="1:11" s="365" customFormat="1">
      <c r="A248" s="361" t="s">
        <v>1021</v>
      </c>
      <c r="B248" s="181">
        <v>12</v>
      </c>
      <c r="C248" s="362">
        <v>34.799999999999997</v>
      </c>
      <c r="D248" s="362">
        <v>54.1</v>
      </c>
      <c r="E248" s="363">
        <v>674</v>
      </c>
      <c r="F248" s="362">
        <v>9.1</v>
      </c>
      <c r="G248" s="364">
        <v>14.224500000000001</v>
      </c>
      <c r="K248" s="369"/>
    </row>
    <row r="249" spans="1:11" s="365" customFormat="1">
      <c r="A249" s="361" t="s">
        <v>1021</v>
      </c>
      <c r="B249" s="181" t="s">
        <v>726</v>
      </c>
      <c r="C249" s="366">
        <f>AVERAGE(C237:C248)</f>
        <v>51.066666666666656</v>
      </c>
      <c r="D249" s="366">
        <f t="shared" ref="D249:E249" si="16">AVERAGE(D237:D248)</f>
        <v>71.308333333333323</v>
      </c>
      <c r="E249" s="367">
        <f t="shared" si="16"/>
        <v>1345.4166666666667</v>
      </c>
      <c r="F249" s="366">
        <f>AVERAGE(F237:F248)</f>
        <v>9.0999999999999979</v>
      </c>
      <c r="G249" s="368">
        <f>AVERAGE(G237:G248)</f>
        <v>14.224500000000004</v>
      </c>
      <c r="K249" s="369"/>
    </row>
    <row r="250" spans="1:11" ht="59">
      <c r="A250" s="85" t="s">
        <v>704</v>
      </c>
      <c r="B250" s="85" t="s">
        <v>707</v>
      </c>
      <c r="C250" s="85" t="s">
        <v>999</v>
      </c>
      <c r="D250" s="85" t="s">
        <v>1000</v>
      </c>
      <c r="E250" s="85" t="s">
        <v>1001</v>
      </c>
      <c r="F250" s="85" t="s">
        <v>1002</v>
      </c>
      <c r="G250" s="359" t="s">
        <v>1003</v>
      </c>
      <c r="I250" s="85" t="s">
        <v>1004</v>
      </c>
      <c r="K250" s="360"/>
    </row>
    <row r="251" spans="1:11" s="365" customFormat="1">
      <c r="A251" s="361" t="s">
        <v>1022</v>
      </c>
      <c r="B251" s="181">
        <v>1</v>
      </c>
      <c r="C251" s="362">
        <v>37.9</v>
      </c>
      <c r="D251" s="362">
        <v>60.3</v>
      </c>
      <c r="E251" s="363">
        <v>795</v>
      </c>
      <c r="F251" s="362">
        <v>7.9</v>
      </c>
      <c r="G251" s="364">
        <v>14.746499999999999</v>
      </c>
      <c r="K251" s="369"/>
    </row>
    <row r="252" spans="1:11" s="365" customFormat="1">
      <c r="A252" s="361" t="s">
        <v>1022</v>
      </c>
      <c r="B252" s="181">
        <v>2</v>
      </c>
      <c r="C252" s="362">
        <v>40</v>
      </c>
      <c r="D252" s="362">
        <v>63.1</v>
      </c>
      <c r="E252" s="363">
        <v>1044</v>
      </c>
      <c r="F252" s="362">
        <v>7.9</v>
      </c>
      <c r="G252" s="364">
        <v>14.746499999999999</v>
      </c>
      <c r="K252" s="369"/>
    </row>
    <row r="253" spans="1:11" s="365" customFormat="1">
      <c r="A253" s="361" t="s">
        <v>1022</v>
      </c>
      <c r="B253" s="181">
        <v>3</v>
      </c>
      <c r="C253" s="362">
        <v>46.8</v>
      </c>
      <c r="D253" s="362">
        <v>69.900000000000006</v>
      </c>
      <c r="E253" s="363">
        <v>1399</v>
      </c>
      <c r="F253" s="362">
        <v>7.9</v>
      </c>
      <c r="G253" s="364">
        <v>14.746499999999999</v>
      </c>
      <c r="K253" s="369"/>
    </row>
    <row r="254" spans="1:11" s="365" customFormat="1">
      <c r="A254" s="361" t="s">
        <v>1022</v>
      </c>
      <c r="B254" s="181">
        <v>4</v>
      </c>
      <c r="C254" s="362">
        <v>54.1</v>
      </c>
      <c r="D254" s="362">
        <v>77.8</v>
      </c>
      <c r="E254" s="363">
        <v>1761</v>
      </c>
      <c r="F254" s="362">
        <v>7.9</v>
      </c>
      <c r="G254" s="364">
        <v>14.746499999999999</v>
      </c>
      <c r="K254" s="369"/>
    </row>
    <row r="255" spans="1:11" s="365" customFormat="1">
      <c r="A255" s="361" t="s">
        <v>1022</v>
      </c>
      <c r="B255" s="181">
        <v>5</v>
      </c>
      <c r="C255" s="362">
        <v>62.3</v>
      </c>
      <c r="D255" s="362">
        <v>84.2</v>
      </c>
      <c r="E255" s="363">
        <v>1852</v>
      </c>
      <c r="F255" s="362">
        <v>7.9</v>
      </c>
      <c r="G255" s="364">
        <v>14.746499999999999</v>
      </c>
      <c r="K255" s="369"/>
    </row>
    <row r="256" spans="1:11" s="365" customFormat="1">
      <c r="A256" s="361" t="s">
        <v>1022</v>
      </c>
      <c r="B256" s="181">
        <v>6</v>
      </c>
      <c r="C256" s="362">
        <v>68.5</v>
      </c>
      <c r="D256" s="362">
        <v>88.6</v>
      </c>
      <c r="E256" s="363">
        <v>1844</v>
      </c>
      <c r="F256" s="362">
        <v>7.9</v>
      </c>
      <c r="G256" s="364">
        <v>14.746499999999999</v>
      </c>
      <c r="K256" s="369"/>
    </row>
    <row r="257" spans="1:11" s="365" customFormat="1">
      <c r="A257" s="361" t="s">
        <v>1022</v>
      </c>
      <c r="B257" s="181">
        <v>7</v>
      </c>
      <c r="C257" s="362">
        <v>71.5</v>
      </c>
      <c r="D257" s="362">
        <v>90.8</v>
      </c>
      <c r="E257" s="363">
        <v>1784</v>
      </c>
      <c r="F257" s="362">
        <v>7.9</v>
      </c>
      <c r="G257" s="364">
        <v>14.746499999999999</v>
      </c>
      <c r="K257" s="369"/>
    </row>
    <row r="258" spans="1:11" s="365" customFormat="1">
      <c r="A258" s="361" t="s">
        <v>1022</v>
      </c>
      <c r="B258" s="181">
        <v>8</v>
      </c>
      <c r="C258" s="362">
        <v>71.400000000000006</v>
      </c>
      <c r="D258" s="362">
        <v>90.1</v>
      </c>
      <c r="E258" s="363">
        <v>1621</v>
      </c>
      <c r="F258" s="362">
        <v>7.9</v>
      </c>
      <c r="G258" s="364">
        <v>14.746499999999999</v>
      </c>
      <c r="K258" s="369"/>
    </row>
    <row r="259" spans="1:11" s="365" customFormat="1">
      <c r="A259" s="361" t="s">
        <v>1022</v>
      </c>
      <c r="B259" s="181">
        <v>9</v>
      </c>
      <c r="C259" s="362">
        <v>67.599999999999994</v>
      </c>
      <c r="D259" s="362">
        <v>85.6</v>
      </c>
      <c r="E259" s="363">
        <v>1364</v>
      </c>
      <c r="F259" s="362">
        <v>7.9</v>
      </c>
      <c r="G259" s="364">
        <v>14.746499999999999</v>
      </c>
      <c r="K259" s="369"/>
    </row>
    <row r="260" spans="1:11" s="365" customFormat="1">
      <c r="A260" s="361" t="s">
        <v>1022</v>
      </c>
      <c r="B260" s="181">
        <v>10</v>
      </c>
      <c r="C260" s="362">
        <v>55.9</v>
      </c>
      <c r="D260" s="362">
        <v>77.8</v>
      </c>
      <c r="E260" s="363">
        <v>1217</v>
      </c>
      <c r="F260" s="362">
        <v>7.9</v>
      </c>
      <c r="G260" s="364">
        <v>14.746499999999999</v>
      </c>
      <c r="K260" s="369"/>
    </row>
    <row r="261" spans="1:11" s="365" customFormat="1">
      <c r="A261" s="361" t="s">
        <v>1022</v>
      </c>
      <c r="B261" s="181">
        <v>11</v>
      </c>
      <c r="C261" s="362">
        <v>45.5</v>
      </c>
      <c r="D261" s="362">
        <v>69.5</v>
      </c>
      <c r="E261" s="363">
        <v>941</v>
      </c>
      <c r="F261" s="362">
        <v>7.9</v>
      </c>
      <c r="G261" s="364">
        <v>14.746499999999999</v>
      </c>
      <c r="K261" s="369"/>
    </row>
    <row r="262" spans="1:11" s="365" customFormat="1">
      <c r="A262" s="361" t="s">
        <v>1022</v>
      </c>
      <c r="B262" s="181">
        <v>12</v>
      </c>
      <c r="C262" s="362">
        <v>39.4</v>
      </c>
      <c r="D262" s="362">
        <v>62.5</v>
      </c>
      <c r="E262" s="363">
        <v>754</v>
      </c>
      <c r="F262" s="362">
        <v>7.9</v>
      </c>
      <c r="G262" s="364">
        <v>14.746499999999999</v>
      </c>
      <c r="K262" s="369"/>
    </row>
    <row r="263" spans="1:11" s="365" customFormat="1">
      <c r="A263" s="361" t="s">
        <v>1022</v>
      </c>
      <c r="B263" s="181" t="s">
        <v>726</v>
      </c>
      <c r="C263" s="366">
        <f>AVERAGE(C251:C262)</f>
        <v>55.074999999999996</v>
      </c>
      <c r="D263" s="366">
        <f t="shared" ref="D263:E263" si="17">AVERAGE(D251:D262)</f>
        <v>76.683333333333323</v>
      </c>
      <c r="E263" s="367">
        <f t="shared" si="17"/>
        <v>1364.6666666666667</v>
      </c>
      <c r="F263" s="366">
        <f>AVERAGE(F251:F262)</f>
        <v>7.9000000000000012</v>
      </c>
      <c r="G263" s="368">
        <f>AVERAGE(G251:G262)</f>
        <v>14.746499999999999</v>
      </c>
      <c r="K263" s="369"/>
    </row>
    <row r="264" spans="1:11" s="365" customFormat="1">
      <c r="A264" s="361" t="s">
        <v>1023</v>
      </c>
      <c r="B264" s="181">
        <v>1</v>
      </c>
      <c r="C264" s="362">
        <v>65.3</v>
      </c>
      <c r="D264" s="362">
        <v>79.900000000000006</v>
      </c>
      <c r="E264" s="363">
        <v>1180</v>
      </c>
      <c r="F264" s="362">
        <v>11.4</v>
      </c>
      <c r="G264" s="364">
        <v>14.731999999999999</v>
      </c>
      <c r="K264" s="369"/>
    </row>
    <row r="265" spans="1:11" s="365" customFormat="1">
      <c r="A265" s="361" t="s">
        <v>1023</v>
      </c>
      <c r="B265" s="181">
        <v>2</v>
      </c>
      <c r="C265" s="362">
        <v>65.3</v>
      </c>
      <c r="D265" s="362">
        <v>80.400000000000006</v>
      </c>
      <c r="E265" s="363">
        <v>1396</v>
      </c>
      <c r="F265" s="362">
        <v>11.4</v>
      </c>
      <c r="G265" s="364">
        <v>14.731999999999999</v>
      </c>
      <c r="K265" s="369"/>
    </row>
    <row r="266" spans="1:11" s="365" customFormat="1">
      <c r="A266" s="361" t="s">
        <v>1023</v>
      </c>
      <c r="B266" s="181">
        <v>3</v>
      </c>
      <c r="C266" s="362">
        <v>67.3</v>
      </c>
      <c r="D266" s="362">
        <v>81.400000000000006</v>
      </c>
      <c r="E266" s="363">
        <v>1622</v>
      </c>
      <c r="F266" s="362">
        <v>11.4</v>
      </c>
      <c r="G266" s="364">
        <v>14.731999999999999</v>
      </c>
      <c r="K266" s="369"/>
    </row>
    <row r="267" spans="1:11" s="365" customFormat="1">
      <c r="A267" s="361" t="s">
        <v>1023</v>
      </c>
      <c r="B267" s="181">
        <v>4</v>
      </c>
      <c r="C267" s="362">
        <v>68.7</v>
      </c>
      <c r="D267" s="362">
        <v>82.7</v>
      </c>
      <c r="E267" s="363">
        <v>1796</v>
      </c>
      <c r="F267" s="362">
        <v>11.4</v>
      </c>
      <c r="G267" s="364">
        <v>14.731999999999999</v>
      </c>
      <c r="K267" s="369"/>
    </row>
    <row r="268" spans="1:11" s="365" customFormat="1">
      <c r="A268" s="361" t="s">
        <v>1023</v>
      </c>
      <c r="B268" s="181">
        <v>5</v>
      </c>
      <c r="C268" s="362">
        <v>70.2</v>
      </c>
      <c r="D268" s="362">
        <v>84.8</v>
      </c>
      <c r="E268" s="363">
        <v>1949</v>
      </c>
      <c r="F268" s="362">
        <v>11.4</v>
      </c>
      <c r="G268" s="364">
        <v>14.731999999999999</v>
      </c>
      <c r="K268" s="369"/>
    </row>
    <row r="269" spans="1:11" s="365" customFormat="1">
      <c r="A269" s="361" t="s">
        <v>1023</v>
      </c>
      <c r="B269" s="181">
        <v>6</v>
      </c>
      <c r="C269" s="362">
        <v>71.900000000000006</v>
      </c>
      <c r="D269" s="362">
        <v>86.2</v>
      </c>
      <c r="E269" s="363">
        <v>2004</v>
      </c>
      <c r="F269" s="362">
        <v>11.4</v>
      </c>
      <c r="G269" s="364">
        <v>14.731999999999999</v>
      </c>
      <c r="K269" s="369"/>
    </row>
    <row r="270" spans="1:11" s="365" customFormat="1">
      <c r="A270" s="361" t="s">
        <v>1023</v>
      </c>
      <c r="B270" s="181">
        <v>7</v>
      </c>
      <c r="C270" s="362">
        <v>73.099999999999994</v>
      </c>
      <c r="D270" s="362">
        <v>87.1</v>
      </c>
      <c r="E270" s="363">
        <v>2002</v>
      </c>
      <c r="F270" s="362">
        <v>11.4</v>
      </c>
      <c r="G270" s="364">
        <v>14.731999999999999</v>
      </c>
      <c r="K270" s="369"/>
    </row>
    <row r="271" spans="1:11" s="365" customFormat="1">
      <c r="A271" s="361" t="s">
        <v>1023</v>
      </c>
      <c r="B271" s="181">
        <v>8</v>
      </c>
      <c r="C271" s="362">
        <v>73.599999999999994</v>
      </c>
      <c r="D271" s="362">
        <v>88.3</v>
      </c>
      <c r="E271" s="363">
        <v>1967</v>
      </c>
      <c r="F271" s="362">
        <v>11.4</v>
      </c>
      <c r="G271" s="364">
        <v>14.731999999999999</v>
      </c>
      <c r="K271" s="369"/>
    </row>
    <row r="272" spans="1:11" s="365" customFormat="1">
      <c r="A272" s="361" t="s">
        <v>1023</v>
      </c>
      <c r="B272" s="181">
        <v>9</v>
      </c>
      <c r="C272" s="362">
        <v>72.900000000000006</v>
      </c>
      <c r="D272" s="362">
        <v>88.2</v>
      </c>
      <c r="E272" s="363">
        <v>1810</v>
      </c>
      <c r="F272" s="362">
        <v>11.4</v>
      </c>
      <c r="G272" s="364">
        <v>14.731999999999999</v>
      </c>
      <c r="K272" s="369"/>
    </row>
    <row r="273" spans="1:11" s="365" customFormat="1">
      <c r="A273" s="361" t="s">
        <v>1023</v>
      </c>
      <c r="B273" s="181">
        <v>10</v>
      </c>
      <c r="C273" s="362">
        <v>72.2</v>
      </c>
      <c r="D273" s="362">
        <v>86.7</v>
      </c>
      <c r="E273" s="363">
        <v>1540</v>
      </c>
      <c r="F273" s="362">
        <v>11.4</v>
      </c>
      <c r="G273" s="364">
        <v>14.731999999999999</v>
      </c>
      <c r="K273" s="369"/>
    </row>
    <row r="274" spans="1:11" s="365" customFormat="1">
      <c r="A274" s="361" t="s">
        <v>1023</v>
      </c>
      <c r="B274" s="181">
        <v>11</v>
      </c>
      <c r="C274" s="362">
        <v>69.2</v>
      </c>
      <c r="D274" s="362">
        <v>83.9</v>
      </c>
      <c r="E274" s="363">
        <v>1266</v>
      </c>
      <c r="F274" s="362">
        <v>11.4</v>
      </c>
      <c r="G274" s="364">
        <v>14.731999999999999</v>
      </c>
      <c r="K274" s="369"/>
    </row>
    <row r="275" spans="1:11" s="365" customFormat="1">
      <c r="A275" s="361" t="s">
        <v>1023</v>
      </c>
      <c r="B275" s="181">
        <v>12</v>
      </c>
      <c r="C275" s="362">
        <v>66.5</v>
      </c>
      <c r="D275" s="362">
        <v>81.400000000000006</v>
      </c>
      <c r="E275" s="363">
        <v>1133</v>
      </c>
      <c r="F275" s="362">
        <v>11.4</v>
      </c>
      <c r="G275" s="364">
        <v>14.731999999999999</v>
      </c>
      <c r="K275" s="369"/>
    </row>
    <row r="276" spans="1:11" s="365" customFormat="1">
      <c r="A276" s="361" t="s">
        <v>1023</v>
      </c>
      <c r="B276" s="181" t="s">
        <v>726</v>
      </c>
      <c r="C276" s="366">
        <f>AVERAGE(C264:C275)</f>
        <v>69.683333333333337</v>
      </c>
      <c r="D276" s="366">
        <f t="shared" ref="D276:E276" si="18">AVERAGE(D264:D275)</f>
        <v>84.25</v>
      </c>
      <c r="E276" s="367">
        <f t="shared" si="18"/>
        <v>1638.75</v>
      </c>
      <c r="F276" s="366">
        <f>AVERAGE(F264:F275)</f>
        <v>11.400000000000004</v>
      </c>
      <c r="G276" s="368">
        <f>AVERAGE(G264:G275)</f>
        <v>14.731999999999999</v>
      </c>
      <c r="K276" s="369"/>
    </row>
    <row r="277" spans="1:11" s="365" customFormat="1">
      <c r="A277" s="361" t="s">
        <v>1024</v>
      </c>
      <c r="B277" s="181">
        <v>1</v>
      </c>
      <c r="C277" s="362">
        <v>13.6</v>
      </c>
      <c r="D277" s="362">
        <v>29.2</v>
      </c>
      <c r="E277" s="363">
        <v>507</v>
      </c>
      <c r="F277" s="362">
        <v>10.3</v>
      </c>
      <c r="G277" s="364">
        <v>14.384</v>
      </c>
      <c r="K277" s="369"/>
    </row>
    <row r="278" spans="1:11" s="365" customFormat="1">
      <c r="A278" s="361" t="s">
        <v>1024</v>
      </c>
      <c r="B278" s="181">
        <v>2</v>
      </c>
      <c r="C278" s="362">
        <v>18.100000000000001</v>
      </c>
      <c r="D278" s="362">
        <v>33.9</v>
      </c>
      <c r="E278" s="363">
        <v>760</v>
      </c>
      <c r="F278" s="362">
        <v>10.3</v>
      </c>
      <c r="G278" s="364">
        <v>14.384</v>
      </c>
      <c r="K278" s="369"/>
    </row>
    <row r="279" spans="1:11" s="365" customFormat="1">
      <c r="A279" s="361" t="s">
        <v>1024</v>
      </c>
      <c r="B279" s="181">
        <v>3</v>
      </c>
      <c r="C279" s="362">
        <v>27.6</v>
      </c>
      <c r="D279" s="362">
        <v>44.3</v>
      </c>
      <c r="E279" s="363">
        <v>1107</v>
      </c>
      <c r="F279" s="362">
        <v>10.3</v>
      </c>
      <c r="G279" s="364">
        <v>14.384</v>
      </c>
      <c r="K279" s="369"/>
    </row>
    <row r="280" spans="1:11" s="365" customFormat="1">
      <c r="A280" s="361" t="s">
        <v>1024</v>
      </c>
      <c r="B280" s="181">
        <v>4</v>
      </c>
      <c r="C280" s="362">
        <v>38.799999999999997</v>
      </c>
      <c r="D280" s="362">
        <v>58.8</v>
      </c>
      <c r="E280" s="363">
        <v>1459</v>
      </c>
      <c r="F280" s="362">
        <v>10.3</v>
      </c>
      <c r="G280" s="364">
        <v>14.384</v>
      </c>
      <c r="K280" s="369"/>
    </row>
    <row r="281" spans="1:11" s="365" customFormat="1">
      <c r="A281" s="361" t="s">
        <v>1024</v>
      </c>
      <c r="B281" s="181">
        <v>5</v>
      </c>
      <c r="C281" s="362">
        <v>48.1</v>
      </c>
      <c r="D281" s="362">
        <v>70</v>
      </c>
      <c r="E281" s="363">
        <v>1789</v>
      </c>
      <c r="F281" s="362">
        <v>10.3</v>
      </c>
      <c r="G281" s="364">
        <v>14.384</v>
      </c>
      <c r="K281" s="369"/>
    </row>
    <row r="282" spans="1:11" s="365" customFormat="1">
      <c r="A282" s="361" t="s">
        <v>1024</v>
      </c>
      <c r="B282" s="181">
        <v>6</v>
      </c>
      <c r="C282" s="362">
        <v>57.7</v>
      </c>
      <c r="D282" s="362">
        <v>79.400000000000006</v>
      </c>
      <c r="E282" s="363">
        <v>2007</v>
      </c>
      <c r="F282" s="362">
        <v>10.3</v>
      </c>
      <c r="G282" s="364">
        <v>14.384</v>
      </c>
      <c r="K282" s="369"/>
    </row>
    <row r="283" spans="1:11" s="365" customFormat="1">
      <c r="A283" s="361" t="s">
        <v>1024</v>
      </c>
      <c r="B283" s="181">
        <v>7</v>
      </c>
      <c r="C283" s="362">
        <v>62.7</v>
      </c>
      <c r="D283" s="362">
        <v>83.3</v>
      </c>
      <c r="E283" s="363">
        <v>1944</v>
      </c>
      <c r="F283" s="362">
        <v>10.3</v>
      </c>
      <c r="G283" s="364">
        <v>14.384</v>
      </c>
      <c r="K283" s="369"/>
    </row>
    <row r="284" spans="1:11" s="365" customFormat="1">
      <c r="A284" s="361" t="s">
        <v>1024</v>
      </c>
      <c r="B284" s="181">
        <v>8</v>
      </c>
      <c r="C284" s="362">
        <v>61.7</v>
      </c>
      <c r="D284" s="362">
        <v>82.1</v>
      </c>
      <c r="E284" s="363">
        <v>1719</v>
      </c>
      <c r="F284" s="362">
        <v>10.3</v>
      </c>
      <c r="G284" s="364">
        <v>14.384</v>
      </c>
      <c r="K284" s="369"/>
    </row>
    <row r="285" spans="1:11" s="365" customFormat="1">
      <c r="A285" s="361" t="s">
        <v>1024</v>
      </c>
      <c r="B285" s="181">
        <v>9</v>
      </c>
      <c r="C285" s="362">
        <v>53.9</v>
      </c>
      <c r="D285" s="362">
        <v>75.5</v>
      </c>
      <c r="E285" s="363">
        <v>1354</v>
      </c>
      <c r="F285" s="362">
        <v>10.3</v>
      </c>
      <c r="G285" s="364">
        <v>14.384</v>
      </c>
      <c r="K285" s="369"/>
    </row>
    <row r="286" spans="1:11" s="365" customFormat="1">
      <c r="A286" s="361" t="s">
        <v>1024</v>
      </c>
      <c r="B286" s="181">
        <v>10</v>
      </c>
      <c r="C286" s="362">
        <v>42.9</v>
      </c>
      <c r="D286" s="362">
        <v>64.099999999999994</v>
      </c>
      <c r="E286" s="363">
        <v>969</v>
      </c>
      <c r="F286" s="362">
        <v>10.3</v>
      </c>
      <c r="G286" s="364">
        <v>14.384</v>
      </c>
      <c r="K286" s="369"/>
    </row>
    <row r="287" spans="1:11" s="365" customFormat="1">
      <c r="A287" s="361" t="s">
        <v>1024</v>
      </c>
      <c r="B287" s="181">
        <v>11</v>
      </c>
      <c r="C287" s="362">
        <v>31.4</v>
      </c>
      <c r="D287" s="362">
        <v>48.2</v>
      </c>
      <c r="E287" s="363">
        <v>566</v>
      </c>
      <c r="F287" s="362">
        <v>10.3</v>
      </c>
      <c r="G287" s="364">
        <v>14.384</v>
      </c>
      <c r="K287" s="369"/>
    </row>
    <row r="288" spans="1:11" s="365" customFormat="1">
      <c r="A288" s="361" t="s">
        <v>1024</v>
      </c>
      <c r="B288" s="181">
        <v>12</v>
      </c>
      <c r="C288" s="362">
        <v>20.3</v>
      </c>
      <c r="D288" s="362">
        <v>35</v>
      </c>
      <c r="E288" s="363">
        <v>402</v>
      </c>
      <c r="F288" s="362">
        <v>10.3</v>
      </c>
      <c r="G288" s="364">
        <v>14.384</v>
      </c>
      <c r="K288" s="369"/>
    </row>
    <row r="289" spans="1:11" s="365" customFormat="1">
      <c r="A289" s="361" t="s">
        <v>1024</v>
      </c>
      <c r="B289" s="181" t="s">
        <v>726</v>
      </c>
      <c r="C289" s="366">
        <f>AVERAGE(C277:C288)</f>
        <v>39.733333333333327</v>
      </c>
      <c r="D289" s="366">
        <f t="shared" ref="D289:E289" si="19">AVERAGE(D277:D288)</f>
        <v>58.650000000000006</v>
      </c>
      <c r="E289" s="367">
        <f t="shared" si="19"/>
        <v>1215.25</v>
      </c>
      <c r="F289" s="366">
        <f>AVERAGE(F277:F288)</f>
        <v>10.299999999999999</v>
      </c>
      <c r="G289" s="368">
        <f>AVERAGE(G277:G288)</f>
        <v>14.384000000000006</v>
      </c>
      <c r="K289" s="369"/>
    </row>
    <row r="290" spans="1:11" ht="59">
      <c r="A290" s="85" t="s">
        <v>704</v>
      </c>
      <c r="B290" s="85" t="s">
        <v>707</v>
      </c>
      <c r="C290" s="85" t="s">
        <v>999</v>
      </c>
      <c r="D290" s="85" t="s">
        <v>1000</v>
      </c>
      <c r="E290" s="85" t="s">
        <v>1001</v>
      </c>
      <c r="F290" s="85" t="s">
        <v>1002</v>
      </c>
      <c r="G290" s="359" t="s">
        <v>1003</v>
      </c>
      <c r="I290" s="85" t="s">
        <v>1004</v>
      </c>
      <c r="K290" s="360"/>
    </row>
    <row r="291" spans="1:11" s="365" customFormat="1">
      <c r="A291" s="361" t="s">
        <v>1025</v>
      </c>
      <c r="B291" s="181">
        <v>1</v>
      </c>
      <c r="C291" s="362">
        <v>16.3</v>
      </c>
      <c r="D291" s="362">
        <v>32.799999999999997</v>
      </c>
      <c r="E291" s="363">
        <v>585</v>
      </c>
      <c r="F291" s="362">
        <v>11.2</v>
      </c>
      <c r="G291" s="364">
        <v>14.4275</v>
      </c>
      <c r="K291" s="369"/>
    </row>
    <row r="292" spans="1:11" s="365" customFormat="1">
      <c r="A292" s="361" t="s">
        <v>1025</v>
      </c>
      <c r="B292" s="181">
        <v>2</v>
      </c>
      <c r="C292" s="362">
        <v>20.9</v>
      </c>
      <c r="D292" s="362">
        <v>38</v>
      </c>
      <c r="E292" s="363">
        <v>861</v>
      </c>
      <c r="F292" s="362">
        <v>11.2</v>
      </c>
      <c r="G292" s="364">
        <v>14.4275</v>
      </c>
      <c r="K292" s="369"/>
    </row>
    <row r="293" spans="1:11" s="365" customFormat="1">
      <c r="A293" s="361" t="s">
        <v>1025</v>
      </c>
      <c r="B293" s="181">
        <v>3</v>
      </c>
      <c r="C293" s="362">
        <v>30.3</v>
      </c>
      <c r="D293" s="362">
        <v>48.9</v>
      </c>
      <c r="E293" s="363">
        <v>1143</v>
      </c>
      <c r="F293" s="362">
        <v>11.2</v>
      </c>
      <c r="G293" s="364">
        <v>14.4275</v>
      </c>
      <c r="K293" s="369"/>
    </row>
    <row r="294" spans="1:11" s="365" customFormat="1">
      <c r="A294" s="361" t="s">
        <v>1025</v>
      </c>
      <c r="B294" s="181">
        <v>4</v>
      </c>
      <c r="C294" s="362">
        <v>42.6</v>
      </c>
      <c r="D294" s="362">
        <v>64</v>
      </c>
      <c r="E294" s="363">
        <v>1515</v>
      </c>
      <c r="F294" s="362">
        <v>11.2</v>
      </c>
      <c r="G294" s="364">
        <v>14.4275</v>
      </c>
      <c r="K294" s="369"/>
    </row>
    <row r="295" spans="1:11" s="365" customFormat="1">
      <c r="A295" s="361" t="s">
        <v>1025</v>
      </c>
      <c r="B295" s="181">
        <v>5</v>
      </c>
      <c r="C295" s="362">
        <v>52.5</v>
      </c>
      <c r="D295" s="362">
        <v>74.599999999999994</v>
      </c>
      <c r="E295" s="363">
        <v>1866</v>
      </c>
      <c r="F295" s="362">
        <v>11.2</v>
      </c>
      <c r="G295" s="364">
        <v>14.4275</v>
      </c>
      <c r="K295" s="369"/>
    </row>
    <row r="296" spans="1:11" s="365" customFormat="1">
      <c r="A296" s="361" t="s">
        <v>1025</v>
      </c>
      <c r="B296" s="181">
        <v>6</v>
      </c>
      <c r="C296" s="362">
        <v>62</v>
      </c>
      <c r="D296" s="362">
        <v>84.1</v>
      </c>
      <c r="E296" s="363">
        <v>2097</v>
      </c>
      <c r="F296" s="362">
        <v>11.2</v>
      </c>
      <c r="G296" s="364">
        <v>14.4275</v>
      </c>
      <c r="K296" s="369"/>
    </row>
    <row r="297" spans="1:11" s="365" customFormat="1">
      <c r="A297" s="361" t="s">
        <v>1025</v>
      </c>
      <c r="B297" s="181">
        <v>7</v>
      </c>
      <c r="C297" s="362">
        <v>65.900000000000006</v>
      </c>
      <c r="D297" s="362">
        <v>87.1</v>
      </c>
      <c r="E297" s="363">
        <v>2058</v>
      </c>
      <c r="F297" s="362">
        <v>11.2</v>
      </c>
      <c r="G297" s="364">
        <v>14.4275</v>
      </c>
      <c r="K297" s="369"/>
    </row>
    <row r="298" spans="1:11" s="365" customFormat="1">
      <c r="A298" s="361" t="s">
        <v>1025</v>
      </c>
      <c r="B298" s="181">
        <v>8</v>
      </c>
      <c r="C298" s="362">
        <v>63.7</v>
      </c>
      <c r="D298" s="362">
        <v>84.7</v>
      </c>
      <c r="E298" s="363">
        <v>1806</v>
      </c>
      <c r="F298" s="362">
        <v>11.2</v>
      </c>
      <c r="G298" s="364">
        <v>14.4275</v>
      </c>
      <c r="K298" s="369"/>
    </row>
    <row r="299" spans="1:11" s="365" customFormat="1">
      <c r="A299" s="361" t="s">
        <v>1025</v>
      </c>
      <c r="B299" s="181">
        <v>9</v>
      </c>
      <c r="C299" s="362">
        <v>55.8</v>
      </c>
      <c r="D299" s="362">
        <v>79.3</v>
      </c>
      <c r="E299" s="363">
        <v>1454</v>
      </c>
      <c r="F299" s="362">
        <v>11.2</v>
      </c>
      <c r="G299" s="364">
        <v>14.4275</v>
      </c>
      <c r="K299" s="369"/>
    </row>
    <row r="300" spans="1:11" s="365" customFormat="1">
      <c r="A300" s="361" t="s">
        <v>1025</v>
      </c>
      <c r="B300" s="181">
        <v>10</v>
      </c>
      <c r="C300" s="362">
        <v>44.4</v>
      </c>
      <c r="D300" s="362">
        <v>67.5</v>
      </c>
      <c r="E300" s="363">
        <v>1068</v>
      </c>
      <c r="F300" s="362">
        <v>11.2</v>
      </c>
      <c r="G300" s="364">
        <v>14.4275</v>
      </c>
      <c r="K300" s="369"/>
    </row>
    <row r="301" spans="1:11" s="365" customFormat="1">
      <c r="A301" s="361" t="s">
        <v>1025</v>
      </c>
      <c r="B301" s="181">
        <v>11</v>
      </c>
      <c r="C301" s="362">
        <v>32.9</v>
      </c>
      <c r="D301" s="362">
        <v>51.2</v>
      </c>
      <c r="E301" s="363">
        <v>677</v>
      </c>
      <c r="F301" s="362">
        <v>11.2</v>
      </c>
      <c r="G301" s="364">
        <v>14.4275</v>
      </c>
      <c r="K301" s="369"/>
    </row>
    <row r="302" spans="1:11" s="365" customFormat="1">
      <c r="A302" s="361" t="s">
        <v>1025</v>
      </c>
      <c r="B302" s="181">
        <v>12</v>
      </c>
      <c r="C302" s="362">
        <v>23</v>
      </c>
      <c r="D302" s="362">
        <v>38.4</v>
      </c>
      <c r="E302" s="363">
        <v>490</v>
      </c>
      <c r="F302" s="362">
        <v>11.2</v>
      </c>
      <c r="G302" s="364">
        <v>14.4275</v>
      </c>
      <c r="K302" s="369"/>
    </row>
    <row r="303" spans="1:11" s="365" customFormat="1">
      <c r="A303" s="361" t="s">
        <v>1025</v>
      </c>
      <c r="B303" s="181" t="s">
        <v>726</v>
      </c>
      <c r="C303" s="366">
        <f>AVERAGE(C291:C302)</f>
        <v>42.524999999999999</v>
      </c>
      <c r="D303" s="366">
        <f t="shared" ref="D303:E303" si="20">AVERAGE(D291:D302)</f>
        <v>62.550000000000004</v>
      </c>
      <c r="E303" s="367">
        <f t="shared" si="20"/>
        <v>1301.6666666666667</v>
      </c>
      <c r="F303" s="366">
        <f>AVERAGE(F291:F302)</f>
        <v>11.200000000000001</v>
      </c>
      <c r="G303" s="368">
        <f>AVERAGE(G291:G302)</f>
        <v>14.427500000000002</v>
      </c>
      <c r="K303" s="369"/>
    </row>
    <row r="304" spans="1:11" s="365" customFormat="1">
      <c r="A304" s="361" t="s">
        <v>1026</v>
      </c>
      <c r="B304" s="181">
        <v>1</v>
      </c>
      <c r="C304" s="362">
        <v>17.8</v>
      </c>
      <c r="D304" s="362">
        <v>34.200000000000003</v>
      </c>
      <c r="E304" s="363">
        <v>496</v>
      </c>
      <c r="F304" s="362">
        <v>9.6</v>
      </c>
      <c r="G304" s="364">
        <v>14.326000000000001</v>
      </c>
      <c r="K304" s="369"/>
    </row>
    <row r="305" spans="1:11" s="365" customFormat="1">
      <c r="A305" s="361" t="s">
        <v>1026</v>
      </c>
      <c r="B305" s="181">
        <v>2</v>
      </c>
      <c r="C305" s="362">
        <v>21.1</v>
      </c>
      <c r="D305" s="362">
        <v>38.5</v>
      </c>
      <c r="E305" s="363">
        <v>747</v>
      </c>
      <c r="F305" s="362">
        <v>9.6</v>
      </c>
      <c r="G305" s="364">
        <v>14.326000000000001</v>
      </c>
      <c r="K305" s="369"/>
    </row>
    <row r="306" spans="1:11" s="365" customFormat="1">
      <c r="A306" s="361" t="s">
        <v>1026</v>
      </c>
      <c r="B306" s="181">
        <v>3</v>
      </c>
      <c r="C306" s="362">
        <v>30.7</v>
      </c>
      <c r="D306" s="362">
        <v>49.3</v>
      </c>
      <c r="E306" s="363">
        <v>1037</v>
      </c>
      <c r="F306" s="362">
        <v>9.6</v>
      </c>
      <c r="G306" s="364">
        <v>14.326000000000001</v>
      </c>
      <c r="K306" s="369"/>
    </row>
    <row r="307" spans="1:11" s="365" customFormat="1">
      <c r="A307" s="361" t="s">
        <v>1026</v>
      </c>
      <c r="B307" s="181">
        <v>4</v>
      </c>
      <c r="C307" s="362">
        <v>41.7</v>
      </c>
      <c r="D307" s="362">
        <v>63.1</v>
      </c>
      <c r="E307" s="363">
        <v>1398</v>
      </c>
      <c r="F307" s="362">
        <v>9.6</v>
      </c>
      <c r="G307" s="364">
        <v>14.326000000000001</v>
      </c>
      <c r="K307" s="369"/>
    </row>
    <row r="308" spans="1:11" s="365" customFormat="1">
      <c r="A308" s="361" t="s">
        <v>1026</v>
      </c>
      <c r="B308" s="181">
        <v>5</v>
      </c>
      <c r="C308" s="362">
        <v>51.5</v>
      </c>
      <c r="D308" s="362">
        <v>73.400000000000006</v>
      </c>
      <c r="E308" s="363">
        <v>1638</v>
      </c>
      <c r="F308" s="362">
        <v>9.6</v>
      </c>
      <c r="G308" s="364">
        <v>14.326000000000001</v>
      </c>
      <c r="K308" s="369"/>
    </row>
    <row r="309" spans="1:11" s="365" customFormat="1">
      <c r="A309" s="361" t="s">
        <v>1026</v>
      </c>
      <c r="B309" s="181">
        <v>6</v>
      </c>
      <c r="C309" s="362">
        <v>60.9</v>
      </c>
      <c r="D309" s="362">
        <v>82.3</v>
      </c>
      <c r="E309" s="363">
        <v>1868</v>
      </c>
      <c r="F309" s="362">
        <v>9.6</v>
      </c>
      <c r="G309" s="364">
        <v>14.326000000000001</v>
      </c>
      <c r="K309" s="369"/>
    </row>
    <row r="310" spans="1:11" s="365" customFormat="1">
      <c r="A310" s="361" t="s">
        <v>1026</v>
      </c>
      <c r="B310" s="181">
        <v>7</v>
      </c>
      <c r="C310" s="362">
        <v>64.900000000000006</v>
      </c>
      <c r="D310" s="362">
        <v>85.2</v>
      </c>
      <c r="E310" s="363">
        <v>1806</v>
      </c>
      <c r="F310" s="362">
        <v>9.6</v>
      </c>
      <c r="G310" s="364">
        <v>14.326000000000001</v>
      </c>
      <c r="K310" s="369"/>
    </row>
    <row r="311" spans="1:11" s="365" customFormat="1">
      <c r="A311" s="361" t="s">
        <v>1026</v>
      </c>
      <c r="B311" s="181">
        <v>8</v>
      </c>
      <c r="C311" s="362">
        <v>62.7</v>
      </c>
      <c r="D311" s="362">
        <v>83.7</v>
      </c>
      <c r="E311" s="363">
        <v>1644</v>
      </c>
      <c r="F311" s="362">
        <v>9.6</v>
      </c>
      <c r="G311" s="364">
        <v>14.326000000000001</v>
      </c>
      <c r="K311" s="369"/>
    </row>
    <row r="312" spans="1:11" s="365" customFormat="1">
      <c r="A312" s="361" t="s">
        <v>1026</v>
      </c>
      <c r="B312" s="181">
        <v>9</v>
      </c>
      <c r="C312" s="362">
        <v>55.3</v>
      </c>
      <c r="D312" s="362">
        <v>77.900000000000006</v>
      </c>
      <c r="E312" s="363">
        <v>1324</v>
      </c>
      <c r="F312" s="362">
        <v>9.6</v>
      </c>
      <c r="G312" s="364">
        <v>14.326000000000001</v>
      </c>
      <c r="K312" s="369"/>
    </row>
    <row r="313" spans="1:11" s="365" customFormat="1">
      <c r="A313" s="361" t="s">
        <v>1026</v>
      </c>
      <c r="B313" s="181">
        <v>10</v>
      </c>
      <c r="C313" s="362">
        <v>43.4</v>
      </c>
      <c r="D313" s="362">
        <v>66.099999999999994</v>
      </c>
      <c r="E313" s="363">
        <v>977</v>
      </c>
      <c r="F313" s="362">
        <v>9.6</v>
      </c>
      <c r="G313" s="364">
        <v>14.326000000000001</v>
      </c>
      <c r="K313" s="369"/>
    </row>
    <row r="314" spans="1:11" s="365" customFormat="1">
      <c r="A314" s="361" t="s">
        <v>1026</v>
      </c>
      <c r="B314" s="181">
        <v>11</v>
      </c>
      <c r="C314" s="362">
        <v>32.799999999999997</v>
      </c>
      <c r="D314" s="362">
        <v>50.8</v>
      </c>
      <c r="E314" s="363">
        <v>579</v>
      </c>
      <c r="F314" s="362">
        <v>9.6</v>
      </c>
      <c r="G314" s="364">
        <v>14.326000000000001</v>
      </c>
      <c r="K314" s="369"/>
    </row>
    <row r="315" spans="1:11" s="365" customFormat="1">
      <c r="A315" s="361" t="s">
        <v>1026</v>
      </c>
      <c r="B315" s="181">
        <v>12</v>
      </c>
      <c r="C315" s="362">
        <v>23.7</v>
      </c>
      <c r="D315" s="362">
        <v>39.200000000000003</v>
      </c>
      <c r="E315" s="363">
        <v>417</v>
      </c>
      <c r="F315" s="362">
        <v>9.6</v>
      </c>
      <c r="G315" s="364">
        <v>14.326000000000001</v>
      </c>
      <c r="K315" s="369"/>
    </row>
    <row r="316" spans="1:11" s="365" customFormat="1">
      <c r="A316" s="361" t="s">
        <v>1026</v>
      </c>
      <c r="B316" s="181" t="s">
        <v>726</v>
      </c>
      <c r="C316" s="366">
        <f>AVERAGE(C304:C315)</f>
        <v>42.208333333333336</v>
      </c>
      <c r="D316" s="366">
        <f t="shared" ref="D316:E316" si="21">AVERAGE(D304:D315)</f>
        <v>61.975000000000001</v>
      </c>
      <c r="E316" s="367">
        <f t="shared" si="21"/>
        <v>1160.9166666666667</v>
      </c>
      <c r="F316" s="366">
        <f>AVERAGE(F304:F315)</f>
        <v>9.5999999999999979</v>
      </c>
      <c r="G316" s="368">
        <f>AVERAGE(G304:G315)</f>
        <v>14.325999999999995</v>
      </c>
      <c r="K316" s="369"/>
    </row>
    <row r="317" spans="1:11" s="365" customFormat="1">
      <c r="A317" s="361" t="s">
        <v>1027</v>
      </c>
      <c r="B317" s="181">
        <v>1</v>
      </c>
      <c r="C317" s="362">
        <v>19.399999999999999</v>
      </c>
      <c r="D317" s="362">
        <v>39.799999999999997</v>
      </c>
      <c r="E317" s="363">
        <v>784</v>
      </c>
      <c r="F317" s="362">
        <v>12.3</v>
      </c>
      <c r="G317" s="364">
        <v>14.036</v>
      </c>
      <c r="K317" s="369"/>
    </row>
    <row r="318" spans="1:11" s="365" customFormat="1">
      <c r="A318" s="361" t="s">
        <v>1027</v>
      </c>
      <c r="B318" s="181">
        <v>2</v>
      </c>
      <c r="C318" s="362">
        <v>24.1</v>
      </c>
      <c r="D318" s="362">
        <v>46.1</v>
      </c>
      <c r="E318" s="363">
        <v>1058</v>
      </c>
      <c r="F318" s="362">
        <v>12.3</v>
      </c>
      <c r="G318" s="364">
        <v>14.036</v>
      </c>
      <c r="K318" s="369"/>
    </row>
    <row r="319" spans="1:11" s="365" customFormat="1">
      <c r="A319" s="361" t="s">
        <v>1027</v>
      </c>
      <c r="B319" s="181">
        <v>3</v>
      </c>
      <c r="C319" s="362">
        <v>32.4</v>
      </c>
      <c r="D319" s="362">
        <v>55.8</v>
      </c>
      <c r="E319" s="363">
        <v>1406</v>
      </c>
      <c r="F319" s="362">
        <v>12.3</v>
      </c>
      <c r="G319" s="364">
        <v>14.036</v>
      </c>
      <c r="K319" s="369"/>
    </row>
    <row r="320" spans="1:11" s="365" customFormat="1">
      <c r="A320" s="361" t="s">
        <v>1027</v>
      </c>
      <c r="B320" s="181">
        <v>4</v>
      </c>
      <c r="C320" s="362">
        <v>44.5</v>
      </c>
      <c r="D320" s="362">
        <v>68.099999999999994</v>
      </c>
      <c r="E320" s="363">
        <v>1783</v>
      </c>
      <c r="F320" s="362">
        <v>12.3</v>
      </c>
      <c r="G320" s="364">
        <v>14.036</v>
      </c>
      <c r="K320" s="369"/>
    </row>
    <row r="321" spans="1:11" s="365" customFormat="1">
      <c r="A321" s="361" t="s">
        <v>1027</v>
      </c>
      <c r="B321" s="181">
        <v>5</v>
      </c>
      <c r="C321" s="362">
        <v>54.6</v>
      </c>
      <c r="D321" s="362">
        <v>77.099999999999994</v>
      </c>
      <c r="E321" s="363">
        <v>2036</v>
      </c>
      <c r="F321" s="362">
        <v>12.3</v>
      </c>
      <c r="G321" s="364">
        <v>14.036</v>
      </c>
      <c r="K321" s="369"/>
    </row>
    <row r="322" spans="1:11" s="365" customFormat="1">
      <c r="A322" s="361" t="s">
        <v>1027</v>
      </c>
      <c r="B322" s="181">
        <v>6</v>
      </c>
      <c r="C322" s="362">
        <v>64.7</v>
      </c>
      <c r="D322" s="362">
        <v>87.4</v>
      </c>
      <c r="E322" s="363">
        <v>2264</v>
      </c>
      <c r="F322" s="362">
        <v>12.3</v>
      </c>
      <c r="G322" s="364">
        <v>14.036</v>
      </c>
      <c r="K322" s="369"/>
    </row>
    <row r="323" spans="1:11" s="365" customFormat="1">
      <c r="A323" s="361" t="s">
        <v>1027</v>
      </c>
      <c r="B323" s="181">
        <v>7</v>
      </c>
      <c r="C323" s="362">
        <v>69.8</v>
      </c>
      <c r="D323" s="362">
        <v>92.9</v>
      </c>
      <c r="E323" s="363">
        <v>2239</v>
      </c>
      <c r="F323" s="362">
        <v>12.3</v>
      </c>
      <c r="G323" s="364">
        <v>14.036</v>
      </c>
      <c r="K323" s="369"/>
    </row>
    <row r="324" spans="1:11" s="365" customFormat="1">
      <c r="A324" s="361" t="s">
        <v>1027</v>
      </c>
      <c r="B324" s="181">
        <v>8</v>
      </c>
      <c r="C324" s="362">
        <v>67.900000000000006</v>
      </c>
      <c r="D324" s="362">
        <v>91.5</v>
      </c>
      <c r="E324" s="363">
        <v>2032</v>
      </c>
      <c r="F324" s="362">
        <v>12.3</v>
      </c>
      <c r="G324" s="364">
        <v>14.036</v>
      </c>
      <c r="K324" s="369"/>
    </row>
    <row r="325" spans="1:11" s="365" customFormat="1">
      <c r="A325" s="361" t="s">
        <v>1027</v>
      </c>
      <c r="B325" s="181">
        <v>9</v>
      </c>
      <c r="C325" s="362">
        <v>59.2</v>
      </c>
      <c r="D325" s="362">
        <v>82</v>
      </c>
      <c r="E325" s="363">
        <v>1616</v>
      </c>
      <c r="F325" s="362">
        <v>12.3</v>
      </c>
      <c r="G325" s="364">
        <v>14.036</v>
      </c>
      <c r="K325" s="369"/>
    </row>
    <row r="326" spans="1:11" s="365" customFormat="1">
      <c r="A326" s="361" t="s">
        <v>1027</v>
      </c>
      <c r="B326" s="181">
        <v>10</v>
      </c>
      <c r="C326" s="362">
        <v>46.9</v>
      </c>
      <c r="D326" s="362">
        <v>71.2</v>
      </c>
      <c r="E326" s="363">
        <v>1250</v>
      </c>
      <c r="F326" s="362">
        <v>12.3</v>
      </c>
      <c r="G326" s="364">
        <v>14.036</v>
      </c>
      <c r="K326" s="369"/>
    </row>
    <row r="327" spans="1:11" s="365" customFormat="1">
      <c r="A327" s="361" t="s">
        <v>1027</v>
      </c>
      <c r="B327" s="181">
        <v>11</v>
      </c>
      <c r="C327" s="362">
        <v>33.5</v>
      </c>
      <c r="D327" s="362">
        <v>55.1</v>
      </c>
      <c r="E327" s="363">
        <v>871</v>
      </c>
      <c r="F327" s="362">
        <v>12.3</v>
      </c>
      <c r="G327" s="364">
        <v>14.036</v>
      </c>
      <c r="K327" s="369"/>
    </row>
    <row r="328" spans="1:11" s="365" customFormat="1">
      <c r="A328" s="361" t="s">
        <v>1027</v>
      </c>
      <c r="B328" s="181">
        <v>12</v>
      </c>
      <c r="C328" s="362">
        <v>24.2</v>
      </c>
      <c r="D328" s="362">
        <v>44.6</v>
      </c>
      <c r="E328" s="363">
        <v>690</v>
      </c>
      <c r="F328" s="362">
        <v>12.3</v>
      </c>
      <c r="G328" s="364">
        <v>14.036</v>
      </c>
      <c r="K328" s="369"/>
    </row>
    <row r="329" spans="1:11" s="365" customFormat="1">
      <c r="A329" s="361" t="s">
        <v>1027</v>
      </c>
      <c r="B329" s="181" t="s">
        <v>726</v>
      </c>
      <c r="C329" s="366">
        <f>AVERAGE(C317:C328)</f>
        <v>45.1</v>
      </c>
      <c r="D329" s="366">
        <f t="shared" ref="D329:E329" si="22">AVERAGE(D317:D328)</f>
        <v>67.63333333333334</v>
      </c>
      <c r="E329" s="367">
        <f t="shared" si="22"/>
        <v>1502.4166666666667</v>
      </c>
      <c r="F329" s="366">
        <f>AVERAGE(F317:F328)</f>
        <v>12.299999999999999</v>
      </c>
      <c r="G329" s="368">
        <f>AVERAGE(G317:G328)</f>
        <v>14.036</v>
      </c>
      <c r="K329" s="369"/>
    </row>
    <row r="330" spans="1:11" ht="59">
      <c r="A330" s="85" t="s">
        <v>704</v>
      </c>
      <c r="B330" s="85" t="s">
        <v>707</v>
      </c>
      <c r="C330" s="85" t="s">
        <v>999</v>
      </c>
      <c r="D330" s="85" t="s">
        <v>1000</v>
      </c>
      <c r="E330" s="85" t="s">
        <v>1001</v>
      </c>
      <c r="F330" s="85" t="s">
        <v>1002</v>
      </c>
      <c r="G330" s="359" t="s">
        <v>1003</v>
      </c>
      <c r="I330" s="85" t="s">
        <v>1004</v>
      </c>
      <c r="K330" s="360"/>
    </row>
    <row r="331" spans="1:11" s="365" customFormat="1">
      <c r="A331" s="361" t="s">
        <v>1028</v>
      </c>
      <c r="B331" s="181">
        <v>1</v>
      </c>
      <c r="C331" s="362">
        <v>24.1</v>
      </c>
      <c r="D331" s="362">
        <v>40.799999999999997</v>
      </c>
      <c r="E331" s="363">
        <v>546</v>
      </c>
      <c r="F331" s="362">
        <v>8.4</v>
      </c>
      <c r="G331" s="364">
        <v>14.5</v>
      </c>
      <c r="K331" s="369"/>
    </row>
    <row r="332" spans="1:11" s="365" customFormat="1">
      <c r="A332" s="361" t="s">
        <v>1028</v>
      </c>
      <c r="B332" s="181">
        <v>2</v>
      </c>
      <c r="C332" s="362">
        <v>26.8</v>
      </c>
      <c r="D332" s="362">
        <v>45</v>
      </c>
      <c r="E332" s="363">
        <v>789</v>
      </c>
      <c r="F332" s="362">
        <v>8.4</v>
      </c>
      <c r="G332" s="364">
        <v>14.5</v>
      </c>
      <c r="K332" s="369"/>
    </row>
    <row r="333" spans="1:11" s="365" customFormat="1">
      <c r="A333" s="361" t="s">
        <v>1028</v>
      </c>
      <c r="B333" s="181">
        <v>3</v>
      </c>
      <c r="C333" s="362">
        <v>35.200000000000003</v>
      </c>
      <c r="D333" s="362">
        <v>54.9</v>
      </c>
      <c r="E333" s="363">
        <v>1102</v>
      </c>
      <c r="F333" s="362">
        <v>8.4</v>
      </c>
      <c r="G333" s="364">
        <v>14.5</v>
      </c>
      <c r="K333" s="369"/>
    </row>
    <row r="334" spans="1:11" s="365" customFormat="1">
      <c r="A334" s="361" t="s">
        <v>1028</v>
      </c>
      <c r="B334" s="181">
        <v>4</v>
      </c>
      <c r="C334" s="362">
        <v>45.6</v>
      </c>
      <c r="D334" s="362">
        <v>67.5</v>
      </c>
      <c r="E334" s="363">
        <v>1467</v>
      </c>
      <c r="F334" s="362">
        <v>8.4</v>
      </c>
      <c r="G334" s="364">
        <v>14.5</v>
      </c>
      <c r="K334" s="369"/>
    </row>
    <row r="335" spans="1:11" s="365" customFormat="1">
      <c r="A335" s="361" t="s">
        <v>1028</v>
      </c>
      <c r="B335" s="181">
        <v>5</v>
      </c>
      <c r="C335" s="362">
        <v>54.6</v>
      </c>
      <c r="D335" s="362">
        <v>76.2</v>
      </c>
      <c r="E335" s="363">
        <v>1720</v>
      </c>
      <c r="F335" s="362">
        <v>8.4</v>
      </c>
      <c r="G335" s="364">
        <v>14.5</v>
      </c>
      <c r="K335" s="369"/>
    </row>
    <row r="336" spans="1:11" s="365" customFormat="1">
      <c r="A336" s="361" t="s">
        <v>1028</v>
      </c>
      <c r="B336" s="181">
        <v>6</v>
      </c>
      <c r="C336" s="362">
        <v>63.3</v>
      </c>
      <c r="D336" s="362">
        <v>84</v>
      </c>
      <c r="E336" s="363">
        <v>1904</v>
      </c>
      <c r="F336" s="362">
        <v>8.4</v>
      </c>
      <c r="G336" s="364">
        <v>14.5</v>
      </c>
      <c r="K336" s="369"/>
    </row>
    <row r="337" spans="1:11" s="365" customFormat="1">
      <c r="A337" s="361" t="s">
        <v>1028</v>
      </c>
      <c r="B337" s="181">
        <v>7</v>
      </c>
      <c r="C337" s="362">
        <v>67.5</v>
      </c>
      <c r="D337" s="362">
        <v>87.6</v>
      </c>
      <c r="E337" s="363">
        <v>1838</v>
      </c>
      <c r="F337" s="362">
        <v>8.4</v>
      </c>
      <c r="G337" s="364">
        <v>14.5</v>
      </c>
      <c r="K337" s="369"/>
    </row>
    <row r="338" spans="1:11" s="365" customFormat="1">
      <c r="A338" s="361" t="s">
        <v>1028</v>
      </c>
      <c r="B338" s="181">
        <v>8</v>
      </c>
      <c r="C338" s="362">
        <v>66.099999999999994</v>
      </c>
      <c r="D338" s="362">
        <v>86.7</v>
      </c>
      <c r="E338" s="363">
        <v>1680</v>
      </c>
      <c r="F338" s="362">
        <v>8.4</v>
      </c>
      <c r="G338" s="364">
        <v>14.5</v>
      </c>
      <c r="K338" s="369"/>
    </row>
    <row r="339" spans="1:11" s="365" customFormat="1">
      <c r="A339" s="361" t="s">
        <v>1028</v>
      </c>
      <c r="B339" s="181">
        <v>9</v>
      </c>
      <c r="C339" s="362">
        <v>59.1</v>
      </c>
      <c r="D339" s="362">
        <v>80.599999999999994</v>
      </c>
      <c r="E339" s="363">
        <v>1361</v>
      </c>
      <c r="F339" s="362">
        <v>8.4</v>
      </c>
      <c r="G339" s="364">
        <v>14.5</v>
      </c>
      <c r="K339" s="369"/>
    </row>
    <row r="340" spans="1:11" s="365" customFormat="1">
      <c r="A340" s="361" t="s">
        <v>1028</v>
      </c>
      <c r="B340" s="181">
        <v>10</v>
      </c>
      <c r="C340" s="362">
        <v>46.2</v>
      </c>
      <c r="D340" s="362">
        <v>69.2</v>
      </c>
      <c r="E340" s="363">
        <v>1042</v>
      </c>
      <c r="F340" s="362">
        <v>8.4</v>
      </c>
      <c r="G340" s="364">
        <v>14.5</v>
      </c>
      <c r="K340" s="369"/>
    </row>
    <row r="341" spans="1:11" s="365" customFormat="1">
      <c r="A341" s="361" t="s">
        <v>1028</v>
      </c>
      <c r="B341" s="181">
        <v>11</v>
      </c>
      <c r="C341" s="362">
        <v>36.6</v>
      </c>
      <c r="D341" s="362">
        <v>55.5</v>
      </c>
      <c r="E341" s="363">
        <v>653</v>
      </c>
      <c r="F341" s="362">
        <v>8.4</v>
      </c>
      <c r="G341" s="364">
        <v>14.5</v>
      </c>
      <c r="K341" s="369"/>
    </row>
    <row r="342" spans="1:11" s="365" customFormat="1">
      <c r="A342" s="361" t="s">
        <v>1028</v>
      </c>
      <c r="B342" s="181">
        <v>12</v>
      </c>
      <c r="C342" s="362">
        <v>28.9</v>
      </c>
      <c r="D342" s="362">
        <v>45.4</v>
      </c>
      <c r="E342" s="363">
        <v>488</v>
      </c>
      <c r="F342" s="362">
        <v>8.4</v>
      </c>
      <c r="G342" s="364">
        <v>14.5</v>
      </c>
      <c r="K342" s="369"/>
    </row>
    <row r="343" spans="1:11" s="365" customFormat="1">
      <c r="A343" s="361" t="s">
        <v>1028</v>
      </c>
      <c r="B343" s="181" t="s">
        <v>726</v>
      </c>
      <c r="C343" s="366">
        <f>AVERAGE(C331:C342)</f>
        <v>46.166666666666664</v>
      </c>
      <c r="D343" s="366">
        <f t="shared" ref="D343:E343" si="23">AVERAGE(D331:D342)</f>
        <v>66.116666666666674</v>
      </c>
      <c r="E343" s="367">
        <f t="shared" si="23"/>
        <v>1215.8333333333333</v>
      </c>
      <c r="F343" s="366">
        <f>AVERAGE(F331:F342)</f>
        <v>8.4000000000000021</v>
      </c>
      <c r="G343" s="368">
        <f>AVERAGE(G331:G342)</f>
        <v>14.5</v>
      </c>
      <c r="K343" s="369"/>
    </row>
    <row r="344" spans="1:11">
      <c r="A344" s="370" t="s">
        <v>1029</v>
      </c>
      <c r="B344" s="181">
        <v>1</v>
      </c>
      <c r="C344" s="371">
        <v>40.5</v>
      </c>
      <c r="D344" s="371">
        <v>61.1</v>
      </c>
      <c r="E344" s="372">
        <v>785</v>
      </c>
      <c r="F344" s="371">
        <v>7.6</v>
      </c>
      <c r="G344" s="373">
        <v>14.72</v>
      </c>
      <c r="K344" s="369"/>
    </row>
    <row r="345" spans="1:11">
      <c r="A345" s="370" t="s">
        <v>1029</v>
      </c>
      <c r="B345" s="181">
        <v>2</v>
      </c>
      <c r="C345" s="371">
        <v>42.7</v>
      </c>
      <c r="D345" s="371">
        <v>64.5</v>
      </c>
      <c r="E345" s="372">
        <v>1054</v>
      </c>
      <c r="F345" s="371">
        <v>7.6</v>
      </c>
      <c r="G345" s="373">
        <v>14.72</v>
      </c>
      <c r="K345" s="369"/>
    </row>
    <row r="346" spans="1:11">
      <c r="A346" s="370" t="s">
        <v>1029</v>
      </c>
      <c r="B346" s="181">
        <v>3</v>
      </c>
      <c r="C346" s="371">
        <v>49.4</v>
      </c>
      <c r="D346" s="371">
        <v>71.599999999999994</v>
      </c>
      <c r="E346" s="372">
        <v>1379</v>
      </c>
      <c r="F346" s="371">
        <v>7.6</v>
      </c>
      <c r="G346" s="373">
        <v>14.72</v>
      </c>
      <c r="K346" s="369"/>
    </row>
    <row r="347" spans="1:11">
      <c r="A347" s="370" t="s">
        <v>1029</v>
      </c>
      <c r="B347" s="181">
        <v>4</v>
      </c>
      <c r="C347" s="371">
        <v>57.5</v>
      </c>
      <c r="D347" s="371">
        <v>79.2</v>
      </c>
      <c r="E347" s="372">
        <v>1681</v>
      </c>
      <c r="F347" s="371">
        <v>7.6</v>
      </c>
      <c r="G347" s="373">
        <v>14.72</v>
      </c>
      <c r="K347" s="369"/>
    </row>
    <row r="348" spans="1:11">
      <c r="A348" s="370" t="s">
        <v>1029</v>
      </c>
      <c r="B348" s="181">
        <v>5</v>
      </c>
      <c r="C348" s="371">
        <v>64.3</v>
      </c>
      <c r="D348" s="371">
        <v>85.2</v>
      </c>
      <c r="E348" s="372">
        <v>1871</v>
      </c>
      <c r="F348" s="371">
        <v>7.6</v>
      </c>
      <c r="G348" s="373">
        <v>14.72</v>
      </c>
      <c r="K348" s="369"/>
    </row>
    <row r="349" spans="1:11">
      <c r="A349" s="370" t="s">
        <v>1029</v>
      </c>
      <c r="B349" s="181">
        <v>6</v>
      </c>
      <c r="C349" s="371">
        <v>70</v>
      </c>
      <c r="D349" s="371">
        <v>90.6</v>
      </c>
      <c r="E349" s="372">
        <v>1926</v>
      </c>
      <c r="F349" s="371">
        <v>7.6</v>
      </c>
      <c r="G349" s="373">
        <v>14.72</v>
      </c>
      <c r="K349" s="369"/>
    </row>
    <row r="350" spans="1:11">
      <c r="A350" s="370" t="s">
        <v>1029</v>
      </c>
      <c r="B350" s="181">
        <v>7</v>
      </c>
      <c r="C350" s="371">
        <v>72.8</v>
      </c>
      <c r="D350" s="371">
        <v>91.4</v>
      </c>
      <c r="E350" s="372">
        <v>1746</v>
      </c>
      <c r="F350" s="371">
        <v>7.6</v>
      </c>
      <c r="G350" s="373">
        <v>14.72</v>
      </c>
      <c r="K350" s="369"/>
    </row>
    <row r="351" spans="1:11">
      <c r="A351" s="370" t="s">
        <v>1029</v>
      </c>
      <c r="B351" s="181">
        <v>8</v>
      </c>
      <c r="C351" s="371">
        <v>72</v>
      </c>
      <c r="D351" s="371">
        <v>90.8</v>
      </c>
      <c r="E351" s="372">
        <v>1677</v>
      </c>
      <c r="F351" s="371">
        <v>7.6</v>
      </c>
      <c r="G351" s="373">
        <v>14.72</v>
      </c>
      <c r="K351" s="369"/>
    </row>
    <row r="352" spans="1:11">
      <c r="A352" s="370" t="s">
        <v>1029</v>
      </c>
      <c r="B352" s="181">
        <v>9</v>
      </c>
      <c r="C352" s="371">
        <v>68.3</v>
      </c>
      <c r="D352" s="371">
        <v>87.4</v>
      </c>
      <c r="E352" s="372">
        <v>1464</v>
      </c>
      <c r="F352" s="371">
        <v>7.6</v>
      </c>
      <c r="G352" s="373">
        <v>14.72</v>
      </c>
      <c r="K352" s="369"/>
    </row>
    <row r="353" spans="1:11">
      <c r="A353" s="370" t="s">
        <v>1029</v>
      </c>
      <c r="B353" s="181">
        <v>10</v>
      </c>
      <c r="C353" s="371">
        <v>56.3</v>
      </c>
      <c r="D353" s="371">
        <v>80.099999999999994</v>
      </c>
      <c r="E353" s="372">
        <v>1301</v>
      </c>
      <c r="F353" s="371">
        <v>7.6</v>
      </c>
      <c r="G353" s="373">
        <v>14.72</v>
      </c>
      <c r="K353" s="369"/>
    </row>
    <row r="354" spans="1:11">
      <c r="A354" s="370" t="s">
        <v>1029</v>
      </c>
      <c r="B354" s="181">
        <v>11</v>
      </c>
      <c r="C354" s="371">
        <v>47.2</v>
      </c>
      <c r="D354" s="371">
        <v>70.099999999999994</v>
      </c>
      <c r="E354" s="372">
        <v>920</v>
      </c>
      <c r="F354" s="371">
        <v>7.6</v>
      </c>
      <c r="G354" s="373">
        <v>14.72</v>
      </c>
      <c r="K354" s="369"/>
    </row>
    <row r="355" spans="1:11">
      <c r="A355" s="370" t="s">
        <v>1029</v>
      </c>
      <c r="B355" s="181">
        <v>12</v>
      </c>
      <c r="C355" s="371">
        <v>42.3</v>
      </c>
      <c r="D355" s="371">
        <v>63.8</v>
      </c>
      <c r="E355" s="372">
        <v>737</v>
      </c>
      <c r="F355" s="371">
        <v>7.6</v>
      </c>
      <c r="G355" s="373">
        <v>14.72</v>
      </c>
      <c r="K355" s="369"/>
    </row>
    <row r="356" spans="1:11">
      <c r="A356" s="370" t="s">
        <v>1029</v>
      </c>
      <c r="B356" s="181" t="s">
        <v>726</v>
      </c>
      <c r="C356" s="366">
        <f>AVERAGE(C344:C355)</f>
        <v>56.941666666666663</v>
      </c>
      <c r="D356" s="374">
        <f>AVERAGE(D344:D355)</f>
        <v>77.98333333333332</v>
      </c>
      <c r="E356" s="367">
        <f t="shared" ref="E356" si="24">AVERAGE(E344:E355)</f>
        <v>1378.4166666666667</v>
      </c>
      <c r="F356" s="374">
        <f>AVERAGE(F344:F355)</f>
        <v>7.5999999999999988</v>
      </c>
      <c r="G356" s="368">
        <f>AVERAGE(G344:G355)</f>
        <v>14.72</v>
      </c>
      <c r="K356" s="369"/>
    </row>
    <row r="357" spans="1:11">
      <c r="A357" s="370" t="s">
        <v>1030</v>
      </c>
      <c r="B357" s="181">
        <v>1</v>
      </c>
      <c r="C357" s="371">
        <v>42.2</v>
      </c>
      <c r="D357" s="371">
        <v>60.8</v>
      </c>
      <c r="E357" s="372">
        <v>728</v>
      </c>
      <c r="F357" s="371">
        <v>8.6999999999999993</v>
      </c>
      <c r="G357" s="373">
        <v>14.73</v>
      </c>
      <c r="K357" s="369"/>
    </row>
    <row r="358" spans="1:11">
      <c r="A358" s="370" t="s">
        <v>1030</v>
      </c>
      <c r="B358" s="181">
        <v>2</v>
      </c>
      <c r="C358" s="371">
        <v>44.5</v>
      </c>
      <c r="D358" s="371">
        <v>64</v>
      </c>
      <c r="E358" s="372">
        <v>1010</v>
      </c>
      <c r="F358" s="371">
        <v>8.6999999999999993</v>
      </c>
      <c r="G358" s="373">
        <v>14.73</v>
      </c>
      <c r="K358" s="369"/>
    </row>
    <row r="359" spans="1:11">
      <c r="A359" s="370" t="s">
        <v>1030</v>
      </c>
      <c r="B359" s="181">
        <v>3</v>
      </c>
      <c r="C359" s="371">
        <v>50.8</v>
      </c>
      <c r="D359" s="371">
        <v>70.5</v>
      </c>
      <c r="E359" s="372">
        <v>1313</v>
      </c>
      <c r="F359" s="371">
        <v>8.6999999999999993</v>
      </c>
      <c r="G359" s="373">
        <v>14.73</v>
      </c>
      <c r="K359" s="369"/>
    </row>
    <row r="360" spans="1:11">
      <c r="A360" s="370" t="s">
        <v>1030</v>
      </c>
      <c r="B360" s="181">
        <v>4</v>
      </c>
      <c r="C360" s="371">
        <v>58.9</v>
      </c>
      <c r="D360" s="371">
        <v>77.8</v>
      </c>
      <c r="E360" s="372">
        <v>1570</v>
      </c>
      <c r="F360" s="371">
        <v>8.6999999999999993</v>
      </c>
      <c r="G360" s="373">
        <v>14.73</v>
      </c>
      <c r="K360" s="369"/>
    </row>
    <row r="361" spans="1:11">
      <c r="A361" s="370" t="s">
        <v>1030</v>
      </c>
      <c r="B361" s="181">
        <v>5</v>
      </c>
      <c r="C361" s="371">
        <v>65.599999999999994</v>
      </c>
      <c r="D361" s="371">
        <v>84.1</v>
      </c>
      <c r="E361" s="372">
        <v>1849</v>
      </c>
      <c r="F361" s="371">
        <v>8.6999999999999993</v>
      </c>
      <c r="G361" s="373">
        <v>14.73</v>
      </c>
      <c r="K361" s="369"/>
    </row>
    <row r="362" spans="1:11">
      <c r="A362" s="370" t="s">
        <v>1030</v>
      </c>
      <c r="B362" s="181">
        <v>6</v>
      </c>
      <c r="C362" s="371">
        <v>71.400000000000006</v>
      </c>
      <c r="D362" s="371">
        <v>89.4</v>
      </c>
      <c r="E362" s="372">
        <v>1970</v>
      </c>
      <c r="F362" s="371">
        <v>8.6999999999999993</v>
      </c>
      <c r="G362" s="373">
        <v>14.73</v>
      </c>
      <c r="K362" s="369"/>
    </row>
    <row r="363" spans="1:11">
      <c r="A363" s="370" t="s">
        <v>1030</v>
      </c>
      <c r="B363" s="181">
        <v>7</v>
      </c>
      <c r="C363" s="371">
        <v>73.5</v>
      </c>
      <c r="D363" s="371">
        <v>91</v>
      </c>
      <c r="E363" s="372">
        <v>1788</v>
      </c>
      <c r="F363" s="371">
        <v>8.6999999999999993</v>
      </c>
      <c r="G363" s="373">
        <v>14.73</v>
      </c>
      <c r="K363" s="369"/>
    </row>
    <row r="364" spans="1:11">
      <c r="A364" s="370" t="s">
        <v>1030</v>
      </c>
      <c r="B364" s="181">
        <v>8</v>
      </c>
      <c r="C364" s="371">
        <v>72.8</v>
      </c>
      <c r="D364" s="371">
        <v>90.8</v>
      </c>
      <c r="E364" s="372">
        <v>1657</v>
      </c>
      <c r="F364" s="371">
        <v>8.6999999999999993</v>
      </c>
      <c r="G364" s="373">
        <v>14.73</v>
      </c>
      <c r="K364" s="369"/>
    </row>
    <row r="365" spans="1:11">
      <c r="A365" s="370" t="s">
        <v>1030</v>
      </c>
      <c r="B365" s="181">
        <v>9</v>
      </c>
      <c r="C365" s="371">
        <v>68.900000000000006</v>
      </c>
      <c r="D365" s="371">
        <v>87.5</v>
      </c>
      <c r="E365" s="372">
        <v>1485</v>
      </c>
      <c r="F365" s="371">
        <v>8.6999999999999993</v>
      </c>
      <c r="G365" s="373">
        <v>14.73</v>
      </c>
      <c r="K365" s="369"/>
    </row>
    <row r="366" spans="1:11">
      <c r="A366" s="370" t="s">
        <v>1030</v>
      </c>
      <c r="B366" s="181">
        <v>10</v>
      </c>
      <c r="C366" s="371">
        <v>57.7</v>
      </c>
      <c r="D366" s="371">
        <v>80.8</v>
      </c>
      <c r="E366" s="372">
        <v>1381</v>
      </c>
      <c r="F366" s="371">
        <v>8.6999999999999993</v>
      </c>
      <c r="G366" s="373">
        <v>14.73</v>
      </c>
      <c r="K366" s="369"/>
    </row>
    <row r="367" spans="1:11">
      <c r="A367" s="370" t="s">
        <v>1030</v>
      </c>
      <c r="B367" s="181">
        <v>11</v>
      </c>
      <c r="C367" s="371">
        <v>48.9</v>
      </c>
      <c r="D367" s="371">
        <v>70.5</v>
      </c>
      <c r="E367" s="372">
        <v>917</v>
      </c>
      <c r="F367" s="371">
        <v>8.6999999999999993</v>
      </c>
      <c r="G367" s="373">
        <v>14.73</v>
      </c>
      <c r="K367" s="369"/>
    </row>
    <row r="368" spans="1:11">
      <c r="A368" s="370" t="s">
        <v>1030</v>
      </c>
      <c r="B368" s="181">
        <v>12</v>
      </c>
      <c r="C368" s="371">
        <v>43.8</v>
      </c>
      <c r="D368" s="371">
        <v>64</v>
      </c>
      <c r="E368" s="372">
        <v>706</v>
      </c>
      <c r="F368" s="371">
        <v>8.6999999999999993</v>
      </c>
      <c r="G368" s="373">
        <v>14.73</v>
      </c>
      <c r="K368" s="369"/>
    </row>
    <row r="369" spans="1:11">
      <c r="A369" s="370" t="s">
        <v>1030</v>
      </c>
      <c r="B369" s="181" t="s">
        <v>726</v>
      </c>
      <c r="C369" s="374">
        <f>AVERAGE(C357:C368)</f>
        <v>58.25</v>
      </c>
      <c r="D369" s="374">
        <f>AVERAGE(D357:D368)</f>
        <v>77.599999999999994</v>
      </c>
      <c r="E369" s="375">
        <f>AVERAGE(E357:E368)</f>
        <v>1364.5</v>
      </c>
      <c r="F369" s="376">
        <f>AVERAGE(F357:F368)</f>
        <v>8.7000000000000011</v>
      </c>
      <c r="G369" s="368">
        <f>AVERAGE(G357:G368)</f>
        <v>14.729999999999999</v>
      </c>
      <c r="K369" s="369"/>
    </row>
    <row r="370" spans="1:11" ht="59">
      <c r="A370" s="85" t="s">
        <v>704</v>
      </c>
      <c r="B370" s="85" t="s">
        <v>707</v>
      </c>
      <c r="C370" s="85" t="s">
        <v>999</v>
      </c>
      <c r="D370" s="85" t="s">
        <v>1000</v>
      </c>
      <c r="E370" s="85" t="s">
        <v>1001</v>
      </c>
      <c r="F370" s="85" t="s">
        <v>1002</v>
      </c>
      <c r="G370" s="359" t="s">
        <v>1003</v>
      </c>
      <c r="I370" s="85" t="s">
        <v>1004</v>
      </c>
      <c r="K370" s="360"/>
    </row>
    <row r="371" spans="1:11">
      <c r="A371" s="370" t="s">
        <v>1031</v>
      </c>
      <c r="B371" s="181">
        <v>1</v>
      </c>
      <c r="C371" s="371">
        <v>43</v>
      </c>
      <c r="D371" s="371">
        <v>61.8</v>
      </c>
      <c r="E371" s="372">
        <v>835</v>
      </c>
      <c r="F371" s="371">
        <v>8.1999999999999993</v>
      </c>
      <c r="G371" s="373">
        <v>14.75</v>
      </c>
      <c r="K371" s="369"/>
    </row>
    <row r="372" spans="1:11">
      <c r="A372" s="370" t="s">
        <v>1031</v>
      </c>
      <c r="B372" s="181">
        <v>2</v>
      </c>
      <c r="C372" s="371">
        <v>44.8</v>
      </c>
      <c r="D372" s="371">
        <v>64.599999999999994</v>
      </c>
      <c r="E372" s="372">
        <v>1112</v>
      </c>
      <c r="F372" s="371">
        <v>8.1999999999999993</v>
      </c>
      <c r="G372" s="373">
        <v>14.75</v>
      </c>
      <c r="K372" s="369"/>
    </row>
    <row r="373" spans="1:11">
      <c r="A373" s="370" t="s">
        <v>1031</v>
      </c>
      <c r="B373" s="181">
        <v>3</v>
      </c>
      <c r="C373" s="371">
        <v>51.6</v>
      </c>
      <c r="D373" s="371">
        <v>71.2</v>
      </c>
      <c r="E373" s="372">
        <v>1415</v>
      </c>
      <c r="F373" s="371">
        <v>8.1999999999999993</v>
      </c>
      <c r="G373" s="373">
        <v>14.75</v>
      </c>
      <c r="K373" s="369"/>
    </row>
    <row r="374" spans="1:11">
      <c r="A374" s="370" t="s">
        <v>1031</v>
      </c>
      <c r="B374" s="181">
        <v>4</v>
      </c>
      <c r="C374" s="371">
        <v>58.8</v>
      </c>
      <c r="D374" s="371">
        <v>78.599999999999994</v>
      </c>
      <c r="E374" s="372">
        <v>1780</v>
      </c>
      <c r="F374" s="371">
        <v>8.1999999999999993</v>
      </c>
      <c r="G374" s="373">
        <v>14.75</v>
      </c>
      <c r="K374" s="369"/>
    </row>
    <row r="375" spans="1:11">
      <c r="A375" s="370" t="s">
        <v>1031</v>
      </c>
      <c r="B375" s="181">
        <v>5</v>
      </c>
      <c r="C375" s="371">
        <v>65.3</v>
      </c>
      <c r="D375" s="371">
        <v>84.5</v>
      </c>
      <c r="E375" s="372">
        <v>1968</v>
      </c>
      <c r="F375" s="371">
        <v>8.1999999999999993</v>
      </c>
      <c r="G375" s="373">
        <v>14.75</v>
      </c>
      <c r="K375" s="369"/>
    </row>
    <row r="376" spans="1:11">
      <c r="A376" s="370" t="s">
        <v>1031</v>
      </c>
      <c r="B376" s="181">
        <v>6</v>
      </c>
      <c r="C376" s="371">
        <v>70.900000000000006</v>
      </c>
      <c r="D376" s="371">
        <v>89.5</v>
      </c>
      <c r="E376" s="372">
        <v>2004</v>
      </c>
      <c r="F376" s="371">
        <v>8.1999999999999993</v>
      </c>
      <c r="G376" s="373">
        <v>14.75</v>
      </c>
      <c r="K376" s="369"/>
    </row>
    <row r="377" spans="1:11">
      <c r="A377" s="370" t="s">
        <v>1031</v>
      </c>
      <c r="B377" s="181">
        <v>7</v>
      </c>
      <c r="C377" s="371">
        <v>73.5</v>
      </c>
      <c r="D377" s="371">
        <v>90.7</v>
      </c>
      <c r="E377" s="372">
        <v>1814</v>
      </c>
      <c r="F377" s="371">
        <v>8.1999999999999993</v>
      </c>
      <c r="G377" s="373">
        <v>14.75</v>
      </c>
      <c r="K377" s="369"/>
    </row>
    <row r="378" spans="1:11">
      <c r="A378" s="370" t="s">
        <v>1031</v>
      </c>
      <c r="B378" s="181">
        <v>8</v>
      </c>
      <c r="C378" s="371">
        <v>73.099999999999994</v>
      </c>
      <c r="D378" s="371">
        <v>90.2</v>
      </c>
      <c r="E378" s="372">
        <v>1717</v>
      </c>
      <c r="F378" s="371">
        <v>8.1999999999999993</v>
      </c>
      <c r="G378" s="373">
        <v>14.75</v>
      </c>
      <c r="K378" s="369"/>
    </row>
    <row r="379" spans="1:11">
      <c r="A379" s="370" t="s">
        <v>1031</v>
      </c>
      <c r="B379" s="181">
        <v>9</v>
      </c>
      <c r="C379" s="371">
        <v>70.099999999999994</v>
      </c>
      <c r="D379" s="371">
        <v>86.8</v>
      </c>
      <c r="E379" s="372">
        <v>1514</v>
      </c>
      <c r="F379" s="371">
        <v>8.1999999999999993</v>
      </c>
      <c r="G379" s="373">
        <v>14.75</v>
      </c>
      <c r="K379" s="369"/>
    </row>
    <row r="380" spans="1:11">
      <c r="A380" s="370" t="s">
        <v>1031</v>
      </c>
      <c r="B380" s="181">
        <v>10</v>
      </c>
      <c r="C380" s="371">
        <v>59</v>
      </c>
      <c r="D380" s="371">
        <v>79.400000000000006</v>
      </c>
      <c r="E380" s="372">
        <v>1335</v>
      </c>
      <c r="F380" s="371">
        <v>8.1999999999999993</v>
      </c>
      <c r="G380" s="373">
        <v>14.75</v>
      </c>
      <c r="K380" s="369"/>
    </row>
    <row r="381" spans="1:11">
      <c r="A381" s="370" t="s">
        <v>1031</v>
      </c>
      <c r="B381" s="181">
        <v>11</v>
      </c>
      <c r="C381" s="371">
        <v>49.9</v>
      </c>
      <c r="D381" s="371">
        <v>70.099999999999994</v>
      </c>
      <c r="E381" s="372">
        <v>973</v>
      </c>
      <c r="F381" s="371">
        <v>8.1999999999999993</v>
      </c>
      <c r="G381" s="373">
        <v>14.75</v>
      </c>
      <c r="K381" s="369"/>
    </row>
    <row r="382" spans="1:11">
      <c r="A382" s="370" t="s">
        <v>1031</v>
      </c>
      <c r="B382" s="181">
        <v>12</v>
      </c>
      <c r="C382" s="371">
        <v>44.8</v>
      </c>
      <c r="D382" s="371">
        <v>64.400000000000006</v>
      </c>
      <c r="E382" s="372">
        <v>779</v>
      </c>
      <c r="F382" s="371">
        <v>8.1999999999999993</v>
      </c>
      <c r="G382" s="373">
        <v>14.75</v>
      </c>
      <c r="K382" s="369"/>
    </row>
    <row r="383" spans="1:11">
      <c r="A383" s="370" t="s">
        <v>1031</v>
      </c>
      <c r="B383" s="181" t="s">
        <v>726</v>
      </c>
      <c r="C383" s="374">
        <f>AVERAGE(C371:C382)</f>
        <v>58.733333333333327</v>
      </c>
      <c r="D383" s="374">
        <f>AVERAGE(D371:D382)</f>
        <v>77.649999999999991</v>
      </c>
      <c r="E383" s="375">
        <f>AVERAGE(E371:E382)</f>
        <v>1437.1666666666667</v>
      </c>
      <c r="F383" s="376">
        <f>AVERAGE(F371:F382)</f>
        <v>8.2000000000000011</v>
      </c>
      <c r="G383" s="368">
        <f>AVERAGE(G371:G382)</f>
        <v>14.75</v>
      </c>
      <c r="K383" s="369"/>
    </row>
    <row r="384" spans="1:11" s="365" customFormat="1">
      <c r="A384" s="361" t="s">
        <v>1032</v>
      </c>
      <c r="B384" s="181">
        <v>1</v>
      </c>
      <c r="C384" s="362">
        <v>16.100000000000001</v>
      </c>
      <c r="D384" s="362">
        <v>30.6</v>
      </c>
      <c r="E384" s="363">
        <v>417</v>
      </c>
      <c r="F384" s="362">
        <v>10.4</v>
      </c>
      <c r="G384" s="364">
        <v>14.384</v>
      </c>
      <c r="K384" s="369"/>
    </row>
    <row r="385" spans="1:11" s="365" customFormat="1">
      <c r="A385" s="361" t="s">
        <v>1032</v>
      </c>
      <c r="B385" s="181">
        <v>2</v>
      </c>
      <c r="C385" s="362">
        <v>18</v>
      </c>
      <c r="D385" s="362">
        <v>33.5</v>
      </c>
      <c r="E385" s="363">
        <v>680</v>
      </c>
      <c r="F385" s="362">
        <v>10.4</v>
      </c>
      <c r="G385" s="364">
        <v>14.384</v>
      </c>
      <c r="K385" s="369"/>
    </row>
    <row r="386" spans="1:11" s="365" customFormat="1">
      <c r="A386" s="361" t="s">
        <v>1032</v>
      </c>
      <c r="B386" s="181">
        <v>3</v>
      </c>
      <c r="C386" s="362">
        <v>26.5</v>
      </c>
      <c r="D386" s="362">
        <v>43.4</v>
      </c>
      <c r="E386" s="363">
        <v>1000</v>
      </c>
      <c r="F386" s="362">
        <v>10.4</v>
      </c>
      <c r="G386" s="364">
        <v>14.384</v>
      </c>
      <c r="K386" s="369"/>
    </row>
    <row r="387" spans="1:11" s="365" customFormat="1">
      <c r="A387" s="361" t="s">
        <v>1032</v>
      </c>
      <c r="B387" s="181">
        <v>4</v>
      </c>
      <c r="C387" s="362">
        <v>36.9</v>
      </c>
      <c r="D387" s="362">
        <v>57.7</v>
      </c>
      <c r="E387" s="363">
        <v>1399</v>
      </c>
      <c r="F387" s="362">
        <v>10.4</v>
      </c>
      <c r="G387" s="364">
        <v>14.384</v>
      </c>
      <c r="K387" s="369"/>
    </row>
    <row r="388" spans="1:11" s="365" customFormat="1">
      <c r="A388" s="361" t="s">
        <v>1032</v>
      </c>
      <c r="B388" s="181">
        <v>5</v>
      </c>
      <c r="C388" s="362">
        <v>46.7</v>
      </c>
      <c r="D388" s="362">
        <v>69.400000000000006</v>
      </c>
      <c r="E388" s="363">
        <v>1716</v>
      </c>
      <c r="F388" s="362">
        <v>10.4</v>
      </c>
      <c r="G388" s="364">
        <v>14.384</v>
      </c>
      <c r="K388" s="369"/>
    </row>
    <row r="389" spans="1:11" s="365" customFormat="1">
      <c r="A389" s="361" t="s">
        <v>1032</v>
      </c>
      <c r="B389" s="181">
        <v>6</v>
      </c>
      <c r="C389" s="362">
        <v>56.3</v>
      </c>
      <c r="D389" s="362">
        <v>79</v>
      </c>
      <c r="E389" s="363">
        <v>1866</v>
      </c>
      <c r="F389" s="362">
        <v>10.4</v>
      </c>
      <c r="G389" s="364">
        <v>14.384</v>
      </c>
      <c r="K389" s="369"/>
    </row>
    <row r="390" spans="1:11" s="365" customFormat="1">
      <c r="A390" s="361" t="s">
        <v>1032</v>
      </c>
      <c r="B390" s="181">
        <v>7</v>
      </c>
      <c r="C390" s="362">
        <v>60.7</v>
      </c>
      <c r="D390" s="362">
        <v>83.1</v>
      </c>
      <c r="E390" s="363">
        <v>1835</v>
      </c>
      <c r="F390" s="362">
        <v>10.4</v>
      </c>
      <c r="G390" s="364">
        <v>14.384</v>
      </c>
      <c r="K390" s="369"/>
    </row>
    <row r="391" spans="1:11" s="365" customFormat="1">
      <c r="A391" s="361" t="s">
        <v>1032</v>
      </c>
      <c r="B391" s="181">
        <v>8</v>
      </c>
      <c r="C391" s="362">
        <v>59.4</v>
      </c>
      <c r="D391" s="362">
        <v>81.5</v>
      </c>
      <c r="E391" s="363">
        <v>1576</v>
      </c>
      <c r="F391" s="362">
        <v>10.4</v>
      </c>
      <c r="G391" s="364">
        <v>14.384</v>
      </c>
      <c r="K391" s="369"/>
    </row>
    <row r="392" spans="1:11" s="365" customFormat="1">
      <c r="A392" s="361" t="s">
        <v>1032</v>
      </c>
      <c r="B392" s="181">
        <v>9</v>
      </c>
      <c r="C392" s="362">
        <v>52.2</v>
      </c>
      <c r="D392" s="362">
        <v>74.400000000000006</v>
      </c>
      <c r="E392" s="363">
        <v>1253</v>
      </c>
      <c r="F392" s="362">
        <v>10.4</v>
      </c>
      <c r="G392" s="364">
        <v>14.384</v>
      </c>
      <c r="K392" s="369"/>
    </row>
    <row r="393" spans="1:11" s="365" customFormat="1">
      <c r="A393" s="361" t="s">
        <v>1032</v>
      </c>
      <c r="B393" s="181">
        <v>10</v>
      </c>
      <c r="C393" s="362">
        <v>41.2</v>
      </c>
      <c r="D393" s="362">
        <v>62.5</v>
      </c>
      <c r="E393" s="363">
        <v>876</v>
      </c>
      <c r="F393" s="362">
        <v>10.4</v>
      </c>
      <c r="G393" s="364">
        <v>14.384</v>
      </c>
      <c r="K393" s="369"/>
    </row>
    <row r="394" spans="1:11" s="365" customFormat="1">
      <c r="A394" s="361" t="s">
        <v>1032</v>
      </c>
      <c r="B394" s="181">
        <v>11</v>
      </c>
      <c r="C394" s="362">
        <v>31.4</v>
      </c>
      <c r="D394" s="362">
        <v>47.6</v>
      </c>
      <c r="E394" s="363">
        <v>478</v>
      </c>
      <c r="F394" s="362">
        <v>10.4</v>
      </c>
      <c r="G394" s="364">
        <v>14.384</v>
      </c>
      <c r="K394" s="369"/>
    </row>
    <row r="395" spans="1:11" s="365" customFormat="1">
      <c r="A395" s="361" t="s">
        <v>1032</v>
      </c>
      <c r="B395" s="181">
        <v>12</v>
      </c>
      <c r="C395" s="362">
        <v>21.6</v>
      </c>
      <c r="D395" s="362">
        <v>35.4</v>
      </c>
      <c r="E395" s="363">
        <v>344</v>
      </c>
      <c r="F395" s="362">
        <v>10.4</v>
      </c>
      <c r="G395" s="364">
        <v>14.384</v>
      </c>
      <c r="K395" s="369"/>
    </row>
    <row r="396" spans="1:11" s="365" customFormat="1">
      <c r="A396" s="361" t="s">
        <v>1032</v>
      </c>
      <c r="B396" s="181" t="s">
        <v>726</v>
      </c>
      <c r="C396" s="376">
        <f>AVERAGE(C384:C395)</f>
        <v>38.916666666666664</v>
      </c>
      <c r="D396" s="376">
        <f>AVERAGE(D384:D395)</f>
        <v>58.175000000000004</v>
      </c>
      <c r="E396" s="377">
        <f>AVERAGE(E384:E395)</f>
        <v>1120</v>
      </c>
      <c r="F396" s="366">
        <f>AVERAGE(F384:F395)</f>
        <v>10.400000000000002</v>
      </c>
      <c r="G396" s="368">
        <f>AVERAGE(G384:G395)</f>
        <v>14.384000000000006</v>
      </c>
      <c r="K396" s="369"/>
    </row>
    <row r="397" spans="1:11" s="365" customFormat="1">
      <c r="A397" s="361" t="s">
        <v>1033</v>
      </c>
      <c r="B397" s="181">
        <v>1</v>
      </c>
      <c r="C397" s="362">
        <v>14.9</v>
      </c>
      <c r="D397" s="362">
        <v>29</v>
      </c>
      <c r="E397" s="363">
        <v>370</v>
      </c>
      <c r="F397" s="362">
        <v>9.8000000000000007</v>
      </c>
      <c r="G397" s="364">
        <v>14.311500000000001</v>
      </c>
      <c r="K397" s="369"/>
    </row>
    <row r="398" spans="1:11" s="365" customFormat="1">
      <c r="A398" s="361" t="s">
        <v>1033</v>
      </c>
      <c r="B398" s="181">
        <v>2</v>
      </c>
      <c r="C398" s="362">
        <v>15.6</v>
      </c>
      <c r="D398" s="362">
        <v>31.7</v>
      </c>
      <c r="E398" s="363">
        <v>648</v>
      </c>
      <c r="F398" s="362">
        <v>9.8000000000000007</v>
      </c>
      <c r="G398" s="364">
        <v>14.311500000000001</v>
      </c>
      <c r="K398" s="369"/>
    </row>
    <row r="399" spans="1:11" s="365" customFormat="1">
      <c r="A399" s="361" t="s">
        <v>1033</v>
      </c>
      <c r="B399" s="181">
        <v>3</v>
      </c>
      <c r="C399" s="362">
        <v>24.5</v>
      </c>
      <c r="D399" s="362">
        <v>41.6</v>
      </c>
      <c r="E399" s="363">
        <v>1014</v>
      </c>
      <c r="F399" s="362">
        <v>9.8000000000000007</v>
      </c>
      <c r="G399" s="364">
        <v>14.311500000000001</v>
      </c>
      <c r="K399" s="369"/>
    </row>
    <row r="400" spans="1:11" s="365" customFormat="1">
      <c r="A400" s="361" t="s">
        <v>1033</v>
      </c>
      <c r="B400" s="181">
        <v>4</v>
      </c>
      <c r="C400" s="362">
        <v>35.6</v>
      </c>
      <c r="D400" s="362">
        <v>56.9</v>
      </c>
      <c r="E400" s="363">
        <v>1412</v>
      </c>
      <c r="F400" s="362">
        <v>9.8000000000000007</v>
      </c>
      <c r="G400" s="364">
        <v>14.311500000000001</v>
      </c>
      <c r="K400" s="369"/>
    </row>
    <row r="401" spans="1:11" s="365" customFormat="1">
      <c r="A401" s="361" t="s">
        <v>1033</v>
      </c>
      <c r="B401" s="181">
        <v>5</v>
      </c>
      <c r="C401" s="362">
        <v>45.5</v>
      </c>
      <c r="D401" s="362">
        <v>69.400000000000006</v>
      </c>
      <c r="E401" s="363">
        <v>1755</v>
      </c>
      <c r="F401" s="362">
        <v>9.8000000000000007</v>
      </c>
      <c r="G401" s="364">
        <v>14.311500000000001</v>
      </c>
      <c r="K401" s="369"/>
    </row>
    <row r="402" spans="1:11" s="365" customFormat="1">
      <c r="A402" s="361" t="s">
        <v>1033</v>
      </c>
      <c r="B402" s="181">
        <v>6</v>
      </c>
      <c r="C402" s="362">
        <v>55.3</v>
      </c>
      <c r="D402" s="362">
        <v>78.900000000000006</v>
      </c>
      <c r="E402" s="363">
        <v>1957</v>
      </c>
      <c r="F402" s="362">
        <v>9.8000000000000007</v>
      </c>
      <c r="G402" s="364">
        <v>14.311500000000001</v>
      </c>
      <c r="K402" s="369"/>
    </row>
    <row r="403" spans="1:11" s="365" customFormat="1">
      <c r="A403" s="361" t="s">
        <v>1033</v>
      </c>
      <c r="B403" s="181">
        <v>7</v>
      </c>
      <c r="C403" s="362">
        <v>59.8</v>
      </c>
      <c r="D403" s="362">
        <v>83</v>
      </c>
      <c r="E403" s="363">
        <v>1914</v>
      </c>
      <c r="F403" s="362">
        <v>9.8000000000000007</v>
      </c>
      <c r="G403" s="364">
        <v>14.311500000000001</v>
      </c>
      <c r="K403" s="369"/>
    </row>
    <row r="404" spans="1:11" s="365" customFormat="1">
      <c r="A404" s="361" t="s">
        <v>1033</v>
      </c>
      <c r="B404" s="181">
        <v>8</v>
      </c>
      <c r="C404" s="362">
        <v>58.1</v>
      </c>
      <c r="D404" s="362">
        <v>81.099999999999994</v>
      </c>
      <c r="E404" s="363">
        <v>1676</v>
      </c>
      <c r="F404" s="362">
        <v>9.8000000000000007</v>
      </c>
      <c r="G404" s="364">
        <v>14.311500000000001</v>
      </c>
      <c r="K404" s="369"/>
    </row>
    <row r="405" spans="1:11" s="365" customFormat="1">
      <c r="A405" s="361" t="s">
        <v>1033</v>
      </c>
      <c r="B405" s="181">
        <v>9</v>
      </c>
      <c r="C405" s="362">
        <v>50.8</v>
      </c>
      <c r="D405" s="362">
        <v>73.400000000000006</v>
      </c>
      <c r="E405" s="363">
        <v>1262</v>
      </c>
      <c r="F405" s="362">
        <v>9.8000000000000007</v>
      </c>
      <c r="G405" s="364">
        <v>14.311500000000001</v>
      </c>
      <c r="K405" s="369"/>
    </row>
    <row r="406" spans="1:11" s="365" customFormat="1">
      <c r="A406" s="361" t="s">
        <v>1033</v>
      </c>
      <c r="B406" s="181">
        <v>10</v>
      </c>
      <c r="C406" s="362">
        <v>40.4</v>
      </c>
      <c r="D406" s="362">
        <v>61.4</v>
      </c>
      <c r="E406" s="363">
        <v>858</v>
      </c>
      <c r="F406" s="362">
        <v>9.8000000000000007</v>
      </c>
      <c r="G406" s="364">
        <v>14.311500000000001</v>
      </c>
      <c r="K406" s="369"/>
    </row>
    <row r="407" spans="1:11" s="365" customFormat="1">
      <c r="A407" s="361" t="s">
        <v>1033</v>
      </c>
      <c r="B407" s="181">
        <v>11</v>
      </c>
      <c r="C407" s="362">
        <v>30.9</v>
      </c>
      <c r="D407" s="362">
        <v>46</v>
      </c>
      <c r="E407" s="363">
        <v>446</v>
      </c>
      <c r="F407" s="362">
        <v>9.8000000000000007</v>
      </c>
      <c r="G407" s="364">
        <v>14.311500000000001</v>
      </c>
      <c r="K407" s="369"/>
    </row>
    <row r="408" spans="1:11" s="365" customFormat="1">
      <c r="A408" s="361" t="s">
        <v>1033</v>
      </c>
      <c r="B408" s="181">
        <v>12</v>
      </c>
      <c r="C408" s="362">
        <v>20.7</v>
      </c>
      <c r="D408" s="362">
        <v>33.799999999999997</v>
      </c>
      <c r="E408" s="363">
        <v>311</v>
      </c>
      <c r="F408" s="362">
        <v>9.8000000000000007</v>
      </c>
      <c r="G408" s="364">
        <v>14.311500000000001</v>
      </c>
      <c r="K408" s="369"/>
    </row>
    <row r="409" spans="1:11" s="365" customFormat="1">
      <c r="A409" s="361" t="s">
        <v>1033</v>
      </c>
      <c r="B409" s="181" t="s">
        <v>726</v>
      </c>
      <c r="C409" s="374">
        <f>AVERAGE(C397:C408)</f>
        <v>37.674999999999997</v>
      </c>
      <c r="D409" s="374">
        <f>AVERAGE(D397:D408)</f>
        <v>57.18333333333333</v>
      </c>
      <c r="E409" s="375">
        <f>AVERAGE(E397:E408)</f>
        <v>1135.25</v>
      </c>
      <c r="F409" s="366">
        <f>AVERAGE(F397:F408)</f>
        <v>9.7999999999999989</v>
      </c>
      <c r="G409" s="368">
        <f>AVERAGE(G397:G408)</f>
        <v>14.311499999999997</v>
      </c>
      <c r="K409" s="369"/>
    </row>
    <row r="410" spans="1:11" ht="59">
      <c r="A410" s="85" t="s">
        <v>704</v>
      </c>
      <c r="B410" s="85" t="s">
        <v>707</v>
      </c>
      <c r="C410" s="85" t="s">
        <v>999</v>
      </c>
      <c r="D410" s="85" t="s">
        <v>1000</v>
      </c>
      <c r="E410" s="85" t="s">
        <v>1001</v>
      </c>
      <c r="F410" s="85" t="s">
        <v>1002</v>
      </c>
      <c r="G410" s="359" t="s">
        <v>1003</v>
      </c>
      <c r="I410" s="85" t="s">
        <v>1004</v>
      </c>
      <c r="K410" s="360"/>
    </row>
    <row r="411" spans="1:11" s="365" customFormat="1">
      <c r="A411" s="361" t="s">
        <v>1034</v>
      </c>
      <c r="B411" s="181">
        <v>1</v>
      </c>
      <c r="C411" s="362">
        <v>2.4</v>
      </c>
      <c r="D411" s="362">
        <v>19.899999999999999</v>
      </c>
      <c r="E411" s="363">
        <v>464</v>
      </c>
      <c r="F411" s="362">
        <v>10.6</v>
      </c>
      <c r="G411" s="364">
        <v>14.297000000000001</v>
      </c>
      <c r="K411" s="369"/>
    </row>
    <row r="412" spans="1:11" s="365" customFormat="1">
      <c r="A412" s="361" t="s">
        <v>1034</v>
      </c>
      <c r="B412" s="181">
        <v>2</v>
      </c>
      <c r="C412" s="362">
        <v>8.5</v>
      </c>
      <c r="D412" s="362">
        <v>26.4</v>
      </c>
      <c r="E412" s="363">
        <v>764</v>
      </c>
      <c r="F412" s="362">
        <v>10.6</v>
      </c>
      <c r="G412" s="364">
        <v>14.297000000000001</v>
      </c>
      <c r="K412" s="369"/>
    </row>
    <row r="413" spans="1:11" s="365" customFormat="1">
      <c r="A413" s="361" t="s">
        <v>1034</v>
      </c>
      <c r="B413" s="181">
        <v>3</v>
      </c>
      <c r="C413" s="362">
        <v>20.8</v>
      </c>
      <c r="D413" s="362">
        <v>37.5</v>
      </c>
      <c r="E413" s="363">
        <v>1104</v>
      </c>
      <c r="F413" s="362">
        <v>10.6</v>
      </c>
      <c r="G413" s="364">
        <v>14.297000000000001</v>
      </c>
      <c r="K413" s="369"/>
    </row>
    <row r="414" spans="1:11" s="365" customFormat="1">
      <c r="A414" s="361" t="s">
        <v>1034</v>
      </c>
      <c r="B414" s="181">
        <v>4</v>
      </c>
      <c r="C414" s="362">
        <v>36</v>
      </c>
      <c r="D414" s="362">
        <v>56</v>
      </c>
      <c r="E414" s="363">
        <v>1442</v>
      </c>
      <c r="F414" s="362">
        <v>10.6</v>
      </c>
      <c r="G414" s="364">
        <v>14.297000000000001</v>
      </c>
      <c r="K414" s="369"/>
    </row>
    <row r="415" spans="1:11" s="365" customFormat="1">
      <c r="A415" s="361" t="s">
        <v>1034</v>
      </c>
      <c r="B415" s="181">
        <v>5</v>
      </c>
      <c r="C415" s="362">
        <v>47.6</v>
      </c>
      <c r="D415" s="362">
        <v>69.400000000000006</v>
      </c>
      <c r="E415" s="363">
        <v>1737</v>
      </c>
      <c r="F415" s="362">
        <v>10.6</v>
      </c>
      <c r="G415" s="364">
        <v>14.297000000000001</v>
      </c>
      <c r="K415" s="369"/>
    </row>
    <row r="416" spans="1:11" s="365" customFormat="1">
      <c r="A416" s="361" t="s">
        <v>1034</v>
      </c>
      <c r="B416" s="181">
        <v>6</v>
      </c>
      <c r="C416" s="362">
        <v>57.7</v>
      </c>
      <c r="D416" s="362">
        <v>78.5</v>
      </c>
      <c r="E416" s="363">
        <v>1928</v>
      </c>
      <c r="F416" s="362">
        <v>10.6</v>
      </c>
      <c r="G416" s="364">
        <v>14.297000000000001</v>
      </c>
      <c r="K416" s="369"/>
    </row>
    <row r="417" spans="1:11" s="365" customFormat="1">
      <c r="A417" s="361" t="s">
        <v>1034</v>
      </c>
      <c r="B417" s="181">
        <v>7</v>
      </c>
      <c r="C417" s="362">
        <v>62.7</v>
      </c>
      <c r="D417" s="362">
        <v>83.4</v>
      </c>
      <c r="E417" s="363">
        <v>1970</v>
      </c>
      <c r="F417" s="362">
        <v>10.6</v>
      </c>
      <c r="G417" s="364">
        <v>14.297000000000001</v>
      </c>
      <c r="K417" s="369"/>
    </row>
    <row r="418" spans="1:11" s="365" customFormat="1">
      <c r="A418" s="361" t="s">
        <v>1034</v>
      </c>
      <c r="B418" s="181">
        <v>8</v>
      </c>
      <c r="C418" s="362">
        <v>60.3</v>
      </c>
      <c r="D418" s="362">
        <v>80.900000000000006</v>
      </c>
      <c r="E418" s="363">
        <v>1687</v>
      </c>
      <c r="F418" s="362">
        <v>10.6</v>
      </c>
      <c r="G418" s="364">
        <v>14.297000000000001</v>
      </c>
      <c r="K418" s="369"/>
    </row>
    <row r="419" spans="1:11" s="365" customFormat="1">
      <c r="A419" s="361" t="s">
        <v>1034</v>
      </c>
      <c r="B419" s="181">
        <v>9</v>
      </c>
      <c r="C419" s="362">
        <v>50.2</v>
      </c>
      <c r="D419" s="362">
        <v>71</v>
      </c>
      <c r="E419" s="363">
        <v>1255</v>
      </c>
      <c r="F419" s="362">
        <v>10.6</v>
      </c>
      <c r="G419" s="364">
        <v>14.297000000000001</v>
      </c>
      <c r="K419" s="369"/>
    </row>
    <row r="420" spans="1:11" s="365" customFormat="1">
      <c r="A420" s="361" t="s">
        <v>1034</v>
      </c>
      <c r="B420" s="181">
        <v>10</v>
      </c>
      <c r="C420" s="362">
        <v>39.4</v>
      </c>
      <c r="D420" s="362">
        <v>59.7</v>
      </c>
      <c r="E420" s="363">
        <v>860</v>
      </c>
      <c r="F420" s="362">
        <v>10.6</v>
      </c>
      <c r="G420" s="364">
        <v>14.297000000000001</v>
      </c>
      <c r="K420" s="369"/>
    </row>
    <row r="421" spans="1:11" s="365" customFormat="1">
      <c r="A421" s="361" t="s">
        <v>1034</v>
      </c>
      <c r="B421" s="181">
        <v>11</v>
      </c>
      <c r="C421" s="362">
        <v>25.3</v>
      </c>
      <c r="D421" s="362">
        <v>41.1</v>
      </c>
      <c r="E421" s="363">
        <v>480</v>
      </c>
      <c r="F421" s="362">
        <v>10.6</v>
      </c>
      <c r="G421" s="364">
        <v>14.297000000000001</v>
      </c>
      <c r="K421" s="369"/>
    </row>
    <row r="422" spans="1:11" s="365" customFormat="1">
      <c r="A422" s="361" t="s">
        <v>1034</v>
      </c>
      <c r="B422" s="181">
        <v>12</v>
      </c>
      <c r="C422" s="362">
        <v>11.7</v>
      </c>
      <c r="D422" s="362">
        <v>26.7</v>
      </c>
      <c r="E422" s="363">
        <v>353</v>
      </c>
      <c r="F422" s="362">
        <v>10.6</v>
      </c>
      <c r="G422" s="364">
        <v>14.297000000000001</v>
      </c>
      <c r="K422" s="369"/>
    </row>
    <row r="423" spans="1:11" s="365" customFormat="1">
      <c r="A423" s="361" t="s">
        <v>1034</v>
      </c>
      <c r="B423" s="181" t="s">
        <v>726</v>
      </c>
      <c r="C423" s="376">
        <f>AVERAGE(C411:C422)</f>
        <v>35.216666666666661</v>
      </c>
      <c r="D423" s="376">
        <f>AVERAGE(D411:D422)</f>
        <v>54.208333333333343</v>
      </c>
      <c r="E423" s="377">
        <f>AVERAGE(E411:E422)</f>
        <v>1170.3333333333333</v>
      </c>
      <c r="F423" s="366">
        <f>AVERAGE(F411:F422)</f>
        <v>10.599999999999998</v>
      </c>
      <c r="G423" s="368">
        <f>AVERAGE(G411:G422)</f>
        <v>14.296999999999999</v>
      </c>
      <c r="K423" s="369"/>
    </row>
    <row r="424" spans="1:11">
      <c r="A424" s="370" t="s">
        <v>1035</v>
      </c>
      <c r="B424" s="181">
        <v>1</v>
      </c>
      <c r="C424" s="371">
        <v>34.9</v>
      </c>
      <c r="D424" s="371">
        <v>56.5</v>
      </c>
      <c r="E424" s="372">
        <v>754</v>
      </c>
      <c r="F424" s="371">
        <v>7.4</v>
      </c>
      <c r="G424" s="373">
        <v>14.59</v>
      </c>
      <c r="K424" s="369"/>
    </row>
    <row r="425" spans="1:11">
      <c r="A425" s="370" t="s">
        <v>1035</v>
      </c>
      <c r="B425" s="181">
        <v>2</v>
      </c>
      <c r="C425" s="371">
        <v>37.200000000000003</v>
      </c>
      <c r="D425" s="371">
        <v>60.9</v>
      </c>
      <c r="E425" s="372">
        <v>1026</v>
      </c>
      <c r="F425" s="371">
        <v>7.4</v>
      </c>
      <c r="G425" s="373">
        <v>14.59</v>
      </c>
      <c r="K425" s="369"/>
    </row>
    <row r="426" spans="1:11">
      <c r="A426" s="370" t="s">
        <v>1035</v>
      </c>
      <c r="B426" s="181">
        <v>3</v>
      </c>
      <c r="C426" s="371">
        <v>44.2</v>
      </c>
      <c r="D426" s="371">
        <v>68.400000000000006</v>
      </c>
      <c r="E426" s="372">
        <v>1369</v>
      </c>
      <c r="F426" s="371">
        <v>7.4</v>
      </c>
      <c r="G426" s="373">
        <v>14.59</v>
      </c>
      <c r="K426" s="369"/>
    </row>
    <row r="427" spans="1:11">
      <c r="A427" s="370" t="s">
        <v>1035</v>
      </c>
      <c r="B427" s="181">
        <v>4</v>
      </c>
      <c r="C427" s="371">
        <v>52.9</v>
      </c>
      <c r="D427" s="371">
        <v>77.3</v>
      </c>
      <c r="E427" s="372">
        <v>1708</v>
      </c>
      <c r="F427" s="371">
        <v>7.4</v>
      </c>
      <c r="G427" s="373">
        <v>14.59</v>
      </c>
      <c r="K427" s="369"/>
    </row>
    <row r="428" spans="1:11">
      <c r="A428" s="370" t="s">
        <v>1035</v>
      </c>
      <c r="B428" s="181">
        <v>5</v>
      </c>
      <c r="C428" s="371">
        <v>60.8</v>
      </c>
      <c r="D428" s="371">
        <v>84.1</v>
      </c>
      <c r="E428" s="372">
        <v>1941</v>
      </c>
      <c r="F428" s="371">
        <v>7.4</v>
      </c>
      <c r="G428" s="373">
        <v>14.59</v>
      </c>
      <c r="K428" s="369"/>
    </row>
    <row r="429" spans="1:11">
      <c r="A429" s="370" t="s">
        <v>1035</v>
      </c>
      <c r="B429" s="181">
        <v>6</v>
      </c>
      <c r="C429" s="371">
        <v>67.900000000000006</v>
      </c>
      <c r="D429" s="371">
        <v>90.5</v>
      </c>
      <c r="E429" s="372">
        <v>2024</v>
      </c>
      <c r="F429" s="371">
        <v>7.4</v>
      </c>
      <c r="G429" s="373">
        <v>14.59</v>
      </c>
      <c r="K429" s="369"/>
    </row>
    <row r="430" spans="1:11">
      <c r="A430" s="370" t="s">
        <v>1035</v>
      </c>
      <c r="B430" s="181">
        <v>7</v>
      </c>
      <c r="C430" s="371">
        <v>71.3</v>
      </c>
      <c r="D430" s="371">
        <v>92.5</v>
      </c>
      <c r="E430" s="372">
        <v>1909</v>
      </c>
      <c r="F430" s="371">
        <v>7.4</v>
      </c>
      <c r="G430" s="373">
        <v>14.59</v>
      </c>
      <c r="K430" s="369"/>
    </row>
    <row r="431" spans="1:11">
      <c r="A431" s="370" t="s">
        <v>1035</v>
      </c>
      <c r="B431" s="181">
        <v>8</v>
      </c>
      <c r="C431" s="371">
        <v>70.2</v>
      </c>
      <c r="D431" s="371">
        <v>92.1</v>
      </c>
      <c r="E431" s="372">
        <v>1781</v>
      </c>
      <c r="F431" s="371">
        <v>7.4</v>
      </c>
      <c r="G431" s="373">
        <v>14.59</v>
      </c>
      <c r="K431" s="369"/>
    </row>
    <row r="432" spans="1:11">
      <c r="A432" s="370" t="s">
        <v>1035</v>
      </c>
      <c r="B432" s="181">
        <v>9</v>
      </c>
      <c r="C432" s="371">
        <v>65.099999999999994</v>
      </c>
      <c r="D432" s="371">
        <v>87.6</v>
      </c>
      <c r="E432" s="372">
        <v>1509</v>
      </c>
      <c r="F432" s="371">
        <v>7.4</v>
      </c>
      <c r="G432" s="373">
        <v>14.59</v>
      </c>
      <c r="K432" s="369"/>
    </row>
    <row r="433" spans="1:11">
      <c r="A433" s="370" t="s">
        <v>1035</v>
      </c>
      <c r="B433" s="181">
        <v>10</v>
      </c>
      <c r="C433" s="371">
        <v>51.4</v>
      </c>
      <c r="D433" s="371">
        <v>78.599999999999994</v>
      </c>
      <c r="E433" s="372">
        <v>1271</v>
      </c>
      <c r="F433" s="371">
        <v>7.4</v>
      </c>
      <c r="G433" s="373">
        <v>14.59</v>
      </c>
      <c r="K433" s="369"/>
    </row>
    <row r="434" spans="1:11">
      <c r="A434" s="370" t="s">
        <v>1035</v>
      </c>
      <c r="B434" s="181">
        <v>11</v>
      </c>
      <c r="C434" s="371">
        <v>42.3</v>
      </c>
      <c r="D434" s="371">
        <v>67.5</v>
      </c>
      <c r="E434" s="372">
        <v>902</v>
      </c>
      <c r="F434" s="371">
        <v>7.4</v>
      </c>
      <c r="G434" s="373">
        <v>14.59</v>
      </c>
      <c r="K434" s="369"/>
    </row>
    <row r="435" spans="1:11">
      <c r="A435" s="370" t="s">
        <v>1035</v>
      </c>
      <c r="B435" s="181">
        <v>12</v>
      </c>
      <c r="C435" s="371">
        <v>37.1</v>
      </c>
      <c r="D435" s="371">
        <v>60</v>
      </c>
      <c r="E435" s="372">
        <v>709</v>
      </c>
      <c r="F435" s="371">
        <v>7.4</v>
      </c>
      <c r="G435" s="373">
        <v>14.59</v>
      </c>
      <c r="K435" s="369"/>
    </row>
    <row r="436" spans="1:11">
      <c r="A436" s="370" t="s">
        <v>1035</v>
      </c>
      <c r="B436" s="181" t="s">
        <v>726</v>
      </c>
      <c r="C436" s="374">
        <f>AVERAGE(C424:C435)</f>
        <v>52.941666666666663</v>
      </c>
      <c r="D436" s="374">
        <f>AVERAGE(D424:D435)</f>
        <v>76.333333333333343</v>
      </c>
      <c r="E436" s="375">
        <f>AVERAGE(E424:E435)</f>
        <v>1408.5833333333333</v>
      </c>
      <c r="F436" s="376">
        <f>AVERAGE(F424:F435)</f>
        <v>7.4000000000000012</v>
      </c>
      <c r="G436" s="368">
        <f>AVERAGE(G424:G435)</f>
        <v>14.590000000000002</v>
      </c>
      <c r="K436" s="369"/>
    </row>
    <row r="437" spans="1:11" s="365" customFormat="1">
      <c r="A437" s="361" t="s">
        <v>1036</v>
      </c>
      <c r="B437" s="181">
        <v>1</v>
      </c>
      <c r="C437" s="362">
        <v>11.8</v>
      </c>
      <c r="D437" s="362">
        <v>29.9</v>
      </c>
      <c r="E437" s="363">
        <v>486</v>
      </c>
      <c r="F437" s="362">
        <v>11.2</v>
      </c>
      <c r="G437" s="364">
        <v>12.919499999999999</v>
      </c>
      <c r="K437" s="369"/>
    </row>
    <row r="438" spans="1:11" s="365" customFormat="1">
      <c r="A438" s="361" t="s">
        <v>1036</v>
      </c>
      <c r="B438" s="181">
        <v>2</v>
      </c>
      <c r="C438" s="362">
        <v>18.8</v>
      </c>
      <c r="D438" s="362">
        <v>37.9</v>
      </c>
      <c r="E438" s="363">
        <v>763</v>
      </c>
      <c r="F438" s="362">
        <v>11.2</v>
      </c>
      <c r="G438" s="364">
        <v>12.919499999999999</v>
      </c>
      <c r="K438" s="369"/>
    </row>
    <row r="439" spans="1:11" s="365" customFormat="1">
      <c r="A439" s="361" t="s">
        <v>1036</v>
      </c>
      <c r="B439" s="181">
        <v>3</v>
      </c>
      <c r="C439" s="362">
        <v>23.6</v>
      </c>
      <c r="D439" s="362">
        <v>44</v>
      </c>
      <c r="E439" s="363">
        <v>1190</v>
      </c>
      <c r="F439" s="362">
        <v>11.2</v>
      </c>
      <c r="G439" s="364">
        <v>12.919499999999999</v>
      </c>
      <c r="K439" s="369"/>
    </row>
    <row r="440" spans="1:11" s="365" customFormat="1">
      <c r="A440" s="361" t="s">
        <v>1036</v>
      </c>
      <c r="B440" s="181">
        <v>4</v>
      </c>
      <c r="C440" s="362">
        <v>33.200000000000003</v>
      </c>
      <c r="D440" s="362">
        <v>55.9</v>
      </c>
      <c r="E440" s="363">
        <v>1526</v>
      </c>
      <c r="F440" s="362">
        <v>11.2</v>
      </c>
      <c r="G440" s="364">
        <v>12.919499999999999</v>
      </c>
      <c r="K440" s="369"/>
    </row>
    <row r="441" spans="1:11" s="365" customFormat="1">
      <c r="A441" s="361" t="s">
        <v>1036</v>
      </c>
      <c r="B441" s="181">
        <v>5</v>
      </c>
      <c r="C441" s="362">
        <v>43.3</v>
      </c>
      <c r="D441" s="362">
        <v>66.400000000000006</v>
      </c>
      <c r="E441" s="363">
        <v>1913</v>
      </c>
      <c r="F441" s="362">
        <v>11.2</v>
      </c>
      <c r="G441" s="364">
        <v>12.919499999999999</v>
      </c>
      <c r="K441" s="369"/>
    </row>
    <row r="442" spans="1:11" s="365" customFormat="1">
      <c r="A442" s="361" t="s">
        <v>1036</v>
      </c>
      <c r="B442" s="181">
        <v>6</v>
      </c>
      <c r="C442" s="362">
        <v>51.6</v>
      </c>
      <c r="D442" s="362">
        <v>76.3</v>
      </c>
      <c r="E442" s="363">
        <v>2174</v>
      </c>
      <c r="F442" s="362">
        <v>11.2</v>
      </c>
      <c r="G442" s="364">
        <v>12.919499999999999</v>
      </c>
      <c r="K442" s="369"/>
    </row>
    <row r="443" spans="1:11" s="365" customFormat="1">
      <c r="A443" s="361" t="s">
        <v>1036</v>
      </c>
      <c r="B443" s="181">
        <v>7</v>
      </c>
      <c r="C443" s="362">
        <v>58</v>
      </c>
      <c r="D443" s="362">
        <v>86.6</v>
      </c>
      <c r="E443" s="363">
        <v>2384</v>
      </c>
      <c r="F443" s="362">
        <v>11.2</v>
      </c>
      <c r="G443" s="364">
        <v>12.919499999999999</v>
      </c>
      <c r="K443" s="369"/>
    </row>
    <row r="444" spans="1:11" s="365" customFormat="1">
      <c r="A444" s="361" t="s">
        <v>1036</v>
      </c>
      <c r="B444" s="181">
        <v>8</v>
      </c>
      <c r="C444" s="362">
        <v>56.2</v>
      </c>
      <c r="D444" s="362">
        <v>84.3</v>
      </c>
      <c r="E444" s="363">
        <v>2022</v>
      </c>
      <c r="F444" s="362">
        <v>11.2</v>
      </c>
      <c r="G444" s="364">
        <v>12.919499999999999</v>
      </c>
      <c r="K444" s="369"/>
    </row>
    <row r="445" spans="1:11" s="365" customFormat="1">
      <c r="A445" s="361" t="s">
        <v>1036</v>
      </c>
      <c r="B445" s="181">
        <v>9</v>
      </c>
      <c r="C445" s="362">
        <v>46.5</v>
      </c>
      <c r="D445" s="362">
        <v>72.3</v>
      </c>
      <c r="E445" s="363">
        <v>1470</v>
      </c>
      <c r="F445" s="362">
        <v>11.2</v>
      </c>
      <c r="G445" s="364">
        <v>12.919499999999999</v>
      </c>
      <c r="K445" s="369"/>
    </row>
    <row r="446" spans="1:11" s="365" customFormat="1">
      <c r="A446" s="361" t="s">
        <v>1036</v>
      </c>
      <c r="B446" s="181">
        <v>10</v>
      </c>
      <c r="C446" s="362">
        <v>37.5</v>
      </c>
      <c r="D446" s="362">
        <v>61</v>
      </c>
      <c r="E446" s="363">
        <v>987</v>
      </c>
      <c r="F446" s="362">
        <v>11.2</v>
      </c>
      <c r="G446" s="364">
        <v>12.919499999999999</v>
      </c>
      <c r="K446" s="369"/>
    </row>
    <row r="447" spans="1:11" s="365" customFormat="1">
      <c r="A447" s="361" t="s">
        <v>1036</v>
      </c>
      <c r="B447" s="181">
        <v>11</v>
      </c>
      <c r="C447" s="362">
        <v>25.5</v>
      </c>
      <c r="D447" s="362">
        <v>44.4</v>
      </c>
      <c r="E447" s="363">
        <v>561</v>
      </c>
      <c r="F447" s="362">
        <v>11.2</v>
      </c>
      <c r="G447" s="364">
        <v>12.919499999999999</v>
      </c>
      <c r="K447" s="369"/>
    </row>
    <row r="448" spans="1:11" s="365" customFormat="1">
      <c r="A448" s="361" t="s">
        <v>1036</v>
      </c>
      <c r="B448" s="181">
        <v>12</v>
      </c>
      <c r="C448" s="362">
        <v>18.2</v>
      </c>
      <c r="D448" s="362">
        <v>36</v>
      </c>
      <c r="E448" s="363">
        <v>421</v>
      </c>
      <c r="F448" s="362">
        <v>11.2</v>
      </c>
      <c r="G448" s="364">
        <v>12.919499999999999</v>
      </c>
      <c r="K448" s="369"/>
    </row>
    <row r="449" spans="1:11" s="365" customFormat="1">
      <c r="A449" s="361" t="s">
        <v>1036</v>
      </c>
      <c r="B449" s="181" t="s">
        <v>726</v>
      </c>
      <c r="C449" s="376">
        <f>AVERAGE(C437:C448)</f>
        <v>35.35</v>
      </c>
      <c r="D449" s="376">
        <f>AVERAGE(D437:D448)</f>
        <v>57.916666666666664</v>
      </c>
      <c r="E449" s="377">
        <f>AVERAGE(E437:E448)</f>
        <v>1324.75</v>
      </c>
      <c r="F449" s="366">
        <f>AVERAGE(F437:F448)</f>
        <v>11.200000000000001</v>
      </c>
      <c r="G449" s="368">
        <f>AVERAGE(G437:G448)</f>
        <v>12.919499999999999</v>
      </c>
      <c r="K449" s="369"/>
    </row>
    <row r="450" spans="1:11" ht="59">
      <c r="A450" s="85" t="s">
        <v>704</v>
      </c>
      <c r="B450" s="85" t="s">
        <v>707</v>
      </c>
      <c r="C450" s="85" t="s">
        <v>999</v>
      </c>
      <c r="D450" s="85" t="s">
        <v>1000</v>
      </c>
      <c r="E450" s="85" t="s">
        <v>1001</v>
      </c>
      <c r="F450" s="85" t="s">
        <v>1002</v>
      </c>
      <c r="G450" s="359" t="s">
        <v>1003</v>
      </c>
      <c r="I450" s="85" t="s">
        <v>1004</v>
      </c>
      <c r="K450" s="360"/>
    </row>
    <row r="451" spans="1:11" s="365" customFormat="1">
      <c r="A451" s="361" t="s">
        <v>1037</v>
      </c>
      <c r="B451" s="181">
        <v>1</v>
      </c>
      <c r="C451" s="362">
        <v>33</v>
      </c>
      <c r="D451" s="362">
        <v>56</v>
      </c>
      <c r="E451" s="363">
        <v>978</v>
      </c>
      <c r="F451" s="362">
        <v>9.3000000000000007</v>
      </c>
      <c r="G451" s="364">
        <v>13.601000000000001</v>
      </c>
      <c r="K451" s="369"/>
    </row>
    <row r="452" spans="1:11" s="365" customFormat="1">
      <c r="A452" s="361" t="s">
        <v>1037</v>
      </c>
      <c r="B452" s="181">
        <v>2</v>
      </c>
      <c r="C452" s="362">
        <v>37.700000000000003</v>
      </c>
      <c r="D452" s="362">
        <v>62.4</v>
      </c>
      <c r="E452" s="363">
        <v>1340</v>
      </c>
      <c r="F452" s="362">
        <v>9.3000000000000007</v>
      </c>
      <c r="G452" s="364">
        <v>13.601000000000001</v>
      </c>
      <c r="K452" s="369"/>
    </row>
    <row r="453" spans="1:11" s="365" customFormat="1">
      <c r="A453" s="361" t="s">
        <v>1037</v>
      </c>
      <c r="B453" s="181">
        <v>3</v>
      </c>
      <c r="C453" s="362">
        <v>42.3</v>
      </c>
      <c r="D453" s="362">
        <v>68.3</v>
      </c>
      <c r="E453" s="363">
        <v>1824</v>
      </c>
      <c r="F453" s="362">
        <v>9.3000000000000007</v>
      </c>
      <c r="G453" s="364">
        <v>13.601000000000001</v>
      </c>
      <c r="K453" s="369"/>
    </row>
    <row r="454" spans="1:11" s="365" customFormat="1">
      <c r="A454" s="361" t="s">
        <v>1037</v>
      </c>
      <c r="B454" s="181">
        <v>4</v>
      </c>
      <c r="C454" s="362">
        <v>49.8</v>
      </c>
      <c r="D454" s="362">
        <v>77.2</v>
      </c>
      <c r="E454" s="363">
        <v>2319</v>
      </c>
      <c r="F454" s="362">
        <v>9.3000000000000007</v>
      </c>
      <c r="G454" s="364">
        <v>13.601000000000001</v>
      </c>
      <c r="K454" s="369"/>
    </row>
    <row r="455" spans="1:11" s="365" customFormat="1">
      <c r="A455" s="361" t="s">
        <v>1037</v>
      </c>
      <c r="B455" s="181">
        <v>5</v>
      </c>
      <c r="C455" s="362">
        <v>59</v>
      </c>
      <c r="D455" s="362">
        <v>87.4</v>
      </c>
      <c r="E455" s="363">
        <v>2646</v>
      </c>
      <c r="F455" s="362">
        <v>9.3000000000000007</v>
      </c>
      <c r="G455" s="364">
        <v>13.601000000000001</v>
      </c>
      <c r="K455" s="369"/>
    </row>
    <row r="456" spans="1:11" s="365" customFormat="1">
      <c r="A456" s="361" t="s">
        <v>1037</v>
      </c>
      <c r="B456" s="181">
        <v>6</v>
      </c>
      <c r="C456" s="362">
        <v>68.599999999999994</v>
      </c>
      <c r="D456" s="362">
        <v>98.6</v>
      </c>
      <c r="E456" s="363">
        <v>2778</v>
      </c>
      <c r="F456" s="362">
        <v>9.3000000000000007</v>
      </c>
      <c r="G456" s="364">
        <v>13.601000000000001</v>
      </c>
      <c r="K456" s="369"/>
    </row>
    <row r="457" spans="1:11" s="365" customFormat="1">
      <c r="A457" s="361" t="s">
        <v>1037</v>
      </c>
      <c r="B457" s="181">
        <v>7</v>
      </c>
      <c r="C457" s="362">
        <v>75.900000000000006</v>
      </c>
      <c r="D457" s="362">
        <v>104.5</v>
      </c>
      <c r="E457" s="363">
        <v>2588</v>
      </c>
      <c r="F457" s="362">
        <v>9.3000000000000007</v>
      </c>
      <c r="G457" s="364">
        <v>13.601000000000001</v>
      </c>
      <c r="K457" s="369"/>
    </row>
    <row r="458" spans="1:11" s="365" customFormat="1">
      <c r="A458" s="361" t="s">
        <v>1037</v>
      </c>
      <c r="B458" s="181">
        <v>8</v>
      </c>
      <c r="C458" s="362">
        <v>73.900000000000006</v>
      </c>
      <c r="D458" s="362">
        <v>101.9</v>
      </c>
      <c r="E458" s="363">
        <v>2355</v>
      </c>
      <c r="F458" s="362">
        <v>9.3000000000000007</v>
      </c>
      <c r="G458" s="364">
        <v>13.601000000000001</v>
      </c>
      <c r="K458" s="369"/>
    </row>
    <row r="459" spans="1:11" s="365" customFormat="1">
      <c r="A459" s="361" t="s">
        <v>1037</v>
      </c>
      <c r="B459" s="181">
        <v>9</v>
      </c>
      <c r="C459" s="362">
        <v>65.599999999999994</v>
      </c>
      <c r="D459" s="362">
        <v>94.7</v>
      </c>
      <c r="E459" s="363">
        <v>2037</v>
      </c>
      <c r="F459" s="362">
        <v>9.3000000000000007</v>
      </c>
      <c r="G459" s="364">
        <v>13.601000000000001</v>
      </c>
      <c r="K459" s="369"/>
    </row>
    <row r="460" spans="1:11" s="365" customFormat="1">
      <c r="A460" s="361" t="s">
        <v>1037</v>
      </c>
      <c r="B460" s="181">
        <v>10</v>
      </c>
      <c r="C460" s="362">
        <v>53.5</v>
      </c>
      <c r="D460" s="362">
        <v>81.5</v>
      </c>
      <c r="E460" s="363">
        <v>1540</v>
      </c>
      <c r="F460" s="362">
        <v>9.3000000000000007</v>
      </c>
      <c r="G460" s="364">
        <v>13.601000000000001</v>
      </c>
      <c r="K460" s="369"/>
    </row>
    <row r="461" spans="1:11" s="365" customFormat="1">
      <c r="A461" s="361" t="s">
        <v>1037</v>
      </c>
      <c r="B461" s="181">
        <v>11</v>
      </c>
      <c r="C461" s="362">
        <v>41.2</v>
      </c>
      <c r="D461" s="362">
        <v>66</v>
      </c>
      <c r="E461" s="363">
        <v>1086</v>
      </c>
      <c r="F461" s="362">
        <v>9.3000000000000007</v>
      </c>
      <c r="G461" s="364">
        <v>13.601000000000001</v>
      </c>
      <c r="K461" s="369"/>
    </row>
    <row r="462" spans="1:11" s="365" customFormat="1">
      <c r="A462" s="361" t="s">
        <v>1037</v>
      </c>
      <c r="B462" s="181">
        <v>12</v>
      </c>
      <c r="C462" s="362">
        <v>33.6</v>
      </c>
      <c r="D462" s="362">
        <v>57.1</v>
      </c>
      <c r="E462" s="363">
        <v>881</v>
      </c>
      <c r="F462" s="362">
        <v>9.3000000000000007</v>
      </c>
      <c r="G462" s="364">
        <v>13.601000000000001</v>
      </c>
      <c r="K462" s="369"/>
    </row>
    <row r="463" spans="1:11" s="365" customFormat="1">
      <c r="A463" s="361" t="s">
        <v>1037</v>
      </c>
      <c r="B463" s="181" t="s">
        <v>726</v>
      </c>
      <c r="C463" s="376">
        <f>AVERAGE(C451:C462)</f>
        <v>52.841666666666669</v>
      </c>
      <c r="D463" s="376">
        <f>AVERAGE(D451:D462)</f>
        <v>79.63333333333334</v>
      </c>
      <c r="E463" s="377">
        <f>AVERAGE(E451:E462)</f>
        <v>1864.3333333333333</v>
      </c>
      <c r="F463" s="366">
        <f>AVERAGE(F451:F462)</f>
        <v>9.2999999999999989</v>
      </c>
      <c r="G463" s="368">
        <f>AVERAGE(G451:G462)</f>
        <v>13.601000000000001</v>
      </c>
      <c r="K463" s="369"/>
    </row>
    <row r="464" spans="1:11" s="365" customFormat="1">
      <c r="A464" s="361" t="s">
        <v>1038</v>
      </c>
      <c r="B464" s="181">
        <v>1</v>
      </c>
      <c r="C464" s="362">
        <v>24.2</v>
      </c>
      <c r="D464" s="362">
        <v>38.200000000000003</v>
      </c>
      <c r="E464" s="363">
        <v>552</v>
      </c>
      <c r="F464" s="362">
        <v>10.199999999999999</v>
      </c>
      <c r="G464" s="364">
        <v>14.731999999999999</v>
      </c>
      <c r="K464" s="369"/>
    </row>
    <row r="465" spans="1:11" s="365" customFormat="1">
      <c r="A465" s="361" t="s">
        <v>1038</v>
      </c>
      <c r="B465" s="181">
        <v>2</v>
      </c>
      <c r="C465" s="362">
        <v>25.3</v>
      </c>
      <c r="D465" s="362">
        <v>40.299999999999997</v>
      </c>
      <c r="E465" s="363">
        <v>793</v>
      </c>
      <c r="F465" s="362">
        <v>10.199999999999999</v>
      </c>
      <c r="G465" s="364">
        <v>14.731999999999999</v>
      </c>
      <c r="K465" s="369"/>
    </row>
    <row r="466" spans="1:11" s="365" customFormat="1">
      <c r="A466" s="361" t="s">
        <v>1038</v>
      </c>
      <c r="B466" s="181">
        <v>3</v>
      </c>
      <c r="C466" s="362">
        <v>33.299999999999997</v>
      </c>
      <c r="D466" s="362">
        <v>49.1</v>
      </c>
      <c r="E466" s="363">
        <v>1109</v>
      </c>
      <c r="F466" s="362">
        <v>10.199999999999999</v>
      </c>
      <c r="G466" s="364">
        <v>14.731999999999999</v>
      </c>
      <c r="K466" s="369"/>
    </row>
    <row r="467" spans="1:11" s="365" customFormat="1">
      <c r="A467" s="361" t="s">
        <v>1038</v>
      </c>
      <c r="B467" s="181">
        <v>4</v>
      </c>
      <c r="C467" s="362">
        <v>42.9</v>
      </c>
      <c r="D467" s="362">
        <v>61.3</v>
      </c>
      <c r="E467" s="363">
        <v>1449</v>
      </c>
      <c r="F467" s="362">
        <v>10.199999999999999</v>
      </c>
      <c r="G467" s="364">
        <v>14.731999999999999</v>
      </c>
      <c r="K467" s="369"/>
    </row>
    <row r="468" spans="1:11" s="365" customFormat="1">
      <c r="A468" s="361" t="s">
        <v>1038</v>
      </c>
      <c r="B468" s="181">
        <v>5</v>
      </c>
      <c r="C468" s="362">
        <v>53</v>
      </c>
      <c r="D468" s="362">
        <v>71.599999999999994</v>
      </c>
      <c r="E468" s="363">
        <v>1687</v>
      </c>
      <c r="F468" s="362">
        <v>10.199999999999999</v>
      </c>
      <c r="G468" s="364">
        <v>14.731999999999999</v>
      </c>
      <c r="K468" s="369"/>
    </row>
    <row r="469" spans="1:11" s="365" customFormat="1">
      <c r="A469" s="361" t="s">
        <v>1038</v>
      </c>
      <c r="B469" s="181">
        <v>6</v>
      </c>
      <c r="C469" s="362">
        <v>62.4</v>
      </c>
      <c r="D469" s="362">
        <v>80.599999999999994</v>
      </c>
      <c r="E469" s="363">
        <v>1795</v>
      </c>
      <c r="F469" s="362">
        <v>10.199999999999999</v>
      </c>
      <c r="G469" s="364">
        <v>14.731999999999999</v>
      </c>
      <c r="K469" s="369"/>
    </row>
    <row r="470" spans="1:11" s="365" customFormat="1">
      <c r="A470" s="361" t="s">
        <v>1038</v>
      </c>
      <c r="B470" s="181">
        <v>7</v>
      </c>
      <c r="C470" s="362">
        <v>67.900000000000006</v>
      </c>
      <c r="D470" s="362">
        <v>85.6</v>
      </c>
      <c r="E470" s="363">
        <v>1760</v>
      </c>
      <c r="F470" s="362">
        <v>10.199999999999999</v>
      </c>
      <c r="G470" s="364">
        <v>14.731999999999999</v>
      </c>
      <c r="K470" s="369"/>
    </row>
    <row r="471" spans="1:11" s="365" customFormat="1">
      <c r="A471" s="361" t="s">
        <v>1038</v>
      </c>
      <c r="B471" s="181">
        <v>8</v>
      </c>
      <c r="C471" s="362">
        <v>67</v>
      </c>
      <c r="D471" s="362">
        <v>84</v>
      </c>
      <c r="E471" s="363">
        <v>1565</v>
      </c>
      <c r="F471" s="362">
        <v>10.199999999999999</v>
      </c>
      <c r="G471" s="364">
        <v>14.731999999999999</v>
      </c>
      <c r="K471" s="369"/>
    </row>
    <row r="472" spans="1:11" s="365" customFormat="1">
      <c r="A472" s="361" t="s">
        <v>1038</v>
      </c>
      <c r="B472" s="181">
        <v>9</v>
      </c>
      <c r="C472" s="362">
        <v>59.4</v>
      </c>
      <c r="D472" s="362">
        <v>76.900000000000006</v>
      </c>
      <c r="E472" s="363">
        <v>1273</v>
      </c>
      <c r="F472" s="362">
        <v>10.199999999999999</v>
      </c>
      <c r="G472" s="364">
        <v>14.731999999999999</v>
      </c>
      <c r="K472" s="369"/>
    </row>
    <row r="473" spans="1:11" s="365" customFormat="1">
      <c r="A473" s="361" t="s">
        <v>1038</v>
      </c>
      <c r="B473" s="181">
        <v>10</v>
      </c>
      <c r="C473" s="362">
        <v>48.3</v>
      </c>
      <c r="D473" s="362">
        <v>66</v>
      </c>
      <c r="E473" s="363">
        <v>951</v>
      </c>
      <c r="F473" s="362">
        <v>10.199999999999999</v>
      </c>
      <c r="G473" s="364">
        <v>14.731999999999999</v>
      </c>
      <c r="K473" s="369"/>
    </row>
    <row r="474" spans="1:11" s="365" customFormat="1">
      <c r="A474" s="361" t="s">
        <v>1038</v>
      </c>
      <c r="B474" s="181">
        <v>11</v>
      </c>
      <c r="C474" s="362">
        <v>39</v>
      </c>
      <c r="D474" s="362">
        <v>54</v>
      </c>
      <c r="E474" s="363">
        <v>596</v>
      </c>
      <c r="F474" s="362">
        <v>10.199999999999999</v>
      </c>
      <c r="G474" s="364">
        <v>14.731999999999999</v>
      </c>
      <c r="K474" s="369"/>
    </row>
    <row r="475" spans="1:11" s="365" customFormat="1">
      <c r="A475" s="361" t="s">
        <v>1038</v>
      </c>
      <c r="B475" s="181">
        <v>12</v>
      </c>
      <c r="C475" s="362">
        <v>28.6</v>
      </c>
      <c r="D475" s="362">
        <v>42.3</v>
      </c>
      <c r="E475" s="363">
        <v>454</v>
      </c>
      <c r="F475" s="362">
        <v>10.199999999999999</v>
      </c>
      <c r="G475" s="364">
        <v>14.731999999999999</v>
      </c>
      <c r="K475" s="369"/>
    </row>
    <row r="476" spans="1:11" s="365" customFormat="1">
      <c r="A476" s="361" t="s">
        <v>1038</v>
      </c>
      <c r="B476" s="181" t="s">
        <v>726</v>
      </c>
      <c r="C476" s="376">
        <f>AVERAGE(C464:C475)</f>
        <v>45.94166666666667</v>
      </c>
      <c r="D476" s="376">
        <f>AVERAGE(D464:D475)</f>
        <v>62.491666666666667</v>
      </c>
      <c r="E476" s="377">
        <f>AVERAGE(E464:E475)</f>
        <v>1165.3333333333333</v>
      </c>
      <c r="F476" s="366">
        <f>AVERAGE(F464:F475)</f>
        <v>10.200000000000001</v>
      </c>
      <c r="G476" s="368">
        <f>AVERAGE(G464:G475)</f>
        <v>14.731999999999999</v>
      </c>
      <c r="K476" s="369"/>
    </row>
    <row r="477" spans="1:11" s="365" customFormat="1">
      <c r="A477" s="361" t="s">
        <v>1039</v>
      </c>
      <c r="B477" s="181">
        <v>1</v>
      </c>
      <c r="C477" s="362">
        <v>27.4</v>
      </c>
      <c r="D477" s="362">
        <v>55.4</v>
      </c>
      <c r="E477" s="363">
        <v>1047</v>
      </c>
      <c r="F477" s="362">
        <v>8.6</v>
      </c>
      <c r="G477" s="364">
        <v>12.731</v>
      </c>
      <c r="K477" s="369"/>
    </row>
    <row r="478" spans="1:11" s="365" customFormat="1">
      <c r="A478" s="361" t="s">
        <v>1039</v>
      </c>
      <c r="B478" s="181">
        <v>2</v>
      </c>
      <c r="C478" s="362">
        <v>31.4</v>
      </c>
      <c r="D478" s="362">
        <v>60.4</v>
      </c>
      <c r="E478" s="363">
        <v>1373</v>
      </c>
      <c r="F478" s="362">
        <v>8.6</v>
      </c>
      <c r="G478" s="364">
        <v>12.731</v>
      </c>
      <c r="K478" s="369"/>
    </row>
    <row r="479" spans="1:11" s="365" customFormat="1">
      <c r="A479" s="361" t="s">
        <v>1039</v>
      </c>
      <c r="B479" s="181">
        <v>3</v>
      </c>
      <c r="C479" s="362">
        <v>37.9</v>
      </c>
      <c r="D479" s="362">
        <v>67.7</v>
      </c>
      <c r="E479" s="363">
        <v>1807</v>
      </c>
      <c r="F479" s="362">
        <v>8.6</v>
      </c>
      <c r="G479" s="364">
        <v>12.731</v>
      </c>
      <c r="K479" s="369"/>
    </row>
    <row r="480" spans="1:11" s="365" customFormat="1">
      <c r="A480" s="361" t="s">
        <v>1039</v>
      </c>
      <c r="B480" s="181">
        <v>4</v>
      </c>
      <c r="C480" s="362">
        <v>46.8</v>
      </c>
      <c r="D480" s="362">
        <v>76.900000000000006</v>
      </c>
      <c r="E480" s="363">
        <v>2218</v>
      </c>
      <c r="F480" s="362">
        <v>8.6</v>
      </c>
      <c r="G480" s="364">
        <v>12.731</v>
      </c>
      <c r="K480" s="369"/>
    </row>
    <row r="481" spans="1:11" s="365" customFormat="1">
      <c r="A481" s="361" t="s">
        <v>1039</v>
      </c>
      <c r="B481" s="181">
        <v>5</v>
      </c>
      <c r="C481" s="362">
        <v>55.6</v>
      </c>
      <c r="D481" s="362">
        <v>85</v>
      </c>
      <c r="E481" s="363">
        <v>2459</v>
      </c>
      <c r="F481" s="362">
        <v>8.6</v>
      </c>
      <c r="G481" s="364">
        <v>12.731</v>
      </c>
      <c r="K481" s="369"/>
    </row>
    <row r="482" spans="1:11" s="365" customFormat="1">
      <c r="A482" s="361" t="s">
        <v>1039</v>
      </c>
      <c r="B482" s="181">
        <v>6</v>
      </c>
      <c r="C482" s="362">
        <v>64.8</v>
      </c>
      <c r="D482" s="362">
        <v>93.1</v>
      </c>
      <c r="E482" s="363">
        <v>2610</v>
      </c>
      <c r="F482" s="362">
        <v>8.6</v>
      </c>
      <c r="G482" s="364">
        <v>12.731</v>
      </c>
      <c r="K482" s="369"/>
    </row>
    <row r="483" spans="1:11" s="365" customFormat="1">
      <c r="A483" s="361" t="s">
        <v>1039</v>
      </c>
      <c r="B483" s="181">
        <v>7</v>
      </c>
      <c r="C483" s="362">
        <v>69</v>
      </c>
      <c r="D483" s="362">
        <v>93.7</v>
      </c>
      <c r="E483" s="363">
        <v>2441</v>
      </c>
      <c r="F483" s="362">
        <v>8.6</v>
      </c>
      <c r="G483" s="364">
        <v>12.731</v>
      </c>
      <c r="K483" s="369"/>
    </row>
    <row r="484" spans="1:11" s="365" customFormat="1">
      <c r="A484" s="361" t="s">
        <v>1039</v>
      </c>
      <c r="B484" s="181">
        <v>8</v>
      </c>
      <c r="C484" s="362">
        <v>67</v>
      </c>
      <c r="D484" s="362">
        <v>91.3</v>
      </c>
      <c r="E484" s="363">
        <v>2242</v>
      </c>
      <c r="F484" s="362">
        <v>8.6</v>
      </c>
      <c r="G484" s="364">
        <v>12.731</v>
      </c>
      <c r="K484" s="369"/>
    </row>
    <row r="485" spans="1:11" s="365" customFormat="1">
      <c r="A485" s="361" t="s">
        <v>1039</v>
      </c>
      <c r="B485" s="181">
        <v>9</v>
      </c>
      <c r="C485" s="362">
        <v>59.6</v>
      </c>
      <c r="D485" s="362">
        <v>84.9</v>
      </c>
      <c r="E485" s="363">
        <v>1913</v>
      </c>
      <c r="F485" s="362">
        <v>8.6</v>
      </c>
      <c r="G485" s="364">
        <v>12.731</v>
      </c>
      <c r="K485" s="369"/>
    </row>
    <row r="486" spans="1:11" s="365" customFormat="1">
      <c r="A486" s="361" t="s">
        <v>1039</v>
      </c>
      <c r="B486" s="181">
        <v>10</v>
      </c>
      <c r="C486" s="362">
        <v>47.5</v>
      </c>
      <c r="D486" s="362">
        <v>75.8</v>
      </c>
      <c r="E486" s="363">
        <v>1527</v>
      </c>
      <c r="F486" s="362">
        <v>8.6</v>
      </c>
      <c r="G486" s="364">
        <v>12.731</v>
      </c>
      <c r="K486" s="369"/>
    </row>
    <row r="487" spans="1:11" s="365" customFormat="1">
      <c r="A487" s="361" t="s">
        <v>1039</v>
      </c>
      <c r="B487" s="181">
        <v>11</v>
      </c>
      <c r="C487" s="362">
        <v>35</v>
      </c>
      <c r="D487" s="362">
        <v>63.1</v>
      </c>
      <c r="E487" s="363">
        <v>1131</v>
      </c>
      <c r="F487" s="362">
        <v>8.6</v>
      </c>
      <c r="G487" s="364">
        <v>12.731</v>
      </c>
      <c r="K487" s="369"/>
    </row>
    <row r="488" spans="1:11" s="365" customFormat="1">
      <c r="A488" s="361" t="s">
        <v>1039</v>
      </c>
      <c r="B488" s="181">
        <v>12</v>
      </c>
      <c r="C488" s="362">
        <v>28.2</v>
      </c>
      <c r="D488" s="362">
        <v>56.7</v>
      </c>
      <c r="E488" s="363">
        <v>952</v>
      </c>
      <c r="F488" s="362">
        <v>8.6</v>
      </c>
      <c r="G488" s="364">
        <v>12.731</v>
      </c>
      <c r="K488" s="369"/>
    </row>
    <row r="489" spans="1:11" s="365" customFormat="1">
      <c r="A489" s="361" t="s">
        <v>1039</v>
      </c>
      <c r="B489" s="181" t="s">
        <v>726</v>
      </c>
      <c r="C489" s="376">
        <f>AVERAGE(C477:C488)</f>
        <v>47.516666666666673</v>
      </c>
      <c r="D489" s="376">
        <f>AVERAGE(D477:D488)</f>
        <v>75.333333333333329</v>
      </c>
      <c r="E489" s="377">
        <f>AVERAGE(E477:E488)</f>
        <v>1810</v>
      </c>
      <c r="F489" s="366">
        <f>AVERAGE(F477:F488)</f>
        <v>8.5999999999999979</v>
      </c>
      <c r="G489" s="368">
        <f>AVERAGE(G477:G488)</f>
        <v>12.730999999999996</v>
      </c>
      <c r="K489" s="369"/>
    </row>
    <row r="490" spans="1:11" ht="59">
      <c r="A490" s="85" t="s">
        <v>704</v>
      </c>
      <c r="B490" s="85" t="s">
        <v>707</v>
      </c>
      <c r="C490" s="85" t="s">
        <v>999</v>
      </c>
      <c r="D490" s="85" t="s">
        <v>1000</v>
      </c>
      <c r="E490" s="85" t="s">
        <v>1001</v>
      </c>
      <c r="F490" s="85" t="s">
        <v>1002</v>
      </c>
      <c r="G490" s="359" t="s">
        <v>1003</v>
      </c>
      <c r="I490" s="85" t="s">
        <v>1004</v>
      </c>
      <c r="K490" s="360"/>
    </row>
    <row r="491" spans="1:11" s="365" customFormat="1">
      <c r="A491" s="361" t="s">
        <v>1040</v>
      </c>
      <c r="B491" s="181">
        <v>1</v>
      </c>
      <c r="C491" s="362">
        <v>17</v>
      </c>
      <c r="D491" s="362">
        <v>30</v>
      </c>
      <c r="E491" s="363">
        <v>349</v>
      </c>
      <c r="F491" s="362">
        <v>12</v>
      </c>
      <c r="G491" s="364">
        <v>14.3695</v>
      </c>
      <c r="K491" s="369"/>
    </row>
    <row r="492" spans="1:11" s="365" customFormat="1">
      <c r="A492" s="361" t="s">
        <v>1040</v>
      </c>
      <c r="B492" s="181">
        <v>2</v>
      </c>
      <c r="C492" s="362">
        <v>17.5</v>
      </c>
      <c r="D492" s="362">
        <v>31.4</v>
      </c>
      <c r="E492" s="363">
        <v>546</v>
      </c>
      <c r="F492" s="362">
        <v>12</v>
      </c>
      <c r="G492" s="364">
        <v>14.3695</v>
      </c>
      <c r="K492" s="369"/>
    </row>
    <row r="493" spans="1:11" s="365" customFormat="1">
      <c r="A493" s="361" t="s">
        <v>1040</v>
      </c>
      <c r="B493" s="181">
        <v>3</v>
      </c>
      <c r="C493" s="362">
        <v>25.6</v>
      </c>
      <c r="D493" s="362">
        <v>40.4</v>
      </c>
      <c r="E493" s="363">
        <v>889</v>
      </c>
      <c r="F493" s="362">
        <v>12</v>
      </c>
      <c r="G493" s="364">
        <v>14.3695</v>
      </c>
      <c r="K493" s="369"/>
    </row>
    <row r="494" spans="1:11" s="365" customFormat="1">
      <c r="A494" s="361" t="s">
        <v>1040</v>
      </c>
      <c r="B494" s="181">
        <v>4</v>
      </c>
      <c r="C494" s="362">
        <v>36.299999999999997</v>
      </c>
      <c r="D494" s="362">
        <v>54.4</v>
      </c>
      <c r="E494" s="363">
        <v>1315</v>
      </c>
      <c r="F494" s="362">
        <v>12</v>
      </c>
      <c r="G494" s="364">
        <v>14.3695</v>
      </c>
      <c r="K494" s="369"/>
    </row>
    <row r="495" spans="1:11" s="365" customFormat="1">
      <c r="A495" s="361" t="s">
        <v>1040</v>
      </c>
      <c r="B495" s="181">
        <v>5</v>
      </c>
      <c r="C495" s="362">
        <v>46.3</v>
      </c>
      <c r="D495" s="362">
        <v>65.900000000000006</v>
      </c>
      <c r="E495" s="363">
        <v>1597</v>
      </c>
      <c r="F495" s="362">
        <v>12</v>
      </c>
      <c r="G495" s="364">
        <v>14.3695</v>
      </c>
      <c r="K495" s="369"/>
    </row>
    <row r="496" spans="1:11" s="365" customFormat="1">
      <c r="A496" s="361" t="s">
        <v>1040</v>
      </c>
      <c r="B496" s="181">
        <v>6</v>
      </c>
      <c r="C496" s="362">
        <v>56.4</v>
      </c>
      <c r="D496" s="362">
        <v>75.599999999999994</v>
      </c>
      <c r="E496" s="363">
        <v>1804</v>
      </c>
      <c r="F496" s="362">
        <v>12</v>
      </c>
      <c r="G496" s="364">
        <v>14.3695</v>
      </c>
      <c r="K496" s="369"/>
    </row>
    <row r="497" spans="1:11" s="365" customFormat="1">
      <c r="A497" s="361" t="s">
        <v>1040</v>
      </c>
      <c r="B497" s="181">
        <v>7</v>
      </c>
      <c r="C497" s="362">
        <v>61.2</v>
      </c>
      <c r="D497" s="362">
        <v>80.2</v>
      </c>
      <c r="E497" s="363">
        <v>1776</v>
      </c>
      <c r="F497" s="362">
        <v>12</v>
      </c>
      <c r="G497" s="364">
        <v>14.3695</v>
      </c>
      <c r="K497" s="369"/>
    </row>
    <row r="498" spans="1:11" s="365" customFormat="1">
      <c r="A498" s="361" t="s">
        <v>1040</v>
      </c>
      <c r="B498" s="181">
        <v>8</v>
      </c>
      <c r="C498" s="362">
        <v>59.6</v>
      </c>
      <c r="D498" s="362">
        <v>78.2</v>
      </c>
      <c r="E498" s="363">
        <v>1513</v>
      </c>
      <c r="F498" s="362">
        <v>12</v>
      </c>
      <c r="G498" s="364">
        <v>14.3695</v>
      </c>
      <c r="K498" s="369"/>
    </row>
    <row r="499" spans="1:11" s="365" customFormat="1">
      <c r="A499" s="361" t="s">
        <v>1040</v>
      </c>
      <c r="B499" s="181">
        <v>9</v>
      </c>
      <c r="C499" s="362">
        <v>52.7</v>
      </c>
      <c r="D499" s="362">
        <v>71.400000000000006</v>
      </c>
      <c r="E499" s="363">
        <v>1152</v>
      </c>
      <c r="F499" s="362">
        <v>12</v>
      </c>
      <c r="G499" s="364">
        <v>14.3695</v>
      </c>
      <c r="K499" s="369"/>
    </row>
    <row r="500" spans="1:11" s="365" customFormat="1">
      <c r="A500" s="361" t="s">
        <v>1040</v>
      </c>
      <c r="B500" s="181">
        <v>10</v>
      </c>
      <c r="C500" s="362">
        <v>42.7</v>
      </c>
      <c r="D500" s="362">
        <v>60.2</v>
      </c>
      <c r="E500" s="363">
        <v>784</v>
      </c>
      <c r="F500" s="362">
        <v>12</v>
      </c>
      <c r="G500" s="364">
        <v>14.3695</v>
      </c>
      <c r="K500" s="369"/>
    </row>
    <row r="501" spans="1:11" s="365" customFormat="1">
      <c r="A501" s="361" t="s">
        <v>1040</v>
      </c>
      <c r="B501" s="181">
        <v>11</v>
      </c>
      <c r="C501" s="362">
        <v>33.6</v>
      </c>
      <c r="D501" s="362">
        <v>47</v>
      </c>
      <c r="E501" s="363">
        <v>403</v>
      </c>
      <c r="F501" s="362">
        <v>12</v>
      </c>
      <c r="G501" s="364">
        <v>14.3695</v>
      </c>
      <c r="K501" s="369"/>
    </row>
    <row r="502" spans="1:11" s="365" customFormat="1">
      <c r="A502" s="361" t="s">
        <v>1040</v>
      </c>
      <c r="B502" s="181">
        <v>12</v>
      </c>
      <c r="C502" s="362">
        <v>22.5</v>
      </c>
      <c r="D502" s="362">
        <v>35</v>
      </c>
      <c r="E502" s="363">
        <v>283</v>
      </c>
      <c r="F502" s="362">
        <v>12</v>
      </c>
      <c r="G502" s="364">
        <v>14.3695</v>
      </c>
      <c r="K502" s="369"/>
    </row>
    <row r="503" spans="1:11" s="365" customFormat="1">
      <c r="A503" s="361" t="s">
        <v>1040</v>
      </c>
      <c r="B503" s="181" t="s">
        <v>726</v>
      </c>
      <c r="C503" s="376">
        <f>AVERAGE(C491:C502)</f>
        <v>39.283333333333339</v>
      </c>
      <c r="D503" s="376">
        <f>AVERAGE(D491:D502)</f>
        <v>55.808333333333337</v>
      </c>
      <c r="E503" s="377">
        <f>AVERAGE(E491:E502)</f>
        <v>1034.25</v>
      </c>
      <c r="F503" s="366">
        <f>AVERAGE(F491:F502)</f>
        <v>12</v>
      </c>
      <c r="G503" s="368">
        <f>AVERAGE(G491:G502)</f>
        <v>14.369499999999997</v>
      </c>
      <c r="K503" s="369"/>
    </row>
    <row r="504" spans="1:11" s="365" customFormat="1">
      <c r="A504" s="378" t="s">
        <v>1041</v>
      </c>
      <c r="B504" s="181">
        <v>1</v>
      </c>
      <c r="C504" s="362">
        <v>26.1</v>
      </c>
      <c r="D504" s="362">
        <v>37.4</v>
      </c>
      <c r="E504" s="363">
        <v>548</v>
      </c>
      <c r="F504" s="362">
        <v>12.2</v>
      </c>
      <c r="G504" s="364">
        <v>14.731999999999999</v>
      </c>
      <c r="K504" s="369"/>
    </row>
    <row r="505" spans="1:11" s="365" customFormat="1">
      <c r="A505" s="378" t="s">
        <v>1041</v>
      </c>
      <c r="B505" s="181">
        <v>2</v>
      </c>
      <c r="C505" s="362">
        <v>27.3</v>
      </c>
      <c r="D505" s="362">
        <v>39.200000000000003</v>
      </c>
      <c r="E505" s="363">
        <v>795</v>
      </c>
      <c r="F505" s="362">
        <v>12.2</v>
      </c>
      <c r="G505" s="364">
        <v>14.731999999999999</v>
      </c>
      <c r="K505" s="369"/>
    </row>
    <row r="506" spans="1:11" s="365" customFormat="1">
      <c r="A506" s="378" t="s">
        <v>1041</v>
      </c>
      <c r="B506" s="181">
        <v>3</v>
      </c>
      <c r="C506" s="362">
        <v>34.6</v>
      </c>
      <c r="D506" s="362">
        <v>47.3</v>
      </c>
      <c r="E506" s="363">
        <v>1118</v>
      </c>
      <c r="F506" s="362">
        <v>12.2</v>
      </c>
      <c r="G506" s="364">
        <v>14.731999999999999</v>
      </c>
      <c r="K506" s="369"/>
    </row>
    <row r="507" spans="1:11" s="365" customFormat="1">
      <c r="A507" s="378" t="s">
        <v>1041</v>
      </c>
      <c r="B507" s="181">
        <v>4</v>
      </c>
      <c r="C507" s="362">
        <v>44.2</v>
      </c>
      <c r="D507" s="362">
        <v>59.6</v>
      </c>
      <c r="E507" s="363">
        <v>1457</v>
      </c>
      <c r="F507" s="362">
        <v>12.2</v>
      </c>
      <c r="G507" s="364">
        <v>14.731999999999999</v>
      </c>
      <c r="K507" s="369"/>
    </row>
    <row r="508" spans="1:11" s="365" customFormat="1">
      <c r="A508" s="378" t="s">
        <v>1041</v>
      </c>
      <c r="B508" s="181">
        <v>5</v>
      </c>
      <c r="C508" s="362">
        <v>53.7</v>
      </c>
      <c r="D508" s="362">
        <v>69.7</v>
      </c>
      <c r="E508" s="363">
        <v>1690</v>
      </c>
      <c r="F508" s="362">
        <v>12.2</v>
      </c>
      <c r="G508" s="364">
        <v>14.731999999999999</v>
      </c>
      <c r="K508" s="369"/>
    </row>
    <row r="509" spans="1:11" s="365" customFormat="1">
      <c r="A509" s="378" t="s">
        <v>1041</v>
      </c>
      <c r="B509" s="181">
        <v>6</v>
      </c>
      <c r="C509" s="362">
        <v>63.2</v>
      </c>
      <c r="D509" s="362">
        <v>78.7</v>
      </c>
      <c r="E509" s="363">
        <v>1802</v>
      </c>
      <c r="F509" s="362">
        <v>12.2</v>
      </c>
      <c r="G509" s="364">
        <v>14.731999999999999</v>
      </c>
      <c r="K509" s="369"/>
    </row>
    <row r="510" spans="1:11" s="365" customFormat="1">
      <c r="A510" s="378" t="s">
        <v>1041</v>
      </c>
      <c r="B510" s="181">
        <v>7</v>
      </c>
      <c r="C510" s="362">
        <v>68.900000000000006</v>
      </c>
      <c r="D510" s="362">
        <v>83.9</v>
      </c>
      <c r="E510" s="363">
        <v>1784</v>
      </c>
      <c r="F510" s="362">
        <v>12.2</v>
      </c>
      <c r="G510" s="364">
        <v>14.731999999999999</v>
      </c>
      <c r="K510" s="369"/>
    </row>
    <row r="511" spans="1:11" s="365" customFormat="1">
      <c r="A511" s="378" t="s">
        <v>1041</v>
      </c>
      <c r="B511" s="181">
        <v>8</v>
      </c>
      <c r="C511" s="362">
        <v>68.2</v>
      </c>
      <c r="D511" s="362">
        <v>82.3</v>
      </c>
      <c r="E511" s="363">
        <v>1583</v>
      </c>
      <c r="F511" s="362">
        <v>12.2</v>
      </c>
      <c r="G511" s="364">
        <v>14.731999999999999</v>
      </c>
      <c r="K511" s="369"/>
    </row>
    <row r="512" spans="1:11" s="365" customFormat="1">
      <c r="A512" s="378" t="s">
        <v>1041</v>
      </c>
      <c r="B512" s="181">
        <v>9</v>
      </c>
      <c r="C512" s="362">
        <v>61.2</v>
      </c>
      <c r="D512" s="362">
        <v>75.2</v>
      </c>
      <c r="E512" s="363">
        <v>1280</v>
      </c>
      <c r="F512" s="362">
        <v>12.2</v>
      </c>
      <c r="G512" s="364">
        <v>14.731999999999999</v>
      </c>
      <c r="K512" s="369"/>
    </row>
    <row r="513" spans="1:11" s="365" customFormat="1">
      <c r="A513" s="378" t="s">
        <v>1041</v>
      </c>
      <c r="B513" s="181">
        <v>10</v>
      </c>
      <c r="C513" s="362">
        <v>50.5</v>
      </c>
      <c r="D513" s="362">
        <v>64.5</v>
      </c>
      <c r="E513" s="363">
        <v>951</v>
      </c>
      <c r="F513" s="362">
        <v>12.2</v>
      </c>
      <c r="G513" s="364">
        <v>14.731999999999999</v>
      </c>
      <c r="K513" s="369"/>
    </row>
    <row r="514" spans="1:11" s="365" customFormat="1">
      <c r="A514" s="378" t="s">
        <v>1041</v>
      </c>
      <c r="B514" s="181">
        <v>11</v>
      </c>
      <c r="C514" s="362">
        <v>41.2</v>
      </c>
      <c r="D514" s="362">
        <v>52.9</v>
      </c>
      <c r="E514" s="363">
        <v>593</v>
      </c>
      <c r="F514" s="362">
        <v>12.2</v>
      </c>
      <c r="G514" s="364">
        <v>14.731999999999999</v>
      </c>
      <c r="K514" s="369"/>
    </row>
    <row r="515" spans="1:11" s="365" customFormat="1">
      <c r="A515" s="378" t="s">
        <v>1041</v>
      </c>
      <c r="B515" s="181">
        <v>12</v>
      </c>
      <c r="C515" s="362">
        <v>30.8</v>
      </c>
      <c r="D515" s="362">
        <v>41.5</v>
      </c>
      <c r="E515" s="363">
        <v>457</v>
      </c>
      <c r="F515" s="362">
        <v>12.2</v>
      </c>
      <c r="G515" s="364">
        <v>14.731999999999999</v>
      </c>
      <c r="K515" s="369"/>
    </row>
    <row r="516" spans="1:11" s="365" customFormat="1">
      <c r="A516" s="378" t="s">
        <v>1041</v>
      </c>
      <c r="B516" s="181" t="s">
        <v>726</v>
      </c>
      <c r="C516" s="376">
        <f>AVERAGE(C504:C515)</f>
        <v>47.491666666666667</v>
      </c>
      <c r="D516" s="376">
        <f>AVERAGE(D504:D515)</f>
        <v>61.016666666666659</v>
      </c>
      <c r="E516" s="377">
        <f>AVERAGE(E504:E515)</f>
        <v>1171.5</v>
      </c>
      <c r="F516" s="366">
        <f>AVERAGE(F504:F515)</f>
        <v>12.200000000000001</v>
      </c>
      <c r="G516" s="368">
        <f>AVERAGE(G504:G515)</f>
        <v>14.731999999999999</v>
      </c>
      <c r="K516" s="369"/>
    </row>
    <row r="517" spans="1:11">
      <c r="A517" s="370" t="s">
        <v>1042</v>
      </c>
      <c r="B517" s="181">
        <v>1</v>
      </c>
      <c r="C517" s="371">
        <v>18.5</v>
      </c>
      <c r="D517" s="371">
        <v>32.5</v>
      </c>
      <c r="E517" s="372">
        <v>388</v>
      </c>
      <c r="F517" s="371">
        <v>10.6</v>
      </c>
      <c r="G517" s="373">
        <v>14.33</v>
      </c>
      <c r="K517" s="369"/>
    </row>
    <row r="518" spans="1:11">
      <c r="A518" s="370" t="s">
        <v>1042</v>
      </c>
      <c r="B518" s="181">
        <v>2</v>
      </c>
      <c r="C518" s="371">
        <v>19.899999999999999</v>
      </c>
      <c r="D518" s="371">
        <v>34.799999999999997</v>
      </c>
      <c r="E518" s="372">
        <v>601</v>
      </c>
      <c r="F518" s="371">
        <v>10.6</v>
      </c>
      <c r="G518" s="373">
        <v>14.33</v>
      </c>
      <c r="K518" s="369"/>
    </row>
    <row r="519" spans="1:11">
      <c r="A519" s="370" t="s">
        <v>1042</v>
      </c>
      <c r="B519" s="181">
        <v>3</v>
      </c>
      <c r="C519" s="371">
        <v>28.4</v>
      </c>
      <c r="D519" s="371">
        <v>44.8</v>
      </c>
      <c r="E519" s="372">
        <v>922</v>
      </c>
      <c r="F519" s="371">
        <v>10.6</v>
      </c>
      <c r="G519" s="373">
        <v>14.33</v>
      </c>
      <c r="K519" s="369"/>
    </row>
    <row r="520" spans="1:11">
      <c r="A520" s="370" t="s">
        <v>1042</v>
      </c>
      <c r="B520" s="181">
        <v>4</v>
      </c>
      <c r="C520" s="371">
        <v>38.299999999999997</v>
      </c>
      <c r="D520" s="371">
        <v>57.9</v>
      </c>
      <c r="E520" s="372">
        <v>1350</v>
      </c>
      <c r="F520" s="371">
        <v>10.6</v>
      </c>
      <c r="G520" s="373">
        <v>14.33</v>
      </c>
      <c r="K520" s="369"/>
    </row>
    <row r="521" spans="1:11">
      <c r="A521" s="370" t="s">
        <v>1042</v>
      </c>
      <c r="B521" s="181">
        <v>5</v>
      </c>
      <c r="C521" s="371">
        <v>47.9</v>
      </c>
      <c r="D521" s="371">
        <v>68.5</v>
      </c>
      <c r="E521" s="372">
        <v>1681</v>
      </c>
      <c r="F521" s="371">
        <v>10.6</v>
      </c>
      <c r="G521" s="373">
        <v>14.33</v>
      </c>
      <c r="K521" s="369"/>
    </row>
    <row r="522" spans="1:11">
      <c r="A522" s="370" t="s">
        <v>1042</v>
      </c>
      <c r="B522" s="181">
        <v>6</v>
      </c>
      <c r="C522" s="371">
        <v>57.2</v>
      </c>
      <c r="D522" s="371">
        <v>78</v>
      </c>
      <c r="E522" s="372">
        <v>1843</v>
      </c>
      <c r="F522" s="371">
        <v>10.6</v>
      </c>
      <c r="G522" s="373">
        <v>14.33</v>
      </c>
      <c r="K522" s="369"/>
    </row>
    <row r="523" spans="1:11">
      <c r="A523" s="370" t="s">
        <v>1042</v>
      </c>
      <c r="B523" s="181">
        <v>7</v>
      </c>
      <c r="C523" s="371">
        <v>61.4</v>
      </c>
      <c r="D523" s="371">
        <v>81.7</v>
      </c>
      <c r="E523" s="372">
        <v>1828</v>
      </c>
      <c r="F523" s="371">
        <v>10.6</v>
      </c>
      <c r="G523" s="373">
        <v>14.33</v>
      </c>
      <c r="K523" s="369"/>
    </row>
    <row r="524" spans="1:11">
      <c r="A524" s="370" t="s">
        <v>1042</v>
      </c>
      <c r="B524" s="181">
        <v>8</v>
      </c>
      <c r="C524" s="371">
        <v>60.5</v>
      </c>
      <c r="D524" s="371">
        <v>80.3</v>
      </c>
      <c r="E524" s="372">
        <v>1583</v>
      </c>
      <c r="F524" s="371">
        <v>10.6</v>
      </c>
      <c r="G524" s="373">
        <v>14.33</v>
      </c>
      <c r="K524" s="369"/>
    </row>
    <row r="525" spans="1:11">
      <c r="A525" s="370" t="s">
        <v>1042</v>
      </c>
      <c r="B525" s="181">
        <v>9</v>
      </c>
      <c r="C525" s="371">
        <v>54</v>
      </c>
      <c r="D525" s="371">
        <v>74.2</v>
      </c>
      <c r="E525" s="372">
        <v>1240</v>
      </c>
      <c r="F525" s="371">
        <v>10.6</v>
      </c>
      <c r="G525" s="373">
        <v>14.33</v>
      </c>
      <c r="K525" s="369"/>
    </row>
    <row r="526" spans="1:11">
      <c r="A526" s="370" t="s">
        <v>1042</v>
      </c>
      <c r="B526" s="181">
        <v>10</v>
      </c>
      <c r="C526" s="371">
        <v>43.6</v>
      </c>
      <c r="D526" s="371">
        <v>62.7</v>
      </c>
      <c r="E526" s="372">
        <v>867</v>
      </c>
      <c r="F526" s="371">
        <v>10.6</v>
      </c>
      <c r="G526" s="373">
        <v>14.33</v>
      </c>
      <c r="K526" s="369"/>
    </row>
    <row r="527" spans="1:11">
      <c r="A527" s="370" t="s">
        <v>1042</v>
      </c>
      <c r="B527" s="181">
        <v>11</v>
      </c>
      <c r="C527" s="371">
        <v>34.299999999999997</v>
      </c>
      <c r="D527" s="371">
        <v>49.3</v>
      </c>
      <c r="E527" s="372">
        <v>466</v>
      </c>
      <c r="F527" s="371">
        <v>10.6</v>
      </c>
      <c r="G527" s="373">
        <v>14.33</v>
      </c>
      <c r="K527" s="369"/>
    </row>
    <row r="528" spans="1:11">
      <c r="A528" s="370" t="s">
        <v>1042</v>
      </c>
      <c r="B528" s="181">
        <v>12</v>
      </c>
      <c r="C528" s="371">
        <v>24.6</v>
      </c>
      <c r="D528" s="371">
        <v>37.5</v>
      </c>
      <c r="E528" s="372">
        <v>318</v>
      </c>
      <c r="F528" s="371">
        <v>10.6</v>
      </c>
      <c r="G528" s="373">
        <v>14.33</v>
      </c>
      <c r="K528" s="369"/>
    </row>
    <row r="529" spans="1:11">
      <c r="A529" s="370" t="s">
        <v>1042</v>
      </c>
      <c r="B529" s="181" t="s">
        <v>726</v>
      </c>
      <c r="C529" s="376">
        <f>AVERAGE(C517:C528)</f>
        <v>40.716666666666669</v>
      </c>
      <c r="D529" s="376">
        <f>AVERAGE(D517:D528)</f>
        <v>58.516666666666673</v>
      </c>
      <c r="E529" s="377">
        <f>AVERAGE(E517:E528)</f>
        <v>1090.5833333333333</v>
      </c>
      <c r="F529" s="376">
        <f>AVERAGE(F517:F528)</f>
        <v>10.599999999999998</v>
      </c>
      <c r="G529" s="368">
        <f>AVERAGE(G517:G528)</f>
        <v>14.330000000000004</v>
      </c>
      <c r="K529" s="369"/>
    </row>
    <row r="530" spans="1:11" ht="59">
      <c r="A530" s="85" t="s">
        <v>704</v>
      </c>
      <c r="B530" s="85" t="s">
        <v>707</v>
      </c>
      <c r="C530" s="85" t="s">
        <v>999</v>
      </c>
      <c r="D530" s="85" t="s">
        <v>1000</v>
      </c>
      <c r="E530" s="85" t="s">
        <v>1001</v>
      </c>
      <c r="F530" s="85" t="s">
        <v>1002</v>
      </c>
      <c r="G530" s="359" t="s">
        <v>1003</v>
      </c>
      <c r="I530" s="85" t="s">
        <v>1004</v>
      </c>
      <c r="K530" s="360"/>
    </row>
    <row r="531" spans="1:11">
      <c r="A531" s="370" t="s">
        <v>1043</v>
      </c>
      <c r="B531" s="181">
        <v>1</v>
      </c>
      <c r="C531" s="371">
        <v>19.399999999999999</v>
      </c>
      <c r="D531" s="371">
        <v>34.700000000000003</v>
      </c>
      <c r="E531" s="372">
        <v>459</v>
      </c>
      <c r="F531" s="371">
        <v>8.5</v>
      </c>
      <c r="G531" s="373">
        <v>14.33</v>
      </c>
      <c r="K531" s="369"/>
    </row>
    <row r="532" spans="1:11">
      <c r="A532" s="370" t="s">
        <v>1043</v>
      </c>
      <c r="B532" s="181">
        <v>2</v>
      </c>
      <c r="C532" s="371">
        <v>21.5</v>
      </c>
      <c r="D532" s="371">
        <v>38.1</v>
      </c>
      <c r="E532" s="372">
        <v>677</v>
      </c>
      <c r="F532" s="371">
        <v>8.5</v>
      </c>
      <c r="G532" s="373">
        <v>14.33</v>
      </c>
      <c r="K532" s="369"/>
    </row>
    <row r="533" spans="1:11">
      <c r="A533" s="370" t="s">
        <v>1043</v>
      </c>
      <c r="B533" s="181">
        <v>3</v>
      </c>
      <c r="C533" s="371">
        <v>30.6</v>
      </c>
      <c r="D533" s="371">
        <v>49.3</v>
      </c>
      <c r="E533" s="372">
        <v>980</v>
      </c>
      <c r="F533" s="371">
        <v>8.5</v>
      </c>
      <c r="G533" s="373">
        <v>14.33</v>
      </c>
      <c r="K533" s="369"/>
    </row>
    <row r="534" spans="1:11">
      <c r="A534" s="370" t="s">
        <v>1043</v>
      </c>
      <c r="B534" s="181">
        <v>4</v>
      </c>
      <c r="C534" s="371">
        <v>40.5</v>
      </c>
      <c r="D534" s="371">
        <v>62.3</v>
      </c>
      <c r="E534" s="372">
        <v>1353</v>
      </c>
      <c r="F534" s="371">
        <v>8.5</v>
      </c>
      <c r="G534" s="373">
        <v>14.33</v>
      </c>
      <c r="K534" s="369"/>
    </row>
    <row r="535" spans="1:11">
      <c r="A535" s="370" t="s">
        <v>1043</v>
      </c>
      <c r="B535" s="181">
        <v>5</v>
      </c>
      <c r="C535" s="371">
        <v>50.2</v>
      </c>
      <c r="D535" s="371">
        <v>72.599999999999994</v>
      </c>
      <c r="E535" s="372">
        <v>1647</v>
      </c>
      <c r="F535" s="371">
        <v>8.5</v>
      </c>
      <c r="G535" s="373">
        <v>14.33</v>
      </c>
      <c r="K535" s="369"/>
    </row>
    <row r="536" spans="1:11">
      <c r="A536" s="370" t="s">
        <v>1043</v>
      </c>
      <c r="B536" s="181">
        <v>6</v>
      </c>
      <c r="C536" s="371">
        <v>59</v>
      </c>
      <c r="D536" s="371">
        <v>81.3</v>
      </c>
      <c r="E536" s="372">
        <v>1813</v>
      </c>
      <c r="F536" s="371">
        <v>8.5</v>
      </c>
      <c r="G536" s="373">
        <v>14.33</v>
      </c>
      <c r="K536" s="369"/>
    </row>
    <row r="537" spans="1:11">
      <c r="A537" s="370" t="s">
        <v>1043</v>
      </c>
      <c r="B537" s="181">
        <v>7</v>
      </c>
      <c r="C537" s="371">
        <v>63.2</v>
      </c>
      <c r="D537" s="371">
        <v>84.4</v>
      </c>
      <c r="E537" s="372">
        <v>1755</v>
      </c>
      <c r="F537" s="371">
        <v>8.5</v>
      </c>
      <c r="G537" s="373">
        <v>14.33</v>
      </c>
      <c r="K537" s="369"/>
    </row>
    <row r="538" spans="1:11">
      <c r="A538" s="370" t="s">
        <v>1043</v>
      </c>
      <c r="B538" s="181">
        <v>8</v>
      </c>
      <c r="C538" s="371">
        <v>61.7</v>
      </c>
      <c r="D538" s="371">
        <v>83</v>
      </c>
      <c r="E538" s="372">
        <v>1641</v>
      </c>
      <c r="F538" s="371">
        <v>8.5</v>
      </c>
      <c r="G538" s="373">
        <v>14.33</v>
      </c>
      <c r="K538" s="369"/>
    </row>
    <row r="539" spans="1:11">
      <c r="A539" s="370" t="s">
        <v>1043</v>
      </c>
      <c r="B539" s="181">
        <v>9</v>
      </c>
      <c r="C539" s="371">
        <v>54.6</v>
      </c>
      <c r="D539" s="371">
        <v>76.900000000000006</v>
      </c>
      <c r="E539" s="372">
        <v>1282</v>
      </c>
      <c r="F539" s="371">
        <v>8.5</v>
      </c>
      <c r="G539" s="373">
        <v>14.33</v>
      </c>
      <c r="K539" s="369"/>
    </row>
    <row r="540" spans="1:11">
      <c r="A540" s="370" t="s">
        <v>1043</v>
      </c>
      <c r="B540" s="181">
        <v>10</v>
      </c>
      <c r="C540" s="371">
        <v>42.8</v>
      </c>
      <c r="D540" s="371">
        <v>65</v>
      </c>
      <c r="E540" s="372">
        <v>945</v>
      </c>
      <c r="F540" s="371">
        <v>8.5</v>
      </c>
      <c r="G540" s="373">
        <v>14.33</v>
      </c>
      <c r="K540" s="369"/>
    </row>
    <row r="541" spans="1:11">
      <c r="A541" s="370" t="s">
        <v>1043</v>
      </c>
      <c r="B541" s="181">
        <v>11</v>
      </c>
      <c r="C541" s="371">
        <v>33.5</v>
      </c>
      <c r="D541" s="371">
        <v>50.7</v>
      </c>
      <c r="E541" s="372">
        <v>538</v>
      </c>
      <c r="F541" s="371">
        <v>8.5</v>
      </c>
      <c r="G541" s="373">
        <v>14.33</v>
      </c>
      <c r="K541" s="369"/>
    </row>
    <row r="542" spans="1:11">
      <c r="A542" s="370" t="s">
        <v>1043</v>
      </c>
      <c r="B542" s="181">
        <v>12</v>
      </c>
      <c r="C542" s="371">
        <v>24.7</v>
      </c>
      <c r="D542" s="371">
        <v>39.4</v>
      </c>
      <c r="E542" s="372">
        <v>387</v>
      </c>
      <c r="F542" s="371">
        <v>8.5</v>
      </c>
      <c r="G542" s="373">
        <v>14.33</v>
      </c>
      <c r="K542" s="369"/>
    </row>
    <row r="543" spans="1:11">
      <c r="A543" s="370" t="s">
        <v>1043</v>
      </c>
      <c r="B543" s="181" t="s">
        <v>726</v>
      </c>
      <c r="C543" s="376">
        <f>AVERAGE(C531:C542)</f>
        <v>41.80833333333333</v>
      </c>
      <c r="D543" s="376">
        <f>AVERAGE(D531:D542)</f>
        <v>61.475000000000001</v>
      </c>
      <c r="E543" s="377">
        <f>AVERAGE(E531:E542)</f>
        <v>1123.0833333333333</v>
      </c>
      <c r="F543" s="376">
        <f>AVERAGE(F531:F542)</f>
        <v>8.5</v>
      </c>
      <c r="G543" s="368">
        <f>AVERAGE(G531:G542)</f>
        <v>14.330000000000004</v>
      </c>
      <c r="K543" s="369"/>
    </row>
    <row r="544" spans="1:11">
      <c r="A544" s="370" t="s">
        <v>1044</v>
      </c>
      <c r="B544" s="181">
        <v>1</v>
      </c>
      <c r="C544" s="371">
        <v>15.5</v>
      </c>
      <c r="D544" s="371">
        <v>30.7</v>
      </c>
      <c r="E544" s="372">
        <v>435</v>
      </c>
      <c r="F544" s="371">
        <v>9.4</v>
      </c>
      <c r="G544" s="373">
        <v>14.38</v>
      </c>
      <c r="K544" s="369"/>
    </row>
    <row r="545" spans="1:11">
      <c r="A545" s="370" t="s">
        <v>1044</v>
      </c>
      <c r="B545" s="181">
        <v>2</v>
      </c>
      <c r="C545" s="371">
        <v>17.5</v>
      </c>
      <c r="D545" s="371">
        <v>34</v>
      </c>
      <c r="E545" s="372">
        <v>680</v>
      </c>
      <c r="F545" s="371">
        <v>9.4</v>
      </c>
      <c r="G545" s="373">
        <v>14.38</v>
      </c>
      <c r="K545" s="369"/>
    </row>
    <row r="546" spans="1:11">
      <c r="A546" s="370" t="s">
        <v>1044</v>
      </c>
      <c r="B546" s="181">
        <v>3</v>
      </c>
      <c r="C546" s="371">
        <v>26.1</v>
      </c>
      <c r="D546" s="371">
        <v>44.6</v>
      </c>
      <c r="E546" s="372">
        <v>997</v>
      </c>
      <c r="F546" s="371">
        <v>9.4</v>
      </c>
      <c r="G546" s="373">
        <v>14.38</v>
      </c>
      <c r="K546" s="369"/>
    </row>
    <row r="547" spans="1:11">
      <c r="A547" s="370" t="s">
        <v>1044</v>
      </c>
      <c r="B547" s="181">
        <v>4</v>
      </c>
      <c r="C547" s="371">
        <v>36.5</v>
      </c>
      <c r="D547" s="371">
        <v>59.1</v>
      </c>
      <c r="E547" s="372">
        <v>1384</v>
      </c>
      <c r="F547" s="371">
        <v>9.4</v>
      </c>
      <c r="G547" s="373">
        <v>14.38</v>
      </c>
      <c r="K547" s="369"/>
    </row>
    <row r="548" spans="1:11">
      <c r="A548" s="370" t="s">
        <v>1044</v>
      </c>
      <c r="B548" s="181">
        <v>5</v>
      </c>
      <c r="C548" s="371">
        <v>46.6</v>
      </c>
      <c r="D548" s="371">
        <v>70.5</v>
      </c>
      <c r="E548" s="372">
        <v>1717</v>
      </c>
      <c r="F548" s="371">
        <v>9.4</v>
      </c>
      <c r="G548" s="373">
        <v>14.38</v>
      </c>
      <c r="K548" s="369"/>
    </row>
    <row r="549" spans="1:11">
      <c r="A549" s="370" t="s">
        <v>1044</v>
      </c>
      <c r="B549" s="181">
        <v>6</v>
      </c>
      <c r="C549" s="371">
        <v>56</v>
      </c>
      <c r="D549" s="371">
        <v>79.900000000000006</v>
      </c>
      <c r="E549" s="372">
        <v>1878</v>
      </c>
      <c r="F549" s="371">
        <v>9.4</v>
      </c>
      <c r="G549" s="373">
        <v>14.38</v>
      </c>
      <c r="K549" s="369"/>
    </row>
    <row r="550" spans="1:11">
      <c r="A550" s="370" t="s">
        <v>1044</v>
      </c>
      <c r="B550" s="181">
        <v>7</v>
      </c>
      <c r="C550" s="371">
        <v>60.2</v>
      </c>
      <c r="D550" s="371">
        <v>83.4</v>
      </c>
      <c r="E550" s="372">
        <v>1849</v>
      </c>
      <c r="F550" s="371">
        <v>9.4</v>
      </c>
      <c r="G550" s="373">
        <v>14.38</v>
      </c>
      <c r="K550" s="369"/>
    </row>
    <row r="551" spans="1:11">
      <c r="A551" s="370" t="s">
        <v>1044</v>
      </c>
      <c r="B551" s="181">
        <v>8</v>
      </c>
      <c r="C551" s="371">
        <v>58.4</v>
      </c>
      <c r="D551" s="371">
        <v>81.8</v>
      </c>
      <c r="E551" s="372">
        <v>1616</v>
      </c>
      <c r="F551" s="371">
        <v>9.4</v>
      </c>
      <c r="G551" s="373">
        <v>14.38</v>
      </c>
      <c r="K551" s="369"/>
    </row>
    <row r="552" spans="1:11">
      <c r="A552" s="370" t="s">
        <v>1044</v>
      </c>
      <c r="B552" s="181">
        <v>9</v>
      </c>
      <c r="C552" s="371">
        <v>51.2</v>
      </c>
      <c r="D552" s="371">
        <v>75.099999999999994</v>
      </c>
      <c r="E552" s="372">
        <v>1276</v>
      </c>
      <c r="F552" s="371">
        <v>9.4</v>
      </c>
      <c r="G552" s="373">
        <v>14.38</v>
      </c>
      <c r="K552" s="369"/>
    </row>
    <row r="553" spans="1:11">
      <c r="A553" s="370" t="s">
        <v>1044</v>
      </c>
      <c r="B553" s="181">
        <v>10</v>
      </c>
      <c r="C553" s="371">
        <v>40.1</v>
      </c>
      <c r="D553" s="371">
        <v>63.3</v>
      </c>
      <c r="E553" s="372">
        <v>911</v>
      </c>
      <c r="F553" s="371">
        <v>9.4</v>
      </c>
      <c r="G553" s="373">
        <v>14.38</v>
      </c>
      <c r="K553" s="369"/>
    </row>
    <row r="554" spans="1:11">
      <c r="A554" s="370" t="s">
        <v>1044</v>
      </c>
      <c r="B554" s="181">
        <v>11</v>
      </c>
      <c r="C554" s="371">
        <v>30.6</v>
      </c>
      <c r="D554" s="371">
        <v>47.9</v>
      </c>
      <c r="E554" s="372">
        <v>498</v>
      </c>
      <c r="F554" s="371">
        <v>9.4</v>
      </c>
      <c r="G554" s="373">
        <v>14.38</v>
      </c>
      <c r="K554" s="369"/>
    </row>
    <row r="555" spans="1:11">
      <c r="A555" s="370" t="s">
        <v>1044</v>
      </c>
      <c r="B555" s="181">
        <v>12</v>
      </c>
      <c r="C555" s="371">
        <v>20.6</v>
      </c>
      <c r="D555" s="371">
        <v>35.5</v>
      </c>
      <c r="E555" s="372">
        <v>355</v>
      </c>
      <c r="F555" s="371">
        <v>9.4</v>
      </c>
      <c r="G555" s="373">
        <v>14.38</v>
      </c>
      <c r="K555" s="369"/>
    </row>
    <row r="556" spans="1:11">
      <c r="A556" s="370" t="s">
        <v>1044</v>
      </c>
      <c r="B556" s="181" t="s">
        <v>726</v>
      </c>
      <c r="C556" s="376">
        <f>AVERAGE(C544:C555)</f>
        <v>38.274999999999999</v>
      </c>
      <c r="D556" s="376">
        <f>AVERAGE(D544:D555)</f>
        <v>58.816666666666663</v>
      </c>
      <c r="E556" s="377">
        <f>AVERAGE(E544:E555)</f>
        <v>1133</v>
      </c>
      <c r="F556" s="376">
        <f>AVERAGE(F544:F555)</f>
        <v>9.4000000000000021</v>
      </c>
      <c r="G556" s="368">
        <f>AVERAGE(G544:G555)</f>
        <v>14.379999999999997</v>
      </c>
      <c r="K556" s="369"/>
    </row>
    <row r="557" spans="1:11" s="365" customFormat="1">
      <c r="A557" s="361" t="s">
        <v>1045</v>
      </c>
      <c r="B557" s="181">
        <v>1</v>
      </c>
      <c r="C557" s="362">
        <v>25.2</v>
      </c>
      <c r="D557" s="362">
        <v>46.6</v>
      </c>
      <c r="E557" s="363">
        <v>801</v>
      </c>
      <c r="F557" s="362">
        <v>12.4</v>
      </c>
      <c r="G557" s="364">
        <v>14.065</v>
      </c>
      <c r="K557" s="369"/>
    </row>
    <row r="558" spans="1:11" s="365" customFormat="1">
      <c r="A558" s="361" t="s">
        <v>1045</v>
      </c>
      <c r="B558" s="181">
        <v>2</v>
      </c>
      <c r="C558" s="362">
        <v>29.4</v>
      </c>
      <c r="D558" s="362">
        <v>52.2</v>
      </c>
      <c r="E558" s="363">
        <v>1055</v>
      </c>
      <c r="F558" s="362">
        <v>12.4</v>
      </c>
      <c r="G558" s="364">
        <v>14.065</v>
      </c>
      <c r="K558" s="369"/>
    </row>
    <row r="559" spans="1:11" s="365" customFormat="1">
      <c r="A559" s="361" t="s">
        <v>1045</v>
      </c>
      <c r="B559" s="181">
        <v>3</v>
      </c>
      <c r="C559" s="362">
        <v>37.1</v>
      </c>
      <c r="D559" s="362">
        <v>61</v>
      </c>
      <c r="E559" s="363">
        <v>1400</v>
      </c>
      <c r="F559" s="362">
        <v>12.4</v>
      </c>
      <c r="G559" s="364">
        <v>14.065</v>
      </c>
      <c r="K559" s="369"/>
    </row>
    <row r="560" spans="1:11" s="365" customFormat="1">
      <c r="A560" s="361" t="s">
        <v>1045</v>
      </c>
      <c r="B560" s="181">
        <v>4</v>
      </c>
      <c r="C560" s="362">
        <v>48.6</v>
      </c>
      <c r="D560" s="362">
        <v>71.7</v>
      </c>
      <c r="E560" s="363">
        <v>1725</v>
      </c>
      <c r="F560" s="362">
        <v>12.4</v>
      </c>
      <c r="G560" s="364">
        <v>14.065</v>
      </c>
      <c r="K560" s="369"/>
    </row>
    <row r="561" spans="1:11" s="365" customFormat="1">
      <c r="A561" s="361" t="s">
        <v>1045</v>
      </c>
      <c r="B561" s="181">
        <v>5</v>
      </c>
      <c r="C561" s="362">
        <v>57.7</v>
      </c>
      <c r="D561" s="362">
        <v>79</v>
      </c>
      <c r="E561" s="363">
        <v>1918</v>
      </c>
      <c r="F561" s="362">
        <v>12.4</v>
      </c>
      <c r="G561" s="364">
        <v>14.065</v>
      </c>
      <c r="K561" s="369"/>
    </row>
    <row r="562" spans="1:11" s="365" customFormat="1">
      <c r="A562" s="361" t="s">
        <v>1045</v>
      </c>
      <c r="B562" s="181">
        <v>6</v>
      </c>
      <c r="C562" s="362">
        <v>66.3</v>
      </c>
      <c r="D562" s="362">
        <v>87.6</v>
      </c>
      <c r="E562" s="363">
        <v>2144</v>
      </c>
      <c r="F562" s="362">
        <v>12.4</v>
      </c>
      <c r="G562" s="364">
        <v>14.065</v>
      </c>
      <c r="K562" s="369"/>
    </row>
    <row r="563" spans="1:11" s="365" customFormat="1">
      <c r="A563" s="361" t="s">
        <v>1045</v>
      </c>
      <c r="B563" s="181">
        <v>7</v>
      </c>
      <c r="C563" s="362">
        <v>70.599999999999994</v>
      </c>
      <c r="D563" s="362">
        <v>93.5</v>
      </c>
      <c r="E563" s="363">
        <v>2128</v>
      </c>
      <c r="F563" s="362">
        <v>12.4</v>
      </c>
      <c r="G563" s="364">
        <v>14.065</v>
      </c>
      <c r="K563" s="369"/>
    </row>
    <row r="564" spans="1:11" s="365" customFormat="1">
      <c r="A564" s="361" t="s">
        <v>1045</v>
      </c>
      <c r="B564" s="181">
        <v>8</v>
      </c>
      <c r="C564" s="362">
        <v>69.400000000000006</v>
      </c>
      <c r="D564" s="362">
        <v>92.8</v>
      </c>
      <c r="E564" s="363">
        <v>1950</v>
      </c>
      <c r="F564" s="362">
        <v>12.4</v>
      </c>
      <c r="G564" s="364">
        <v>14.065</v>
      </c>
      <c r="K564" s="369"/>
    </row>
    <row r="565" spans="1:11" s="365" customFormat="1">
      <c r="A565" s="361" t="s">
        <v>1045</v>
      </c>
      <c r="B565" s="181">
        <v>9</v>
      </c>
      <c r="C565" s="362">
        <v>61.9</v>
      </c>
      <c r="D565" s="362">
        <v>84.7</v>
      </c>
      <c r="E565" s="363">
        <v>1554</v>
      </c>
      <c r="F565" s="362">
        <v>12.4</v>
      </c>
      <c r="G565" s="364">
        <v>14.065</v>
      </c>
      <c r="K565" s="369"/>
    </row>
    <row r="566" spans="1:11" s="365" customFormat="1">
      <c r="A566" s="361" t="s">
        <v>1045</v>
      </c>
      <c r="B566" s="181">
        <v>10</v>
      </c>
      <c r="C566" s="362">
        <v>50.2</v>
      </c>
      <c r="D566" s="362">
        <v>74.3</v>
      </c>
      <c r="E566" s="363">
        <v>1233</v>
      </c>
      <c r="F566" s="362">
        <v>12.4</v>
      </c>
      <c r="G566" s="364">
        <v>14.065</v>
      </c>
      <c r="K566" s="369"/>
    </row>
    <row r="567" spans="1:11" s="365" customFormat="1">
      <c r="A567" s="361" t="s">
        <v>1045</v>
      </c>
      <c r="B567" s="181">
        <v>11</v>
      </c>
      <c r="C567" s="362">
        <v>37.6</v>
      </c>
      <c r="D567" s="362">
        <v>59.9</v>
      </c>
      <c r="E567" s="363">
        <v>901</v>
      </c>
      <c r="F567" s="362">
        <v>12.4</v>
      </c>
      <c r="G567" s="364">
        <v>14.065</v>
      </c>
      <c r="K567" s="369"/>
    </row>
    <row r="568" spans="1:11" s="365" customFormat="1">
      <c r="A568" s="361" t="s">
        <v>1045</v>
      </c>
      <c r="B568" s="181">
        <v>12</v>
      </c>
      <c r="C568" s="362">
        <v>29.1</v>
      </c>
      <c r="D568" s="362">
        <v>50.7</v>
      </c>
      <c r="E568" s="363">
        <v>725</v>
      </c>
      <c r="F568" s="362">
        <v>12.4</v>
      </c>
      <c r="G568" s="364">
        <v>14.065</v>
      </c>
      <c r="K568" s="369"/>
    </row>
    <row r="569" spans="1:11" s="365" customFormat="1">
      <c r="A569" s="361" t="s">
        <v>1045</v>
      </c>
      <c r="B569" s="181" t="s">
        <v>726</v>
      </c>
      <c r="C569" s="376">
        <f>AVERAGE(C557:C568)</f>
        <v>48.591666666666669</v>
      </c>
      <c r="D569" s="376">
        <f>AVERAGE(D557:D568)</f>
        <v>71.166666666666671</v>
      </c>
      <c r="E569" s="377">
        <f>AVERAGE(E557:E568)</f>
        <v>1461.1666666666667</v>
      </c>
      <c r="F569" s="366">
        <f>AVERAGE(F557:F568)</f>
        <v>12.400000000000004</v>
      </c>
      <c r="G569" s="368">
        <f>AVERAGE(G557:G568)</f>
        <v>14.065</v>
      </c>
      <c r="K569" s="369"/>
    </row>
    <row r="570" spans="1:11" ht="59">
      <c r="A570" s="85" t="s">
        <v>704</v>
      </c>
      <c r="B570" s="85" t="s">
        <v>707</v>
      </c>
      <c r="C570" s="85" t="s">
        <v>999</v>
      </c>
      <c r="D570" s="85" t="s">
        <v>1000</v>
      </c>
      <c r="E570" s="85" t="s">
        <v>1001</v>
      </c>
      <c r="F570" s="85" t="s">
        <v>1002</v>
      </c>
      <c r="G570" s="359" t="s">
        <v>1003</v>
      </c>
      <c r="I570" s="85" t="s">
        <v>1004</v>
      </c>
      <c r="K570" s="360"/>
    </row>
    <row r="571" spans="1:11" s="365" customFormat="1">
      <c r="A571" s="361" t="s">
        <v>1046</v>
      </c>
      <c r="B571" s="181">
        <v>1</v>
      </c>
      <c r="C571" s="362">
        <v>24.8</v>
      </c>
      <c r="D571" s="362">
        <v>45.6</v>
      </c>
      <c r="E571" s="363">
        <v>732</v>
      </c>
      <c r="F571" s="362">
        <v>10.3</v>
      </c>
      <c r="G571" s="364">
        <v>14.384</v>
      </c>
      <c r="K571" s="369"/>
    </row>
    <row r="572" spans="1:11" s="365" customFormat="1">
      <c r="A572" s="361" t="s">
        <v>1046</v>
      </c>
      <c r="B572" s="181">
        <v>2</v>
      </c>
      <c r="C572" s="362">
        <v>29.5</v>
      </c>
      <c r="D572" s="362">
        <v>51.9</v>
      </c>
      <c r="E572" s="363">
        <v>978</v>
      </c>
      <c r="F572" s="362">
        <v>10.3</v>
      </c>
      <c r="G572" s="364">
        <v>14.384</v>
      </c>
      <c r="K572" s="369"/>
    </row>
    <row r="573" spans="1:11" s="365" customFormat="1">
      <c r="A573" s="361" t="s">
        <v>1046</v>
      </c>
      <c r="B573" s="181">
        <v>3</v>
      </c>
      <c r="C573" s="362">
        <v>37.700000000000003</v>
      </c>
      <c r="D573" s="362">
        <v>60.8</v>
      </c>
      <c r="E573" s="363">
        <v>1306</v>
      </c>
      <c r="F573" s="362">
        <v>10.3</v>
      </c>
      <c r="G573" s="364">
        <v>14.384</v>
      </c>
      <c r="K573" s="369"/>
    </row>
    <row r="574" spans="1:11" s="365" customFormat="1">
      <c r="A574" s="361" t="s">
        <v>1046</v>
      </c>
      <c r="B574" s="181">
        <v>4</v>
      </c>
      <c r="C574" s="362">
        <v>49.5</v>
      </c>
      <c r="D574" s="362">
        <v>72.400000000000006</v>
      </c>
      <c r="E574" s="363">
        <v>1603</v>
      </c>
      <c r="F574" s="362">
        <v>10.3</v>
      </c>
      <c r="G574" s="364">
        <v>14.384</v>
      </c>
      <c r="K574" s="369"/>
    </row>
    <row r="575" spans="1:11" s="365" customFormat="1">
      <c r="A575" s="361" t="s">
        <v>1046</v>
      </c>
      <c r="B575" s="181">
        <v>5</v>
      </c>
      <c r="C575" s="362">
        <v>58.5</v>
      </c>
      <c r="D575" s="362">
        <v>79.7</v>
      </c>
      <c r="E575" s="363">
        <v>1822</v>
      </c>
      <c r="F575" s="362">
        <v>10.3</v>
      </c>
      <c r="G575" s="364">
        <v>14.384</v>
      </c>
      <c r="K575" s="369"/>
    </row>
    <row r="576" spans="1:11" s="365" customFormat="1">
      <c r="A576" s="361" t="s">
        <v>1046</v>
      </c>
      <c r="B576" s="181">
        <v>6</v>
      </c>
      <c r="C576" s="362">
        <v>67.5</v>
      </c>
      <c r="D576" s="362">
        <v>87.9</v>
      </c>
      <c r="E576" s="363">
        <v>2021</v>
      </c>
      <c r="F576" s="362">
        <v>10.3</v>
      </c>
      <c r="G576" s="364">
        <v>14.384</v>
      </c>
      <c r="K576" s="369"/>
    </row>
    <row r="577" spans="1:11" s="365" customFormat="1">
      <c r="A577" s="361" t="s">
        <v>1046</v>
      </c>
      <c r="B577" s="181">
        <v>7</v>
      </c>
      <c r="C577" s="362">
        <v>72.400000000000006</v>
      </c>
      <c r="D577" s="362">
        <v>93.9</v>
      </c>
      <c r="E577" s="363">
        <v>2031</v>
      </c>
      <c r="F577" s="362">
        <v>10.3</v>
      </c>
      <c r="G577" s="364">
        <v>14.384</v>
      </c>
      <c r="K577" s="369"/>
    </row>
    <row r="578" spans="1:11" s="365" customFormat="1">
      <c r="A578" s="361" t="s">
        <v>1046</v>
      </c>
      <c r="B578" s="181">
        <v>8</v>
      </c>
      <c r="C578" s="362">
        <v>70.3</v>
      </c>
      <c r="D578" s="362">
        <v>93</v>
      </c>
      <c r="E578" s="363">
        <v>1865</v>
      </c>
      <c r="F578" s="362">
        <v>10.3</v>
      </c>
      <c r="G578" s="364">
        <v>14.384</v>
      </c>
      <c r="K578" s="369"/>
    </row>
    <row r="579" spans="1:11" s="365" customFormat="1">
      <c r="A579" s="361" t="s">
        <v>1046</v>
      </c>
      <c r="B579" s="181">
        <v>9</v>
      </c>
      <c r="C579" s="362">
        <v>62.5</v>
      </c>
      <c r="D579" s="362">
        <v>85</v>
      </c>
      <c r="E579" s="363">
        <v>1473</v>
      </c>
      <c r="F579" s="362">
        <v>10.3</v>
      </c>
      <c r="G579" s="364">
        <v>14.384</v>
      </c>
      <c r="K579" s="369"/>
    </row>
    <row r="580" spans="1:11" s="365" customFormat="1">
      <c r="A580" s="361" t="s">
        <v>1046</v>
      </c>
      <c r="B580" s="181">
        <v>10</v>
      </c>
      <c r="C580" s="362">
        <v>50.3</v>
      </c>
      <c r="D580" s="362">
        <v>74.900000000000006</v>
      </c>
      <c r="E580" s="363">
        <v>1164</v>
      </c>
      <c r="F580" s="362">
        <v>10.3</v>
      </c>
      <c r="G580" s="364">
        <v>14.384</v>
      </c>
      <c r="K580" s="369"/>
    </row>
    <row r="581" spans="1:11" s="365" customFormat="1">
      <c r="A581" s="361" t="s">
        <v>1046</v>
      </c>
      <c r="B581" s="181">
        <v>11</v>
      </c>
      <c r="C581" s="362">
        <v>38.1</v>
      </c>
      <c r="D581" s="362">
        <v>60.2</v>
      </c>
      <c r="E581" s="363">
        <v>827</v>
      </c>
      <c r="F581" s="362">
        <v>10.3</v>
      </c>
      <c r="G581" s="364">
        <v>14.384</v>
      </c>
      <c r="K581" s="369"/>
    </row>
    <row r="582" spans="1:11" s="365" customFormat="1">
      <c r="A582" s="361" t="s">
        <v>1046</v>
      </c>
      <c r="B582" s="181">
        <v>12</v>
      </c>
      <c r="C582" s="362">
        <v>29.3</v>
      </c>
      <c r="D582" s="362">
        <v>50.3</v>
      </c>
      <c r="E582" s="363">
        <v>659</v>
      </c>
      <c r="F582" s="362">
        <v>10.3</v>
      </c>
      <c r="G582" s="364">
        <v>14.384</v>
      </c>
      <c r="K582" s="369"/>
    </row>
    <row r="583" spans="1:11" s="365" customFormat="1">
      <c r="A583" s="361" t="s">
        <v>1046</v>
      </c>
      <c r="B583" s="181" t="s">
        <v>726</v>
      </c>
      <c r="C583" s="376">
        <f>AVERAGE(C571:C582)</f>
        <v>49.199999999999996</v>
      </c>
      <c r="D583" s="376">
        <f>AVERAGE(D571:D582)</f>
        <v>71.3</v>
      </c>
      <c r="E583" s="377">
        <f>AVERAGE(E571:E582)</f>
        <v>1373.4166666666667</v>
      </c>
      <c r="F583" s="366">
        <f>AVERAGE(F571:F582)</f>
        <v>10.299999999999999</v>
      </c>
      <c r="G583" s="368">
        <f>AVERAGE(G571:G582)</f>
        <v>14.384000000000006</v>
      </c>
      <c r="K583" s="369"/>
    </row>
    <row r="584" spans="1:11" s="365" customFormat="1">
      <c r="A584" s="361" t="s">
        <v>1047</v>
      </c>
      <c r="B584" s="181">
        <v>1</v>
      </c>
      <c r="C584" s="362">
        <v>35.4</v>
      </c>
      <c r="D584" s="362">
        <v>46.8</v>
      </c>
      <c r="E584" s="363">
        <v>315</v>
      </c>
      <c r="F584" s="362">
        <v>8.6</v>
      </c>
      <c r="G584" s="364">
        <v>14.746499999999999</v>
      </c>
      <c r="K584" s="369"/>
    </row>
    <row r="585" spans="1:11" s="365" customFormat="1">
      <c r="A585" s="361" t="s">
        <v>1047</v>
      </c>
      <c r="B585" s="181">
        <v>2</v>
      </c>
      <c r="C585" s="362">
        <v>37.1</v>
      </c>
      <c r="D585" s="362">
        <v>50.6</v>
      </c>
      <c r="E585" s="363">
        <v>545</v>
      </c>
      <c r="F585" s="362">
        <v>8.6</v>
      </c>
      <c r="G585" s="364">
        <v>14.746499999999999</v>
      </c>
      <c r="K585" s="369"/>
    </row>
    <row r="586" spans="1:11" s="365" customFormat="1">
      <c r="A586" s="361" t="s">
        <v>1047</v>
      </c>
      <c r="B586" s="181">
        <v>3</v>
      </c>
      <c r="C586" s="362">
        <v>36.9</v>
      </c>
      <c r="D586" s="362">
        <v>51.9</v>
      </c>
      <c r="E586" s="363">
        <v>866</v>
      </c>
      <c r="F586" s="362">
        <v>8.6</v>
      </c>
      <c r="G586" s="364">
        <v>14.746499999999999</v>
      </c>
      <c r="K586" s="369"/>
    </row>
    <row r="587" spans="1:11" s="365" customFormat="1">
      <c r="A587" s="361" t="s">
        <v>1047</v>
      </c>
      <c r="B587" s="181">
        <v>4</v>
      </c>
      <c r="C587" s="362">
        <v>39.700000000000003</v>
      </c>
      <c r="D587" s="362">
        <v>55.5</v>
      </c>
      <c r="E587" s="363">
        <v>1253</v>
      </c>
      <c r="F587" s="362">
        <v>8.6</v>
      </c>
      <c r="G587" s="364">
        <v>14.746499999999999</v>
      </c>
      <c r="K587" s="369"/>
    </row>
    <row r="588" spans="1:11" s="365" customFormat="1">
      <c r="A588" s="361" t="s">
        <v>1047</v>
      </c>
      <c r="B588" s="181">
        <v>5</v>
      </c>
      <c r="C588" s="362">
        <v>44.1</v>
      </c>
      <c r="D588" s="362">
        <v>60.2</v>
      </c>
      <c r="E588" s="363">
        <v>1608</v>
      </c>
      <c r="F588" s="362">
        <v>8.6</v>
      </c>
      <c r="G588" s="364">
        <v>14.746499999999999</v>
      </c>
      <c r="K588" s="369"/>
    </row>
    <row r="589" spans="1:11" s="365" customFormat="1">
      <c r="A589" s="361" t="s">
        <v>1047</v>
      </c>
      <c r="B589" s="181">
        <v>6</v>
      </c>
      <c r="C589" s="362">
        <v>49.2</v>
      </c>
      <c r="D589" s="362">
        <v>63.9</v>
      </c>
      <c r="E589" s="363">
        <v>1626</v>
      </c>
      <c r="F589" s="362">
        <v>8.6</v>
      </c>
      <c r="G589" s="364">
        <v>14.746499999999999</v>
      </c>
      <c r="K589" s="369"/>
    </row>
    <row r="590" spans="1:11" s="365" customFormat="1">
      <c r="A590" s="361" t="s">
        <v>1047</v>
      </c>
      <c r="B590" s="181">
        <v>7</v>
      </c>
      <c r="C590" s="362">
        <v>52.2</v>
      </c>
      <c r="D590" s="362">
        <v>67.900000000000006</v>
      </c>
      <c r="E590" s="363">
        <v>1746</v>
      </c>
      <c r="F590" s="362">
        <v>8.6</v>
      </c>
      <c r="G590" s="364">
        <v>14.746499999999999</v>
      </c>
      <c r="K590" s="369"/>
    </row>
    <row r="591" spans="1:11" s="365" customFormat="1">
      <c r="A591" s="361" t="s">
        <v>1047</v>
      </c>
      <c r="B591" s="181">
        <v>8</v>
      </c>
      <c r="C591" s="362">
        <v>52.6</v>
      </c>
      <c r="D591" s="362">
        <v>68.599999999999994</v>
      </c>
      <c r="E591" s="363">
        <v>1499</v>
      </c>
      <c r="F591" s="362">
        <v>8.6</v>
      </c>
      <c r="G591" s="364">
        <v>14.746499999999999</v>
      </c>
      <c r="K591" s="369"/>
    </row>
    <row r="592" spans="1:11" s="365" customFormat="1">
      <c r="A592" s="361" t="s">
        <v>1047</v>
      </c>
      <c r="B592" s="181">
        <v>9</v>
      </c>
      <c r="C592" s="362">
        <v>49.2</v>
      </c>
      <c r="D592" s="362">
        <v>67.8</v>
      </c>
      <c r="E592" s="363">
        <v>1183</v>
      </c>
      <c r="F592" s="362">
        <v>8.6</v>
      </c>
      <c r="G592" s="364">
        <v>14.746499999999999</v>
      </c>
      <c r="K592" s="369"/>
    </row>
    <row r="593" spans="1:11" s="365" customFormat="1">
      <c r="A593" s="361" t="s">
        <v>1047</v>
      </c>
      <c r="B593" s="181">
        <v>10</v>
      </c>
      <c r="C593" s="362">
        <v>44.3</v>
      </c>
      <c r="D593" s="362">
        <v>61.4</v>
      </c>
      <c r="E593" s="363">
        <v>713</v>
      </c>
      <c r="F593" s="362">
        <v>8.6</v>
      </c>
      <c r="G593" s="364">
        <v>14.746499999999999</v>
      </c>
      <c r="K593" s="369"/>
    </row>
    <row r="594" spans="1:11" s="365" customFormat="1">
      <c r="A594" s="361" t="s">
        <v>1047</v>
      </c>
      <c r="B594" s="181">
        <v>11</v>
      </c>
      <c r="C594" s="362">
        <v>39.700000000000003</v>
      </c>
      <c r="D594" s="362">
        <v>53.5</v>
      </c>
      <c r="E594" s="363">
        <v>387</v>
      </c>
      <c r="F594" s="362">
        <v>8.6</v>
      </c>
      <c r="G594" s="364">
        <v>14.746499999999999</v>
      </c>
      <c r="K594" s="369"/>
    </row>
    <row r="595" spans="1:11" s="365" customFormat="1">
      <c r="A595" s="361" t="s">
        <v>1047</v>
      </c>
      <c r="B595" s="181">
        <v>12</v>
      </c>
      <c r="C595" s="362">
        <v>37.299999999999997</v>
      </c>
      <c r="D595" s="362">
        <v>48.8</v>
      </c>
      <c r="E595" s="363">
        <v>261</v>
      </c>
      <c r="F595" s="362">
        <v>8.6</v>
      </c>
      <c r="G595" s="364">
        <v>14.746499999999999</v>
      </c>
      <c r="K595" s="369"/>
    </row>
    <row r="596" spans="1:11" s="365" customFormat="1">
      <c r="A596" s="361" t="s">
        <v>1047</v>
      </c>
      <c r="B596" s="181" t="s">
        <v>726</v>
      </c>
      <c r="C596" s="376">
        <f>AVERAGE(C584:C595)</f>
        <v>43.141666666666673</v>
      </c>
      <c r="D596" s="376">
        <f>AVERAGE(D584:D595)</f>
        <v>58.074999999999989</v>
      </c>
      <c r="E596" s="377">
        <f>AVERAGE(E584:E595)</f>
        <v>1000.1666666666666</v>
      </c>
      <c r="F596" s="366">
        <f>AVERAGE(F584:F595)</f>
        <v>8.5999999999999979</v>
      </c>
      <c r="G596" s="368">
        <f>AVERAGE(G584:G595)</f>
        <v>14.746499999999999</v>
      </c>
      <c r="K596" s="369"/>
    </row>
    <row r="597" spans="1:11" s="365" customFormat="1">
      <c r="A597" s="361" t="s">
        <v>1048</v>
      </c>
      <c r="B597" s="181">
        <v>1</v>
      </c>
      <c r="C597" s="362">
        <v>33.5</v>
      </c>
      <c r="D597" s="362">
        <v>44.3</v>
      </c>
      <c r="E597" s="363">
        <v>310</v>
      </c>
      <c r="F597" s="362">
        <v>7.9</v>
      </c>
      <c r="G597" s="364">
        <v>14.746499999999999</v>
      </c>
      <c r="K597" s="369"/>
    </row>
    <row r="598" spans="1:11" s="365" customFormat="1">
      <c r="A598" s="361" t="s">
        <v>1048</v>
      </c>
      <c r="B598" s="181">
        <v>2</v>
      </c>
      <c r="C598" s="362">
        <v>36</v>
      </c>
      <c r="D598" s="362">
        <v>50.4</v>
      </c>
      <c r="E598" s="363">
        <v>554</v>
      </c>
      <c r="F598" s="362">
        <v>7.9</v>
      </c>
      <c r="G598" s="364">
        <v>14.746499999999999</v>
      </c>
      <c r="K598" s="369"/>
    </row>
    <row r="599" spans="1:11" s="365" customFormat="1">
      <c r="A599" s="361" t="s">
        <v>1048</v>
      </c>
      <c r="B599" s="181">
        <v>3</v>
      </c>
      <c r="C599" s="362">
        <v>37.4</v>
      </c>
      <c r="D599" s="362">
        <v>54.5</v>
      </c>
      <c r="E599" s="363">
        <v>895</v>
      </c>
      <c r="F599" s="362">
        <v>7.9</v>
      </c>
      <c r="G599" s="364">
        <v>14.746499999999999</v>
      </c>
      <c r="K599" s="369"/>
    </row>
    <row r="600" spans="1:11" s="365" customFormat="1">
      <c r="A600" s="361" t="s">
        <v>1048</v>
      </c>
      <c r="B600" s="181">
        <v>4</v>
      </c>
      <c r="C600" s="362">
        <v>40.6</v>
      </c>
      <c r="D600" s="362">
        <v>60.2</v>
      </c>
      <c r="E600" s="363">
        <v>1308</v>
      </c>
      <c r="F600" s="362">
        <v>7.9</v>
      </c>
      <c r="G600" s="364">
        <v>14.746499999999999</v>
      </c>
      <c r="K600" s="369"/>
    </row>
    <row r="601" spans="1:11" s="365" customFormat="1">
      <c r="A601" s="361" t="s">
        <v>1048</v>
      </c>
      <c r="B601" s="181">
        <v>5</v>
      </c>
      <c r="C601" s="362">
        <v>46.4</v>
      </c>
      <c r="D601" s="362">
        <v>66.900000000000006</v>
      </c>
      <c r="E601" s="363">
        <v>1663</v>
      </c>
      <c r="F601" s="362">
        <v>7.9</v>
      </c>
      <c r="G601" s="364">
        <v>14.746499999999999</v>
      </c>
      <c r="K601" s="369"/>
    </row>
    <row r="602" spans="1:11" s="365" customFormat="1">
      <c r="A602" s="361" t="s">
        <v>1048</v>
      </c>
      <c r="B602" s="181">
        <v>6</v>
      </c>
      <c r="C602" s="362">
        <v>52.2</v>
      </c>
      <c r="D602" s="362">
        <v>72.7</v>
      </c>
      <c r="E602" s="363">
        <v>1773</v>
      </c>
      <c r="F602" s="362">
        <v>7.9</v>
      </c>
      <c r="G602" s="364">
        <v>14.746499999999999</v>
      </c>
      <c r="K602" s="369"/>
    </row>
    <row r="603" spans="1:11" s="365" customFormat="1">
      <c r="A603" s="361" t="s">
        <v>1048</v>
      </c>
      <c r="B603" s="181">
        <v>7</v>
      </c>
      <c r="C603" s="362">
        <v>55.8</v>
      </c>
      <c r="D603" s="362">
        <v>79.5</v>
      </c>
      <c r="E603" s="363">
        <v>2037</v>
      </c>
      <c r="F603" s="362">
        <v>7.9</v>
      </c>
      <c r="G603" s="364">
        <v>14.746499999999999</v>
      </c>
      <c r="K603" s="369"/>
    </row>
    <row r="604" spans="1:11" s="365" customFormat="1">
      <c r="A604" s="361" t="s">
        <v>1048</v>
      </c>
      <c r="B604" s="181">
        <v>8</v>
      </c>
      <c r="C604" s="362">
        <v>55.8</v>
      </c>
      <c r="D604" s="362">
        <v>78.599999999999994</v>
      </c>
      <c r="E604" s="363">
        <v>1674</v>
      </c>
      <c r="F604" s="362">
        <v>7.9</v>
      </c>
      <c r="G604" s="364">
        <v>14.746499999999999</v>
      </c>
      <c r="K604" s="369"/>
    </row>
    <row r="605" spans="1:11" s="365" customFormat="1">
      <c r="A605" s="361" t="s">
        <v>1048</v>
      </c>
      <c r="B605" s="181">
        <v>9</v>
      </c>
      <c r="C605" s="362">
        <v>51.1</v>
      </c>
      <c r="D605" s="362">
        <v>74.2</v>
      </c>
      <c r="E605" s="363">
        <v>1217</v>
      </c>
      <c r="F605" s="362">
        <v>7.9</v>
      </c>
      <c r="G605" s="364">
        <v>14.746499999999999</v>
      </c>
      <c r="K605" s="369"/>
    </row>
    <row r="606" spans="1:11" s="365" customFormat="1">
      <c r="A606" s="361" t="s">
        <v>1048</v>
      </c>
      <c r="B606" s="181">
        <v>10</v>
      </c>
      <c r="C606" s="362">
        <v>44.6</v>
      </c>
      <c r="D606" s="362">
        <v>63.9</v>
      </c>
      <c r="E606" s="363">
        <v>724</v>
      </c>
      <c r="F606" s="362">
        <v>7.9</v>
      </c>
      <c r="G606" s="364">
        <v>14.746499999999999</v>
      </c>
      <c r="K606" s="369"/>
    </row>
    <row r="607" spans="1:11" s="365" customFormat="1">
      <c r="A607" s="361" t="s">
        <v>1048</v>
      </c>
      <c r="B607" s="181">
        <v>11</v>
      </c>
      <c r="C607" s="362">
        <v>38.6</v>
      </c>
      <c r="D607" s="362">
        <v>52.3</v>
      </c>
      <c r="E607" s="363">
        <v>388</v>
      </c>
      <c r="F607" s="362">
        <v>7.9</v>
      </c>
      <c r="G607" s="364">
        <v>14.746499999999999</v>
      </c>
      <c r="K607" s="369"/>
    </row>
    <row r="608" spans="1:11" s="365" customFormat="1">
      <c r="A608" s="361" t="s">
        <v>1048</v>
      </c>
      <c r="B608" s="181">
        <v>12</v>
      </c>
      <c r="C608" s="362">
        <v>35.4</v>
      </c>
      <c r="D608" s="362">
        <v>46.4</v>
      </c>
      <c r="E608" s="363">
        <v>260</v>
      </c>
      <c r="F608" s="362">
        <v>7.9</v>
      </c>
      <c r="G608" s="364">
        <v>14.746499999999999</v>
      </c>
      <c r="K608" s="369"/>
    </row>
    <row r="609" spans="1:11" s="365" customFormat="1">
      <c r="A609" s="361" t="s">
        <v>1048</v>
      </c>
      <c r="B609" s="181" t="s">
        <v>726</v>
      </c>
      <c r="C609" s="376">
        <f>AVERAGE(C597:C608)</f>
        <v>43.95000000000001</v>
      </c>
      <c r="D609" s="376">
        <f>AVERAGE(D597:D608)</f>
        <v>61.991666666666653</v>
      </c>
      <c r="E609" s="377">
        <f>AVERAGE(E597:E608)</f>
        <v>1066.9166666666667</v>
      </c>
      <c r="F609" s="366">
        <f>AVERAGE(F597:F608)</f>
        <v>7.9000000000000012</v>
      </c>
      <c r="G609" s="368">
        <f>AVERAGE(G597:G608)</f>
        <v>14.746499999999999</v>
      </c>
      <c r="K609" s="369"/>
    </row>
    <row r="610" spans="1:11" ht="59">
      <c r="A610" s="85" t="s">
        <v>704</v>
      </c>
      <c r="B610" s="85" t="s">
        <v>707</v>
      </c>
      <c r="C610" s="85" t="s">
        <v>999</v>
      </c>
      <c r="D610" s="85" t="s">
        <v>1000</v>
      </c>
      <c r="E610" s="85" t="s">
        <v>1001</v>
      </c>
      <c r="F610" s="85" t="s">
        <v>1002</v>
      </c>
      <c r="G610" s="359" t="s">
        <v>1003</v>
      </c>
      <c r="I610" s="85" t="s">
        <v>1004</v>
      </c>
      <c r="K610" s="360"/>
    </row>
    <row r="611" spans="1:11">
      <c r="A611" s="370" t="s">
        <v>1049</v>
      </c>
      <c r="B611" s="181">
        <v>1</v>
      </c>
      <c r="C611" s="371">
        <v>23.8</v>
      </c>
      <c r="D611" s="371">
        <v>38.6</v>
      </c>
      <c r="E611" s="372">
        <v>555</v>
      </c>
      <c r="F611" s="371">
        <v>9.5</v>
      </c>
      <c r="G611" s="373">
        <v>14.73</v>
      </c>
      <c r="K611" s="369"/>
    </row>
    <row r="612" spans="1:11">
      <c r="A612" s="370" t="s">
        <v>1049</v>
      </c>
      <c r="B612" s="181">
        <v>2</v>
      </c>
      <c r="C612" s="371">
        <v>25</v>
      </c>
      <c r="D612" s="371">
        <v>41.1</v>
      </c>
      <c r="E612" s="372">
        <v>795</v>
      </c>
      <c r="F612" s="371">
        <v>9.5</v>
      </c>
      <c r="G612" s="373">
        <v>14.73</v>
      </c>
      <c r="K612" s="369"/>
    </row>
    <row r="613" spans="1:11">
      <c r="A613" s="370" t="s">
        <v>1049</v>
      </c>
      <c r="B613" s="181">
        <v>3</v>
      </c>
      <c r="C613" s="371">
        <v>33.1</v>
      </c>
      <c r="D613" s="371">
        <v>50.5</v>
      </c>
      <c r="E613" s="372">
        <v>1108</v>
      </c>
      <c r="F613" s="371">
        <v>9.5</v>
      </c>
      <c r="G613" s="373">
        <v>14.73</v>
      </c>
      <c r="K613" s="369"/>
    </row>
    <row r="614" spans="1:11">
      <c r="A614" s="370" t="s">
        <v>1049</v>
      </c>
      <c r="B614" s="181">
        <v>4</v>
      </c>
      <c r="C614" s="371">
        <v>42.6</v>
      </c>
      <c r="D614" s="371">
        <v>63.2</v>
      </c>
      <c r="E614" s="372">
        <v>1434</v>
      </c>
      <c r="F614" s="371">
        <v>9.5</v>
      </c>
      <c r="G614" s="373">
        <v>14.73</v>
      </c>
      <c r="K614" s="369"/>
    </row>
    <row r="615" spans="1:11">
      <c r="A615" s="370" t="s">
        <v>1049</v>
      </c>
      <c r="B615" s="181">
        <v>5</v>
      </c>
      <c r="C615" s="371">
        <v>52.5</v>
      </c>
      <c r="D615" s="371">
        <v>73</v>
      </c>
      <c r="E615" s="372">
        <v>1660</v>
      </c>
      <c r="F615" s="371">
        <v>9.5</v>
      </c>
      <c r="G615" s="373">
        <v>14.73</v>
      </c>
      <c r="K615" s="369"/>
    </row>
    <row r="616" spans="1:11">
      <c r="A616" s="370" t="s">
        <v>1049</v>
      </c>
      <c r="B616" s="181">
        <v>6</v>
      </c>
      <c r="C616" s="371">
        <v>61.5</v>
      </c>
      <c r="D616" s="371">
        <v>81.7</v>
      </c>
      <c r="E616" s="372">
        <v>1811</v>
      </c>
      <c r="F616" s="371">
        <v>9.5</v>
      </c>
      <c r="G616" s="373">
        <v>14.73</v>
      </c>
      <c r="K616" s="369"/>
    </row>
    <row r="617" spans="1:11">
      <c r="A617" s="370" t="s">
        <v>1049</v>
      </c>
      <c r="B617" s="181">
        <v>7</v>
      </c>
      <c r="C617" s="371">
        <v>66.8</v>
      </c>
      <c r="D617" s="371">
        <v>86.1</v>
      </c>
      <c r="E617" s="372">
        <v>1758</v>
      </c>
      <c r="F617" s="371">
        <v>9.5</v>
      </c>
      <c r="G617" s="373">
        <v>14.73</v>
      </c>
      <c r="K617" s="369"/>
    </row>
    <row r="618" spans="1:11">
      <c r="A618" s="370" t="s">
        <v>1049</v>
      </c>
      <c r="B618" s="181">
        <v>8</v>
      </c>
      <c r="C618" s="371">
        <v>66</v>
      </c>
      <c r="D618" s="371">
        <v>84.6</v>
      </c>
      <c r="E618" s="372">
        <v>1575</v>
      </c>
      <c r="F618" s="371">
        <v>9.5</v>
      </c>
      <c r="G618" s="373">
        <v>14.73</v>
      </c>
      <c r="K618" s="369"/>
    </row>
    <row r="619" spans="1:11">
      <c r="A619" s="370" t="s">
        <v>1049</v>
      </c>
      <c r="B619" s="181">
        <v>9</v>
      </c>
      <c r="C619" s="371">
        <v>58.6</v>
      </c>
      <c r="D619" s="371">
        <v>77.8</v>
      </c>
      <c r="E619" s="372">
        <v>1281</v>
      </c>
      <c r="F619" s="371">
        <v>9.5</v>
      </c>
      <c r="G619" s="373">
        <v>14.73</v>
      </c>
      <c r="K619" s="369"/>
    </row>
    <row r="620" spans="1:11">
      <c r="A620" s="370" t="s">
        <v>1049</v>
      </c>
      <c r="B620" s="181">
        <v>10</v>
      </c>
      <c r="C620" s="371">
        <v>46.5</v>
      </c>
      <c r="D620" s="371">
        <v>66.5</v>
      </c>
      <c r="E620" s="372">
        <v>959</v>
      </c>
      <c r="F620" s="371">
        <v>9.5</v>
      </c>
      <c r="G620" s="373">
        <v>14.73</v>
      </c>
      <c r="K620" s="369"/>
    </row>
    <row r="621" spans="1:11">
      <c r="A621" s="370" t="s">
        <v>1049</v>
      </c>
      <c r="B621" s="181">
        <v>11</v>
      </c>
      <c r="C621" s="371">
        <v>37.1</v>
      </c>
      <c r="D621" s="371">
        <v>54.5</v>
      </c>
      <c r="E621" s="372">
        <v>619</v>
      </c>
      <c r="F621" s="371">
        <v>9.5</v>
      </c>
      <c r="G621" s="373">
        <v>14.73</v>
      </c>
      <c r="K621" s="369"/>
    </row>
    <row r="622" spans="1:11">
      <c r="A622" s="370" t="s">
        <v>1049</v>
      </c>
      <c r="B622" s="181">
        <v>12</v>
      </c>
      <c r="C622" s="371">
        <v>28</v>
      </c>
      <c r="D622" s="371">
        <v>43</v>
      </c>
      <c r="E622" s="372">
        <v>470</v>
      </c>
      <c r="F622" s="371">
        <v>9.5</v>
      </c>
      <c r="G622" s="373">
        <v>14.73</v>
      </c>
      <c r="K622" s="369"/>
    </row>
    <row r="623" spans="1:11">
      <c r="A623" s="370" t="s">
        <v>1049</v>
      </c>
      <c r="B623" s="181" t="s">
        <v>726</v>
      </c>
      <c r="C623" s="376">
        <f>AVERAGE(C611:C622)</f>
        <v>45.125</v>
      </c>
      <c r="D623" s="376">
        <f>AVERAGE(D611:D622)</f>
        <v>63.383333333333326</v>
      </c>
      <c r="E623" s="377">
        <f>AVERAGE(E611:E622)</f>
        <v>1168.75</v>
      </c>
      <c r="F623" s="376">
        <f>AVERAGE(F611:F622)</f>
        <v>9.5</v>
      </c>
      <c r="G623" s="368">
        <f>AVERAGE(G611:G622)</f>
        <v>14.729999999999999</v>
      </c>
      <c r="K623" s="369"/>
    </row>
    <row r="624" spans="1:11">
      <c r="A624" s="370" t="s">
        <v>1050</v>
      </c>
      <c r="B624" s="181">
        <v>1</v>
      </c>
      <c r="C624" s="371">
        <v>19.2</v>
      </c>
      <c r="D624" s="371">
        <v>34.1</v>
      </c>
      <c r="E624" s="372">
        <v>424</v>
      </c>
      <c r="F624" s="371">
        <v>9.1</v>
      </c>
      <c r="G624" s="373">
        <v>14.11</v>
      </c>
      <c r="K624" s="369"/>
    </row>
    <row r="625" spans="1:11">
      <c r="A625" s="370" t="s">
        <v>1050</v>
      </c>
      <c r="B625" s="181">
        <v>2</v>
      </c>
      <c r="C625" s="371">
        <v>20.7</v>
      </c>
      <c r="D625" s="371">
        <v>36.799999999999997</v>
      </c>
      <c r="E625" s="372">
        <v>625</v>
      </c>
      <c r="F625" s="371">
        <v>9.1</v>
      </c>
      <c r="G625" s="373">
        <v>14.11</v>
      </c>
      <c r="K625" s="369"/>
    </row>
    <row r="626" spans="1:11">
      <c r="A626" s="370" t="s">
        <v>1050</v>
      </c>
      <c r="B626" s="181">
        <v>3</v>
      </c>
      <c r="C626" s="371">
        <v>29.4</v>
      </c>
      <c r="D626" s="371">
        <v>47.6</v>
      </c>
      <c r="E626" s="372">
        <v>943</v>
      </c>
      <c r="F626" s="371">
        <v>9.1</v>
      </c>
      <c r="G626" s="373">
        <v>14.11</v>
      </c>
      <c r="K626" s="369"/>
    </row>
    <row r="627" spans="1:11">
      <c r="A627" s="370" t="s">
        <v>1050</v>
      </c>
      <c r="B627" s="181">
        <v>4</v>
      </c>
      <c r="C627" s="371">
        <v>39.4</v>
      </c>
      <c r="D627" s="371">
        <v>60.7</v>
      </c>
      <c r="E627" s="372">
        <v>1317</v>
      </c>
      <c r="F627" s="371">
        <v>9.1</v>
      </c>
      <c r="G627" s="373">
        <v>14.11</v>
      </c>
      <c r="K627" s="369"/>
    </row>
    <row r="628" spans="1:11">
      <c r="A628" s="370" t="s">
        <v>1050</v>
      </c>
      <c r="B628" s="181">
        <v>5</v>
      </c>
      <c r="C628" s="371">
        <v>48.5</v>
      </c>
      <c r="D628" s="371">
        <v>70.8</v>
      </c>
      <c r="E628" s="372">
        <v>1602</v>
      </c>
      <c r="F628" s="371">
        <v>9.1</v>
      </c>
      <c r="G628" s="373">
        <v>14.11</v>
      </c>
      <c r="K628" s="369"/>
    </row>
    <row r="629" spans="1:11">
      <c r="A629" s="370" t="s">
        <v>1050</v>
      </c>
      <c r="B629" s="181">
        <v>6</v>
      </c>
      <c r="C629" s="371">
        <v>57.1</v>
      </c>
      <c r="D629" s="371">
        <v>79.099999999999994</v>
      </c>
      <c r="E629" s="372">
        <v>1762</v>
      </c>
      <c r="F629" s="371">
        <v>9.1</v>
      </c>
      <c r="G629" s="373">
        <v>14.11</v>
      </c>
      <c r="K629" s="369"/>
    </row>
    <row r="630" spans="1:11">
      <c r="A630" s="370" t="s">
        <v>1050</v>
      </c>
      <c r="B630" s="181">
        <v>7</v>
      </c>
      <c r="C630" s="371">
        <v>61.3</v>
      </c>
      <c r="D630" s="371">
        <v>82.7</v>
      </c>
      <c r="E630" s="372">
        <v>1689</v>
      </c>
      <c r="F630" s="371">
        <v>9.1</v>
      </c>
      <c r="G630" s="373">
        <v>14.11</v>
      </c>
      <c r="K630" s="369"/>
    </row>
    <row r="631" spans="1:11">
      <c r="A631" s="370" t="s">
        <v>1050</v>
      </c>
      <c r="B631" s="181">
        <v>8</v>
      </c>
      <c r="C631" s="371">
        <v>60.1</v>
      </c>
      <c r="D631" s="371">
        <v>81.099999999999994</v>
      </c>
      <c r="E631" s="372">
        <v>1510</v>
      </c>
      <c r="F631" s="371">
        <v>9.1</v>
      </c>
      <c r="G631" s="373">
        <v>14.11</v>
      </c>
      <c r="K631" s="369"/>
    </row>
    <row r="632" spans="1:11">
      <c r="A632" s="370" t="s">
        <v>1050</v>
      </c>
      <c r="B632" s="181">
        <v>9</v>
      </c>
      <c r="C632" s="371">
        <v>53.3</v>
      </c>
      <c r="D632" s="371">
        <v>74.8</v>
      </c>
      <c r="E632" s="372">
        <v>1209</v>
      </c>
      <c r="F632" s="371">
        <v>9.1</v>
      </c>
      <c r="G632" s="373">
        <v>14.11</v>
      </c>
      <c r="K632" s="369"/>
    </row>
    <row r="633" spans="1:11">
      <c r="A633" s="370" t="s">
        <v>1050</v>
      </c>
      <c r="B633" s="181">
        <v>10</v>
      </c>
      <c r="C633" s="371">
        <v>42.1</v>
      </c>
      <c r="D633" s="371">
        <v>62.9</v>
      </c>
      <c r="E633" s="372">
        <v>895</v>
      </c>
      <c r="F633" s="371">
        <v>9.1</v>
      </c>
      <c r="G633" s="373">
        <v>14.11</v>
      </c>
      <c r="K633" s="369"/>
    </row>
    <row r="634" spans="1:11">
      <c r="A634" s="370" t="s">
        <v>1050</v>
      </c>
      <c r="B634" s="181">
        <v>11</v>
      </c>
      <c r="C634" s="371">
        <v>33.299999999999997</v>
      </c>
      <c r="D634" s="371">
        <v>49.8</v>
      </c>
      <c r="E634" s="372">
        <v>505</v>
      </c>
      <c r="F634" s="371">
        <v>9.1</v>
      </c>
      <c r="G634" s="373">
        <v>14.11</v>
      </c>
      <c r="K634" s="369"/>
    </row>
    <row r="635" spans="1:11">
      <c r="A635" s="370" t="s">
        <v>1050</v>
      </c>
      <c r="B635" s="181">
        <v>12</v>
      </c>
      <c r="C635" s="371">
        <v>24.3</v>
      </c>
      <c r="D635" s="371">
        <v>38.4</v>
      </c>
      <c r="E635" s="372">
        <v>347</v>
      </c>
      <c r="F635" s="371">
        <v>9.1</v>
      </c>
      <c r="G635" s="373">
        <v>14.11</v>
      </c>
      <c r="K635" s="369"/>
    </row>
    <row r="636" spans="1:11">
      <c r="A636" s="370" t="s">
        <v>1050</v>
      </c>
      <c r="B636" s="181" t="s">
        <v>726</v>
      </c>
      <c r="C636" s="376">
        <f>AVERAGE(C624:C635)</f>
        <v>40.725000000000001</v>
      </c>
      <c r="D636" s="376">
        <f>AVERAGE(D624:D635)</f>
        <v>59.899999999999984</v>
      </c>
      <c r="E636" s="377">
        <f>AVERAGE(E624:E635)</f>
        <v>1069</v>
      </c>
      <c r="F636" s="376">
        <f>AVERAGE(F624:F635)</f>
        <v>9.0999999999999979</v>
      </c>
      <c r="G636" s="368">
        <f>AVERAGE(G624:G635)</f>
        <v>14.11</v>
      </c>
      <c r="K636" s="369"/>
    </row>
    <row r="637" spans="1:11" s="365" customFormat="1">
      <c r="A637" s="361" t="s">
        <v>1051</v>
      </c>
      <c r="B637" s="181">
        <v>1</v>
      </c>
      <c r="C637" s="362">
        <v>20</v>
      </c>
      <c r="D637" s="362">
        <v>36.4</v>
      </c>
      <c r="E637" s="363">
        <v>506</v>
      </c>
      <c r="F637" s="362">
        <v>10.6</v>
      </c>
      <c r="G637" s="364">
        <v>14.702999999999999</v>
      </c>
      <c r="K637" s="369"/>
    </row>
    <row r="638" spans="1:11" s="365" customFormat="1">
      <c r="A638" s="361" t="s">
        <v>1051</v>
      </c>
      <c r="B638" s="181">
        <v>2</v>
      </c>
      <c r="C638" s="362">
        <v>20.9</v>
      </c>
      <c r="D638" s="362">
        <v>37.700000000000003</v>
      </c>
      <c r="E638" s="363">
        <v>739</v>
      </c>
      <c r="F638" s="362">
        <v>10.6</v>
      </c>
      <c r="G638" s="364">
        <v>14.702999999999999</v>
      </c>
      <c r="K638" s="369"/>
    </row>
    <row r="639" spans="1:11" s="365" customFormat="1">
      <c r="A639" s="361" t="s">
        <v>1051</v>
      </c>
      <c r="B639" s="181">
        <v>3</v>
      </c>
      <c r="C639" s="362">
        <v>29.2</v>
      </c>
      <c r="D639" s="362">
        <v>45.5</v>
      </c>
      <c r="E639" s="363">
        <v>1032</v>
      </c>
      <c r="F639" s="362">
        <v>10.6</v>
      </c>
      <c r="G639" s="364">
        <v>14.702999999999999</v>
      </c>
      <c r="K639" s="369"/>
    </row>
    <row r="640" spans="1:11" s="365" customFormat="1">
      <c r="A640" s="361" t="s">
        <v>1051</v>
      </c>
      <c r="B640" s="181">
        <v>4</v>
      </c>
      <c r="C640" s="362">
        <v>38.299999999999997</v>
      </c>
      <c r="D640" s="362">
        <v>57.5</v>
      </c>
      <c r="E640" s="363">
        <v>1374</v>
      </c>
      <c r="F640" s="362">
        <v>10.6</v>
      </c>
      <c r="G640" s="364">
        <v>14.702999999999999</v>
      </c>
      <c r="K640" s="369"/>
    </row>
    <row r="641" spans="1:11" s="365" customFormat="1">
      <c r="A641" s="361" t="s">
        <v>1051</v>
      </c>
      <c r="B641" s="181">
        <v>5</v>
      </c>
      <c r="C641" s="362">
        <v>47.6</v>
      </c>
      <c r="D641" s="362">
        <v>67.599999999999994</v>
      </c>
      <c r="E641" s="363">
        <v>1655</v>
      </c>
      <c r="F641" s="362">
        <v>10.6</v>
      </c>
      <c r="G641" s="364">
        <v>14.702999999999999</v>
      </c>
      <c r="K641" s="369"/>
    </row>
    <row r="642" spans="1:11" s="365" customFormat="1">
      <c r="A642" s="361" t="s">
        <v>1051</v>
      </c>
      <c r="B642" s="181">
        <v>6</v>
      </c>
      <c r="C642" s="362">
        <v>57</v>
      </c>
      <c r="D642" s="362">
        <v>76.599999999999994</v>
      </c>
      <c r="E642" s="363">
        <v>1776</v>
      </c>
      <c r="F642" s="362">
        <v>10.6</v>
      </c>
      <c r="G642" s="364">
        <v>14.702999999999999</v>
      </c>
      <c r="K642" s="369"/>
    </row>
    <row r="643" spans="1:11" s="365" customFormat="1">
      <c r="A643" s="361" t="s">
        <v>1051</v>
      </c>
      <c r="B643" s="181">
        <v>7</v>
      </c>
      <c r="C643" s="362">
        <v>63.3</v>
      </c>
      <c r="D643" s="362">
        <v>81.7</v>
      </c>
      <c r="E643" s="363">
        <v>1695</v>
      </c>
      <c r="F643" s="362">
        <v>10.6</v>
      </c>
      <c r="G643" s="364">
        <v>14.702999999999999</v>
      </c>
      <c r="K643" s="369"/>
    </row>
    <row r="644" spans="1:11" s="365" customFormat="1">
      <c r="A644" s="361" t="s">
        <v>1051</v>
      </c>
      <c r="B644" s="181">
        <v>8</v>
      </c>
      <c r="C644" s="362">
        <v>61.9</v>
      </c>
      <c r="D644" s="362">
        <v>80.3</v>
      </c>
      <c r="E644" s="363">
        <v>1499</v>
      </c>
      <c r="F644" s="362">
        <v>10.6</v>
      </c>
      <c r="G644" s="364">
        <v>14.702999999999999</v>
      </c>
      <c r="K644" s="369"/>
    </row>
    <row r="645" spans="1:11" s="365" customFormat="1">
      <c r="A645" s="361" t="s">
        <v>1051</v>
      </c>
      <c r="B645" s="181">
        <v>9</v>
      </c>
      <c r="C645" s="362">
        <v>53.8</v>
      </c>
      <c r="D645" s="362">
        <v>73.099999999999994</v>
      </c>
      <c r="E645" s="363">
        <v>1209</v>
      </c>
      <c r="F645" s="362">
        <v>10.6</v>
      </c>
      <c r="G645" s="364">
        <v>14.702999999999999</v>
      </c>
      <c r="K645" s="369"/>
    </row>
    <row r="646" spans="1:11" s="365" customFormat="1">
      <c r="A646" s="361" t="s">
        <v>1051</v>
      </c>
      <c r="B646" s="181">
        <v>10</v>
      </c>
      <c r="C646" s="362">
        <v>43.1</v>
      </c>
      <c r="D646" s="362">
        <v>63.2</v>
      </c>
      <c r="E646" s="363">
        <v>907</v>
      </c>
      <c r="F646" s="362">
        <v>10.6</v>
      </c>
      <c r="G646" s="364">
        <v>14.702999999999999</v>
      </c>
      <c r="K646" s="369"/>
    </row>
    <row r="647" spans="1:11" s="365" customFormat="1">
      <c r="A647" s="361" t="s">
        <v>1051</v>
      </c>
      <c r="B647" s="181">
        <v>11</v>
      </c>
      <c r="C647" s="362">
        <v>34.799999999999997</v>
      </c>
      <c r="D647" s="362">
        <v>51.9</v>
      </c>
      <c r="E647" s="363">
        <v>538</v>
      </c>
      <c r="F647" s="362">
        <v>10.6</v>
      </c>
      <c r="G647" s="364">
        <v>14.702999999999999</v>
      </c>
      <c r="K647" s="369"/>
    </row>
    <row r="648" spans="1:11" s="365" customFormat="1">
      <c r="A648" s="361" t="s">
        <v>1051</v>
      </c>
      <c r="B648" s="181">
        <v>12</v>
      </c>
      <c r="C648" s="362">
        <v>24.1</v>
      </c>
      <c r="D648" s="362">
        <v>40.5</v>
      </c>
      <c r="E648" s="363">
        <v>419</v>
      </c>
      <c r="F648" s="362">
        <v>10.6</v>
      </c>
      <c r="G648" s="364">
        <v>14.702999999999999</v>
      </c>
      <c r="K648" s="369"/>
    </row>
    <row r="649" spans="1:11" s="365" customFormat="1">
      <c r="A649" s="361" t="s">
        <v>1051</v>
      </c>
      <c r="B649" s="181" t="s">
        <v>726</v>
      </c>
      <c r="C649" s="376">
        <f>AVERAGE(C637:C648)</f>
        <v>41.166666666666671</v>
      </c>
      <c r="D649" s="376">
        <f>AVERAGE(D637:D648)</f>
        <v>59.333333333333336</v>
      </c>
      <c r="E649" s="377">
        <f>AVERAGE(E637:E648)</f>
        <v>1112.4166666666667</v>
      </c>
      <c r="F649" s="366">
        <f>AVERAGE(F637:F648)</f>
        <v>10.599999999999998</v>
      </c>
      <c r="G649" s="368">
        <f>AVERAGE(G637:G648)</f>
        <v>14.703000000000001</v>
      </c>
      <c r="K649" s="369"/>
    </row>
    <row r="650" spans="1:11" ht="59">
      <c r="A650" s="85" t="s">
        <v>704</v>
      </c>
      <c r="B650" s="85" t="s">
        <v>707</v>
      </c>
      <c r="C650" s="85" t="s">
        <v>999</v>
      </c>
      <c r="D650" s="85" t="s">
        <v>1000</v>
      </c>
      <c r="E650" s="85" t="s">
        <v>1001</v>
      </c>
      <c r="F650" s="85" t="s">
        <v>1002</v>
      </c>
      <c r="G650" s="359" t="s">
        <v>1003</v>
      </c>
      <c r="I650" s="85" t="s">
        <v>1004</v>
      </c>
      <c r="K650" s="360"/>
    </row>
    <row r="651" spans="1:11" s="365" customFormat="1">
      <c r="A651" s="361" t="s">
        <v>1052</v>
      </c>
      <c r="B651" s="181">
        <v>1</v>
      </c>
      <c r="C651" s="362">
        <v>33.200000000000003</v>
      </c>
      <c r="D651" s="362">
        <v>56.2</v>
      </c>
      <c r="E651" s="363">
        <v>762</v>
      </c>
      <c r="F651" s="362">
        <v>6.9</v>
      </c>
      <c r="G651" s="364">
        <v>14.645</v>
      </c>
      <c r="K651" s="369"/>
    </row>
    <row r="652" spans="1:11" s="365" customFormat="1">
      <c r="A652" s="361" t="s">
        <v>1052</v>
      </c>
      <c r="B652" s="181">
        <v>2</v>
      </c>
      <c r="C652" s="362">
        <v>34.6</v>
      </c>
      <c r="D652" s="362">
        <v>59.5</v>
      </c>
      <c r="E652" s="363">
        <v>1021</v>
      </c>
      <c r="F652" s="362">
        <v>6.9</v>
      </c>
      <c r="G652" s="364">
        <v>14.645</v>
      </c>
      <c r="K652" s="369"/>
    </row>
    <row r="653" spans="1:11" s="365" customFormat="1">
      <c r="A653" s="361" t="s">
        <v>1052</v>
      </c>
      <c r="B653" s="181">
        <v>3</v>
      </c>
      <c r="C653" s="362">
        <v>41.9</v>
      </c>
      <c r="D653" s="362">
        <v>67.099999999999994</v>
      </c>
      <c r="E653" s="363">
        <v>1355</v>
      </c>
      <c r="F653" s="362">
        <v>6.9</v>
      </c>
      <c r="G653" s="364">
        <v>14.645</v>
      </c>
      <c r="K653" s="369"/>
    </row>
    <row r="654" spans="1:11" s="365" customFormat="1">
      <c r="A654" s="361" t="s">
        <v>1052</v>
      </c>
      <c r="B654" s="181">
        <v>4</v>
      </c>
      <c r="C654" s="362">
        <v>50.5</v>
      </c>
      <c r="D654" s="362">
        <v>77</v>
      </c>
      <c r="E654" s="363">
        <v>1747</v>
      </c>
      <c r="F654" s="362">
        <v>6.9</v>
      </c>
      <c r="G654" s="364">
        <v>14.645</v>
      </c>
      <c r="K654" s="369"/>
    </row>
    <row r="655" spans="1:11" s="365" customFormat="1">
      <c r="A655" s="361" t="s">
        <v>1052</v>
      </c>
      <c r="B655" s="181">
        <v>5</v>
      </c>
      <c r="C655" s="362">
        <v>59.1</v>
      </c>
      <c r="D655" s="362">
        <v>83.8</v>
      </c>
      <c r="E655" s="363">
        <v>1895</v>
      </c>
      <c r="F655" s="362">
        <v>6.9</v>
      </c>
      <c r="G655" s="364">
        <v>14.645</v>
      </c>
      <c r="K655" s="369"/>
    </row>
    <row r="656" spans="1:11" s="365" customFormat="1">
      <c r="A656" s="361" t="s">
        <v>1052</v>
      </c>
      <c r="B656" s="181">
        <v>6</v>
      </c>
      <c r="C656" s="362">
        <v>66.099999999999994</v>
      </c>
      <c r="D656" s="362">
        <v>89.2</v>
      </c>
      <c r="E656" s="363">
        <v>1947</v>
      </c>
      <c r="F656" s="362">
        <v>6.9</v>
      </c>
      <c r="G656" s="364">
        <v>14.645</v>
      </c>
      <c r="K656" s="369"/>
    </row>
    <row r="657" spans="1:11" s="365" customFormat="1">
      <c r="A657" s="361" t="s">
        <v>1052</v>
      </c>
      <c r="B657" s="181">
        <v>7</v>
      </c>
      <c r="C657" s="362">
        <v>70.099999999999994</v>
      </c>
      <c r="D657" s="362">
        <v>91.9</v>
      </c>
      <c r="E657" s="363">
        <v>1842</v>
      </c>
      <c r="F657" s="362">
        <v>6.9</v>
      </c>
      <c r="G657" s="364">
        <v>14.645</v>
      </c>
      <c r="K657" s="369"/>
    </row>
    <row r="658" spans="1:11" s="365" customFormat="1">
      <c r="A658" s="361" t="s">
        <v>1052</v>
      </c>
      <c r="B658" s="181">
        <v>8</v>
      </c>
      <c r="C658" s="362">
        <v>69.400000000000006</v>
      </c>
      <c r="D658" s="362">
        <v>91</v>
      </c>
      <c r="E658" s="363">
        <v>1703</v>
      </c>
      <c r="F658" s="362">
        <v>6.9</v>
      </c>
      <c r="G658" s="364">
        <v>14.645</v>
      </c>
      <c r="K658" s="369"/>
    </row>
    <row r="659" spans="1:11" s="365" customFormat="1">
      <c r="A659" s="361" t="s">
        <v>1052</v>
      </c>
      <c r="B659" s="181">
        <v>9</v>
      </c>
      <c r="C659" s="362">
        <v>63.9</v>
      </c>
      <c r="D659" s="362">
        <v>85.5</v>
      </c>
      <c r="E659" s="363">
        <v>1439</v>
      </c>
      <c r="F659" s="362">
        <v>6.9</v>
      </c>
      <c r="G659" s="364">
        <v>14.645</v>
      </c>
      <c r="K659" s="369"/>
    </row>
    <row r="660" spans="1:11" s="365" customFormat="1">
      <c r="A660" s="361" t="s">
        <v>1052</v>
      </c>
      <c r="B660" s="181">
        <v>10</v>
      </c>
      <c r="C660" s="362">
        <v>50.3</v>
      </c>
      <c r="D660" s="362">
        <v>76.5</v>
      </c>
      <c r="E660" s="363">
        <v>1211</v>
      </c>
      <c r="F660" s="362">
        <v>6.9</v>
      </c>
      <c r="G660" s="364">
        <v>14.645</v>
      </c>
      <c r="K660" s="369"/>
    </row>
    <row r="661" spans="1:11" s="365" customFormat="1">
      <c r="A661" s="361" t="s">
        <v>1052</v>
      </c>
      <c r="B661" s="181">
        <v>11</v>
      </c>
      <c r="C661" s="362">
        <v>40.6</v>
      </c>
      <c r="D661" s="362">
        <v>67.099999999999994</v>
      </c>
      <c r="E661" s="363">
        <v>921</v>
      </c>
      <c r="F661" s="362">
        <v>6.9</v>
      </c>
      <c r="G661" s="364">
        <v>14.645</v>
      </c>
      <c r="K661" s="369"/>
    </row>
    <row r="662" spans="1:11" s="365" customFormat="1">
      <c r="A662" s="361" t="s">
        <v>1052</v>
      </c>
      <c r="B662" s="181">
        <v>12</v>
      </c>
      <c r="C662" s="362">
        <v>34.700000000000003</v>
      </c>
      <c r="D662" s="362">
        <v>58.8</v>
      </c>
      <c r="E662" s="363">
        <v>722</v>
      </c>
      <c r="F662" s="362">
        <v>6.9</v>
      </c>
      <c r="G662" s="364">
        <v>14.645</v>
      </c>
      <c r="K662" s="369"/>
    </row>
    <row r="663" spans="1:11" s="365" customFormat="1">
      <c r="A663" s="361" t="s">
        <v>1052</v>
      </c>
      <c r="B663" s="181" t="s">
        <v>726</v>
      </c>
      <c r="C663" s="376">
        <f>AVERAGE(C651:C662)</f>
        <v>51.199999999999996</v>
      </c>
      <c r="D663" s="376">
        <f>AVERAGE(D651:D662)</f>
        <v>75.3</v>
      </c>
      <c r="E663" s="377">
        <f>AVERAGE(E651:E662)</f>
        <v>1380.4166666666667</v>
      </c>
      <c r="F663" s="366">
        <f>AVERAGE(F651:F662)</f>
        <v>6.9000000000000012</v>
      </c>
      <c r="G663" s="368">
        <f>AVERAGE(G651:G662)</f>
        <v>14.645000000000001</v>
      </c>
      <c r="K663" s="369"/>
    </row>
    <row r="664" spans="1:11" s="365" customFormat="1">
      <c r="A664" s="361" t="s">
        <v>1053</v>
      </c>
      <c r="B664" s="181">
        <v>1</v>
      </c>
      <c r="C664" s="362">
        <v>1.9</v>
      </c>
      <c r="D664" s="362">
        <v>22.9</v>
      </c>
      <c r="E664" s="363">
        <v>533</v>
      </c>
      <c r="F664" s="362">
        <v>11.1</v>
      </c>
      <c r="G664" s="364">
        <v>13.978</v>
      </c>
      <c r="K664" s="369"/>
    </row>
    <row r="665" spans="1:11" s="365" customFormat="1">
      <c r="A665" s="361" t="s">
        <v>1053</v>
      </c>
      <c r="B665" s="181">
        <v>2</v>
      </c>
      <c r="C665" s="362">
        <v>8.9</v>
      </c>
      <c r="D665" s="362">
        <v>29.3</v>
      </c>
      <c r="E665" s="363">
        <v>802</v>
      </c>
      <c r="F665" s="362">
        <v>11.1</v>
      </c>
      <c r="G665" s="364">
        <v>13.978</v>
      </c>
      <c r="K665" s="369"/>
    </row>
    <row r="666" spans="1:11" s="365" customFormat="1">
      <c r="A666" s="361" t="s">
        <v>1053</v>
      </c>
      <c r="B666" s="181">
        <v>3</v>
      </c>
      <c r="C666" s="362">
        <v>20.6</v>
      </c>
      <c r="D666" s="362">
        <v>40.1</v>
      </c>
      <c r="E666" s="363">
        <v>1152</v>
      </c>
      <c r="F666" s="362">
        <v>11.1</v>
      </c>
      <c r="G666" s="364">
        <v>13.978</v>
      </c>
      <c r="K666" s="369"/>
    </row>
    <row r="667" spans="1:11" s="365" customFormat="1">
      <c r="A667" s="361" t="s">
        <v>1053</v>
      </c>
      <c r="B667" s="181">
        <v>4</v>
      </c>
      <c r="C667" s="362">
        <v>34.6</v>
      </c>
      <c r="D667" s="362">
        <v>58.1</v>
      </c>
      <c r="E667" s="363">
        <v>1543</v>
      </c>
      <c r="F667" s="362">
        <v>11.1</v>
      </c>
      <c r="G667" s="364">
        <v>13.978</v>
      </c>
      <c r="K667" s="369"/>
    </row>
    <row r="668" spans="1:11" s="365" customFormat="1">
      <c r="A668" s="361" t="s">
        <v>1053</v>
      </c>
      <c r="B668" s="181">
        <v>5</v>
      </c>
      <c r="C668" s="362">
        <v>45.7</v>
      </c>
      <c r="D668" s="362">
        <v>70.5</v>
      </c>
      <c r="E668" s="363">
        <v>1894</v>
      </c>
      <c r="F668" s="362">
        <v>11.1</v>
      </c>
      <c r="G668" s="364">
        <v>13.978</v>
      </c>
      <c r="K668" s="369"/>
    </row>
    <row r="669" spans="1:11" s="365" customFormat="1">
      <c r="A669" s="361" t="s">
        <v>1053</v>
      </c>
      <c r="B669" s="181">
        <v>6</v>
      </c>
      <c r="C669" s="362">
        <v>56.3</v>
      </c>
      <c r="D669" s="362">
        <v>80.3</v>
      </c>
      <c r="E669" s="363">
        <v>2100</v>
      </c>
      <c r="F669" s="362">
        <v>11.1</v>
      </c>
      <c r="G669" s="364">
        <v>13.978</v>
      </c>
      <c r="K669" s="369"/>
    </row>
    <row r="670" spans="1:11" s="365" customFormat="1">
      <c r="A670" s="361" t="s">
        <v>1053</v>
      </c>
      <c r="B670" s="181">
        <v>7</v>
      </c>
      <c r="C670" s="362">
        <v>61.8</v>
      </c>
      <c r="D670" s="362">
        <v>86.2</v>
      </c>
      <c r="E670" s="363">
        <v>2150</v>
      </c>
      <c r="F670" s="362">
        <v>11.1</v>
      </c>
      <c r="G670" s="364">
        <v>13.978</v>
      </c>
      <c r="K670" s="369"/>
    </row>
    <row r="671" spans="1:11" s="365" customFormat="1">
      <c r="A671" s="361" t="s">
        <v>1053</v>
      </c>
      <c r="B671" s="181">
        <v>8</v>
      </c>
      <c r="C671" s="362">
        <v>59.7</v>
      </c>
      <c r="D671" s="362">
        <v>83.9</v>
      </c>
      <c r="E671" s="363">
        <v>1845</v>
      </c>
      <c r="F671" s="362">
        <v>11.1</v>
      </c>
      <c r="G671" s="364">
        <v>13.978</v>
      </c>
      <c r="K671" s="369"/>
    </row>
    <row r="672" spans="1:11" s="365" customFormat="1">
      <c r="A672" s="361" t="s">
        <v>1053</v>
      </c>
      <c r="B672" s="181">
        <v>9</v>
      </c>
      <c r="C672" s="362">
        <v>48.5</v>
      </c>
      <c r="D672" s="362">
        <v>73.5</v>
      </c>
      <c r="E672" s="363">
        <v>1410</v>
      </c>
      <c r="F672" s="362">
        <v>11.1</v>
      </c>
      <c r="G672" s="364">
        <v>13.978</v>
      </c>
      <c r="K672" s="369"/>
    </row>
    <row r="673" spans="1:11" s="365" customFormat="1">
      <c r="A673" s="361" t="s">
        <v>1053</v>
      </c>
      <c r="B673" s="181">
        <v>10</v>
      </c>
      <c r="C673" s="362">
        <v>36.700000000000003</v>
      </c>
      <c r="D673" s="362">
        <v>62.1</v>
      </c>
      <c r="E673" s="363">
        <v>1005</v>
      </c>
      <c r="F673" s="362">
        <v>11.1</v>
      </c>
      <c r="G673" s="364">
        <v>13.978</v>
      </c>
      <c r="K673" s="369"/>
    </row>
    <row r="674" spans="1:11" s="365" customFormat="1">
      <c r="A674" s="361" t="s">
        <v>1053</v>
      </c>
      <c r="B674" s="181">
        <v>11</v>
      </c>
      <c r="C674" s="362">
        <v>22.3</v>
      </c>
      <c r="D674" s="362">
        <v>43.7</v>
      </c>
      <c r="E674" s="363">
        <v>608</v>
      </c>
      <c r="F674" s="362">
        <v>11.1</v>
      </c>
      <c r="G674" s="364">
        <v>13.978</v>
      </c>
      <c r="K674" s="369"/>
    </row>
    <row r="675" spans="1:11" s="365" customFormat="1">
      <c r="A675" s="361" t="s">
        <v>1053</v>
      </c>
      <c r="B675" s="181">
        <v>12</v>
      </c>
      <c r="C675" s="362">
        <v>10.1</v>
      </c>
      <c r="D675" s="362">
        <v>29.3</v>
      </c>
      <c r="E675" s="363">
        <v>441</v>
      </c>
      <c r="F675" s="362">
        <v>11.1</v>
      </c>
      <c r="G675" s="364">
        <v>13.978</v>
      </c>
      <c r="K675" s="369"/>
    </row>
    <row r="676" spans="1:11" s="365" customFormat="1">
      <c r="A676" s="361" t="s">
        <v>1053</v>
      </c>
      <c r="B676" s="181" t="s">
        <v>726</v>
      </c>
      <c r="C676" s="376">
        <f>AVERAGE(C664:C675)</f>
        <v>33.925000000000004</v>
      </c>
      <c r="D676" s="376">
        <f>AVERAGE(D664:D675)</f>
        <v>56.658333333333331</v>
      </c>
      <c r="E676" s="377">
        <f>AVERAGE(E664:E675)</f>
        <v>1290.25</v>
      </c>
      <c r="F676" s="366">
        <f>AVERAGE(F664:F675)</f>
        <v>11.099999999999996</v>
      </c>
      <c r="G676" s="368">
        <f>AVERAGE(G664:G675)</f>
        <v>13.978</v>
      </c>
      <c r="K676" s="369"/>
    </row>
    <row r="677" spans="1:11" s="365" customFormat="1">
      <c r="A677" s="361" t="s">
        <v>1054</v>
      </c>
      <c r="B677" s="181">
        <v>1</v>
      </c>
      <c r="C677" s="362">
        <v>30.9</v>
      </c>
      <c r="D677" s="362">
        <v>48.3</v>
      </c>
      <c r="E677" s="363">
        <v>683</v>
      </c>
      <c r="F677" s="362">
        <v>8.9</v>
      </c>
      <c r="G677" s="364">
        <v>14.616</v>
      </c>
      <c r="K677" s="369"/>
    </row>
    <row r="678" spans="1:11" s="365" customFormat="1">
      <c r="A678" s="361" t="s">
        <v>1054</v>
      </c>
      <c r="B678" s="181">
        <v>2</v>
      </c>
      <c r="C678" s="362">
        <v>34.1</v>
      </c>
      <c r="D678" s="362">
        <v>53</v>
      </c>
      <c r="E678" s="363">
        <v>945</v>
      </c>
      <c r="F678" s="362">
        <v>8.9</v>
      </c>
      <c r="G678" s="364">
        <v>14.616</v>
      </c>
      <c r="K678" s="369"/>
    </row>
    <row r="679" spans="1:11" s="365" customFormat="1">
      <c r="A679" s="361" t="s">
        <v>1054</v>
      </c>
      <c r="B679" s="181">
        <v>3</v>
      </c>
      <c r="C679" s="362">
        <v>41.9</v>
      </c>
      <c r="D679" s="362">
        <v>61.4</v>
      </c>
      <c r="E679" s="363">
        <v>1278</v>
      </c>
      <c r="F679" s="362">
        <v>8.9</v>
      </c>
      <c r="G679" s="364">
        <v>14.616</v>
      </c>
      <c r="K679" s="369"/>
    </row>
    <row r="680" spans="1:11" s="365" customFormat="1">
      <c r="A680" s="361" t="s">
        <v>1054</v>
      </c>
      <c r="B680" s="181">
        <v>4</v>
      </c>
      <c r="C680" s="362">
        <v>52.2</v>
      </c>
      <c r="D680" s="362">
        <v>72.900000000000006</v>
      </c>
      <c r="E680" s="363">
        <v>1639</v>
      </c>
      <c r="F680" s="362">
        <v>8.9</v>
      </c>
      <c r="G680" s="364">
        <v>14.616</v>
      </c>
      <c r="K680" s="369"/>
    </row>
    <row r="681" spans="1:11" s="365" customFormat="1">
      <c r="A681" s="361" t="s">
        <v>1054</v>
      </c>
      <c r="B681" s="181">
        <v>5</v>
      </c>
      <c r="C681" s="362">
        <v>60.9</v>
      </c>
      <c r="D681" s="362">
        <v>81</v>
      </c>
      <c r="E681" s="363">
        <v>1885</v>
      </c>
      <c r="F681" s="362">
        <v>8.9</v>
      </c>
      <c r="G681" s="364">
        <v>14.616</v>
      </c>
      <c r="K681" s="369"/>
    </row>
    <row r="682" spans="1:11" s="365" customFormat="1">
      <c r="A682" s="361" t="s">
        <v>1054</v>
      </c>
      <c r="B682" s="181">
        <v>6</v>
      </c>
      <c r="C682" s="362">
        <v>68.900000000000006</v>
      </c>
      <c r="D682" s="362">
        <v>88.4</v>
      </c>
      <c r="E682" s="363">
        <v>2045</v>
      </c>
      <c r="F682" s="362">
        <v>8.9</v>
      </c>
      <c r="G682" s="364">
        <v>14.616</v>
      </c>
      <c r="K682" s="369"/>
    </row>
    <row r="683" spans="1:11" s="365" customFormat="1">
      <c r="A683" s="361" t="s">
        <v>1054</v>
      </c>
      <c r="B683" s="181">
        <v>7</v>
      </c>
      <c r="C683" s="362">
        <v>72.599999999999994</v>
      </c>
      <c r="D683" s="362">
        <v>91.5</v>
      </c>
      <c r="E683" s="363">
        <v>1972</v>
      </c>
      <c r="F683" s="362">
        <v>8.9</v>
      </c>
      <c r="G683" s="364">
        <v>14.616</v>
      </c>
      <c r="K683" s="369"/>
    </row>
    <row r="684" spans="1:11" s="365" customFormat="1">
      <c r="A684" s="361" t="s">
        <v>1054</v>
      </c>
      <c r="B684" s="181">
        <v>8</v>
      </c>
      <c r="C684" s="362">
        <v>70.8</v>
      </c>
      <c r="D684" s="362">
        <v>90.3</v>
      </c>
      <c r="E684" s="363">
        <v>1824</v>
      </c>
      <c r="F684" s="362">
        <v>8.9</v>
      </c>
      <c r="G684" s="364">
        <v>14.616</v>
      </c>
      <c r="K684" s="369"/>
    </row>
    <row r="685" spans="1:11" s="365" customFormat="1">
      <c r="A685" s="361" t="s">
        <v>1054</v>
      </c>
      <c r="B685" s="181">
        <v>9</v>
      </c>
      <c r="C685" s="362">
        <v>64.099999999999994</v>
      </c>
      <c r="D685" s="362">
        <v>84.3</v>
      </c>
      <c r="E685" s="363">
        <v>1471</v>
      </c>
      <c r="F685" s="362">
        <v>8.9</v>
      </c>
      <c r="G685" s="364">
        <v>14.616</v>
      </c>
      <c r="K685" s="369"/>
    </row>
    <row r="686" spans="1:11" s="365" customFormat="1">
      <c r="A686" s="361" t="s">
        <v>1054</v>
      </c>
      <c r="B686" s="181">
        <v>10</v>
      </c>
      <c r="C686" s="362">
        <v>51.3</v>
      </c>
      <c r="D686" s="362">
        <v>74.5</v>
      </c>
      <c r="E686" s="363">
        <v>1205</v>
      </c>
      <c r="F686" s="362">
        <v>8.9</v>
      </c>
      <c r="G686" s="364">
        <v>14.616</v>
      </c>
      <c r="K686" s="369"/>
    </row>
    <row r="687" spans="1:11" s="365" customFormat="1">
      <c r="A687" s="361" t="s">
        <v>1054</v>
      </c>
      <c r="B687" s="181">
        <v>11</v>
      </c>
      <c r="C687" s="362">
        <v>41.1</v>
      </c>
      <c r="D687" s="362">
        <v>61.4</v>
      </c>
      <c r="E687" s="363">
        <v>817</v>
      </c>
      <c r="F687" s="362">
        <v>8.9</v>
      </c>
      <c r="G687" s="364">
        <v>14.616</v>
      </c>
      <c r="K687" s="369"/>
    </row>
    <row r="688" spans="1:11" s="365" customFormat="1">
      <c r="A688" s="361" t="s">
        <v>1054</v>
      </c>
      <c r="B688" s="181">
        <v>12</v>
      </c>
      <c r="C688" s="362">
        <v>34.299999999999997</v>
      </c>
      <c r="D688" s="362">
        <v>52.3</v>
      </c>
      <c r="E688" s="363">
        <v>629</v>
      </c>
      <c r="F688" s="362">
        <v>8.9</v>
      </c>
      <c r="G688" s="364">
        <v>14.616</v>
      </c>
      <c r="K688" s="369"/>
    </row>
    <row r="689" spans="1:11" s="365" customFormat="1">
      <c r="A689" s="361" t="s">
        <v>1054</v>
      </c>
      <c r="B689" s="181" t="s">
        <v>726</v>
      </c>
      <c r="C689" s="376">
        <f>AVERAGE(C677:C688)</f>
        <v>51.92499999999999</v>
      </c>
      <c r="D689" s="376">
        <f>AVERAGE(D677:D688)</f>
        <v>71.60833333333332</v>
      </c>
      <c r="E689" s="377">
        <f>AVERAGE(E677:E688)</f>
        <v>1366.0833333333333</v>
      </c>
      <c r="F689" s="366">
        <f>AVERAGE(F677:F688)</f>
        <v>8.9000000000000021</v>
      </c>
      <c r="G689" s="368">
        <f>AVERAGE(G677:G688)</f>
        <v>14.615999999999994</v>
      </c>
      <c r="K689" s="369"/>
    </row>
    <row r="690" spans="1:11" ht="59">
      <c r="A690" s="85" t="s">
        <v>704</v>
      </c>
      <c r="B690" s="85" t="s">
        <v>707</v>
      </c>
      <c r="C690" s="85" t="s">
        <v>999</v>
      </c>
      <c r="D690" s="85" t="s">
        <v>1000</v>
      </c>
      <c r="E690" s="85" t="s">
        <v>1001</v>
      </c>
      <c r="F690" s="85" t="s">
        <v>1002</v>
      </c>
      <c r="G690" s="359" t="s">
        <v>1003</v>
      </c>
      <c r="I690" s="85" t="s">
        <v>1004</v>
      </c>
      <c r="K690" s="360"/>
    </row>
    <row r="691" spans="1:11">
      <c r="A691" s="181" t="s">
        <v>1055</v>
      </c>
      <c r="B691" s="181">
        <v>1</v>
      </c>
      <c r="C691" s="379">
        <v>21.7</v>
      </c>
      <c r="D691" s="379">
        <v>49.1</v>
      </c>
      <c r="E691" s="380">
        <v>960</v>
      </c>
      <c r="F691" s="379">
        <v>13.6</v>
      </c>
      <c r="G691" s="357">
        <v>12.92</v>
      </c>
      <c r="K691" s="369"/>
    </row>
    <row r="692" spans="1:11">
      <c r="A692" s="181" t="s">
        <v>1055</v>
      </c>
      <c r="B692" s="181">
        <v>2</v>
      </c>
      <c r="C692" s="379">
        <v>26.1</v>
      </c>
      <c r="D692" s="379">
        <v>53.1</v>
      </c>
      <c r="E692" s="380">
        <v>1244</v>
      </c>
      <c r="F692" s="379">
        <v>13.6</v>
      </c>
      <c r="G692" s="357">
        <v>12.92</v>
      </c>
      <c r="K692" s="369"/>
    </row>
    <row r="693" spans="1:11">
      <c r="A693" s="181" t="s">
        <v>1055</v>
      </c>
      <c r="B693" s="181">
        <v>3</v>
      </c>
      <c r="C693" s="379">
        <v>32</v>
      </c>
      <c r="D693" s="379">
        <v>60.8</v>
      </c>
      <c r="E693" s="380">
        <v>1631</v>
      </c>
      <c r="F693" s="379">
        <v>13.6</v>
      </c>
      <c r="G693" s="357">
        <v>12.92</v>
      </c>
      <c r="K693" s="369"/>
    </row>
    <row r="694" spans="1:11">
      <c r="A694" s="181" t="s">
        <v>1055</v>
      </c>
      <c r="B694" s="181">
        <v>4</v>
      </c>
      <c r="C694" s="379">
        <v>42</v>
      </c>
      <c r="D694" s="379">
        <v>71</v>
      </c>
      <c r="E694" s="380">
        <v>2019</v>
      </c>
      <c r="F694" s="379">
        <v>13.6</v>
      </c>
      <c r="G694" s="357">
        <v>12.92</v>
      </c>
      <c r="K694" s="369"/>
    </row>
    <row r="695" spans="1:11">
      <c r="A695" s="181" t="s">
        <v>1055</v>
      </c>
      <c r="B695" s="181">
        <v>5</v>
      </c>
      <c r="C695" s="379">
        <v>51.9</v>
      </c>
      <c r="D695" s="379">
        <v>79.099999999999994</v>
      </c>
      <c r="E695" s="380">
        <v>2212</v>
      </c>
      <c r="F695" s="379">
        <v>13.6</v>
      </c>
      <c r="G695" s="357">
        <v>12.92</v>
      </c>
      <c r="K695" s="369"/>
    </row>
    <row r="696" spans="1:11">
      <c r="A696" s="181" t="s">
        <v>1055</v>
      </c>
      <c r="B696" s="181">
        <v>6</v>
      </c>
      <c r="C696" s="379">
        <v>61.5</v>
      </c>
      <c r="D696" s="379">
        <v>88.2</v>
      </c>
      <c r="E696" s="380">
        <v>2393</v>
      </c>
      <c r="F696" s="379">
        <v>13.6</v>
      </c>
      <c r="G696" s="357">
        <v>12.92</v>
      </c>
      <c r="K696" s="369"/>
    </row>
    <row r="697" spans="1:11">
      <c r="A697" s="181" t="s">
        <v>1055</v>
      </c>
      <c r="B697" s="181">
        <v>7</v>
      </c>
      <c r="C697" s="379">
        <v>66.2</v>
      </c>
      <c r="D697" s="379">
        <v>91.4</v>
      </c>
      <c r="E697" s="380">
        <v>2281</v>
      </c>
      <c r="F697" s="379">
        <v>13.6</v>
      </c>
      <c r="G697" s="357">
        <v>12.92</v>
      </c>
      <c r="K697" s="369"/>
    </row>
    <row r="698" spans="1:11">
      <c r="A698" s="181" t="s">
        <v>1055</v>
      </c>
      <c r="B698" s="181">
        <v>8</v>
      </c>
      <c r="C698" s="379">
        <v>64.5</v>
      </c>
      <c r="D698" s="379">
        <v>89.6</v>
      </c>
      <c r="E698" s="380">
        <v>2103</v>
      </c>
      <c r="F698" s="379">
        <v>13.6</v>
      </c>
      <c r="G698" s="357">
        <v>12.92</v>
      </c>
      <c r="K698" s="369"/>
    </row>
    <row r="699" spans="1:11">
      <c r="A699" s="181" t="s">
        <v>1055</v>
      </c>
      <c r="B699" s="181">
        <v>9</v>
      </c>
      <c r="C699" s="379">
        <v>56.9</v>
      </c>
      <c r="D699" s="379">
        <v>82.4</v>
      </c>
      <c r="E699" s="380">
        <v>1761</v>
      </c>
      <c r="F699" s="379">
        <v>13.6</v>
      </c>
      <c r="G699" s="357">
        <v>12.92</v>
      </c>
      <c r="K699" s="369"/>
    </row>
    <row r="700" spans="1:11">
      <c r="A700" s="181" t="s">
        <v>1055</v>
      </c>
      <c r="B700" s="181">
        <v>10</v>
      </c>
      <c r="C700" s="379">
        <v>45.5</v>
      </c>
      <c r="D700" s="379">
        <v>72.7</v>
      </c>
      <c r="E700" s="380">
        <v>1404</v>
      </c>
      <c r="F700" s="379">
        <v>13.6</v>
      </c>
      <c r="G700" s="357">
        <v>12.92</v>
      </c>
      <c r="K700" s="369"/>
    </row>
    <row r="701" spans="1:11">
      <c r="A701" s="181" t="s">
        <v>1055</v>
      </c>
      <c r="B701" s="181">
        <v>11</v>
      </c>
      <c r="C701" s="379">
        <v>32.1</v>
      </c>
      <c r="D701" s="379">
        <v>58.7</v>
      </c>
      <c r="E701" s="380">
        <v>1033</v>
      </c>
      <c r="F701" s="379">
        <v>13.6</v>
      </c>
      <c r="G701" s="357">
        <v>12.92</v>
      </c>
      <c r="K701" s="369"/>
    </row>
    <row r="702" spans="1:11">
      <c r="A702" s="181" t="s">
        <v>1055</v>
      </c>
      <c r="B702" s="181">
        <v>12</v>
      </c>
      <c r="C702" s="379">
        <v>24.8</v>
      </c>
      <c r="D702" s="379">
        <v>51.8</v>
      </c>
      <c r="E702" s="380">
        <v>872</v>
      </c>
      <c r="F702" s="379">
        <v>13.6</v>
      </c>
      <c r="G702" s="357">
        <v>12.92</v>
      </c>
      <c r="K702" s="369"/>
    </row>
    <row r="703" spans="1:11">
      <c r="A703" s="181" t="s">
        <v>1055</v>
      </c>
      <c r="B703" s="181" t="s">
        <v>726</v>
      </c>
      <c r="C703" s="184">
        <f>AVERAGE(C691:C702)</f>
        <v>43.766666666666659</v>
      </c>
      <c r="D703" s="184">
        <f>AVERAGE(D691:D702)</f>
        <v>70.658333333333346</v>
      </c>
      <c r="E703" s="381">
        <f>AVERAGE(E691:E702)</f>
        <v>1659.4166666666667</v>
      </c>
      <c r="F703" s="184">
        <f>AVERAGE(F691:F702)</f>
        <v>13.599999999999996</v>
      </c>
      <c r="G703" s="368">
        <f>AVERAGE(G691:G702)</f>
        <v>12.919999999999996</v>
      </c>
      <c r="K703" s="369"/>
    </row>
    <row r="704" spans="1:11">
      <c r="A704" s="181" t="s">
        <v>1056</v>
      </c>
      <c r="B704" s="181">
        <v>1</v>
      </c>
      <c r="C704" s="379">
        <v>46.1</v>
      </c>
      <c r="D704" s="379">
        <v>66.5</v>
      </c>
      <c r="E704" s="380">
        <v>898</v>
      </c>
      <c r="F704" s="379">
        <v>12</v>
      </c>
      <c r="G704" s="357">
        <v>14.7</v>
      </c>
      <c r="K704" s="369"/>
    </row>
    <row r="705" spans="1:11">
      <c r="A705" s="181" t="s">
        <v>1056</v>
      </c>
      <c r="B705" s="181">
        <v>2</v>
      </c>
      <c r="C705" s="379">
        <v>48.7</v>
      </c>
      <c r="D705" s="379">
        <v>69.900000000000006</v>
      </c>
      <c r="E705" s="380">
        <v>1147</v>
      </c>
      <c r="F705" s="379">
        <v>12</v>
      </c>
      <c r="G705" s="357">
        <v>14.7</v>
      </c>
      <c r="K705" s="369"/>
    </row>
    <row r="706" spans="1:11">
      <c r="A706" s="181" t="s">
        <v>1056</v>
      </c>
      <c r="B706" s="181">
        <v>3</v>
      </c>
      <c r="C706" s="379">
        <v>55.7</v>
      </c>
      <c r="D706" s="379">
        <v>76.099999999999994</v>
      </c>
      <c r="E706" s="380">
        <v>1430</v>
      </c>
      <c r="F706" s="379">
        <v>12</v>
      </c>
      <c r="G706" s="357">
        <v>14.7</v>
      </c>
      <c r="K706" s="369"/>
    </row>
    <row r="707" spans="1:11">
      <c r="A707" s="181" t="s">
        <v>1056</v>
      </c>
      <c r="B707" s="181">
        <v>4</v>
      </c>
      <c r="C707" s="379">
        <v>63.9</v>
      </c>
      <c r="D707" s="379">
        <v>82.1</v>
      </c>
      <c r="E707" s="380">
        <v>1642</v>
      </c>
      <c r="F707" s="379">
        <v>12</v>
      </c>
      <c r="G707" s="357">
        <v>14.7</v>
      </c>
      <c r="K707" s="369"/>
    </row>
    <row r="708" spans="1:11">
      <c r="A708" s="181" t="s">
        <v>1056</v>
      </c>
      <c r="B708" s="181">
        <v>5</v>
      </c>
      <c r="C708" s="379">
        <v>69.5</v>
      </c>
      <c r="D708" s="379">
        <v>86.7</v>
      </c>
      <c r="E708" s="380">
        <v>1866</v>
      </c>
      <c r="F708" s="379">
        <v>12</v>
      </c>
      <c r="G708" s="357">
        <v>14.7</v>
      </c>
      <c r="K708" s="369"/>
    </row>
    <row r="709" spans="1:11">
      <c r="A709" s="181" t="s">
        <v>1056</v>
      </c>
      <c r="B709" s="181">
        <v>6</v>
      </c>
      <c r="C709" s="379">
        <v>74.099999999999994</v>
      </c>
      <c r="D709" s="379">
        <v>91.2</v>
      </c>
      <c r="E709" s="380">
        <v>2094</v>
      </c>
      <c r="F709" s="379">
        <v>12</v>
      </c>
      <c r="G709" s="357">
        <v>14.7</v>
      </c>
      <c r="K709" s="369"/>
    </row>
    <row r="710" spans="1:11">
      <c r="A710" s="181" t="s">
        <v>1056</v>
      </c>
      <c r="B710" s="181">
        <v>7</v>
      </c>
      <c r="C710" s="379">
        <v>75.599999999999994</v>
      </c>
      <c r="D710" s="379">
        <v>94.2</v>
      </c>
      <c r="E710" s="380">
        <v>2186</v>
      </c>
      <c r="F710" s="379">
        <v>12</v>
      </c>
      <c r="G710" s="357">
        <v>14.7</v>
      </c>
      <c r="K710" s="369"/>
    </row>
    <row r="711" spans="1:11">
      <c r="A711" s="181" t="s">
        <v>1056</v>
      </c>
      <c r="B711" s="181">
        <v>8</v>
      </c>
      <c r="C711" s="379">
        <v>75.8</v>
      </c>
      <c r="D711" s="379">
        <v>94.1</v>
      </c>
      <c r="E711" s="380">
        <v>1991</v>
      </c>
      <c r="F711" s="379">
        <v>12</v>
      </c>
      <c r="G711" s="357">
        <v>14.7</v>
      </c>
      <c r="K711" s="369"/>
    </row>
    <row r="712" spans="1:11">
      <c r="A712" s="181" t="s">
        <v>1056</v>
      </c>
      <c r="B712" s="181">
        <v>9</v>
      </c>
      <c r="C712" s="379">
        <v>72.8</v>
      </c>
      <c r="D712" s="379">
        <v>90.1</v>
      </c>
      <c r="E712" s="380">
        <v>1687</v>
      </c>
      <c r="F712" s="379">
        <v>12</v>
      </c>
      <c r="G712" s="357">
        <v>14.7</v>
      </c>
      <c r="K712" s="369"/>
    </row>
    <row r="713" spans="1:11">
      <c r="A713" s="181" t="s">
        <v>1056</v>
      </c>
      <c r="B713" s="181">
        <v>10</v>
      </c>
      <c r="C713" s="379">
        <v>64.099999999999994</v>
      </c>
      <c r="D713" s="379">
        <v>83.9</v>
      </c>
      <c r="E713" s="380">
        <v>1416</v>
      </c>
      <c r="F713" s="379">
        <v>12</v>
      </c>
      <c r="G713" s="357">
        <v>14.7</v>
      </c>
      <c r="K713" s="369"/>
    </row>
    <row r="714" spans="1:11">
      <c r="A714" s="181" t="s">
        <v>1056</v>
      </c>
      <c r="B714" s="181">
        <v>11</v>
      </c>
      <c r="C714" s="379">
        <v>54.9</v>
      </c>
      <c r="D714" s="379">
        <v>75.099999999999994</v>
      </c>
      <c r="E714" s="380">
        <v>1043</v>
      </c>
      <c r="F714" s="379">
        <v>12</v>
      </c>
      <c r="G714" s="357">
        <v>14.7</v>
      </c>
      <c r="K714" s="369"/>
    </row>
    <row r="715" spans="1:11">
      <c r="A715" s="181" t="s">
        <v>1056</v>
      </c>
      <c r="B715" s="181">
        <v>12</v>
      </c>
      <c r="C715" s="379">
        <v>48.8</v>
      </c>
      <c r="D715" s="379">
        <v>69.3</v>
      </c>
      <c r="E715" s="380">
        <v>845</v>
      </c>
      <c r="F715" s="379">
        <v>12</v>
      </c>
      <c r="G715" s="357">
        <v>14.7</v>
      </c>
      <c r="K715" s="369"/>
    </row>
    <row r="716" spans="1:11">
      <c r="A716" s="181" t="s">
        <v>1056</v>
      </c>
      <c r="B716" s="181" t="s">
        <v>726</v>
      </c>
      <c r="C716" s="184">
        <f>AVERAGE(C704:C715)</f>
        <v>62.5</v>
      </c>
      <c r="D716" s="184">
        <f>AVERAGE(D704:D715)</f>
        <v>81.600000000000009</v>
      </c>
      <c r="E716" s="382">
        <f>AVERAGE(E704:E715)</f>
        <v>1520.4166666666667</v>
      </c>
      <c r="F716" s="184">
        <f>AVERAGE(F704:F715)</f>
        <v>12</v>
      </c>
      <c r="G716" s="368">
        <f>AVERAGE(G704:G715)</f>
        <v>14.699999999999998</v>
      </c>
      <c r="K716" s="369"/>
    </row>
    <row r="717" spans="1:11">
      <c r="A717" s="181" t="s">
        <v>703</v>
      </c>
      <c r="B717" s="181">
        <v>1</v>
      </c>
      <c r="C717" s="379">
        <v>33.9</v>
      </c>
      <c r="D717" s="379">
        <v>54</v>
      </c>
      <c r="E717" s="380">
        <v>822</v>
      </c>
      <c r="F717" s="379">
        <v>10.8</v>
      </c>
      <c r="G717" s="357">
        <v>14.44</v>
      </c>
      <c r="K717" s="369"/>
    </row>
    <row r="718" spans="1:11">
      <c r="A718" s="181" t="s">
        <v>703</v>
      </c>
      <c r="B718" s="181">
        <v>2</v>
      </c>
      <c r="C718" s="379">
        <v>37.799999999999997</v>
      </c>
      <c r="D718" s="379">
        <v>59.1</v>
      </c>
      <c r="E718" s="380">
        <v>1071</v>
      </c>
      <c r="F718" s="379">
        <v>10.8</v>
      </c>
      <c r="G718" s="357">
        <v>14.44</v>
      </c>
      <c r="K718" s="369"/>
    </row>
    <row r="719" spans="1:11">
      <c r="A719" s="181" t="s">
        <v>703</v>
      </c>
      <c r="B719" s="181">
        <v>3</v>
      </c>
      <c r="C719" s="379">
        <v>44.9</v>
      </c>
      <c r="D719" s="379">
        <v>67.2</v>
      </c>
      <c r="E719" s="380">
        <v>1422</v>
      </c>
      <c r="F719" s="379">
        <v>10.8</v>
      </c>
      <c r="G719" s="357">
        <v>14.44</v>
      </c>
      <c r="K719" s="369"/>
    </row>
    <row r="720" spans="1:11">
      <c r="A720" s="181" t="s">
        <v>703</v>
      </c>
      <c r="B720" s="181">
        <v>4</v>
      </c>
      <c r="C720" s="379">
        <v>55</v>
      </c>
      <c r="D720" s="379">
        <v>76.8</v>
      </c>
      <c r="E720" s="380">
        <v>1627</v>
      </c>
      <c r="F720" s="379">
        <v>10.8</v>
      </c>
      <c r="G720" s="357">
        <v>14.44</v>
      </c>
      <c r="K720" s="369"/>
    </row>
    <row r="721" spans="1:11">
      <c r="A721" s="181" t="s">
        <v>703</v>
      </c>
      <c r="B721" s="181">
        <v>5</v>
      </c>
      <c r="C721" s="379">
        <v>62.9</v>
      </c>
      <c r="D721" s="379">
        <v>84.4</v>
      </c>
      <c r="E721" s="380">
        <v>1889</v>
      </c>
      <c r="F721" s="379">
        <v>10.8</v>
      </c>
      <c r="G721" s="357">
        <v>14.44</v>
      </c>
      <c r="K721" s="369"/>
    </row>
    <row r="722" spans="1:11">
      <c r="A722" s="181" t="s">
        <v>703</v>
      </c>
      <c r="B722" s="181">
        <v>6</v>
      </c>
      <c r="C722" s="379">
        <v>70.8</v>
      </c>
      <c r="D722" s="379">
        <v>93.2</v>
      </c>
      <c r="E722" s="380">
        <v>2135</v>
      </c>
      <c r="F722" s="379">
        <v>10.8</v>
      </c>
      <c r="G722" s="357">
        <v>14.44</v>
      </c>
      <c r="K722" s="369"/>
    </row>
    <row r="723" spans="1:11">
      <c r="A723" s="181" t="s">
        <v>703</v>
      </c>
      <c r="B723" s="181">
        <v>7</v>
      </c>
      <c r="C723" s="379">
        <v>74.7</v>
      </c>
      <c r="D723" s="379">
        <v>97.8</v>
      </c>
      <c r="E723" s="380">
        <v>2122</v>
      </c>
      <c r="F723" s="379">
        <v>10.8</v>
      </c>
      <c r="G723" s="357">
        <v>14.44</v>
      </c>
      <c r="K723" s="369"/>
    </row>
    <row r="724" spans="1:11">
      <c r="A724" s="181" t="s">
        <v>703</v>
      </c>
      <c r="B724" s="181">
        <v>8</v>
      </c>
      <c r="C724" s="379">
        <v>73.7</v>
      </c>
      <c r="D724" s="379">
        <v>97.3</v>
      </c>
      <c r="E724" s="380">
        <v>1950</v>
      </c>
      <c r="F724" s="379">
        <v>10.8</v>
      </c>
      <c r="G724" s="357">
        <v>14.44</v>
      </c>
      <c r="K724" s="369"/>
    </row>
    <row r="725" spans="1:11">
      <c r="A725" s="181" t="s">
        <v>703</v>
      </c>
      <c r="B725" s="181">
        <v>9</v>
      </c>
      <c r="C725" s="379">
        <v>67.5</v>
      </c>
      <c r="D725" s="379">
        <v>89.7</v>
      </c>
      <c r="E725" s="380">
        <v>1587</v>
      </c>
      <c r="F725" s="379">
        <v>10.8</v>
      </c>
      <c r="G725" s="357">
        <v>14.44</v>
      </c>
      <c r="K725" s="369"/>
    </row>
    <row r="726" spans="1:11">
      <c r="A726" s="181" t="s">
        <v>703</v>
      </c>
      <c r="B726" s="181">
        <v>10</v>
      </c>
      <c r="C726" s="379">
        <v>56.3</v>
      </c>
      <c r="D726" s="379">
        <v>79.5</v>
      </c>
      <c r="E726" s="380">
        <v>1276</v>
      </c>
      <c r="F726" s="379">
        <v>10.8</v>
      </c>
      <c r="G726" s="357">
        <v>14.44</v>
      </c>
      <c r="K726" s="369"/>
    </row>
    <row r="727" spans="1:11">
      <c r="A727" s="181" t="s">
        <v>703</v>
      </c>
      <c r="B727" s="181">
        <v>11</v>
      </c>
      <c r="C727" s="379">
        <v>44.9</v>
      </c>
      <c r="D727" s="379">
        <v>66.2</v>
      </c>
      <c r="E727" s="380">
        <v>936</v>
      </c>
      <c r="F727" s="379">
        <v>10.8</v>
      </c>
      <c r="G727" s="357">
        <v>14.44</v>
      </c>
      <c r="K727" s="369"/>
    </row>
    <row r="728" spans="1:11">
      <c r="A728" s="181" t="s">
        <v>703</v>
      </c>
      <c r="B728" s="181">
        <v>12</v>
      </c>
      <c r="C728" s="379">
        <v>37.4</v>
      </c>
      <c r="D728" s="379">
        <v>58.1</v>
      </c>
      <c r="E728" s="380">
        <v>780</v>
      </c>
      <c r="F728" s="379">
        <v>10.8</v>
      </c>
      <c r="G728" s="357">
        <v>14.44</v>
      </c>
      <c r="K728" s="369"/>
    </row>
    <row r="729" spans="1:11">
      <c r="A729" s="181" t="s">
        <v>703</v>
      </c>
      <c r="B729" s="181" t="s">
        <v>726</v>
      </c>
      <c r="C729" s="184">
        <f>AVERAGE(C717:C728)</f>
        <v>54.983333333333327</v>
      </c>
      <c r="D729" s="184">
        <f>AVERAGE(D717:D728)</f>
        <v>76.941666666666677</v>
      </c>
      <c r="E729" s="381">
        <f>AVERAGE(E717:E728)</f>
        <v>1468.0833333333333</v>
      </c>
      <c r="F729" s="184">
        <f>AVERAGE(F717:F728)</f>
        <v>10.799999999999999</v>
      </c>
      <c r="G729" s="368">
        <f>AVERAGE(G717:G728)</f>
        <v>14.44</v>
      </c>
      <c r="K729" s="369"/>
    </row>
    <row r="730" spans="1:11" ht="59">
      <c r="A730" s="85" t="s">
        <v>704</v>
      </c>
      <c r="B730" s="85" t="s">
        <v>707</v>
      </c>
      <c r="C730" s="85" t="s">
        <v>999</v>
      </c>
      <c r="D730" s="85" t="s">
        <v>1000</v>
      </c>
      <c r="E730" s="85" t="s">
        <v>1001</v>
      </c>
      <c r="F730" s="85" t="s">
        <v>1002</v>
      </c>
      <c r="G730" s="359" t="s">
        <v>1003</v>
      </c>
      <c r="I730" s="85" t="s">
        <v>1004</v>
      </c>
      <c r="K730" s="360"/>
    </row>
    <row r="731" spans="1:11">
      <c r="A731" s="181" t="s">
        <v>1057</v>
      </c>
      <c r="B731" s="181">
        <v>1</v>
      </c>
      <c r="C731" s="379">
        <v>40.799999999999997</v>
      </c>
      <c r="D731" s="379">
        <v>61.9</v>
      </c>
      <c r="E731" s="380">
        <v>772</v>
      </c>
      <c r="F731" s="379">
        <v>7.9</v>
      </c>
      <c r="G731" s="357">
        <v>14.7</v>
      </c>
      <c r="K731" s="369"/>
    </row>
    <row r="732" spans="1:11">
      <c r="A732" s="181" t="s">
        <v>1057</v>
      </c>
      <c r="B732" s="181">
        <v>2</v>
      </c>
      <c r="C732" s="379">
        <v>43.2</v>
      </c>
      <c r="D732" s="379">
        <v>65.7</v>
      </c>
      <c r="E732" s="380">
        <v>1034</v>
      </c>
      <c r="F732" s="379">
        <v>7.9</v>
      </c>
      <c r="G732" s="357">
        <v>14.7</v>
      </c>
      <c r="K732" s="369"/>
    </row>
    <row r="733" spans="1:11">
      <c r="A733" s="181" t="s">
        <v>1057</v>
      </c>
      <c r="B733" s="181">
        <v>3</v>
      </c>
      <c r="C733" s="379">
        <v>49.8</v>
      </c>
      <c r="D733" s="379">
        <v>72.099999999999994</v>
      </c>
      <c r="E733" s="380">
        <v>1297</v>
      </c>
      <c r="F733" s="379">
        <v>7.9</v>
      </c>
      <c r="G733" s="357">
        <v>14.7</v>
      </c>
      <c r="K733" s="369"/>
    </row>
    <row r="734" spans="1:11">
      <c r="A734" s="181" t="s">
        <v>1057</v>
      </c>
      <c r="B734" s="181">
        <v>4</v>
      </c>
      <c r="C734" s="379">
        <v>58.3</v>
      </c>
      <c r="D734" s="379">
        <v>79</v>
      </c>
      <c r="E734" s="380">
        <v>1522</v>
      </c>
      <c r="F734" s="379">
        <v>7.9</v>
      </c>
      <c r="G734" s="357">
        <v>14.7</v>
      </c>
      <c r="K734" s="369"/>
    </row>
    <row r="735" spans="1:11">
      <c r="A735" s="181" t="s">
        <v>1057</v>
      </c>
      <c r="B735" s="181">
        <v>5</v>
      </c>
      <c r="C735" s="379">
        <v>64.7</v>
      </c>
      <c r="D735" s="379">
        <v>85.1</v>
      </c>
      <c r="E735" s="380">
        <v>1775</v>
      </c>
      <c r="F735" s="379">
        <v>7.9</v>
      </c>
      <c r="G735" s="357">
        <v>14.7</v>
      </c>
      <c r="K735" s="369"/>
    </row>
    <row r="736" spans="1:11">
      <c r="A736" s="181" t="s">
        <v>1057</v>
      </c>
      <c r="B736" s="181">
        <v>6</v>
      </c>
      <c r="C736" s="379">
        <v>70.2</v>
      </c>
      <c r="D736" s="379">
        <v>90.9</v>
      </c>
      <c r="E736" s="380">
        <v>1898</v>
      </c>
      <c r="F736" s="379">
        <v>7.9</v>
      </c>
      <c r="G736" s="357">
        <v>14.7</v>
      </c>
      <c r="K736" s="369"/>
    </row>
    <row r="737" spans="1:11">
      <c r="A737" s="181" t="s">
        <v>1057</v>
      </c>
      <c r="B737" s="181">
        <v>7</v>
      </c>
      <c r="C737" s="379">
        <v>72.5</v>
      </c>
      <c r="D737" s="379">
        <v>93.6</v>
      </c>
      <c r="E737" s="380">
        <v>1828</v>
      </c>
      <c r="F737" s="379">
        <v>7.9</v>
      </c>
      <c r="G737" s="357">
        <v>14.7</v>
      </c>
      <c r="K737" s="369"/>
    </row>
    <row r="738" spans="1:11">
      <c r="A738" s="181" t="s">
        <v>1057</v>
      </c>
      <c r="B738" s="181">
        <v>8</v>
      </c>
      <c r="C738" s="379">
        <v>72.099999999999994</v>
      </c>
      <c r="D738" s="379">
        <v>93.1</v>
      </c>
      <c r="E738" s="380">
        <v>1686</v>
      </c>
      <c r="F738" s="379">
        <v>7.9</v>
      </c>
      <c r="G738" s="357">
        <v>14.7</v>
      </c>
      <c r="K738" s="369"/>
    </row>
    <row r="739" spans="1:11">
      <c r="A739" s="181" t="s">
        <v>1057</v>
      </c>
      <c r="B739" s="181">
        <v>9</v>
      </c>
      <c r="C739" s="379">
        <v>68.099999999999994</v>
      </c>
      <c r="D739" s="379">
        <v>88.7</v>
      </c>
      <c r="E739" s="380">
        <v>1471</v>
      </c>
      <c r="F739" s="379">
        <v>7.9</v>
      </c>
      <c r="G739" s="357">
        <v>14.7</v>
      </c>
      <c r="K739" s="369"/>
    </row>
    <row r="740" spans="1:11">
      <c r="A740" s="181" t="s">
        <v>1057</v>
      </c>
      <c r="B740" s="181">
        <v>10</v>
      </c>
      <c r="C740" s="379">
        <v>57.5</v>
      </c>
      <c r="D740" s="379">
        <v>81.900000000000006</v>
      </c>
      <c r="E740" s="380">
        <v>1276</v>
      </c>
      <c r="F740" s="379">
        <v>7.9</v>
      </c>
      <c r="G740" s="357">
        <v>14.7</v>
      </c>
      <c r="K740" s="369"/>
    </row>
    <row r="741" spans="1:11">
      <c r="A741" s="181" t="s">
        <v>1057</v>
      </c>
      <c r="B741" s="181">
        <v>11</v>
      </c>
      <c r="C741" s="379">
        <v>48.6</v>
      </c>
      <c r="D741" s="379">
        <v>71.599999999999994</v>
      </c>
      <c r="E741" s="380">
        <v>924</v>
      </c>
      <c r="F741" s="379">
        <v>7.9</v>
      </c>
      <c r="G741" s="357">
        <v>14.7</v>
      </c>
      <c r="K741" s="369"/>
    </row>
    <row r="742" spans="1:11">
      <c r="A742" s="181" t="s">
        <v>1057</v>
      </c>
      <c r="B742" s="181">
        <v>12</v>
      </c>
      <c r="C742" s="379">
        <v>42.7</v>
      </c>
      <c r="D742" s="379">
        <v>65.2</v>
      </c>
      <c r="E742" s="380">
        <v>730</v>
      </c>
      <c r="F742" s="379">
        <v>7.9</v>
      </c>
      <c r="G742" s="357">
        <v>14.7</v>
      </c>
      <c r="K742" s="369"/>
    </row>
    <row r="743" spans="1:11">
      <c r="A743" s="181" t="s">
        <v>1057</v>
      </c>
      <c r="B743" s="181" t="s">
        <v>726</v>
      </c>
      <c r="C743" s="184">
        <f>AVERAGE(C731:C742)</f>
        <v>57.375000000000007</v>
      </c>
      <c r="D743" s="184">
        <f>AVERAGE(D731:D742)</f>
        <v>79.066666666666677</v>
      </c>
      <c r="E743" s="381">
        <f>AVERAGE(E731:E742)</f>
        <v>1351.0833333333333</v>
      </c>
      <c r="F743" s="184">
        <f>AVERAGE(F731:F742)</f>
        <v>7.9000000000000012</v>
      </c>
      <c r="G743" s="368">
        <f>AVERAGE(G731:G742)</f>
        <v>14.699999999999998</v>
      </c>
      <c r="K743" s="369"/>
    </row>
    <row r="744" spans="1:11">
      <c r="A744" s="181" t="s">
        <v>1058</v>
      </c>
      <c r="B744" s="181">
        <v>1</v>
      </c>
      <c r="C744" s="379">
        <v>29.7</v>
      </c>
      <c r="D744" s="379">
        <v>57.6</v>
      </c>
      <c r="E744" s="380">
        <v>1081</v>
      </c>
      <c r="F744" s="379">
        <v>11.1</v>
      </c>
      <c r="G744" s="357">
        <v>13.28</v>
      </c>
      <c r="K744" s="369"/>
    </row>
    <row r="745" spans="1:11">
      <c r="A745" s="181" t="s">
        <v>1058</v>
      </c>
      <c r="B745" s="181">
        <v>2</v>
      </c>
      <c r="C745" s="379">
        <v>33.299999999999997</v>
      </c>
      <c r="D745" s="379">
        <v>62.1</v>
      </c>
      <c r="E745" s="380">
        <v>1383</v>
      </c>
      <c r="F745" s="379">
        <v>11.1</v>
      </c>
      <c r="G745" s="357">
        <v>13.28</v>
      </c>
      <c r="K745" s="369"/>
    </row>
    <row r="746" spans="1:11">
      <c r="A746" s="181" t="s">
        <v>1058</v>
      </c>
      <c r="B746" s="181">
        <v>3</v>
      </c>
      <c r="C746" s="379">
        <v>40.200000000000003</v>
      </c>
      <c r="D746" s="379">
        <v>69.8</v>
      </c>
      <c r="E746" s="380">
        <v>1839</v>
      </c>
      <c r="F746" s="379">
        <v>11.1</v>
      </c>
      <c r="G746" s="357">
        <v>13.28</v>
      </c>
      <c r="K746" s="369"/>
    </row>
    <row r="747" spans="1:11">
      <c r="A747" s="181" t="s">
        <v>1058</v>
      </c>
      <c r="B747" s="181">
        <v>4</v>
      </c>
      <c r="C747" s="379">
        <v>49.4</v>
      </c>
      <c r="D747" s="379">
        <v>78.8</v>
      </c>
      <c r="E747" s="380">
        <v>2192</v>
      </c>
      <c r="F747" s="379">
        <v>11.1</v>
      </c>
      <c r="G747" s="357">
        <v>13.28</v>
      </c>
      <c r="K747" s="369"/>
    </row>
    <row r="748" spans="1:11">
      <c r="A748" s="181" t="s">
        <v>1058</v>
      </c>
      <c r="B748" s="181">
        <v>5</v>
      </c>
      <c r="C748" s="379">
        <v>58.2</v>
      </c>
      <c r="D748" s="379">
        <v>86</v>
      </c>
      <c r="E748" s="380">
        <v>2430</v>
      </c>
      <c r="F748" s="379">
        <v>11.1</v>
      </c>
      <c r="G748" s="357">
        <v>13.28</v>
      </c>
      <c r="K748" s="369"/>
    </row>
    <row r="749" spans="1:11">
      <c r="A749" s="181" t="s">
        <v>1058</v>
      </c>
      <c r="B749" s="181">
        <v>6</v>
      </c>
      <c r="C749" s="379">
        <v>66.599999999999994</v>
      </c>
      <c r="D749" s="379">
        <v>93</v>
      </c>
      <c r="E749" s="380">
        <v>2562</v>
      </c>
      <c r="F749" s="379">
        <v>11.1</v>
      </c>
      <c r="G749" s="357">
        <v>13.28</v>
      </c>
      <c r="K749" s="369"/>
    </row>
    <row r="750" spans="1:11">
      <c r="A750" s="181" t="s">
        <v>1058</v>
      </c>
      <c r="B750" s="181">
        <v>7</v>
      </c>
      <c r="C750" s="379">
        <v>69.2</v>
      </c>
      <c r="D750" s="379">
        <v>94.2</v>
      </c>
      <c r="E750" s="380">
        <v>2389</v>
      </c>
      <c r="F750" s="379">
        <v>11.1</v>
      </c>
      <c r="G750" s="357">
        <v>13.28</v>
      </c>
      <c r="K750" s="369"/>
    </row>
    <row r="751" spans="1:11">
      <c r="A751" s="181" t="s">
        <v>1058</v>
      </c>
      <c r="B751" s="181">
        <v>8</v>
      </c>
      <c r="C751" s="379">
        <v>68</v>
      </c>
      <c r="D751" s="379">
        <v>93.1</v>
      </c>
      <c r="E751" s="380">
        <v>2210</v>
      </c>
      <c r="F751" s="379">
        <v>11.1</v>
      </c>
      <c r="G751" s="357">
        <v>13.28</v>
      </c>
      <c r="K751" s="369"/>
    </row>
    <row r="752" spans="1:11">
      <c r="A752" s="181" t="s">
        <v>1058</v>
      </c>
      <c r="B752" s="181">
        <v>9</v>
      </c>
      <c r="C752" s="379">
        <v>61.9</v>
      </c>
      <c r="D752" s="379">
        <v>86.4</v>
      </c>
      <c r="E752" s="380">
        <v>1844</v>
      </c>
      <c r="F752" s="379">
        <v>11.1</v>
      </c>
      <c r="G752" s="357">
        <v>13.28</v>
      </c>
      <c r="K752" s="369"/>
    </row>
    <row r="753" spans="1:11">
      <c r="A753" s="181" t="s">
        <v>1058</v>
      </c>
      <c r="B753" s="181">
        <v>10</v>
      </c>
      <c r="C753" s="379">
        <v>51.1</v>
      </c>
      <c r="D753" s="379">
        <v>77.7</v>
      </c>
      <c r="E753" s="380">
        <v>1522</v>
      </c>
      <c r="F753" s="379">
        <v>11.1</v>
      </c>
      <c r="G753" s="357">
        <v>13.28</v>
      </c>
      <c r="K753" s="369"/>
    </row>
    <row r="754" spans="1:11">
      <c r="A754" s="181" t="s">
        <v>1058</v>
      </c>
      <c r="B754" s="181">
        <v>11</v>
      </c>
      <c r="C754" s="379">
        <v>39</v>
      </c>
      <c r="D754" s="379">
        <v>65.5</v>
      </c>
      <c r="E754" s="380">
        <v>1176</v>
      </c>
      <c r="F754" s="379">
        <v>11.1</v>
      </c>
      <c r="G754" s="357">
        <v>13.28</v>
      </c>
      <c r="K754" s="369"/>
    </row>
    <row r="755" spans="1:11">
      <c r="A755" s="181" t="s">
        <v>1058</v>
      </c>
      <c r="B755" s="181">
        <v>12</v>
      </c>
      <c r="C755" s="379">
        <v>32.200000000000003</v>
      </c>
      <c r="D755" s="379">
        <v>59.7</v>
      </c>
      <c r="E755" s="380">
        <v>1000</v>
      </c>
      <c r="F755" s="379">
        <v>11.1</v>
      </c>
      <c r="G755" s="357">
        <v>13.28</v>
      </c>
      <c r="K755" s="369"/>
    </row>
    <row r="756" spans="1:11">
      <c r="A756" s="181" t="s">
        <v>1058</v>
      </c>
      <c r="B756" s="181" t="s">
        <v>726</v>
      </c>
      <c r="C756" s="184">
        <f>AVERAGE(C744:C755)</f>
        <v>49.9</v>
      </c>
      <c r="D756" s="184">
        <f>AVERAGE(D744:D755)</f>
        <v>76.991666666666674</v>
      </c>
      <c r="E756" s="381">
        <f>AVERAGE(E744:E755)</f>
        <v>1802.3333333333333</v>
      </c>
      <c r="F756" s="366">
        <f>AVERAGE(F744:F755)</f>
        <v>11.099999999999996</v>
      </c>
      <c r="G756" s="368">
        <f>AVERAGE(G744:G755)</f>
        <v>13.28</v>
      </c>
      <c r="K756" s="369"/>
    </row>
    <row r="757" spans="1:11">
      <c r="A757" s="370" t="s">
        <v>1059</v>
      </c>
      <c r="B757" s="181">
        <v>1</v>
      </c>
      <c r="C757" s="371">
        <v>19.7</v>
      </c>
      <c r="D757" s="371">
        <v>37.4</v>
      </c>
      <c r="E757" s="372">
        <v>639</v>
      </c>
      <c r="F757" s="371">
        <v>8.9</v>
      </c>
      <c r="G757" s="373">
        <v>12.644</v>
      </c>
      <c r="K757" s="369"/>
    </row>
    <row r="758" spans="1:11">
      <c r="A758" s="370" t="s">
        <v>1059</v>
      </c>
      <c r="B758" s="181">
        <v>2</v>
      </c>
      <c r="C758" s="371">
        <v>24.4</v>
      </c>
      <c r="D758" s="371">
        <v>43.7</v>
      </c>
      <c r="E758" s="372">
        <v>989</v>
      </c>
      <c r="F758" s="371">
        <v>8.9</v>
      </c>
      <c r="G758" s="373">
        <v>12.644</v>
      </c>
      <c r="K758" s="369"/>
    </row>
    <row r="759" spans="1:11">
      <c r="A759" s="370" t="s">
        <v>1059</v>
      </c>
      <c r="B759" s="181">
        <v>3</v>
      </c>
      <c r="C759" s="371">
        <v>29.9</v>
      </c>
      <c r="D759" s="371">
        <v>51.5</v>
      </c>
      <c r="E759" s="372">
        <v>1454</v>
      </c>
      <c r="F759" s="371">
        <v>8.9</v>
      </c>
      <c r="G759" s="373">
        <v>12.644</v>
      </c>
      <c r="K759" s="369"/>
    </row>
    <row r="760" spans="1:11">
      <c r="A760" s="370" t="s">
        <v>1059</v>
      </c>
      <c r="B760" s="181">
        <v>4</v>
      </c>
      <c r="C760" s="371">
        <v>37.200000000000003</v>
      </c>
      <c r="D760" s="371">
        <v>61.1</v>
      </c>
      <c r="E760" s="372">
        <v>1894</v>
      </c>
      <c r="F760" s="371">
        <v>8.9</v>
      </c>
      <c r="G760" s="373">
        <v>12.644</v>
      </c>
      <c r="K760" s="369"/>
    </row>
    <row r="761" spans="1:11">
      <c r="A761" s="370" t="s">
        <v>1059</v>
      </c>
      <c r="B761" s="181">
        <v>5</v>
      </c>
      <c r="C761" s="371">
        <v>45.2</v>
      </c>
      <c r="D761" s="371">
        <v>72.400000000000006</v>
      </c>
      <c r="E761" s="372">
        <v>2362</v>
      </c>
      <c r="F761" s="371">
        <v>8.9</v>
      </c>
      <c r="G761" s="373">
        <v>12.644</v>
      </c>
      <c r="K761" s="369"/>
    </row>
    <row r="762" spans="1:11">
      <c r="A762" s="370" t="s">
        <v>1059</v>
      </c>
      <c r="B762" s="181">
        <v>6</v>
      </c>
      <c r="C762" s="371">
        <v>53.3</v>
      </c>
      <c r="D762" s="371">
        <v>83.3</v>
      </c>
      <c r="E762" s="372">
        <v>2561</v>
      </c>
      <c r="F762" s="371">
        <v>8.9</v>
      </c>
      <c r="G762" s="373">
        <v>12.644</v>
      </c>
      <c r="K762" s="369"/>
    </row>
    <row r="763" spans="1:11">
      <c r="A763" s="370" t="s">
        <v>1059</v>
      </c>
      <c r="B763" s="181">
        <v>7</v>
      </c>
      <c r="C763" s="371">
        <v>61.8</v>
      </c>
      <c r="D763" s="371">
        <v>93.2</v>
      </c>
      <c r="E763" s="372">
        <v>2590</v>
      </c>
      <c r="F763" s="371">
        <v>8.9</v>
      </c>
      <c r="G763" s="373">
        <v>12.644</v>
      </c>
      <c r="K763" s="369"/>
    </row>
    <row r="764" spans="1:11">
      <c r="A764" s="370" t="s">
        <v>1059</v>
      </c>
      <c r="B764" s="181">
        <v>8</v>
      </c>
      <c r="C764" s="371">
        <v>59.7</v>
      </c>
      <c r="D764" s="371">
        <v>90</v>
      </c>
      <c r="E764" s="372">
        <v>2254</v>
      </c>
      <c r="F764" s="371">
        <v>8.9</v>
      </c>
      <c r="G764" s="373">
        <v>12.644</v>
      </c>
      <c r="K764" s="369"/>
    </row>
    <row r="765" spans="1:11">
      <c r="A765" s="370" t="s">
        <v>1059</v>
      </c>
      <c r="B765" s="181">
        <v>9</v>
      </c>
      <c r="C765" s="371">
        <v>50</v>
      </c>
      <c r="D765" s="371">
        <v>80</v>
      </c>
      <c r="E765" s="372">
        <v>1843</v>
      </c>
      <c r="F765" s="371">
        <v>8.9</v>
      </c>
      <c r="G765" s="373">
        <v>12.644</v>
      </c>
      <c r="K765" s="369"/>
    </row>
    <row r="766" spans="1:11">
      <c r="A766" s="370" t="s">
        <v>1059</v>
      </c>
      <c r="B766" s="181">
        <v>10</v>
      </c>
      <c r="C766" s="371">
        <v>39.299999999999997</v>
      </c>
      <c r="D766" s="371">
        <v>66.7</v>
      </c>
      <c r="E766" s="372">
        <v>1293</v>
      </c>
      <c r="F766" s="371">
        <v>8.9</v>
      </c>
      <c r="G766" s="373">
        <v>12.644</v>
      </c>
      <c r="K766" s="369"/>
    </row>
    <row r="767" spans="1:11">
      <c r="A767" s="370" t="s">
        <v>1059</v>
      </c>
      <c r="B767" s="181">
        <v>11</v>
      </c>
      <c r="C767" s="371">
        <v>29.2</v>
      </c>
      <c r="D767" s="371">
        <v>50.2</v>
      </c>
      <c r="E767" s="372">
        <v>788</v>
      </c>
      <c r="F767" s="371">
        <v>8.9</v>
      </c>
      <c r="G767" s="373">
        <v>12.644</v>
      </c>
      <c r="K767" s="369"/>
    </row>
    <row r="768" spans="1:11">
      <c r="A768" s="370" t="s">
        <v>1059</v>
      </c>
      <c r="B768" s="181">
        <v>12</v>
      </c>
      <c r="C768" s="371">
        <v>21.6</v>
      </c>
      <c r="D768" s="371">
        <v>38.9</v>
      </c>
      <c r="E768" s="372">
        <v>570</v>
      </c>
      <c r="F768" s="371">
        <v>8.9</v>
      </c>
      <c r="G768" s="373">
        <v>12.644</v>
      </c>
      <c r="K768" s="369"/>
    </row>
    <row r="769" spans="1:11">
      <c r="A769" s="370" t="s">
        <v>1059</v>
      </c>
      <c r="B769" s="181" t="s">
        <v>726</v>
      </c>
      <c r="C769" s="376">
        <f>AVERAGE(C757:C768)</f>
        <v>39.274999999999999</v>
      </c>
      <c r="D769" s="376">
        <f>AVERAGE(D757:D768)</f>
        <v>64.033333333333346</v>
      </c>
      <c r="E769" s="377">
        <f>AVERAGE(E757:E768)</f>
        <v>1603.0833333333333</v>
      </c>
      <c r="F769" s="366">
        <f>AVERAGE(F757:F768)</f>
        <v>8.9000000000000021</v>
      </c>
      <c r="G769" s="368">
        <f>AVERAGE(G757:G768)</f>
        <v>12.644000000000004</v>
      </c>
      <c r="K769" s="369"/>
    </row>
    <row r="770" spans="1:11" ht="59">
      <c r="A770" s="85" t="s">
        <v>704</v>
      </c>
      <c r="B770" s="85" t="s">
        <v>707</v>
      </c>
      <c r="C770" s="85" t="s">
        <v>999</v>
      </c>
      <c r="D770" s="85" t="s">
        <v>1000</v>
      </c>
      <c r="E770" s="85" t="s">
        <v>1001</v>
      </c>
      <c r="F770" s="85" t="s">
        <v>1002</v>
      </c>
      <c r="G770" s="359" t="s">
        <v>1003</v>
      </c>
      <c r="I770" s="85" t="s">
        <v>1004</v>
      </c>
      <c r="K770" s="360"/>
    </row>
    <row r="771" spans="1:11">
      <c r="A771" s="370" t="s">
        <v>1060</v>
      </c>
      <c r="B771" s="181">
        <v>1</v>
      </c>
      <c r="C771" s="371">
        <v>26.5</v>
      </c>
      <c r="D771" s="371">
        <v>46.7</v>
      </c>
      <c r="E771" s="372">
        <v>632</v>
      </c>
      <c r="F771" s="371">
        <v>7.7</v>
      </c>
      <c r="G771" s="373">
        <v>14.67</v>
      </c>
      <c r="K771" s="369"/>
    </row>
    <row r="772" spans="1:11">
      <c r="A772" s="370" t="s">
        <v>1060</v>
      </c>
      <c r="B772" s="181">
        <v>2</v>
      </c>
      <c r="C772" s="371">
        <v>28.1</v>
      </c>
      <c r="D772" s="371">
        <v>49.6</v>
      </c>
      <c r="E772" s="372">
        <v>877</v>
      </c>
      <c r="F772" s="371">
        <v>7.7</v>
      </c>
      <c r="G772" s="373">
        <v>14.67</v>
      </c>
      <c r="K772" s="369"/>
    </row>
    <row r="773" spans="1:11">
      <c r="A773" s="370" t="s">
        <v>1060</v>
      </c>
      <c r="B773" s="181">
        <v>3</v>
      </c>
      <c r="C773" s="371">
        <v>35.799999999999997</v>
      </c>
      <c r="D773" s="371">
        <v>58.5</v>
      </c>
      <c r="E773" s="372">
        <v>1210</v>
      </c>
      <c r="F773" s="371">
        <v>7.7</v>
      </c>
      <c r="G773" s="373">
        <v>14.67</v>
      </c>
      <c r="K773" s="369"/>
    </row>
    <row r="774" spans="1:11">
      <c r="A774" s="370" t="s">
        <v>1060</v>
      </c>
      <c r="B774" s="181">
        <v>4</v>
      </c>
      <c r="C774" s="371">
        <v>45.1</v>
      </c>
      <c r="D774" s="371">
        <v>70.599999999999994</v>
      </c>
      <c r="E774" s="372">
        <v>1566</v>
      </c>
      <c r="F774" s="371">
        <v>7.7</v>
      </c>
      <c r="G774" s="373">
        <v>14.67</v>
      </c>
      <c r="K774" s="369"/>
    </row>
    <row r="775" spans="1:11">
      <c r="A775" s="370" t="s">
        <v>1060</v>
      </c>
      <c r="B775" s="181">
        <v>5</v>
      </c>
      <c r="C775" s="371">
        <v>54.2</v>
      </c>
      <c r="D775" s="371">
        <v>77.900000000000006</v>
      </c>
      <c r="E775" s="372">
        <v>1762</v>
      </c>
      <c r="F775" s="371">
        <v>7.7</v>
      </c>
      <c r="G775" s="373">
        <v>14.67</v>
      </c>
      <c r="K775" s="369"/>
    </row>
    <row r="776" spans="1:11">
      <c r="A776" s="370" t="s">
        <v>1060</v>
      </c>
      <c r="B776" s="181">
        <v>6</v>
      </c>
      <c r="C776" s="371">
        <v>62.2</v>
      </c>
      <c r="D776" s="371">
        <v>84.8</v>
      </c>
      <c r="E776" s="372">
        <v>1872</v>
      </c>
      <c r="F776" s="371">
        <v>7.7</v>
      </c>
      <c r="G776" s="373">
        <v>14.67</v>
      </c>
      <c r="K776" s="369"/>
    </row>
    <row r="777" spans="1:11">
      <c r="A777" s="370" t="s">
        <v>1060</v>
      </c>
      <c r="B777" s="181">
        <v>7</v>
      </c>
      <c r="C777" s="371">
        <v>67.2</v>
      </c>
      <c r="D777" s="371">
        <v>88.4</v>
      </c>
      <c r="E777" s="372">
        <v>1774</v>
      </c>
      <c r="F777" s="371">
        <v>7.7</v>
      </c>
      <c r="G777" s="373">
        <v>14.67</v>
      </c>
      <c r="K777" s="369"/>
    </row>
    <row r="778" spans="1:11">
      <c r="A778" s="370" t="s">
        <v>1060</v>
      </c>
      <c r="B778" s="181">
        <v>8</v>
      </c>
      <c r="C778" s="371">
        <v>66.400000000000006</v>
      </c>
      <c r="D778" s="371">
        <v>87.1</v>
      </c>
      <c r="E778" s="372">
        <v>1601</v>
      </c>
      <c r="F778" s="371">
        <v>7.7</v>
      </c>
      <c r="G778" s="373">
        <v>14.67</v>
      </c>
      <c r="K778" s="369"/>
    </row>
    <row r="779" spans="1:11">
      <c r="A779" s="370" t="s">
        <v>1060</v>
      </c>
      <c r="B779" s="181">
        <v>9</v>
      </c>
      <c r="C779" s="371">
        <v>59.3</v>
      </c>
      <c r="D779" s="371">
        <v>81</v>
      </c>
      <c r="E779" s="372">
        <v>1348</v>
      </c>
      <c r="F779" s="371">
        <v>7.7</v>
      </c>
      <c r="G779" s="373">
        <v>14.67</v>
      </c>
      <c r="K779" s="369"/>
    </row>
    <row r="780" spans="1:11">
      <c r="A780" s="370" t="s">
        <v>1060</v>
      </c>
      <c r="B780" s="181">
        <v>10</v>
      </c>
      <c r="C780" s="371">
        <v>46.7</v>
      </c>
      <c r="D780" s="371">
        <v>70.5</v>
      </c>
      <c r="E780" s="372">
        <v>1033</v>
      </c>
      <c r="F780" s="371">
        <v>7.7</v>
      </c>
      <c r="G780" s="373">
        <v>14.67</v>
      </c>
      <c r="K780" s="369"/>
    </row>
    <row r="781" spans="1:11">
      <c r="A781" s="370" t="s">
        <v>1060</v>
      </c>
      <c r="B781" s="181">
        <v>11</v>
      </c>
      <c r="C781" s="371">
        <v>37.299999999999997</v>
      </c>
      <c r="D781" s="371">
        <v>60.5</v>
      </c>
      <c r="E781" s="372">
        <v>733</v>
      </c>
      <c r="F781" s="371">
        <v>7.7</v>
      </c>
      <c r="G781" s="373">
        <v>14.67</v>
      </c>
      <c r="K781" s="369"/>
    </row>
    <row r="782" spans="1:11">
      <c r="A782" s="370" t="s">
        <v>1060</v>
      </c>
      <c r="B782" s="181">
        <v>12</v>
      </c>
      <c r="C782" s="371">
        <v>29.6</v>
      </c>
      <c r="D782" s="371">
        <v>50.2</v>
      </c>
      <c r="E782" s="372">
        <v>567</v>
      </c>
      <c r="F782" s="371">
        <v>7.7</v>
      </c>
      <c r="G782" s="373">
        <v>14.67</v>
      </c>
      <c r="K782" s="369"/>
    </row>
    <row r="783" spans="1:11">
      <c r="A783" s="370" t="s">
        <v>1060</v>
      </c>
      <c r="B783" s="181" t="s">
        <v>726</v>
      </c>
      <c r="C783" s="376">
        <f>AVERAGE(C771:C782)</f>
        <v>46.533333333333331</v>
      </c>
      <c r="D783" s="376">
        <f>AVERAGE(D771:D782)</f>
        <v>68.816666666666677</v>
      </c>
      <c r="E783" s="377">
        <f>AVERAGE(E771:E782)</f>
        <v>1247.9166666666667</v>
      </c>
      <c r="F783" s="366">
        <f>AVERAGE(F771:F782)</f>
        <v>7.700000000000002</v>
      </c>
      <c r="G783" s="368">
        <f>AVERAGE(G771:G782)</f>
        <v>14.669999999999996</v>
      </c>
      <c r="K783" s="369"/>
    </row>
    <row r="784" spans="1:11">
      <c r="A784" s="370" t="s">
        <v>1061</v>
      </c>
      <c r="B784" s="181">
        <v>1</v>
      </c>
      <c r="C784" s="371">
        <v>34.299999999999997</v>
      </c>
      <c r="D784" s="371">
        <v>43.9</v>
      </c>
      <c r="E784" s="372">
        <v>262</v>
      </c>
      <c r="F784" s="371">
        <v>9</v>
      </c>
      <c r="G784" s="373">
        <v>14.5145</v>
      </c>
      <c r="K784" s="369"/>
    </row>
    <row r="785" spans="1:11">
      <c r="A785" s="370" t="s">
        <v>1061</v>
      </c>
      <c r="B785" s="181">
        <v>2</v>
      </c>
      <c r="C785" s="371">
        <v>36.799999999999997</v>
      </c>
      <c r="D785" s="371">
        <v>48.8</v>
      </c>
      <c r="E785" s="372">
        <v>495</v>
      </c>
      <c r="F785" s="371">
        <v>9</v>
      </c>
      <c r="G785" s="373">
        <v>14.5145</v>
      </c>
      <c r="K785" s="369"/>
    </row>
    <row r="786" spans="1:11">
      <c r="A786" s="370" t="s">
        <v>1061</v>
      </c>
      <c r="B786" s="181">
        <v>3</v>
      </c>
      <c r="C786" s="371">
        <v>37.200000000000003</v>
      </c>
      <c r="D786" s="371">
        <v>51.1</v>
      </c>
      <c r="E786" s="372">
        <v>849</v>
      </c>
      <c r="F786" s="371">
        <v>9</v>
      </c>
      <c r="G786" s="373">
        <v>14.5145</v>
      </c>
      <c r="K786" s="369"/>
    </row>
    <row r="787" spans="1:11">
      <c r="A787" s="370" t="s">
        <v>1061</v>
      </c>
      <c r="B787" s="181">
        <v>4</v>
      </c>
      <c r="C787" s="371">
        <v>40.5</v>
      </c>
      <c r="D787" s="371">
        <v>56.8</v>
      </c>
      <c r="E787" s="372">
        <v>1294</v>
      </c>
      <c r="F787" s="371">
        <v>9</v>
      </c>
      <c r="G787" s="373">
        <v>14.5145</v>
      </c>
      <c r="K787" s="369"/>
    </row>
    <row r="788" spans="1:11">
      <c r="A788" s="370" t="s">
        <v>1061</v>
      </c>
      <c r="B788" s="181">
        <v>5</v>
      </c>
      <c r="C788" s="371">
        <v>46</v>
      </c>
      <c r="D788" s="371">
        <v>64</v>
      </c>
      <c r="E788" s="372">
        <v>1714</v>
      </c>
      <c r="F788" s="371">
        <v>9</v>
      </c>
      <c r="G788" s="373">
        <v>14.5145</v>
      </c>
      <c r="K788" s="369"/>
    </row>
    <row r="789" spans="1:11">
      <c r="A789" s="370" t="s">
        <v>1061</v>
      </c>
      <c r="B789" s="181">
        <v>6</v>
      </c>
      <c r="C789" s="371">
        <v>51.1</v>
      </c>
      <c r="D789" s="371">
        <v>69.2</v>
      </c>
      <c r="E789" s="372">
        <v>1802</v>
      </c>
      <c r="F789" s="371">
        <v>9</v>
      </c>
      <c r="G789" s="373">
        <v>14.5145</v>
      </c>
      <c r="K789" s="369"/>
    </row>
    <row r="790" spans="1:11">
      <c r="A790" s="370" t="s">
        <v>1061</v>
      </c>
      <c r="B790" s="181">
        <v>7</v>
      </c>
      <c r="C790" s="371">
        <v>54.3</v>
      </c>
      <c r="D790" s="371">
        <v>75.2</v>
      </c>
      <c r="E790" s="372">
        <v>2248</v>
      </c>
      <c r="F790" s="371">
        <v>9</v>
      </c>
      <c r="G790" s="373">
        <v>14.5145</v>
      </c>
      <c r="K790" s="369"/>
    </row>
    <row r="791" spans="1:11">
      <c r="A791" s="370" t="s">
        <v>1061</v>
      </c>
      <c r="B791" s="181">
        <v>8</v>
      </c>
      <c r="C791" s="371">
        <v>54.3</v>
      </c>
      <c r="D791" s="371">
        <v>73.900000000000006</v>
      </c>
      <c r="E791" s="372">
        <v>1616</v>
      </c>
      <c r="F791" s="371">
        <v>9</v>
      </c>
      <c r="G791" s="373">
        <v>14.5145</v>
      </c>
      <c r="K791" s="369"/>
    </row>
    <row r="792" spans="1:11">
      <c r="A792" s="370" t="s">
        <v>1061</v>
      </c>
      <c r="B792" s="181">
        <v>9</v>
      </c>
      <c r="C792" s="371">
        <v>51.2</v>
      </c>
      <c r="D792" s="371">
        <v>68.7</v>
      </c>
      <c r="E792" s="372">
        <v>1148</v>
      </c>
      <c r="F792" s="371">
        <v>9</v>
      </c>
      <c r="G792" s="373">
        <v>14.5145</v>
      </c>
      <c r="K792" s="369"/>
    </row>
    <row r="793" spans="1:11">
      <c r="A793" s="370" t="s">
        <v>1061</v>
      </c>
      <c r="B793" s="181">
        <v>10</v>
      </c>
      <c r="C793" s="371">
        <v>45.3</v>
      </c>
      <c r="D793" s="371">
        <v>59.5</v>
      </c>
      <c r="E793" s="372">
        <v>656</v>
      </c>
      <c r="F793" s="371">
        <v>9</v>
      </c>
      <c r="G793" s="373">
        <v>14.5145</v>
      </c>
      <c r="K793" s="369"/>
    </row>
    <row r="794" spans="1:11">
      <c r="A794" s="370" t="s">
        <v>1061</v>
      </c>
      <c r="B794" s="181">
        <v>11</v>
      </c>
      <c r="C794" s="371">
        <v>39.299999999999997</v>
      </c>
      <c r="D794" s="371">
        <v>50.3</v>
      </c>
      <c r="E794" s="372">
        <v>337</v>
      </c>
      <c r="F794" s="371">
        <v>9</v>
      </c>
      <c r="G794" s="373">
        <v>14.5145</v>
      </c>
      <c r="K794" s="369"/>
    </row>
    <row r="795" spans="1:11">
      <c r="A795" s="370" t="s">
        <v>1061</v>
      </c>
      <c r="B795" s="181">
        <v>12</v>
      </c>
      <c r="C795" s="371">
        <v>36.299999999999997</v>
      </c>
      <c r="D795" s="371">
        <v>45.6</v>
      </c>
      <c r="E795" s="372">
        <v>211</v>
      </c>
      <c r="F795" s="371">
        <v>9</v>
      </c>
      <c r="G795" s="373">
        <v>14.5145</v>
      </c>
      <c r="K795" s="369"/>
    </row>
    <row r="796" spans="1:11">
      <c r="A796" s="370" t="s">
        <v>1061</v>
      </c>
      <c r="B796" s="181" t="s">
        <v>726</v>
      </c>
      <c r="C796" s="376">
        <f>AVERAGE(C784:C795)</f>
        <v>43.883333333333333</v>
      </c>
      <c r="D796" s="376">
        <f>AVERAGE(D784:D795)</f>
        <v>58.916666666666664</v>
      </c>
      <c r="E796" s="377">
        <f>AVERAGE(E784:E795)</f>
        <v>1052.6666666666667</v>
      </c>
      <c r="F796" s="366">
        <f>AVERAGE(F784:F795)</f>
        <v>9</v>
      </c>
      <c r="G796" s="368">
        <f>AVERAGE(G784:G795)</f>
        <v>14.5145</v>
      </c>
      <c r="K796" s="369"/>
    </row>
    <row r="797" spans="1:11">
      <c r="A797" s="370" t="s">
        <v>1062</v>
      </c>
      <c r="B797" s="181">
        <v>1</v>
      </c>
      <c r="C797" s="371">
        <v>23.9</v>
      </c>
      <c r="D797" s="371">
        <v>41.8</v>
      </c>
      <c r="E797" s="372">
        <v>498</v>
      </c>
      <c r="F797" s="371">
        <v>6.3</v>
      </c>
      <c r="G797" s="373">
        <v>14.253500000000001</v>
      </c>
      <c r="K797" s="369"/>
    </row>
    <row r="798" spans="1:11">
      <c r="A798" s="370" t="s">
        <v>1062</v>
      </c>
      <c r="B798" s="181">
        <v>2</v>
      </c>
      <c r="C798" s="371">
        <v>25.8</v>
      </c>
      <c r="D798" s="371">
        <v>45.4</v>
      </c>
      <c r="E798" s="372">
        <v>707</v>
      </c>
      <c r="F798" s="371">
        <v>6.3</v>
      </c>
      <c r="G798" s="373">
        <v>14.253500000000001</v>
      </c>
      <c r="K798" s="369"/>
    </row>
    <row r="799" spans="1:11">
      <c r="A799" s="370" t="s">
        <v>1062</v>
      </c>
      <c r="B799" s="181">
        <v>3</v>
      </c>
      <c r="C799" s="371">
        <v>34.1</v>
      </c>
      <c r="D799" s="371">
        <v>55.4</v>
      </c>
      <c r="E799" s="372">
        <v>1010</v>
      </c>
      <c r="F799" s="371">
        <v>6.3</v>
      </c>
      <c r="G799" s="373">
        <v>14.253500000000001</v>
      </c>
      <c r="K799" s="369"/>
    </row>
    <row r="800" spans="1:11">
      <c r="A800" s="370" t="s">
        <v>1062</v>
      </c>
      <c r="B800" s="181">
        <v>4</v>
      </c>
      <c r="C800" s="371">
        <v>43.3</v>
      </c>
      <c r="D800" s="371">
        <v>67.3</v>
      </c>
      <c r="E800" s="372">
        <v>1356</v>
      </c>
      <c r="F800" s="371">
        <v>6.3</v>
      </c>
      <c r="G800" s="373">
        <v>14.253500000000001</v>
      </c>
      <c r="K800" s="369"/>
    </row>
    <row r="801" spans="1:11">
      <c r="A801" s="370" t="s">
        <v>1062</v>
      </c>
      <c r="B801" s="181">
        <v>5</v>
      </c>
      <c r="C801" s="371">
        <v>51.8</v>
      </c>
      <c r="D801" s="371">
        <v>76</v>
      </c>
      <c r="E801" s="372">
        <v>1639</v>
      </c>
      <c r="F801" s="371">
        <v>6.3</v>
      </c>
      <c r="G801" s="373">
        <v>14.253500000000001</v>
      </c>
      <c r="K801" s="369"/>
    </row>
    <row r="802" spans="1:11">
      <c r="A802" s="370" t="s">
        <v>1062</v>
      </c>
      <c r="B802" s="181">
        <v>6</v>
      </c>
      <c r="C802" s="371">
        <v>59.4</v>
      </c>
      <c r="D802" s="371">
        <v>82.5</v>
      </c>
      <c r="E802" s="372">
        <v>1776</v>
      </c>
      <c r="F802" s="371">
        <v>6.3</v>
      </c>
      <c r="G802" s="373">
        <v>14.253500000000001</v>
      </c>
      <c r="K802" s="369"/>
    </row>
    <row r="803" spans="1:11">
      <c r="A803" s="370" t="s">
        <v>1062</v>
      </c>
      <c r="B803" s="181">
        <v>7</v>
      </c>
      <c r="C803" s="371">
        <v>63.8</v>
      </c>
      <c r="D803" s="371">
        <v>85.2</v>
      </c>
      <c r="E803" s="372">
        <v>1683</v>
      </c>
      <c r="F803" s="371">
        <v>6.3</v>
      </c>
      <c r="G803" s="373">
        <v>14.253500000000001</v>
      </c>
      <c r="K803" s="369"/>
    </row>
    <row r="804" spans="1:11">
      <c r="A804" s="370" t="s">
        <v>1062</v>
      </c>
      <c r="B804" s="181">
        <v>8</v>
      </c>
      <c r="C804" s="371">
        <v>63.1</v>
      </c>
      <c r="D804" s="371">
        <v>84.2</v>
      </c>
      <c r="E804" s="372">
        <v>1514</v>
      </c>
      <c r="F804" s="371">
        <v>6.3</v>
      </c>
      <c r="G804" s="373">
        <v>14.253500000000001</v>
      </c>
      <c r="K804" s="369"/>
    </row>
    <row r="805" spans="1:11">
      <c r="A805" s="370" t="s">
        <v>1062</v>
      </c>
      <c r="B805" s="181">
        <v>9</v>
      </c>
      <c r="C805" s="371">
        <v>56.4</v>
      </c>
      <c r="D805" s="371">
        <v>78.7</v>
      </c>
      <c r="E805" s="372">
        <v>1272</v>
      </c>
      <c r="F805" s="371">
        <v>6.3</v>
      </c>
      <c r="G805" s="373">
        <v>14.253500000000001</v>
      </c>
      <c r="K805" s="369"/>
    </row>
    <row r="806" spans="1:11">
      <c r="A806" s="370" t="s">
        <v>1062</v>
      </c>
      <c r="B806" s="181">
        <v>10</v>
      </c>
      <c r="C806" s="371">
        <v>44</v>
      </c>
      <c r="D806" s="371">
        <v>67.7</v>
      </c>
      <c r="E806" s="372">
        <v>972</v>
      </c>
      <c r="F806" s="371">
        <v>6.3</v>
      </c>
      <c r="G806" s="373">
        <v>14.253500000000001</v>
      </c>
      <c r="K806" s="369"/>
    </row>
    <row r="807" spans="1:11">
      <c r="A807" s="370" t="s">
        <v>1062</v>
      </c>
      <c r="B807" s="181">
        <v>11</v>
      </c>
      <c r="C807" s="371">
        <v>35</v>
      </c>
      <c r="D807" s="371">
        <v>55.6</v>
      </c>
      <c r="E807" s="372">
        <v>613</v>
      </c>
      <c r="F807" s="371">
        <v>6.3</v>
      </c>
      <c r="G807" s="373">
        <v>14.253500000000001</v>
      </c>
      <c r="K807" s="369"/>
    </row>
    <row r="808" spans="1:11">
      <c r="A808" s="370" t="s">
        <v>1062</v>
      </c>
      <c r="B808" s="181">
        <v>12</v>
      </c>
      <c r="C808" s="371">
        <v>27.8</v>
      </c>
      <c r="D808" s="371">
        <v>45.9</v>
      </c>
      <c r="E808" s="372">
        <v>440</v>
      </c>
      <c r="F808" s="371">
        <v>6.3</v>
      </c>
      <c r="G808" s="373">
        <v>14.253500000000001</v>
      </c>
      <c r="K808" s="369"/>
    </row>
    <row r="809" spans="1:11">
      <c r="A809" s="370" t="s">
        <v>1062</v>
      </c>
      <c r="B809" s="181" t="s">
        <v>726</v>
      </c>
      <c r="C809" s="376">
        <f>AVERAGE(C797:C808)</f>
        <v>44.033333333333331</v>
      </c>
      <c r="D809" s="376">
        <f>AVERAGE(D797:D808)</f>
        <v>65.475000000000009</v>
      </c>
      <c r="E809" s="377">
        <f>AVERAGE(E797:E808)</f>
        <v>1123.3333333333333</v>
      </c>
      <c r="F809" s="366">
        <f>AVERAGE(F797:F808)</f>
        <v>6.299999999999998</v>
      </c>
      <c r="G809" s="368">
        <f>AVERAGE(G797:G808)</f>
        <v>14.253500000000001</v>
      </c>
      <c r="K809" s="369"/>
    </row>
    <row r="810" spans="1:11" ht="59">
      <c r="A810" s="85" t="s">
        <v>704</v>
      </c>
      <c r="B810" s="85" t="s">
        <v>707</v>
      </c>
      <c r="C810" s="85" t="s">
        <v>999</v>
      </c>
      <c r="D810" s="85" t="s">
        <v>1000</v>
      </c>
      <c r="E810" s="85" t="s">
        <v>1001</v>
      </c>
      <c r="F810" s="85" t="s">
        <v>1002</v>
      </c>
      <c r="G810" s="359" t="s">
        <v>1003</v>
      </c>
      <c r="I810" s="85" t="s">
        <v>1004</v>
      </c>
      <c r="K810" s="360"/>
    </row>
    <row r="811" spans="1:11">
      <c r="A811" s="370" t="s">
        <v>1063</v>
      </c>
      <c r="B811" s="181">
        <v>1</v>
      </c>
      <c r="C811" s="371">
        <v>24.5</v>
      </c>
      <c r="D811" s="371">
        <v>41.1</v>
      </c>
      <c r="E811" s="372">
        <v>526</v>
      </c>
      <c r="F811" s="371">
        <v>6.6</v>
      </c>
      <c r="G811" s="373">
        <v>14.326000000000001</v>
      </c>
      <c r="K811" s="369"/>
    </row>
    <row r="812" spans="1:11">
      <c r="A812" s="370" t="s">
        <v>1063</v>
      </c>
      <c r="B812" s="181">
        <v>2</v>
      </c>
      <c r="C812" s="371">
        <v>26.6</v>
      </c>
      <c r="D812" s="371">
        <v>45</v>
      </c>
      <c r="E812" s="372">
        <v>757</v>
      </c>
      <c r="F812" s="371">
        <v>6.6</v>
      </c>
      <c r="G812" s="373">
        <v>14.326000000000001</v>
      </c>
      <c r="K812" s="369"/>
    </row>
    <row r="813" spans="1:11">
      <c r="A813" s="370" t="s">
        <v>1063</v>
      </c>
      <c r="B813" s="181">
        <v>3</v>
      </c>
      <c r="C813" s="371">
        <v>35</v>
      </c>
      <c r="D813" s="371">
        <v>55.2</v>
      </c>
      <c r="E813" s="372">
        <v>1067</v>
      </c>
      <c r="F813" s="371">
        <v>6.6</v>
      </c>
      <c r="G813" s="373">
        <v>14.326000000000001</v>
      </c>
      <c r="K813" s="369"/>
    </row>
    <row r="814" spans="1:11">
      <c r="A814" s="370" t="s">
        <v>1063</v>
      </c>
      <c r="B814" s="181">
        <v>4</v>
      </c>
      <c r="C814" s="371">
        <v>44.4</v>
      </c>
      <c r="D814" s="371">
        <v>67.2</v>
      </c>
      <c r="E814" s="372">
        <v>1448</v>
      </c>
      <c r="F814" s="371">
        <v>6.6</v>
      </c>
      <c r="G814" s="373">
        <v>14.326000000000001</v>
      </c>
      <c r="K814" s="369"/>
    </row>
    <row r="815" spans="1:11">
      <c r="A815" s="370" t="s">
        <v>1063</v>
      </c>
      <c r="B815" s="181">
        <v>5</v>
      </c>
      <c r="C815" s="371">
        <v>52.8</v>
      </c>
      <c r="D815" s="371">
        <v>75.7</v>
      </c>
      <c r="E815" s="372">
        <v>1710</v>
      </c>
      <c r="F815" s="371">
        <v>6.6</v>
      </c>
      <c r="G815" s="373">
        <v>14.326000000000001</v>
      </c>
      <c r="K815" s="369"/>
    </row>
    <row r="816" spans="1:11">
      <c r="A816" s="370" t="s">
        <v>1063</v>
      </c>
      <c r="B816" s="181">
        <v>6</v>
      </c>
      <c r="C816" s="371">
        <v>60.7</v>
      </c>
      <c r="D816" s="371">
        <v>82.6</v>
      </c>
      <c r="E816" s="372">
        <v>1844</v>
      </c>
      <c r="F816" s="371">
        <v>6.6</v>
      </c>
      <c r="G816" s="373">
        <v>14.326000000000001</v>
      </c>
      <c r="K816" s="369"/>
    </row>
    <row r="817" spans="1:11">
      <c r="A817" s="370" t="s">
        <v>1063</v>
      </c>
      <c r="B817" s="181">
        <v>7</v>
      </c>
      <c r="C817" s="371">
        <v>65.099999999999994</v>
      </c>
      <c r="D817" s="371">
        <v>85.6</v>
      </c>
      <c r="E817" s="372">
        <v>1769</v>
      </c>
      <c r="F817" s="371">
        <v>6.6</v>
      </c>
      <c r="G817" s="373">
        <v>14.326000000000001</v>
      </c>
      <c r="K817" s="369"/>
    </row>
    <row r="818" spans="1:11">
      <c r="A818" s="370" t="s">
        <v>1063</v>
      </c>
      <c r="B818" s="181">
        <v>8</v>
      </c>
      <c r="C818" s="371">
        <v>64</v>
      </c>
      <c r="D818" s="371">
        <v>84.4</v>
      </c>
      <c r="E818" s="372">
        <v>1580</v>
      </c>
      <c r="F818" s="371">
        <v>6.6</v>
      </c>
      <c r="G818" s="373">
        <v>14.326000000000001</v>
      </c>
      <c r="K818" s="369"/>
    </row>
    <row r="819" spans="1:11">
      <c r="A819" s="370" t="s">
        <v>1063</v>
      </c>
      <c r="B819" s="181">
        <v>9</v>
      </c>
      <c r="C819" s="371">
        <v>57.2</v>
      </c>
      <c r="D819" s="371">
        <v>78.7</v>
      </c>
      <c r="E819" s="372">
        <v>1306</v>
      </c>
      <c r="F819" s="371">
        <v>6.6</v>
      </c>
      <c r="G819" s="373">
        <v>14.326000000000001</v>
      </c>
      <c r="K819" s="369"/>
    </row>
    <row r="820" spans="1:11">
      <c r="A820" s="370" t="s">
        <v>1063</v>
      </c>
      <c r="B820" s="181">
        <v>10</v>
      </c>
      <c r="C820" s="371">
        <v>44.9</v>
      </c>
      <c r="D820" s="371">
        <v>67.599999999999994</v>
      </c>
      <c r="E820" s="372">
        <v>1004</v>
      </c>
      <c r="F820" s="371">
        <v>6.6</v>
      </c>
      <c r="G820" s="373">
        <v>14.326000000000001</v>
      </c>
      <c r="K820" s="369"/>
    </row>
    <row r="821" spans="1:11">
      <c r="A821" s="370" t="s">
        <v>1063</v>
      </c>
      <c r="B821" s="181">
        <v>11</v>
      </c>
      <c r="C821" s="371">
        <v>35.9</v>
      </c>
      <c r="D821" s="371">
        <v>55.2</v>
      </c>
      <c r="E821" s="372">
        <v>638</v>
      </c>
      <c r="F821" s="371">
        <v>6.6</v>
      </c>
      <c r="G821" s="373">
        <v>14.326000000000001</v>
      </c>
      <c r="K821" s="369"/>
    </row>
    <row r="822" spans="1:11">
      <c r="A822" s="370" t="s">
        <v>1063</v>
      </c>
      <c r="B822" s="181">
        <v>12</v>
      </c>
      <c r="C822" s="371">
        <v>28.5</v>
      </c>
      <c r="D822" s="371">
        <v>45.2</v>
      </c>
      <c r="E822" s="372">
        <v>467</v>
      </c>
      <c r="F822" s="371">
        <v>6.6</v>
      </c>
      <c r="G822" s="373">
        <v>14.326000000000001</v>
      </c>
      <c r="K822" s="369"/>
    </row>
    <row r="823" spans="1:11">
      <c r="A823" s="370" t="s">
        <v>1063</v>
      </c>
      <c r="B823" s="181" t="s">
        <v>726</v>
      </c>
      <c r="C823" s="376">
        <f>AVERAGE(C811:C822)</f>
        <v>44.966666666666661</v>
      </c>
      <c r="D823" s="376">
        <f>AVERAGE(D811:D822)</f>
        <v>65.291666666666671</v>
      </c>
      <c r="E823" s="377">
        <f>AVERAGE(E811:E822)</f>
        <v>1176.3333333333333</v>
      </c>
      <c r="F823" s="366">
        <f>AVERAGE(F811:F822)</f>
        <v>6.5999999999999988</v>
      </c>
      <c r="G823" s="368">
        <f>AVERAGE(G811:G822)</f>
        <v>14.325999999999995</v>
      </c>
      <c r="K823" s="369"/>
    </row>
    <row r="824" spans="1:11">
      <c r="A824" s="370" t="s">
        <v>1064</v>
      </c>
      <c r="B824" s="181">
        <v>1</v>
      </c>
      <c r="C824" s="371">
        <v>14.8</v>
      </c>
      <c r="D824" s="371">
        <v>37.299999999999997</v>
      </c>
      <c r="E824" s="372">
        <v>766</v>
      </c>
      <c r="F824" s="371">
        <v>13</v>
      </c>
      <c r="G824" s="373">
        <v>11.759499999999999</v>
      </c>
      <c r="K824" s="369"/>
    </row>
    <row r="825" spans="1:11">
      <c r="A825" s="370" t="s">
        <v>1064</v>
      </c>
      <c r="B825" s="181">
        <v>2</v>
      </c>
      <c r="C825" s="371">
        <v>17.899999999999999</v>
      </c>
      <c r="D825" s="371">
        <v>40.700000000000003</v>
      </c>
      <c r="E825" s="372">
        <v>1068</v>
      </c>
      <c r="F825" s="371">
        <v>13</v>
      </c>
      <c r="G825" s="373">
        <v>11.759499999999999</v>
      </c>
      <c r="K825" s="369"/>
    </row>
    <row r="826" spans="1:11">
      <c r="A826" s="370" t="s">
        <v>1064</v>
      </c>
      <c r="B826" s="181">
        <v>3</v>
      </c>
      <c r="C826" s="371">
        <v>20.6</v>
      </c>
      <c r="D826" s="371">
        <v>43.6</v>
      </c>
      <c r="E826" s="372">
        <v>1433</v>
      </c>
      <c r="F826" s="371">
        <v>13</v>
      </c>
      <c r="G826" s="373">
        <v>11.759499999999999</v>
      </c>
      <c r="K826" s="369"/>
    </row>
    <row r="827" spans="1:11">
      <c r="A827" s="370" t="s">
        <v>1064</v>
      </c>
      <c r="B827" s="181">
        <v>4</v>
      </c>
      <c r="C827" s="371">
        <v>29.6</v>
      </c>
      <c r="D827" s="371">
        <v>54</v>
      </c>
      <c r="E827" s="372">
        <v>1771</v>
      </c>
      <c r="F827" s="371">
        <v>13</v>
      </c>
      <c r="G827" s="373">
        <v>11.759499999999999</v>
      </c>
      <c r="K827" s="369"/>
    </row>
    <row r="828" spans="1:11">
      <c r="A828" s="370" t="s">
        <v>1064</v>
      </c>
      <c r="B828" s="181">
        <v>5</v>
      </c>
      <c r="C828" s="371">
        <v>39.700000000000003</v>
      </c>
      <c r="D828" s="371">
        <v>64.599999999999994</v>
      </c>
      <c r="E828" s="372">
        <v>1995</v>
      </c>
      <c r="F828" s="371">
        <v>13</v>
      </c>
      <c r="G828" s="373">
        <v>11.759499999999999</v>
      </c>
      <c r="K828" s="369"/>
    </row>
    <row r="829" spans="1:11">
      <c r="A829" s="370" t="s">
        <v>1064</v>
      </c>
      <c r="B829" s="181">
        <v>6</v>
      </c>
      <c r="C829" s="371">
        <v>48.5</v>
      </c>
      <c r="D829" s="371">
        <v>75.400000000000006</v>
      </c>
      <c r="E829" s="372">
        <v>2258</v>
      </c>
      <c r="F829" s="371">
        <v>13</v>
      </c>
      <c r="G829" s="373">
        <v>11.759499999999999</v>
      </c>
      <c r="K829" s="369"/>
    </row>
    <row r="830" spans="1:11">
      <c r="A830" s="370" t="s">
        <v>1064</v>
      </c>
      <c r="B830" s="181">
        <v>7</v>
      </c>
      <c r="C830" s="371">
        <v>54.6</v>
      </c>
      <c r="D830" s="371">
        <v>83.1</v>
      </c>
      <c r="E830" s="372">
        <v>2230</v>
      </c>
      <c r="F830" s="371">
        <v>13</v>
      </c>
      <c r="G830" s="373">
        <v>11.759499999999999</v>
      </c>
      <c r="K830" s="369"/>
    </row>
    <row r="831" spans="1:11">
      <c r="A831" s="370" t="s">
        <v>1064</v>
      </c>
      <c r="B831" s="181">
        <v>8</v>
      </c>
      <c r="C831" s="371">
        <v>52.8</v>
      </c>
      <c r="D831" s="371">
        <v>80.8</v>
      </c>
      <c r="E831" s="372">
        <v>1966</v>
      </c>
      <c r="F831" s="371">
        <v>13</v>
      </c>
      <c r="G831" s="373">
        <v>11.759499999999999</v>
      </c>
      <c r="K831" s="369"/>
    </row>
    <row r="832" spans="1:11">
      <c r="A832" s="370" t="s">
        <v>1064</v>
      </c>
      <c r="B832" s="181">
        <v>9</v>
      </c>
      <c r="C832" s="371">
        <v>43.7</v>
      </c>
      <c r="D832" s="371">
        <v>72.099999999999994</v>
      </c>
      <c r="E832" s="372">
        <v>1667</v>
      </c>
      <c r="F832" s="371">
        <v>13</v>
      </c>
      <c r="G832" s="373">
        <v>11.759499999999999</v>
      </c>
      <c r="K832" s="369"/>
    </row>
    <row r="833" spans="1:11">
      <c r="A833" s="370" t="s">
        <v>1064</v>
      </c>
      <c r="B833" s="181">
        <v>10</v>
      </c>
      <c r="C833" s="371">
        <v>34</v>
      </c>
      <c r="D833" s="371">
        <v>61</v>
      </c>
      <c r="E833" s="372">
        <v>1242</v>
      </c>
      <c r="F833" s="371">
        <v>13</v>
      </c>
      <c r="G833" s="373">
        <v>11.759499999999999</v>
      </c>
      <c r="K833" s="369"/>
    </row>
    <row r="834" spans="1:11">
      <c r="A834" s="370" t="s">
        <v>1064</v>
      </c>
      <c r="B834" s="181">
        <v>11</v>
      </c>
      <c r="C834" s="371">
        <v>23.1</v>
      </c>
      <c r="D834" s="371">
        <v>46.5</v>
      </c>
      <c r="E834" s="372">
        <v>823</v>
      </c>
      <c r="F834" s="371">
        <v>13</v>
      </c>
      <c r="G834" s="373">
        <v>11.759499999999999</v>
      </c>
      <c r="K834" s="369"/>
    </row>
    <row r="835" spans="1:11">
      <c r="A835" s="370" t="s">
        <v>1064</v>
      </c>
      <c r="B835" s="181">
        <v>12</v>
      </c>
      <c r="C835" s="371">
        <v>18.2</v>
      </c>
      <c r="D835" s="371">
        <v>40.4</v>
      </c>
      <c r="E835" s="372">
        <v>671</v>
      </c>
      <c r="F835" s="371">
        <v>13</v>
      </c>
      <c r="G835" s="373">
        <v>11.759499999999999</v>
      </c>
      <c r="K835" s="369"/>
    </row>
    <row r="836" spans="1:11">
      <c r="A836" s="370" t="s">
        <v>1064</v>
      </c>
      <c r="B836" s="181" t="s">
        <v>726</v>
      </c>
      <c r="C836" s="376">
        <f>AVERAGE(C824:C835)</f>
        <v>33.125</v>
      </c>
      <c r="D836" s="376">
        <f>AVERAGE(D824:D835)</f>
        <v>58.291666666666664</v>
      </c>
      <c r="E836" s="377">
        <f>AVERAGE(E824:E835)</f>
        <v>1490.8333333333333</v>
      </c>
      <c r="F836" s="366">
        <f>AVERAGE(F824:F835)</f>
        <v>13</v>
      </c>
      <c r="G836" s="368">
        <f>AVERAGE(G824:G835)</f>
        <v>11.759500000000001</v>
      </c>
      <c r="K836" s="369"/>
    </row>
    <row r="837" spans="1:11">
      <c r="A837" s="383"/>
      <c r="B837" s="384"/>
      <c r="C837" s="385"/>
      <c r="D837" s="385"/>
      <c r="E837" s="386"/>
      <c r="F837" s="385"/>
      <c r="G837" s="387"/>
      <c r="K837" s="358"/>
    </row>
    <row r="838" spans="1:11">
      <c r="A838" s="356" t="s">
        <v>1065</v>
      </c>
      <c r="B838" s="135"/>
      <c r="C838" s="135"/>
      <c r="D838" s="388"/>
      <c r="E838" s="135"/>
      <c r="F838" s="135"/>
      <c r="G838" s="355"/>
      <c r="K838" s="358"/>
    </row>
    <row r="839" spans="1:11" ht="47">
      <c r="A839" s="389" t="s">
        <v>1066</v>
      </c>
      <c r="B839" s="86" t="s">
        <v>770</v>
      </c>
      <c r="C839" s="86" t="s">
        <v>771</v>
      </c>
      <c r="D839" s="86" t="s">
        <v>1067</v>
      </c>
      <c r="E839" s="86" t="s">
        <v>1068</v>
      </c>
      <c r="F839" s="86" t="s">
        <v>778</v>
      </c>
      <c r="I839" s="390"/>
      <c r="K839" s="358"/>
    </row>
    <row r="840" spans="1:11">
      <c r="A840" s="303" t="s">
        <v>1069</v>
      </c>
      <c r="B840" s="181" t="s">
        <v>1070</v>
      </c>
      <c r="C840" s="181" t="s">
        <v>1071</v>
      </c>
      <c r="D840" s="181">
        <v>5.8</v>
      </c>
      <c r="E840" s="181">
        <v>0.3</v>
      </c>
      <c r="F840" s="181">
        <v>2.1</v>
      </c>
      <c r="K840" s="358"/>
    </row>
    <row r="841" spans="1:11">
      <c r="A841" s="303" t="s">
        <v>1069</v>
      </c>
      <c r="B841" s="181" t="s">
        <v>1070</v>
      </c>
      <c r="C841" s="181" t="s">
        <v>1072</v>
      </c>
      <c r="D841" s="181">
        <v>1.6</v>
      </c>
      <c r="E841" s="181">
        <v>0.3</v>
      </c>
      <c r="F841" s="181">
        <v>1.6</v>
      </c>
      <c r="K841" s="358"/>
    </row>
    <row r="842" spans="1:11">
      <c r="A842" s="303" t="s">
        <v>1069</v>
      </c>
      <c r="B842" s="181" t="s">
        <v>1070</v>
      </c>
      <c r="C842" s="181" t="s">
        <v>1073</v>
      </c>
      <c r="D842" s="181">
        <v>0.6</v>
      </c>
      <c r="E842" s="181">
        <v>0.4</v>
      </c>
      <c r="F842" s="379">
        <v>1</v>
      </c>
      <c r="K842" s="358"/>
    </row>
    <row r="843" spans="1:11">
      <c r="A843" s="303" t="s">
        <v>1069</v>
      </c>
      <c r="B843" s="181" t="s">
        <v>1074</v>
      </c>
      <c r="C843" s="181" t="s">
        <v>1071</v>
      </c>
      <c r="D843" s="181">
        <v>1.6</v>
      </c>
      <c r="E843" s="181">
        <v>0.3</v>
      </c>
      <c r="F843" s="181">
        <v>1.5</v>
      </c>
      <c r="K843" s="358"/>
    </row>
    <row r="844" spans="1:11">
      <c r="A844" s="303" t="s">
        <v>1069</v>
      </c>
      <c r="B844" s="181" t="s">
        <v>1074</v>
      </c>
      <c r="C844" s="181" t="s">
        <v>1075</v>
      </c>
      <c r="D844" s="181">
        <v>0.7</v>
      </c>
      <c r="E844" s="181">
        <v>0.3</v>
      </c>
      <c r="F844" s="181">
        <v>1.2</v>
      </c>
      <c r="K844" s="358"/>
    </row>
    <row r="845" spans="1:11">
      <c r="A845" s="303" t="s">
        <v>1069</v>
      </c>
      <c r="B845" s="181" t="s">
        <v>1074</v>
      </c>
      <c r="C845" s="181" t="s">
        <v>1073</v>
      </c>
      <c r="D845" s="181">
        <v>0.3</v>
      </c>
      <c r="E845" s="181">
        <v>0.6</v>
      </c>
      <c r="F845" s="181">
        <v>0.3</v>
      </c>
      <c r="K845" s="358"/>
    </row>
    <row r="846" spans="1:11">
      <c r="A846" s="303" t="s">
        <v>1069</v>
      </c>
      <c r="B846" s="181" t="s">
        <v>1076</v>
      </c>
      <c r="C846" s="181" t="s">
        <v>1071</v>
      </c>
      <c r="D846" s="181">
        <v>6.7</v>
      </c>
      <c r="E846" s="181">
        <v>0.2</v>
      </c>
      <c r="F846" s="379">
        <v>3</v>
      </c>
      <c r="K846" s="358"/>
    </row>
    <row r="847" spans="1:11">
      <c r="A847" s="303" t="s">
        <v>1069</v>
      </c>
      <c r="B847" s="181" t="s">
        <v>1076</v>
      </c>
      <c r="C847" s="181" t="s">
        <v>1075</v>
      </c>
      <c r="D847" s="181">
        <v>3.3</v>
      </c>
      <c r="E847" s="181">
        <v>0.1</v>
      </c>
      <c r="F847" s="379">
        <v>3</v>
      </c>
      <c r="K847" s="358"/>
    </row>
    <row r="848" spans="1:11">
      <c r="A848" s="303" t="s">
        <v>1069</v>
      </c>
      <c r="B848" s="181" t="s">
        <v>1076</v>
      </c>
      <c r="C848" s="181" t="s">
        <v>1073</v>
      </c>
      <c r="D848" s="181">
        <v>2.2000000000000002</v>
      </c>
      <c r="E848" s="181">
        <v>3.0000000000000001E-3</v>
      </c>
      <c r="F848" s="181">
        <v>4.3</v>
      </c>
      <c r="K848" s="358"/>
    </row>
    <row r="849" spans="1:11">
      <c r="A849" s="303" t="s">
        <v>1077</v>
      </c>
      <c r="B849" s="181" t="s">
        <v>1070</v>
      </c>
      <c r="C849" s="181" t="s">
        <v>1071</v>
      </c>
      <c r="D849" s="181">
        <v>10.8</v>
      </c>
      <c r="E849" s="181">
        <v>0.4</v>
      </c>
      <c r="F849" s="379">
        <v>2</v>
      </c>
      <c r="I849" s="391"/>
      <c r="K849" s="358"/>
    </row>
    <row r="850" spans="1:11">
      <c r="A850" s="303" t="s">
        <v>1077</v>
      </c>
      <c r="B850" s="181" t="s">
        <v>1070</v>
      </c>
      <c r="C850" s="181" t="s">
        <v>1072</v>
      </c>
      <c r="D850" s="181">
        <v>9.1999999999999993</v>
      </c>
      <c r="E850" s="181">
        <v>0.2</v>
      </c>
      <c r="F850" s="181">
        <v>1.9</v>
      </c>
      <c r="K850" s="358"/>
    </row>
    <row r="851" spans="1:11">
      <c r="A851" s="303" t="s">
        <v>1077</v>
      </c>
      <c r="B851" s="181" t="s">
        <v>1070</v>
      </c>
      <c r="C851" s="181" t="s">
        <v>1073</v>
      </c>
      <c r="D851" s="181">
        <v>1.1000000000000001</v>
      </c>
      <c r="E851" s="181">
        <v>0.3</v>
      </c>
      <c r="F851" s="181">
        <v>1.5</v>
      </c>
    </row>
    <row r="853" spans="1:11" ht="17">
      <c r="A853" s="356" t="s">
        <v>1078</v>
      </c>
      <c r="B853" s="135"/>
      <c r="C853" s="135"/>
      <c r="D853" s="352"/>
      <c r="E853" s="352"/>
      <c r="G853" s="355"/>
    </row>
    <row r="854" spans="1:11">
      <c r="A854" s="86" t="s">
        <v>1079</v>
      </c>
      <c r="B854" s="86" t="s">
        <v>64</v>
      </c>
      <c r="C854" s="86" t="s">
        <v>1080</v>
      </c>
      <c r="D854" s="86" t="s">
        <v>1081</v>
      </c>
      <c r="E854" s="86" t="s">
        <v>1082</v>
      </c>
      <c r="H854" s="355"/>
      <c r="I854" s="391"/>
    </row>
    <row r="855" spans="1:11">
      <c r="A855" s="303" t="s">
        <v>1083</v>
      </c>
      <c r="B855" s="59" t="s">
        <v>421</v>
      </c>
      <c r="C855" s="392">
        <v>1.5E-3</v>
      </c>
      <c r="D855" s="392">
        <v>7.4999999999999997E-3</v>
      </c>
      <c r="E855" s="357">
        <v>0.15</v>
      </c>
      <c r="H855" s="355"/>
    </row>
    <row r="856" spans="1:11">
      <c r="A856" s="303" t="s">
        <v>1084</v>
      </c>
      <c r="B856" s="59" t="s">
        <v>92</v>
      </c>
      <c r="C856" s="392">
        <v>1.5E-3</v>
      </c>
      <c r="D856" s="392">
        <v>7.4999999999999997E-3</v>
      </c>
      <c r="E856" s="357">
        <v>0.15</v>
      </c>
      <c r="H856" s="355"/>
    </row>
    <row r="857" spans="1:11">
      <c r="A857" s="303" t="s">
        <v>1085</v>
      </c>
      <c r="B857" s="59" t="s">
        <v>331</v>
      </c>
      <c r="C857" s="393">
        <v>6.0000000000000001E-3</v>
      </c>
      <c r="D857" s="393">
        <v>0.03</v>
      </c>
      <c r="E857" s="357">
        <v>0.6</v>
      </c>
      <c r="H857" s="355"/>
    </row>
    <row r="858" spans="1:11">
      <c r="A858" s="394"/>
      <c r="B858" s="395"/>
      <c r="C858" s="396"/>
      <c r="G858" s="355"/>
    </row>
    <row r="859" spans="1:11">
      <c r="A859" s="397" t="s">
        <v>1086</v>
      </c>
      <c r="B859" s="398"/>
      <c r="C859" s="398"/>
      <c r="G859" s="355"/>
    </row>
    <row r="860" spans="1:11" ht="31">
      <c r="A860" s="399" t="s">
        <v>1087</v>
      </c>
      <c r="B860" s="400"/>
      <c r="C860" s="401" t="s">
        <v>1088</v>
      </c>
      <c r="G860" s="355"/>
    </row>
    <row r="861" spans="1:11">
      <c r="A861" s="402" t="s">
        <v>1089</v>
      </c>
      <c r="B861" s="402" t="s">
        <v>1090</v>
      </c>
      <c r="C861" s="402"/>
      <c r="G861" s="355"/>
    </row>
    <row r="862" spans="1:11">
      <c r="A862" s="403">
        <v>0</v>
      </c>
      <c r="B862" s="404">
        <v>85</v>
      </c>
      <c r="C862" s="405">
        <v>1</v>
      </c>
      <c r="G862" s="355"/>
    </row>
    <row r="863" spans="1:11">
      <c r="A863" s="403">
        <v>85</v>
      </c>
      <c r="B863" s="404">
        <v>100</v>
      </c>
      <c r="C863" s="405">
        <v>6</v>
      </c>
      <c r="G863" s="355"/>
    </row>
    <row r="864" spans="1:11">
      <c r="A864" s="403">
        <v>100</v>
      </c>
      <c r="B864" s="404">
        <v>120</v>
      </c>
      <c r="C864" s="405">
        <v>7</v>
      </c>
      <c r="G864" s="355"/>
    </row>
    <row r="865" spans="1:12">
      <c r="A865" s="403">
        <v>120</v>
      </c>
      <c r="B865" s="404">
        <v>135</v>
      </c>
      <c r="C865" s="405">
        <v>8</v>
      </c>
      <c r="G865" s="355"/>
    </row>
    <row r="866" spans="1:12">
      <c r="A866" s="403">
        <v>135</v>
      </c>
      <c r="B866" s="404">
        <v>150</v>
      </c>
      <c r="C866" s="405">
        <v>9</v>
      </c>
      <c r="G866" s="355"/>
    </row>
    <row r="867" spans="1:12">
      <c r="A867" s="403">
        <v>150</v>
      </c>
      <c r="B867" s="404">
        <v>170</v>
      </c>
      <c r="C867" s="405">
        <v>16</v>
      </c>
      <c r="G867" s="355"/>
    </row>
    <row r="868" spans="1:12">
      <c r="A868" s="403">
        <v>170</v>
      </c>
      <c r="B868" s="404">
        <v>190</v>
      </c>
      <c r="C868" s="405">
        <v>19</v>
      </c>
      <c r="G868" s="355"/>
    </row>
    <row r="869" spans="1:12">
      <c r="A869" s="403">
        <v>190</v>
      </c>
      <c r="B869" s="404">
        <v>220</v>
      </c>
      <c r="C869" s="405">
        <v>22</v>
      </c>
      <c r="G869" s="355"/>
    </row>
    <row r="870" spans="1:12">
      <c r="A870" s="403">
        <v>220</v>
      </c>
      <c r="B870" s="404">
        <v>235</v>
      </c>
      <c r="C870" s="405">
        <v>31</v>
      </c>
      <c r="G870" s="355"/>
    </row>
    <row r="871" spans="1:12">
      <c r="A871" s="403">
        <v>235</v>
      </c>
      <c r="B871" s="404">
        <v>270</v>
      </c>
      <c r="C871" s="405">
        <v>37</v>
      </c>
      <c r="G871" s="355"/>
    </row>
    <row r="872" spans="1:12">
      <c r="A872" s="403">
        <v>270</v>
      </c>
      <c r="B872" s="404">
        <v>275</v>
      </c>
      <c r="C872" s="405">
        <v>43</v>
      </c>
      <c r="G872" s="355"/>
    </row>
    <row r="873" spans="1:12">
      <c r="A873" s="403">
        <v>275</v>
      </c>
      <c r="B873" s="404">
        <v>290</v>
      </c>
      <c r="C873" s="405">
        <v>49</v>
      </c>
      <c r="G873" s="355"/>
    </row>
    <row r="874" spans="1:12">
      <c r="A874" s="403">
        <v>290</v>
      </c>
      <c r="B874" s="404">
        <v>330</v>
      </c>
      <c r="C874" s="405">
        <v>61</v>
      </c>
      <c r="G874" s="355"/>
    </row>
    <row r="875" spans="1:12">
      <c r="A875" s="403">
        <v>330</v>
      </c>
      <c r="B875" s="404">
        <v>360</v>
      </c>
      <c r="C875" s="405">
        <v>71</v>
      </c>
      <c r="G875" s="355"/>
    </row>
    <row r="876" spans="1:12">
      <c r="A876" s="403">
        <v>360</v>
      </c>
      <c r="B876" s="404">
        <v>400</v>
      </c>
      <c r="C876" s="405">
        <v>81</v>
      </c>
      <c r="G876" s="355"/>
    </row>
    <row r="877" spans="1:12">
      <c r="A877" s="406"/>
      <c r="B877" s="407"/>
      <c r="G877" s="355"/>
    </row>
    <row r="878" spans="1:12" ht="17">
      <c r="A878" s="356" t="s">
        <v>1091</v>
      </c>
      <c r="B878" s="356"/>
      <c r="C878" s="356"/>
      <c r="D878" s="356"/>
      <c r="E878" s="356"/>
      <c r="F878" s="356"/>
      <c r="G878" s="135"/>
      <c r="I878" s="388"/>
      <c r="J878" s="135"/>
      <c r="L878" s="360"/>
    </row>
    <row r="879" spans="1:12" ht="33">
      <c r="A879" s="86" t="s">
        <v>1092</v>
      </c>
      <c r="B879" s="86" t="s">
        <v>1093</v>
      </c>
      <c r="C879" s="86" t="s">
        <v>1094</v>
      </c>
      <c r="D879" s="86" t="s">
        <v>1095</v>
      </c>
      <c r="E879" s="86" t="s">
        <v>1096</v>
      </c>
      <c r="F879" s="86" t="s">
        <v>1097</v>
      </c>
      <c r="G879" s="86" t="s">
        <v>1098</v>
      </c>
    </row>
    <row r="880" spans="1:12" ht="28">
      <c r="A880" s="408" t="s">
        <v>914</v>
      </c>
      <c r="B880" s="408" t="s">
        <v>919</v>
      </c>
      <c r="C880" s="409">
        <v>1.6</v>
      </c>
      <c r="D880" s="409">
        <v>0</v>
      </c>
      <c r="E880" s="409">
        <v>0</v>
      </c>
      <c r="F880" s="410">
        <v>1</v>
      </c>
      <c r="G880" s="411" t="s">
        <v>1099</v>
      </c>
      <c r="I880" s="360"/>
      <c r="J880" s="360"/>
    </row>
    <row r="881" spans="1:10" ht="28">
      <c r="A881" s="408" t="s">
        <v>914</v>
      </c>
      <c r="B881" s="408" t="s">
        <v>920</v>
      </c>
      <c r="C881" s="409">
        <v>36</v>
      </c>
      <c r="D881" s="409">
        <v>5.9</v>
      </c>
      <c r="E881" s="409">
        <v>1.2</v>
      </c>
      <c r="F881" s="412"/>
      <c r="G881" s="413" t="s">
        <v>1100</v>
      </c>
      <c r="I881" s="360"/>
      <c r="J881" s="360"/>
    </row>
    <row r="882" spans="1:10" ht="28">
      <c r="A882" s="408" t="s">
        <v>914</v>
      </c>
      <c r="B882" s="408" t="s">
        <v>921</v>
      </c>
      <c r="C882" s="409">
        <v>31</v>
      </c>
      <c r="D882" s="409">
        <v>5.2</v>
      </c>
      <c r="E882" s="409">
        <v>1.3</v>
      </c>
      <c r="F882" s="412"/>
      <c r="G882" s="413" t="s">
        <v>1101</v>
      </c>
      <c r="I882" s="360"/>
      <c r="J882" s="360"/>
    </row>
    <row r="883" spans="1:10" ht="42">
      <c r="A883" s="408" t="s">
        <v>895</v>
      </c>
      <c r="B883" s="408" t="s">
        <v>922</v>
      </c>
      <c r="C883" s="409">
        <v>31</v>
      </c>
      <c r="D883" s="412"/>
      <c r="E883" s="412"/>
      <c r="F883" s="412"/>
      <c r="G883" s="413" t="s">
        <v>1102</v>
      </c>
      <c r="I883" s="360"/>
      <c r="J883" s="360"/>
    </row>
    <row r="884" spans="1:10" ht="42">
      <c r="A884" s="408" t="s">
        <v>895</v>
      </c>
      <c r="B884" s="408" t="s">
        <v>923</v>
      </c>
      <c r="C884" s="409">
        <v>25</v>
      </c>
      <c r="D884" s="412"/>
      <c r="E884" s="412"/>
      <c r="F884" s="412"/>
      <c r="G884" s="413" t="s">
        <v>1102</v>
      </c>
      <c r="I884" s="360"/>
      <c r="J884" s="360"/>
    </row>
    <row r="885" spans="1:10" ht="42">
      <c r="A885" s="408" t="s">
        <v>895</v>
      </c>
      <c r="B885" s="408" t="s">
        <v>924</v>
      </c>
      <c r="C885" s="409">
        <v>10</v>
      </c>
      <c r="D885" s="412"/>
      <c r="E885" s="412"/>
      <c r="F885" s="412"/>
      <c r="G885" s="413" t="s">
        <v>1102</v>
      </c>
      <c r="I885" s="360"/>
      <c r="J885" s="360"/>
    </row>
    <row r="886" spans="1:10" ht="42">
      <c r="A886" s="408" t="s">
        <v>895</v>
      </c>
      <c r="B886" s="408" t="s">
        <v>925</v>
      </c>
      <c r="C886" s="409">
        <v>51</v>
      </c>
      <c r="D886" s="412"/>
      <c r="E886" s="412"/>
      <c r="F886" s="410" t="s">
        <v>1103</v>
      </c>
      <c r="G886" s="413" t="s">
        <v>1104</v>
      </c>
      <c r="I886" s="360"/>
      <c r="J886" s="360"/>
    </row>
    <row r="887" spans="1:10" ht="13.5" customHeight="1">
      <c r="A887" s="408" t="s">
        <v>895</v>
      </c>
      <c r="B887" s="408" t="s">
        <v>926</v>
      </c>
      <c r="C887" s="409">
        <v>33</v>
      </c>
      <c r="D887" s="412"/>
      <c r="E887" s="412"/>
      <c r="F887" s="412"/>
      <c r="G887" s="413" t="s">
        <v>1102</v>
      </c>
      <c r="I887" s="360"/>
      <c r="J887" s="360"/>
    </row>
    <row r="888" spans="1:10" ht="42">
      <c r="A888" s="408" t="s">
        <v>915</v>
      </c>
      <c r="B888" s="408" t="s">
        <v>927</v>
      </c>
      <c r="C888" s="409">
        <v>31</v>
      </c>
      <c r="D888" s="409">
        <v>150</v>
      </c>
      <c r="E888" s="409">
        <v>1.4</v>
      </c>
      <c r="F888" s="410">
        <v>1</v>
      </c>
      <c r="G888" s="411" t="s">
        <v>1100</v>
      </c>
      <c r="I888" s="360"/>
      <c r="J888" s="360"/>
    </row>
    <row r="889" spans="1:10" ht="33">
      <c r="A889" s="86" t="s">
        <v>1092</v>
      </c>
      <c r="B889" s="86" t="s">
        <v>1093</v>
      </c>
      <c r="C889" s="86" t="s">
        <v>1094</v>
      </c>
      <c r="D889" s="86" t="s">
        <v>1095</v>
      </c>
      <c r="E889" s="86" t="s">
        <v>1096</v>
      </c>
      <c r="F889" s="86" t="s">
        <v>1097</v>
      </c>
      <c r="G889" s="86" t="s">
        <v>1098</v>
      </c>
    </row>
    <row r="890" spans="1:10" ht="42">
      <c r="A890" s="408" t="s">
        <v>915</v>
      </c>
      <c r="B890" s="408" t="s">
        <v>928</v>
      </c>
      <c r="C890" s="409">
        <v>25</v>
      </c>
      <c r="D890" s="409">
        <v>2.2000000000000002</v>
      </c>
      <c r="E890" s="409">
        <v>2.1</v>
      </c>
      <c r="F890" s="414"/>
      <c r="G890" s="413" t="s">
        <v>1101</v>
      </c>
      <c r="I890" s="360"/>
      <c r="J890" s="360"/>
    </row>
    <row r="891" spans="1:10" ht="42">
      <c r="A891" s="408" t="s">
        <v>915</v>
      </c>
      <c r="B891" s="408" t="s">
        <v>929</v>
      </c>
      <c r="C891" s="409">
        <v>25</v>
      </c>
      <c r="D891" s="409">
        <v>13</v>
      </c>
      <c r="E891" s="409">
        <v>2.2000000000000002</v>
      </c>
      <c r="F891" s="414"/>
      <c r="G891" s="413" t="s">
        <v>1101</v>
      </c>
      <c r="I891" s="360"/>
      <c r="J891" s="360"/>
    </row>
    <row r="892" spans="1:10" ht="42">
      <c r="A892" s="408" t="s">
        <v>915</v>
      </c>
      <c r="B892" s="408" t="s">
        <v>930</v>
      </c>
      <c r="C892" s="409">
        <v>14</v>
      </c>
      <c r="D892" s="409">
        <v>3.7</v>
      </c>
      <c r="E892" s="409">
        <v>0.78</v>
      </c>
      <c r="F892" s="414"/>
      <c r="G892" s="413" t="s">
        <v>1101</v>
      </c>
      <c r="I892" s="360"/>
      <c r="J892" s="360"/>
    </row>
    <row r="893" spans="1:10" ht="42">
      <c r="A893" s="408" t="s">
        <v>915</v>
      </c>
      <c r="B893" s="408" t="s">
        <v>931</v>
      </c>
      <c r="C893" s="303">
        <v>8.6</v>
      </c>
      <c r="D893" s="185">
        <v>12</v>
      </c>
      <c r="E893" s="185">
        <v>0.81</v>
      </c>
      <c r="F893" s="414"/>
      <c r="G893" s="413" t="s">
        <v>1101</v>
      </c>
      <c r="I893" s="360"/>
      <c r="J893" s="360"/>
    </row>
    <row r="894" spans="1:10" ht="42">
      <c r="A894" s="408" t="s">
        <v>916</v>
      </c>
      <c r="B894" s="415" t="s">
        <v>932</v>
      </c>
      <c r="C894" s="303">
        <v>43</v>
      </c>
      <c r="D894" s="185">
        <v>270</v>
      </c>
      <c r="E894" s="185">
        <v>1.4</v>
      </c>
      <c r="F894" s="414"/>
      <c r="G894" s="413" t="s">
        <v>1105</v>
      </c>
      <c r="I894" s="360"/>
      <c r="J894" s="360"/>
    </row>
    <row r="895" spans="1:10" ht="42">
      <c r="A895" s="408" t="s">
        <v>916</v>
      </c>
      <c r="B895" s="415" t="s">
        <v>933</v>
      </c>
      <c r="C895" s="303">
        <v>31</v>
      </c>
      <c r="D895" s="185">
        <v>36</v>
      </c>
      <c r="E895" s="185">
        <v>2</v>
      </c>
      <c r="F895" s="414"/>
      <c r="G895" s="413" t="s">
        <v>1105</v>
      </c>
      <c r="I895" s="360"/>
      <c r="J895" s="360"/>
    </row>
    <row r="896" spans="1:10" ht="42">
      <c r="A896" s="408" t="s">
        <v>916</v>
      </c>
      <c r="B896" s="415" t="s">
        <v>930</v>
      </c>
      <c r="C896" s="303">
        <v>41</v>
      </c>
      <c r="D896" s="185">
        <v>48</v>
      </c>
      <c r="E896" s="185">
        <v>1.4</v>
      </c>
      <c r="F896" s="414"/>
      <c r="G896" s="413" t="s">
        <v>1105</v>
      </c>
      <c r="I896" s="360"/>
      <c r="J896" s="360"/>
    </row>
    <row r="897" spans="1:10" ht="42">
      <c r="A897" s="408" t="s">
        <v>916</v>
      </c>
      <c r="B897" s="415" t="s">
        <v>931</v>
      </c>
      <c r="C897" s="303">
        <v>11</v>
      </c>
      <c r="D897" s="185">
        <v>46</v>
      </c>
      <c r="E897" s="185">
        <v>1.4</v>
      </c>
      <c r="F897" s="414"/>
      <c r="G897" s="413" t="s">
        <v>1105</v>
      </c>
      <c r="I897" s="360"/>
      <c r="J897" s="360"/>
    </row>
    <row r="898" spans="1:10" ht="42">
      <c r="A898" s="408" t="s">
        <v>916</v>
      </c>
      <c r="B898" s="415" t="s">
        <v>934</v>
      </c>
      <c r="C898" s="303">
        <v>8.3000000000000007</v>
      </c>
      <c r="D898" s="185">
        <v>4.4000000000000004</v>
      </c>
      <c r="E898" s="185">
        <v>1.6</v>
      </c>
      <c r="F898" s="414"/>
      <c r="G898" s="413" t="s">
        <v>1105</v>
      </c>
      <c r="I898" s="360"/>
      <c r="J898" s="360"/>
    </row>
    <row r="899" spans="1:10" ht="42">
      <c r="A899" s="408" t="s">
        <v>916</v>
      </c>
      <c r="B899" s="415" t="s">
        <v>935</v>
      </c>
      <c r="C899" s="303">
        <v>21</v>
      </c>
      <c r="D899" s="185">
        <v>7.9</v>
      </c>
      <c r="E899" s="185">
        <v>1.8</v>
      </c>
      <c r="F899" s="414"/>
      <c r="G899" s="413" t="s">
        <v>1105</v>
      </c>
      <c r="I899" s="360"/>
      <c r="J899" s="360"/>
    </row>
    <row r="900" spans="1:10" ht="42">
      <c r="A900" s="416" t="s">
        <v>916</v>
      </c>
      <c r="B900" s="415" t="s">
        <v>936</v>
      </c>
      <c r="C900" s="303">
        <v>11</v>
      </c>
      <c r="D900" s="185">
        <v>9.9</v>
      </c>
      <c r="E900" s="185">
        <v>0.89</v>
      </c>
      <c r="F900" s="414"/>
      <c r="G900" s="413" t="s">
        <v>1105</v>
      </c>
      <c r="I900" s="360"/>
      <c r="J900" s="360"/>
    </row>
    <row r="901" spans="1:10" ht="28">
      <c r="A901" s="417" t="s">
        <v>898</v>
      </c>
      <c r="B901" s="415" t="s">
        <v>920</v>
      </c>
      <c r="C901" s="303">
        <v>14</v>
      </c>
      <c r="D901" s="185">
        <v>5.4</v>
      </c>
      <c r="E901" s="185">
        <v>1.1000000000000001</v>
      </c>
      <c r="F901" s="410">
        <v>1</v>
      </c>
      <c r="G901" s="411" t="s">
        <v>1106</v>
      </c>
      <c r="I901" s="360"/>
      <c r="J901" s="360"/>
    </row>
    <row r="902" spans="1:10">
      <c r="A902" s="417" t="s">
        <v>898</v>
      </c>
      <c r="B902" s="415" t="s">
        <v>921</v>
      </c>
      <c r="C902" s="303">
        <v>4.3</v>
      </c>
      <c r="D902" s="185">
        <v>17</v>
      </c>
      <c r="E902" s="185">
        <v>0.38</v>
      </c>
      <c r="F902" s="412"/>
      <c r="G902" s="413" t="s">
        <v>1101</v>
      </c>
      <c r="I902" s="360"/>
      <c r="J902" s="360"/>
    </row>
    <row r="903" spans="1:10">
      <c r="A903" s="417" t="s">
        <v>898</v>
      </c>
      <c r="B903" s="415" t="s">
        <v>919</v>
      </c>
      <c r="C903" s="303">
        <v>2.8</v>
      </c>
      <c r="D903" s="185">
        <v>0</v>
      </c>
      <c r="E903" s="185">
        <v>0</v>
      </c>
      <c r="F903" s="412"/>
      <c r="G903" s="413" t="s">
        <v>1101</v>
      </c>
      <c r="I903" s="360"/>
      <c r="J903" s="360"/>
    </row>
    <row r="904" spans="1:10" ht="42">
      <c r="A904" s="417" t="s">
        <v>899</v>
      </c>
      <c r="B904" s="415" t="s">
        <v>937</v>
      </c>
      <c r="C904" s="303">
        <v>0.47</v>
      </c>
      <c r="D904" s="185">
        <v>0.02</v>
      </c>
      <c r="E904" s="185">
        <v>0.97</v>
      </c>
      <c r="F904" s="410">
        <v>1</v>
      </c>
      <c r="G904" s="411" t="s">
        <v>1107</v>
      </c>
      <c r="I904" s="360"/>
      <c r="J904" s="360"/>
    </row>
    <row r="905" spans="1:10" ht="28">
      <c r="A905" s="417" t="s">
        <v>899</v>
      </c>
      <c r="B905" s="415" t="s">
        <v>938</v>
      </c>
      <c r="C905" s="303">
        <v>2.2999999999999998</v>
      </c>
      <c r="D905" s="185">
        <v>0</v>
      </c>
      <c r="E905" s="185">
        <v>0</v>
      </c>
      <c r="F905" s="412"/>
      <c r="G905" s="413" t="s">
        <v>1101</v>
      </c>
      <c r="I905" s="360"/>
      <c r="J905" s="360"/>
    </row>
    <row r="906" spans="1:10" ht="28">
      <c r="A906" s="417" t="s">
        <v>899</v>
      </c>
      <c r="B906" s="415" t="s">
        <v>939</v>
      </c>
      <c r="C906" s="303">
        <v>12</v>
      </c>
      <c r="D906" s="412"/>
      <c r="E906" s="412"/>
      <c r="F906" s="412"/>
      <c r="G906" s="411" t="s">
        <v>1108</v>
      </c>
      <c r="I906" s="360"/>
      <c r="J906" s="360"/>
    </row>
    <row r="907" spans="1:10" ht="30">
      <c r="A907" s="417" t="s">
        <v>900</v>
      </c>
      <c r="B907" s="415" t="s">
        <v>938</v>
      </c>
      <c r="C907" s="303">
        <v>7.8</v>
      </c>
      <c r="D907" s="185">
        <v>0.01</v>
      </c>
      <c r="E907" s="185">
        <v>4</v>
      </c>
      <c r="F907" s="410" t="s">
        <v>1109</v>
      </c>
      <c r="G907" s="413" t="s">
        <v>1110</v>
      </c>
      <c r="I907" s="360"/>
      <c r="J907" s="360"/>
    </row>
    <row r="908" spans="1:10" ht="33">
      <c r="A908" s="86" t="s">
        <v>1092</v>
      </c>
      <c r="B908" s="86" t="s">
        <v>1093</v>
      </c>
      <c r="C908" s="86" t="s">
        <v>1094</v>
      </c>
      <c r="D908" s="86" t="s">
        <v>1095</v>
      </c>
      <c r="E908" s="86" t="s">
        <v>1096</v>
      </c>
      <c r="F908" s="86" t="s">
        <v>1097</v>
      </c>
      <c r="G908" s="86" t="s">
        <v>1098</v>
      </c>
    </row>
    <row r="909" spans="1:10" ht="44">
      <c r="A909" s="417" t="s">
        <v>900</v>
      </c>
      <c r="B909" s="415" t="s">
        <v>937</v>
      </c>
      <c r="C909" s="303">
        <v>6.2</v>
      </c>
      <c r="D909" s="185">
        <v>1.2</v>
      </c>
      <c r="E909" s="185">
        <v>0.94</v>
      </c>
      <c r="F909" s="410" t="s">
        <v>1109</v>
      </c>
      <c r="G909" s="413" t="s">
        <v>1111</v>
      </c>
      <c r="I909" s="360"/>
      <c r="J909" s="360"/>
    </row>
    <row r="910" spans="1:10" ht="16">
      <c r="A910" s="417" t="s">
        <v>901</v>
      </c>
      <c r="B910" s="415" t="s">
        <v>940</v>
      </c>
      <c r="C910" s="409">
        <v>1.5</v>
      </c>
      <c r="D910" s="185">
        <v>0.21</v>
      </c>
      <c r="E910" s="185">
        <v>1.7</v>
      </c>
      <c r="F910" s="410" t="s">
        <v>1112</v>
      </c>
      <c r="G910" s="413" t="s">
        <v>1113</v>
      </c>
      <c r="I910" s="391"/>
      <c r="J910" s="360"/>
    </row>
    <row r="911" spans="1:10">
      <c r="A911" s="417" t="s">
        <v>901</v>
      </c>
      <c r="B911" s="415" t="s">
        <v>941</v>
      </c>
      <c r="C911" s="409">
        <v>1.8</v>
      </c>
      <c r="D911" s="185">
        <v>0.14000000000000001</v>
      </c>
      <c r="E911" s="185">
        <v>1.1000000000000001</v>
      </c>
      <c r="F911" s="414"/>
      <c r="G911" s="413" t="s">
        <v>1114</v>
      </c>
      <c r="I911" s="360"/>
      <c r="J911" s="360"/>
    </row>
    <row r="912" spans="1:10" ht="28">
      <c r="A912" s="417" t="s">
        <v>917</v>
      </c>
      <c r="B912" s="415" t="s">
        <v>959</v>
      </c>
      <c r="C912" s="303">
        <v>1.2</v>
      </c>
      <c r="D912" s="418"/>
      <c r="E912" s="412"/>
      <c r="F912" s="410" t="s">
        <v>1115</v>
      </c>
      <c r="G912" s="413" t="s">
        <v>1116</v>
      </c>
      <c r="I912" s="360"/>
      <c r="J912" s="360"/>
    </row>
    <row r="913" spans="1:10" ht="30">
      <c r="A913" s="417" t="s">
        <v>918</v>
      </c>
      <c r="B913" s="415" t="s">
        <v>942</v>
      </c>
      <c r="C913" s="303">
        <v>7.9</v>
      </c>
      <c r="D913" s="418"/>
      <c r="E913" s="412"/>
      <c r="F913" s="419" t="s">
        <v>1117</v>
      </c>
      <c r="G913" s="413" t="s">
        <v>1108</v>
      </c>
      <c r="I913" s="360"/>
      <c r="J913" s="360"/>
    </row>
    <row r="914" spans="1:10" ht="30">
      <c r="A914" s="417" t="s">
        <v>918</v>
      </c>
      <c r="B914" s="415" t="s">
        <v>943</v>
      </c>
      <c r="C914" s="303">
        <v>2</v>
      </c>
      <c r="D914" s="185">
        <v>0.37</v>
      </c>
      <c r="E914" s="185">
        <v>0.91</v>
      </c>
      <c r="F914" s="419" t="s">
        <v>1117</v>
      </c>
      <c r="G914" s="413" t="s">
        <v>1113</v>
      </c>
      <c r="I914" s="360"/>
      <c r="J914" s="360"/>
    </row>
    <row r="915" spans="1:10" ht="28">
      <c r="A915" s="417" t="s">
        <v>918</v>
      </c>
      <c r="B915" s="415" t="s">
        <v>944</v>
      </c>
      <c r="C915" s="303">
        <v>1.3</v>
      </c>
      <c r="D915" s="185">
        <v>0.08</v>
      </c>
      <c r="E915" s="185">
        <v>0.65</v>
      </c>
      <c r="F915" s="412"/>
      <c r="G915" s="413" t="s">
        <v>1114</v>
      </c>
      <c r="I915" s="360"/>
      <c r="J915" s="360"/>
    </row>
    <row r="916" spans="1:10" ht="28">
      <c r="A916" s="417" t="s">
        <v>918</v>
      </c>
      <c r="B916" s="415" t="s">
        <v>945</v>
      </c>
      <c r="C916" s="303">
        <v>1.2</v>
      </c>
      <c r="D916" s="185">
        <v>0.14000000000000001</v>
      </c>
      <c r="E916" s="185">
        <v>0.65</v>
      </c>
      <c r="F916" s="412"/>
      <c r="G916" s="413" t="s">
        <v>1114</v>
      </c>
      <c r="I916" s="360"/>
      <c r="J916" s="360"/>
    </row>
    <row r="917" spans="1:10" ht="30">
      <c r="A917" s="417" t="s">
        <v>918</v>
      </c>
      <c r="B917" s="415" t="s">
        <v>946</v>
      </c>
      <c r="C917" s="303">
        <v>0.82</v>
      </c>
      <c r="D917" s="185">
        <v>0.53</v>
      </c>
      <c r="E917" s="185">
        <v>0.14000000000000001</v>
      </c>
      <c r="F917" s="419" t="s">
        <v>1117</v>
      </c>
      <c r="G917" s="413" t="s">
        <v>1113</v>
      </c>
      <c r="I917" s="360"/>
      <c r="J917" s="360"/>
    </row>
    <row r="918" spans="1:10" ht="28">
      <c r="A918" s="417" t="s">
        <v>918</v>
      </c>
      <c r="B918" s="415" t="s">
        <v>947</v>
      </c>
      <c r="C918" s="303">
        <v>0.53</v>
      </c>
      <c r="D918" s="185">
        <v>0.11</v>
      </c>
      <c r="E918" s="185">
        <v>0.13</v>
      </c>
      <c r="F918" s="412"/>
      <c r="G918" s="413" t="s">
        <v>1114</v>
      </c>
      <c r="I918" s="360"/>
      <c r="J918" s="360"/>
    </row>
    <row r="919" spans="1:10" ht="28">
      <c r="A919" s="417" t="s">
        <v>918</v>
      </c>
      <c r="B919" s="415" t="s">
        <v>948</v>
      </c>
      <c r="C919" s="303">
        <v>0.49</v>
      </c>
      <c r="D919" s="185">
        <v>0.16</v>
      </c>
      <c r="E919" s="185">
        <v>0.14000000000000001</v>
      </c>
      <c r="F919" s="412"/>
      <c r="G919" s="413" t="s">
        <v>1114</v>
      </c>
      <c r="I919" s="360"/>
      <c r="J919" s="360"/>
    </row>
    <row r="920" spans="1:10" ht="28">
      <c r="A920" s="417" t="s">
        <v>918</v>
      </c>
      <c r="B920" s="415" t="s">
        <v>949</v>
      </c>
      <c r="C920" s="303">
        <v>0.82</v>
      </c>
      <c r="D920" s="185">
        <v>0.53</v>
      </c>
      <c r="E920" s="185">
        <v>0.14000000000000001</v>
      </c>
      <c r="F920" s="412"/>
      <c r="G920" s="413" t="s">
        <v>1114</v>
      </c>
      <c r="I920" s="360"/>
      <c r="J920" s="360"/>
    </row>
    <row r="921" spans="1:10">
      <c r="A921" s="417" t="s">
        <v>918</v>
      </c>
      <c r="B921" s="415" t="s">
        <v>950</v>
      </c>
      <c r="C921" s="303">
        <v>0</v>
      </c>
      <c r="D921" s="185">
        <v>0</v>
      </c>
      <c r="E921" s="185">
        <v>0</v>
      </c>
      <c r="F921" s="412"/>
      <c r="G921" s="413" t="s">
        <v>1101</v>
      </c>
      <c r="I921" s="360"/>
      <c r="J921" s="360"/>
    </row>
    <row r="922" spans="1:10" ht="42">
      <c r="A922" s="417" t="s">
        <v>904</v>
      </c>
      <c r="B922" s="415" t="s">
        <v>938</v>
      </c>
      <c r="C922" s="303">
        <v>0.68</v>
      </c>
      <c r="D922" s="185">
        <v>1.8</v>
      </c>
      <c r="E922" s="185">
        <v>1</v>
      </c>
      <c r="F922" s="412"/>
      <c r="G922" s="413" t="s">
        <v>1118</v>
      </c>
      <c r="I922" s="360"/>
      <c r="J922" s="360"/>
    </row>
    <row r="923" spans="1:10" ht="56">
      <c r="A923" s="417" t="s">
        <v>904</v>
      </c>
      <c r="B923" s="415" t="s">
        <v>937</v>
      </c>
      <c r="C923" s="303">
        <v>0.71</v>
      </c>
      <c r="D923" s="185">
        <v>0.1</v>
      </c>
      <c r="E923" s="185">
        <v>1</v>
      </c>
      <c r="F923" s="410">
        <v>1</v>
      </c>
      <c r="G923" s="413" t="s">
        <v>1119</v>
      </c>
      <c r="I923" s="360"/>
      <c r="J923" s="360"/>
    </row>
    <row r="924" spans="1:10" ht="42">
      <c r="A924" s="417" t="s">
        <v>905</v>
      </c>
      <c r="B924" s="415" t="s">
        <v>951</v>
      </c>
      <c r="C924" s="303">
        <v>98</v>
      </c>
      <c r="D924" s="418"/>
      <c r="E924" s="412"/>
      <c r="F924" s="420">
        <v>1</v>
      </c>
      <c r="G924" s="411" t="s">
        <v>1120</v>
      </c>
      <c r="I924" s="360"/>
      <c r="J924" s="360"/>
    </row>
    <row r="925" spans="1:10" ht="42">
      <c r="A925" s="417" t="s">
        <v>905</v>
      </c>
      <c r="B925" s="415" t="s">
        <v>952</v>
      </c>
      <c r="C925" s="303">
        <v>56</v>
      </c>
      <c r="D925" s="418"/>
      <c r="E925" s="412"/>
      <c r="F925" s="412"/>
      <c r="G925" s="411" t="s">
        <v>1102</v>
      </c>
      <c r="I925" s="360"/>
      <c r="J925" s="360"/>
    </row>
    <row r="926" spans="1:10">
      <c r="A926" s="421"/>
      <c r="B926" s="422"/>
      <c r="C926" s="394"/>
      <c r="D926" s="423"/>
      <c r="E926" s="423"/>
      <c r="F926" s="424"/>
    </row>
    <row r="927" spans="1:10">
      <c r="A927" s="421"/>
      <c r="B927" s="422"/>
      <c r="C927" s="394"/>
      <c r="D927" s="423"/>
      <c r="E927" s="423"/>
      <c r="F927" s="424"/>
    </row>
    <row r="928" spans="1:10" ht="17">
      <c r="A928" s="425" t="s">
        <v>1121</v>
      </c>
      <c r="B928" s="352"/>
      <c r="C928" s="352"/>
      <c r="D928" s="352"/>
      <c r="E928" s="423"/>
      <c r="F928" s="424"/>
    </row>
    <row r="929" spans="1:6" ht="16.5">
      <c r="B929" s="426" t="s">
        <v>1122</v>
      </c>
      <c r="C929" s="426"/>
      <c r="E929" s="423"/>
      <c r="F929" s="424"/>
    </row>
    <row r="930" spans="1:6" ht="30.5">
      <c r="A930" s="427" t="s">
        <v>1123</v>
      </c>
      <c r="B930" s="427" t="s">
        <v>1124</v>
      </c>
      <c r="C930" s="427" t="s">
        <v>1125</v>
      </c>
      <c r="D930" s="401" t="s">
        <v>1126</v>
      </c>
      <c r="E930" s="423"/>
      <c r="F930" s="424"/>
    </row>
    <row r="931" spans="1:6">
      <c r="A931" s="370">
        <v>50</v>
      </c>
      <c r="B931" s="370">
        <v>1</v>
      </c>
      <c r="C931" s="370">
        <v>1</v>
      </c>
      <c r="D931" s="370">
        <v>1</v>
      </c>
      <c r="E931" s="423"/>
      <c r="F931" s="424"/>
    </row>
    <row r="932" spans="1:6">
      <c r="A932" s="370">
        <v>100</v>
      </c>
      <c r="B932" s="370">
        <v>1</v>
      </c>
      <c r="C932" s="370">
        <v>1</v>
      </c>
      <c r="D932" s="370">
        <v>1</v>
      </c>
      <c r="E932" s="423"/>
      <c r="F932" s="424"/>
    </row>
    <row r="933" spans="1:6">
      <c r="A933" s="370">
        <v>150</v>
      </c>
      <c r="B933" s="370">
        <v>2</v>
      </c>
      <c r="C933" s="370">
        <v>2</v>
      </c>
      <c r="D933" s="370">
        <v>2</v>
      </c>
      <c r="E933" s="423"/>
      <c r="F933" s="424"/>
    </row>
    <row r="934" spans="1:6">
      <c r="A934" s="370">
        <v>200</v>
      </c>
      <c r="B934" s="370">
        <v>3</v>
      </c>
      <c r="C934" s="370">
        <v>2</v>
      </c>
      <c r="D934" s="370">
        <v>3</v>
      </c>
      <c r="E934" s="423"/>
      <c r="F934" s="424"/>
    </row>
    <row r="935" spans="1:6">
      <c r="A935" s="370">
        <v>250</v>
      </c>
      <c r="B935" s="370">
        <v>4</v>
      </c>
      <c r="C935" s="370">
        <v>3</v>
      </c>
      <c r="D935" s="370">
        <v>5</v>
      </c>
      <c r="E935" s="423"/>
      <c r="F935" s="424"/>
    </row>
    <row r="936" spans="1:6">
      <c r="A936" s="370">
        <v>300</v>
      </c>
      <c r="B936" s="370">
        <v>5</v>
      </c>
      <c r="C936" s="370">
        <v>3</v>
      </c>
      <c r="D936" s="370">
        <v>7</v>
      </c>
      <c r="E936" s="423"/>
      <c r="F936" s="424"/>
    </row>
    <row r="937" spans="1:6">
      <c r="A937" s="370">
        <v>350</v>
      </c>
      <c r="B937" s="370">
        <v>6</v>
      </c>
      <c r="C937" s="370">
        <v>4</v>
      </c>
      <c r="D937" s="370">
        <v>7</v>
      </c>
      <c r="E937" s="423"/>
      <c r="F937" s="424"/>
    </row>
    <row r="938" spans="1:6">
      <c r="A938" s="370">
        <v>400</v>
      </c>
      <c r="B938" s="370">
        <v>7</v>
      </c>
      <c r="C938" s="370">
        <v>4</v>
      </c>
      <c r="D938" s="370">
        <v>7</v>
      </c>
      <c r="E938" s="423"/>
      <c r="F938" s="424"/>
    </row>
    <row r="939" spans="1:6">
      <c r="A939" s="421"/>
      <c r="B939" s="422"/>
      <c r="C939" s="394"/>
      <c r="D939" s="423"/>
      <c r="E939" s="423"/>
      <c r="F939" s="424"/>
    </row>
    <row r="940" spans="1:6" ht="16.5">
      <c r="A940" s="428" t="s">
        <v>1127</v>
      </c>
      <c r="B940" s="428"/>
      <c r="C940" s="428"/>
      <c r="D940" s="428"/>
    </row>
    <row r="941" spans="1:6" ht="28">
      <c r="A941" s="427" t="s">
        <v>1128</v>
      </c>
      <c r="B941" s="426" t="s">
        <v>1124</v>
      </c>
      <c r="C941" s="426"/>
      <c r="D941" s="401" t="s">
        <v>1129</v>
      </c>
    </row>
    <row r="942" spans="1:6" ht="28">
      <c r="A942" s="427"/>
      <c r="B942" s="401" t="s">
        <v>1130</v>
      </c>
      <c r="C942" s="401" t="s">
        <v>1131</v>
      </c>
      <c r="D942" s="401"/>
    </row>
    <row r="943" spans="1:6">
      <c r="A943" s="370">
        <v>30</v>
      </c>
      <c r="B943" s="370">
        <v>4</v>
      </c>
      <c r="C943" s="370">
        <v>2</v>
      </c>
      <c r="D943" s="370">
        <v>6</v>
      </c>
    </row>
    <row r="944" spans="1:6">
      <c r="A944" s="370">
        <v>40</v>
      </c>
      <c r="B944" s="370">
        <v>4</v>
      </c>
      <c r="C944" s="370">
        <v>4</v>
      </c>
      <c r="D944" s="370">
        <v>7</v>
      </c>
    </row>
    <row r="945" spans="1:4">
      <c r="A945" s="370">
        <v>50</v>
      </c>
      <c r="B945" s="370">
        <v>6</v>
      </c>
      <c r="C945" s="370">
        <v>6</v>
      </c>
      <c r="D945" s="370">
        <v>8</v>
      </c>
    </row>
    <row r="946" spans="1:4">
      <c r="A946" s="370">
        <v>60</v>
      </c>
      <c r="B946" s="370">
        <v>9</v>
      </c>
      <c r="C946" s="370">
        <v>7</v>
      </c>
      <c r="D946" s="370">
        <v>10</v>
      </c>
    </row>
    <row r="947" spans="1:4">
      <c r="A947" s="370">
        <v>70</v>
      </c>
      <c r="B947" s="370">
        <v>13</v>
      </c>
      <c r="C947" s="370">
        <v>9</v>
      </c>
      <c r="D947" s="370">
        <v>13</v>
      </c>
    </row>
    <row r="948" spans="1:4">
      <c r="A948" s="370">
        <v>80</v>
      </c>
      <c r="B948" s="370">
        <v>15</v>
      </c>
      <c r="C948" s="370">
        <v>10</v>
      </c>
      <c r="D948" s="370">
        <v>16</v>
      </c>
    </row>
    <row r="949" spans="1:4">
      <c r="A949" s="370">
        <v>90</v>
      </c>
      <c r="B949" s="370">
        <v>16</v>
      </c>
      <c r="C949" s="370">
        <v>12</v>
      </c>
      <c r="D949" s="370">
        <v>20</v>
      </c>
    </row>
    <row r="950" spans="1:4">
      <c r="A950" s="370">
        <v>100</v>
      </c>
      <c r="B950" s="370">
        <v>17</v>
      </c>
      <c r="C950" s="370">
        <v>16</v>
      </c>
      <c r="D950" s="370">
        <v>25</v>
      </c>
    </row>
    <row r="951" spans="1:4">
      <c r="A951" s="370">
        <v>110</v>
      </c>
      <c r="B951" s="370">
        <v>18</v>
      </c>
      <c r="C951" s="370">
        <v>20</v>
      </c>
      <c r="D951" s="370">
        <v>29</v>
      </c>
    </row>
    <row r="952" spans="1:4">
      <c r="A952" s="370">
        <v>120</v>
      </c>
      <c r="B952" s="370">
        <v>19</v>
      </c>
      <c r="C952" s="370">
        <v>24</v>
      </c>
      <c r="D952" s="370">
        <v>34</v>
      </c>
    </row>
    <row r="953" spans="1:4">
      <c r="A953" s="370">
        <v>130</v>
      </c>
      <c r="B953" s="370">
        <v>20</v>
      </c>
      <c r="C953" s="370">
        <v>28</v>
      </c>
      <c r="D953" s="370">
        <v>40</v>
      </c>
    </row>
    <row r="954" spans="1:4">
      <c r="A954" s="370">
        <v>140</v>
      </c>
      <c r="B954" s="370">
        <v>21</v>
      </c>
      <c r="C954" s="370">
        <v>33</v>
      </c>
      <c r="D954" s="370">
        <v>46</v>
      </c>
    </row>
    <row r="955" spans="1:4">
      <c r="A955" s="370">
        <v>150</v>
      </c>
      <c r="B955" s="370">
        <v>23</v>
      </c>
      <c r="C955" s="370">
        <v>38</v>
      </c>
      <c r="D955" s="370">
        <v>52</v>
      </c>
    </row>
    <row r="956" spans="1:4">
      <c r="A956" s="370">
        <v>160</v>
      </c>
      <c r="B956" s="370">
        <v>26</v>
      </c>
      <c r="C956" s="370">
        <v>42</v>
      </c>
      <c r="D956" s="370">
        <v>58</v>
      </c>
    </row>
    <row r="957" spans="1:4">
      <c r="A957" s="370">
        <v>170</v>
      </c>
      <c r="B957" s="370">
        <v>27</v>
      </c>
      <c r="C957" s="370">
        <v>49</v>
      </c>
      <c r="D957" s="370">
        <v>66</v>
      </c>
    </row>
    <row r="958" spans="1:4">
      <c r="A958" s="370">
        <v>180</v>
      </c>
      <c r="B958" s="370">
        <v>28</v>
      </c>
      <c r="C958" s="370">
        <v>56</v>
      </c>
      <c r="D958" s="370">
        <v>74</v>
      </c>
    </row>
    <row r="959" spans="1:4">
      <c r="A959" s="370">
        <v>190</v>
      </c>
      <c r="B959" s="370">
        <v>29</v>
      </c>
      <c r="C959" s="370">
        <v>62</v>
      </c>
      <c r="D959" s="370">
        <v>82</v>
      </c>
    </row>
    <row r="960" spans="1:4">
      <c r="A960" s="370">
        <v>200</v>
      </c>
      <c r="B960" s="370">
        <v>30</v>
      </c>
      <c r="C960" s="370">
        <v>69</v>
      </c>
      <c r="D960" s="370">
        <v>90</v>
      </c>
    </row>
    <row r="961" spans="1:4">
      <c r="A961" s="370">
        <v>210</v>
      </c>
      <c r="B961" s="370">
        <v>31</v>
      </c>
      <c r="C961" s="370">
        <v>77</v>
      </c>
      <c r="D961" s="370">
        <v>98</v>
      </c>
    </row>
    <row r="962" spans="1:4">
      <c r="A962" s="370">
        <v>220</v>
      </c>
      <c r="B962" s="370">
        <v>32</v>
      </c>
      <c r="C962" s="370">
        <v>83</v>
      </c>
      <c r="D962" s="370">
        <v>107</v>
      </c>
    </row>
    <row r="963" spans="1:4">
      <c r="A963" s="370">
        <v>230</v>
      </c>
      <c r="B963" s="370">
        <v>33</v>
      </c>
      <c r="C963" s="370">
        <v>92</v>
      </c>
      <c r="D963" s="370">
        <v>115</v>
      </c>
    </row>
    <row r="964" spans="1:4">
      <c r="A964" s="370">
        <v>240</v>
      </c>
      <c r="B964" s="370">
        <v>34</v>
      </c>
      <c r="C964" s="370">
        <v>101</v>
      </c>
      <c r="D964" s="370">
        <v>127</v>
      </c>
    </row>
    <row r="965" spans="1:4">
      <c r="A965" s="370">
        <v>250</v>
      </c>
      <c r="B965" s="370">
        <v>35</v>
      </c>
      <c r="C965" s="370">
        <v>109</v>
      </c>
      <c r="D965" s="370">
        <v>138</v>
      </c>
    </row>
    <row r="966" spans="1:4">
      <c r="A966" s="370">
        <v>260</v>
      </c>
      <c r="B966" s="370">
        <v>36</v>
      </c>
      <c r="C966" s="370">
        <v>118</v>
      </c>
      <c r="D966" s="370">
        <v>149</v>
      </c>
    </row>
    <row r="967" spans="1:4">
      <c r="A967" s="370">
        <v>270</v>
      </c>
      <c r="B967" s="370">
        <v>36</v>
      </c>
      <c r="C967" s="370">
        <v>128</v>
      </c>
      <c r="D967" s="370">
        <v>162</v>
      </c>
    </row>
    <row r="968" spans="1:4">
      <c r="A968" s="370">
        <v>280</v>
      </c>
      <c r="B968" s="370">
        <v>37</v>
      </c>
      <c r="C968" s="370">
        <v>138</v>
      </c>
      <c r="D968" s="370">
        <v>173</v>
      </c>
    </row>
    <row r="969" spans="1:4">
      <c r="A969" s="370">
        <v>290</v>
      </c>
      <c r="B969" s="370">
        <v>38</v>
      </c>
      <c r="C969" s="370">
        <v>148</v>
      </c>
      <c r="D969" s="370">
        <v>186</v>
      </c>
    </row>
    <row r="970" spans="1:4">
      <c r="A970" s="370">
        <v>300</v>
      </c>
      <c r="B970" s="370">
        <v>38</v>
      </c>
      <c r="C970" s="370">
        <v>156</v>
      </c>
      <c r="D970" s="370">
        <v>200</v>
      </c>
    </row>
    <row r="971" spans="1:4">
      <c r="A971" s="370">
        <v>310</v>
      </c>
      <c r="B971" s="370">
        <v>39</v>
      </c>
      <c r="C971" s="370">
        <v>168</v>
      </c>
      <c r="D971" s="370">
        <v>213</v>
      </c>
    </row>
    <row r="972" spans="1:4">
      <c r="A972" s="370">
        <v>320</v>
      </c>
      <c r="B972" s="370">
        <v>39</v>
      </c>
      <c r="C972" s="370">
        <v>179</v>
      </c>
      <c r="D972" s="370">
        <v>226</v>
      </c>
    </row>
    <row r="973" spans="1:4">
      <c r="A973" s="370">
        <v>330</v>
      </c>
      <c r="B973" s="370">
        <v>40</v>
      </c>
      <c r="C973" s="370">
        <v>190</v>
      </c>
      <c r="D973" s="370">
        <v>240</v>
      </c>
    </row>
    <row r="974" spans="1:4">
      <c r="A974" s="370">
        <v>340</v>
      </c>
      <c r="B974" s="370">
        <v>41</v>
      </c>
      <c r="C974" s="370">
        <v>202</v>
      </c>
      <c r="D974" s="370">
        <v>255</v>
      </c>
    </row>
    <row r="975" spans="1:4">
      <c r="A975" s="370">
        <v>350</v>
      </c>
      <c r="B975" s="370">
        <v>42</v>
      </c>
      <c r="C975" s="370">
        <v>213</v>
      </c>
      <c r="D975" s="370">
        <v>270</v>
      </c>
    </row>
    <row r="976" spans="1:4">
      <c r="A976" s="370">
        <v>360</v>
      </c>
      <c r="B976" s="370">
        <v>44</v>
      </c>
      <c r="C976" s="370">
        <v>226</v>
      </c>
      <c r="D976" s="370">
        <v>285</v>
      </c>
    </row>
    <row r="977" spans="1:7">
      <c r="A977" s="370">
        <v>370</v>
      </c>
      <c r="B977" s="370">
        <v>45</v>
      </c>
      <c r="C977" s="370">
        <v>238</v>
      </c>
      <c r="D977" s="370">
        <v>300</v>
      </c>
    </row>
    <row r="978" spans="1:7">
      <c r="A978" s="370">
        <v>380</v>
      </c>
      <c r="B978" s="370">
        <v>46</v>
      </c>
      <c r="C978" s="370">
        <v>252</v>
      </c>
      <c r="D978" s="370">
        <v>315</v>
      </c>
    </row>
    <row r="979" spans="1:7">
      <c r="A979" s="370">
        <v>390</v>
      </c>
      <c r="B979" s="370">
        <v>47</v>
      </c>
      <c r="C979" s="370">
        <v>266</v>
      </c>
      <c r="D979" s="370">
        <v>330</v>
      </c>
    </row>
    <row r="980" spans="1:7">
      <c r="A980" s="370">
        <v>400</v>
      </c>
      <c r="B980" s="370">
        <v>48</v>
      </c>
      <c r="C980" s="370">
        <v>281</v>
      </c>
      <c r="D980" s="370">
        <v>345</v>
      </c>
    </row>
    <row r="982" spans="1:7" ht="17">
      <c r="A982" s="425" t="s">
        <v>1132</v>
      </c>
      <c r="B982" s="429"/>
      <c r="C982" s="429"/>
      <c r="D982" s="429"/>
      <c r="E982" s="423"/>
      <c r="F982" s="424"/>
    </row>
    <row r="983" spans="1:7" ht="17">
      <c r="A983" s="427" t="s">
        <v>1133</v>
      </c>
      <c r="B983" s="430" t="s">
        <v>1097</v>
      </c>
      <c r="C983" s="429"/>
      <c r="D983" s="429"/>
      <c r="E983" s="423"/>
      <c r="F983" s="424"/>
    </row>
    <row r="984" spans="1:7" ht="16.5">
      <c r="A984" s="420" t="s">
        <v>1134</v>
      </c>
      <c r="B984" s="431" t="s">
        <v>1135</v>
      </c>
      <c r="C984" s="429"/>
      <c r="D984" s="429"/>
      <c r="E984" s="423"/>
      <c r="F984" s="424"/>
    </row>
    <row r="985" spans="1:7" ht="16.5">
      <c r="A985" s="420" t="s">
        <v>917</v>
      </c>
      <c r="B985" s="431" t="s">
        <v>1136</v>
      </c>
      <c r="C985" s="429"/>
      <c r="D985" s="429"/>
      <c r="E985" s="423"/>
      <c r="F985" s="424"/>
    </row>
    <row r="986" spans="1:7">
      <c r="A986" s="432"/>
      <c r="B986" s="433"/>
      <c r="C986" s="429"/>
      <c r="D986" s="429"/>
      <c r="E986" s="423"/>
      <c r="F986" s="424"/>
    </row>
    <row r="987" spans="1:7" ht="17">
      <c r="A987" s="425" t="s">
        <v>1137</v>
      </c>
      <c r="B987" s="429"/>
      <c r="C987" s="429"/>
      <c r="D987" s="429"/>
      <c r="E987" s="423"/>
      <c r="F987" s="424"/>
    </row>
    <row r="988" spans="1:7" ht="47">
      <c r="A988" s="427" t="s">
        <v>769</v>
      </c>
      <c r="B988" s="427" t="s">
        <v>1138</v>
      </c>
      <c r="C988" s="434" t="s">
        <v>1139</v>
      </c>
      <c r="D988" s="429"/>
      <c r="E988" s="429"/>
      <c r="F988" s="423"/>
      <c r="G988" s="424"/>
    </row>
    <row r="989" spans="1:7">
      <c r="A989" s="420" t="s">
        <v>1140</v>
      </c>
      <c r="B989" s="420" t="s">
        <v>1141</v>
      </c>
      <c r="C989" s="435">
        <v>0.2</v>
      </c>
      <c r="D989" s="429"/>
      <c r="E989" s="429"/>
      <c r="F989" s="423"/>
      <c r="G989" s="424"/>
    </row>
    <row r="990" spans="1:7">
      <c r="A990" s="420" t="s">
        <v>1140</v>
      </c>
      <c r="B990" s="420" t="s">
        <v>1142</v>
      </c>
      <c r="C990" s="431">
        <v>0.17</v>
      </c>
      <c r="D990" s="429"/>
      <c r="E990" s="429"/>
      <c r="F990" s="423"/>
      <c r="G990" s="424"/>
    </row>
    <row r="991" spans="1:7">
      <c r="A991" s="420" t="s">
        <v>1140</v>
      </c>
      <c r="B991" s="420" t="s">
        <v>1143</v>
      </c>
      <c r="C991" s="431">
        <v>0.14000000000000001</v>
      </c>
      <c r="D991" s="429"/>
      <c r="E991" s="429"/>
      <c r="F991" s="423"/>
      <c r="G991" s="424"/>
    </row>
    <row r="992" spans="1:7">
      <c r="A992" s="420" t="s">
        <v>1144</v>
      </c>
      <c r="B992" s="420" t="s">
        <v>1145</v>
      </c>
      <c r="C992" s="431">
        <v>0.33</v>
      </c>
      <c r="D992" s="429"/>
      <c r="E992" s="429"/>
      <c r="F992" s="423"/>
      <c r="G992" s="424"/>
    </row>
    <row r="993" spans="1:7">
      <c r="A993" s="420" t="s">
        <v>1144</v>
      </c>
      <c r="B993" s="420" t="s">
        <v>1146</v>
      </c>
      <c r="C993" s="431">
        <v>0.28000000000000003</v>
      </c>
      <c r="D993" s="429"/>
      <c r="E993" s="429"/>
      <c r="F993" s="423"/>
      <c r="G993" s="424"/>
    </row>
    <row r="994" spans="1:7">
      <c r="A994" s="432"/>
      <c r="B994" s="433"/>
      <c r="C994" s="429"/>
      <c r="D994" s="429"/>
    </row>
    <row r="995" spans="1:7">
      <c r="A995" s="436" t="s">
        <v>1147</v>
      </c>
      <c r="B995" s="437"/>
      <c r="C995" s="437"/>
      <c r="D995" s="437"/>
    </row>
    <row r="996" spans="1:7">
      <c r="A996" s="402" t="s">
        <v>1148</v>
      </c>
      <c r="B996" s="402" t="s">
        <v>1149</v>
      </c>
      <c r="C996" s="400" t="s">
        <v>1150</v>
      </c>
      <c r="D996" s="400"/>
    </row>
    <row r="997" spans="1:7">
      <c r="A997" s="370" t="s">
        <v>1151</v>
      </c>
      <c r="B997" s="370" t="s">
        <v>1152</v>
      </c>
      <c r="C997" s="438">
        <v>491.67</v>
      </c>
      <c r="D997" s="439">
        <v>0.55555555555555558</v>
      </c>
    </row>
    <row r="998" spans="1:7">
      <c r="A998" s="370" t="s">
        <v>1153</v>
      </c>
      <c r="B998" s="370" t="s">
        <v>1154</v>
      </c>
      <c r="C998" s="440">
        <v>1.8</v>
      </c>
      <c r="D998" s="370">
        <v>32</v>
      </c>
    </row>
    <row r="999" spans="1:7">
      <c r="A999" s="370" t="s">
        <v>1155</v>
      </c>
      <c r="B999" s="370" t="s">
        <v>1156</v>
      </c>
      <c r="C999" s="370">
        <v>459.67</v>
      </c>
    </row>
    <row r="1000" spans="1:7">
      <c r="A1000" s="370" t="s">
        <v>1157</v>
      </c>
      <c r="B1000" s="370" t="s">
        <v>1158</v>
      </c>
      <c r="C1000" s="370">
        <v>14.7</v>
      </c>
    </row>
    <row r="1001" spans="1:7">
      <c r="A1001" s="370" t="s">
        <v>1159</v>
      </c>
      <c r="B1001" s="370" t="s">
        <v>1160</v>
      </c>
      <c r="C1001" s="370">
        <v>42</v>
      </c>
    </row>
    <row r="1003" spans="1:7">
      <c r="A1003" s="428" t="s">
        <v>1161</v>
      </c>
      <c r="B1003" s="352"/>
      <c r="C1003" s="352"/>
    </row>
    <row r="1004" spans="1:7">
      <c r="A1004" s="402" t="s">
        <v>1162</v>
      </c>
      <c r="B1004" s="402" t="s">
        <v>1163</v>
      </c>
      <c r="C1004" s="402" t="s">
        <v>1164</v>
      </c>
    </row>
    <row r="1005" spans="1:7" ht="16.5">
      <c r="A1005" s="370" t="s">
        <v>1165</v>
      </c>
      <c r="B1005" s="438">
        <v>10.731</v>
      </c>
      <c r="C1005" s="370" t="s">
        <v>1166</v>
      </c>
    </row>
    <row r="1006" spans="1:7">
      <c r="A1006" s="369"/>
      <c r="B1006" s="369"/>
      <c r="C1006" s="369"/>
    </row>
    <row r="1007" spans="1:7">
      <c r="A1007" s="425" t="s">
        <v>1167</v>
      </c>
      <c r="B1007" s="17"/>
      <c r="C1007" s="17"/>
      <c r="D1007" s="17"/>
      <c r="E1007" s="17"/>
    </row>
    <row r="1008" spans="1:7">
      <c r="A1008" s="402" t="s">
        <v>1168</v>
      </c>
      <c r="B1008" s="402" t="s">
        <v>1169</v>
      </c>
      <c r="C1008" s="402" t="s">
        <v>1170</v>
      </c>
      <c r="D1008" s="135"/>
      <c r="E1008" s="441"/>
    </row>
    <row r="1009" spans="1:27">
      <c r="A1009" s="370" t="s">
        <v>1171</v>
      </c>
      <c r="B1009" s="442" t="s">
        <v>1172</v>
      </c>
      <c r="C1009" s="370">
        <v>0.5</v>
      </c>
      <c r="D1009" s="135"/>
      <c r="E1009" s="441"/>
    </row>
    <row r="1010" spans="1:27">
      <c r="A1010" s="370" t="s">
        <v>1171</v>
      </c>
      <c r="B1010" s="442" t="s">
        <v>1173</v>
      </c>
      <c r="C1010" s="370">
        <v>0.6</v>
      </c>
      <c r="D1010" s="17"/>
      <c r="E1010" s="17"/>
    </row>
    <row r="1011" spans="1:27">
      <c r="A1011" s="370" t="s">
        <v>1171</v>
      </c>
      <c r="B1011" s="442" t="s">
        <v>1174</v>
      </c>
      <c r="C1011" s="373">
        <v>1</v>
      </c>
      <c r="D1011" s="17"/>
      <c r="E1011" s="17"/>
    </row>
    <row r="1012" spans="1:27">
      <c r="A1012" s="370" t="s">
        <v>1171</v>
      </c>
      <c r="B1012" s="442" t="s">
        <v>1175</v>
      </c>
      <c r="C1012" s="370">
        <v>1.45</v>
      </c>
      <c r="D1012" s="17"/>
      <c r="E1012" s="17"/>
    </row>
    <row r="1013" spans="1:27">
      <c r="A1013" s="370" t="s">
        <v>1171</v>
      </c>
      <c r="B1013" s="442" t="s">
        <v>1176</v>
      </c>
      <c r="C1013" s="370">
        <v>1.45</v>
      </c>
      <c r="D1013" s="17"/>
      <c r="E1013" s="17"/>
    </row>
    <row r="1014" spans="1:27">
      <c r="A1014" s="370" t="s">
        <v>1171</v>
      </c>
      <c r="B1014" s="442" t="s">
        <v>1177</v>
      </c>
      <c r="C1014" s="371">
        <v>1</v>
      </c>
    </row>
    <row r="1015" spans="1:27">
      <c r="A1015" s="370" t="s">
        <v>1178</v>
      </c>
      <c r="B1015" s="442" t="s">
        <v>1179</v>
      </c>
      <c r="C1015" s="370">
        <v>0.2</v>
      </c>
    </row>
    <row r="1016" spans="1:27">
      <c r="A1016" s="370" t="s">
        <v>1178</v>
      </c>
      <c r="B1016" s="442" t="s">
        <v>1180</v>
      </c>
      <c r="C1016" s="370">
        <v>0.5</v>
      </c>
    </row>
    <row r="1018" spans="1:27">
      <c r="A1018" s="425" t="s">
        <v>1181</v>
      </c>
    </row>
    <row r="1019" spans="1:27">
      <c r="A1019" s="425" t="s">
        <v>1182</v>
      </c>
      <c r="B1019" s="369"/>
      <c r="C1019" s="369"/>
      <c r="D1019" s="369"/>
      <c r="E1019" s="369"/>
      <c r="F1019" s="360"/>
      <c r="G1019" s="425" t="s">
        <v>1183</v>
      </c>
      <c r="H1019" s="360"/>
      <c r="I1019" s="360"/>
      <c r="J1019" s="360"/>
      <c r="K1019" s="360"/>
      <c r="L1019" s="360"/>
      <c r="M1019" s="425" t="s">
        <v>1184</v>
      </c>
      <c r="N1019" s="360"/>
      <c r="O1019" s="360"/>
      <c r="P1019" s="360"/>
      <c r="Q1019" s="360"/>
      <c r="R1019" s="360"/>
      <c r="S1019" s="360"/>
      <c r="T1019" s="360"/>
      <c r="U1019" s="360"/>
      <c r="V1019" s="360"/>
      <c r="W1019" s="360"/>
      <c r="X1019" s="425" t="s">
        <v>1183</v>
      </c>
      <c r="Y1019" s="360"/>
      <c r="Z1019" s="360"/>
      <c r="AA1019" s="360"/>
    </row>
    <row r="1020" spans="1:27" ht="42">
      <c r="A1020" s="401" t="s">
        <v>1185</v>
      </c>
      <c r="B1020" s="401" t="s">
        <v>1186</v>
      </c>
      <c r="C1020" s="401" t="s">
        <v>1187</v>
      </c>
      <c r="D1020" s="401" t="s">
        <v>1188</v>
      </c>
      <c r="E1020" s="401" t="s">
        <v>1189</v>
      </c>
      <c r="F1020" s="401" t="s">
        <v>1190</v>
      </c>
      <c r="G1020" s="401" t="s">
        <v>1191</v>
      </c>
      <c r="H1020" s="401" t="s">
        <v>557</v>
      </c>
      <c r="I1020" s="401" t="s">
        <v>1192</v>
      </c>
      <c r="J1020" s="401" t="s">
        <v>1193</v>
      </c>
      <c r="K1020" s="401" t="s">
        <v>1194</v>
      </c>
      <c r="L1020" s="401" t="s">
        <v>1098</v>
      </c>
      <c r="M1020" s="443" t="s">
        <v>1195</v>
      </c>
      <c r="N1020" s="443" t="s">
        <v>1196</v>
      </c>
      <c r="O1020" s="443" t="s">
        <v>1197</v>
      </c>
      <c r="P1020" s="443" t="s">
        <v>1198</v>
      </c>
      <c r="Q1020" s="443" t="s">
        <v>1199</v>
      </c>
      <c r="R1020" s="443" t="s">
        <v>1200</v>
      </c>
      <c r="S1020" s="443" t="s">
        <v>1201</v>
      </c>
      <c r="T1020" s="443" t="s">
        <v>1202</v>
      </c>
      <c r="U1020" s="443" t="s">
        <v>1203</v>
      </c>
      <c r="V1020" s="401" t="s">
        <v>1098</v>
      </c>
      <c r="W1020" s="360"/>
      <c r="X1020" s="401" t="s">
        <v>1185</v>
      </c>
      <c r="Y1020" s="401" t="s">
        <v>1186</v>
      </c>
      <c r="Z1020" s="401" t="s">
        <v>1204</v>
      </c>
      <c r="AA1020" s="401" t="s">
        <v>1098</v>
      </c>
    </row>
    <row r="1021" spans="1:27" ht="100">
      <c r="A1021" s="401" t="s">
        <v>1205</v>
      </c>
      <c r="B1021" s="401"/>
      <c r="C1021" s="443"/>
      <c r="D1021" s="443"/>
      <c r="E1021" s="443"/>
      <c r="F1021" s="443" t="s">
        <v>1200</v>
      </c>
      <c r="G1021" s="444" t="s">
        <v>1198</v>
      </c>
      <c r="H1021" s="444" t="s">
        <v>1198</v>
      </c>
      <c r="I1021" s="444" t="s">
        <v>1198</v>
      </c>
      <c r="J1021" s="443" t="s">
        <v>1206</v>
      </c>
      <c r="K1021" s="445"/>
      <c r="L1021" s="446"/>
      <c r="M1021" s="443"/>
      <c r="N1021" s="443"/>
      <c r="O1021" s="443"/>
      <c r="P1021" s="443"/>
      <c r="Q1021" s="443"/>
      <c r="R1021" s="443"/>
      <c r="S1021" s="443"/>
      <c r="T1021" s="443"/>
      <c r="U1021" s="443"/>
      <c r="V1021" s="447" t="s">
        <v>1207</v>
      </c>
      <c r="W1021" s="360"/>
      <c r="X1021" s="448" t="s">
        <v>1208</v>
      </c>
      <c r="Y1021" s="449" t="s">
        <v>1209</v>
      </c>
      <c r="Z1021" s="410">
        <v>9.92E-3</v>
      </c>
      <c r="AA1021" s="443"/>
    </row>
    <row r="1022" spans="1:27">
      <c r="A1022" s="413" t="s">
        <v>1208</v>
      </c>
      <c r="B1022" s="413" t="s">
        <v>1210</v>
      </c>
      <c r="C1022" s="450">
        <v>1.32E-2</v>
      </c>
      <c r="D1022" s="450">
        <v>8.8999999999999999E-3</v>
      </c>
      <c r="E1022" s="450">
        <v>2.58E-2</v>
      </c>
      <c r="F1022" s="450">
        <v>2.9E-4</v>
      </c>
      <c r="G1022" s="419">
        <v>4.44E-4</v>
      </c>
      <c r="H1022" s="419">
        <v>2.1600000000000001E-6</v>
      </c>
      <c r="I1022" s="419">
        <v>1.1050000000000001E-3</v>
      </c>
      <c r="J1022" s="419">
        <v>2.87E-5</v>
      </c>
      <c r="K1022" s="419">
        <v>5.8999999999999997E-2</v>
      </c>
      <c r="L1022" s="446"/>
      <c r="M1022" s="451">
        <v>0.75</v>
      </c>
      <c r="N1022" s="451">
        <v>0.97</v>
      </c>
      <c r="O1022" s="451">
        <v>0.97</v>
      </c>
      <c r="P1022" s="451">
        <v>0.97</v>
      </c>
      <c r="Q1022" s="451">
        <v>0.97</v>
      </c>
      <c r="R1022" s="451">
        <v>0.3</v>
      </c>
      <c r="S1022" s="451">
        <v>0.97</v>
      </c>
      <c r="T1022" s="443"/>
      <c r="U1022" s="443"/>
      <c r="V1022" s="443"/>
      <c r="W1022" s="360"/>
      <c r="X1022" s="448" t="s">
        <v>1208</v>
      </c>
      <c r="Y1022" s="449" t="s">
        <v>1211</v>
      </c>
      <c r="Z1022" s="410">
        <v>1.8499999999999999E-5</v>
      </c>
      <c r="AA1022" s="443"/>
    </row>
    <row r="1023" spans="1:27">
      <c r="A1023" s="413" t="s">
        <v>1208</v>
      </c>
      <c r="B1023" s="413" t="s">
        <v>1212</v>
      </c>
      <c r="C1023" s="450">
        <v>8.8999999999999999E-3</v>
      </c>
      <c r="D1023" s="450">
        <v>3.5000000000000001E-3</v>
      </c>
      <c r="E1023" s="450">
        <v>4.5900000000000003E-2</v>
      </c>
      <c r="F1023" s="450">
        <v>3.6000000000000002E-4</v>
      </c>
      <c r="G1023" s="419">
        <v>5.5000000000000003E-4</v>
      </c>
      <c r="H1023" s="419">
        <v>1.99E-6</v>
      </c>
      <c r="I1023" s="419">
        <v>3.14E-3</v>
      </c>
      <c r="J1023" s="419">
        <v>9.48E-5</v>
      </c>
      <c r="K1023" s="419">
        <v>2.4E-2</v>
      </c>
      <c r="L1023" s="446"/>
      <c r="M1023" s="451">
        <v>0.75</v>
      </c>
      <c r="N1023" s="451">
        <v>0.97</v>
      </c>
      <c r="O1023" s="451">
        <v>0.97</v>
      </c>
      <c r="P1023" s="451">
        <v>0.97</v>
      </c>
      <c r="Q1023" s="451">
        <v>0.97</v>
      </c>
      <c r="R1023" s="451">
        <v>0.3</v>
      </c>
      <c r="S1023" s="451">
        <v>0.97</v>
      </c>
      <c r="T1023" s="443"/>
      <c r="U1023" s="443"/>
      <c r="V1023" s="443"/>
      <c r="W1023" s="360"/>
      <c r="X1023" s="448" t="s">
        <v>1208</v>
      </c>
      <c r="Y1023" s="449" t="s">
        <v>1213</v>
      </c>
      <c r="Z1023" s="410">
        <v>5.4999999999999997E-3</v>
      </c>
      <c r="AA1023" s="443"/>
    </row>
    <row r="1024" spans="1:27" ht="220">
      <c r="A1024" s="413" t="s">
        <v>1208</v>
      </c>
      <c r="B1024" s="413" t="s">
        <v>1214</v>
      </c>
      <c r="C1024" s="450">
        <v>5.0000000000000001E-4</v>
      </c>
      <c r="D1024" s="450">
        <v>6.9999999999999999E-4</v>
      </c>
      <c r="E1024" s="450">
        <v>5.0000000000000001E-4</v>
      </c>
      <c r="F1024" s="450">
        <v>5.0000000000000001E-4</v>
      </c>
      <c r="G1024" s="452"/>
      <c r="H1024" s="452"/>
      <c r="I1024" s="452"/>
      <c r="J1024" s="419">
        <v>9.48E-5</v>
      </c>
      <c r="K1024" s="419">
        <v>5.1000000000000004E-4</v>
      </c>
      <c r="L1024" s="453"/>
      <c r="M1024" s="451">
        <v>0</v>
      </c>
      <c r="N1024" s="451">
        <v>0</v>
      </c>
      <c r="O1024" s="451">
        <v>0</v>
      </c>
      <c r="P1024" s="451">
        <v>0</v>
      </c>
      <c r="Q1024" s="451">
        <v>0.3</v>
      </c>
      <c r="R1024" s="451">
        <v>0.3</v>
      </c>
      <c r="S1024" s="451">
        <v>0.97</v>
      </c>
      <c r="T1024" s="443"/>
      <c r="U1024" s="443"/>
      <c r="V1024" s="447" t="s">
        <v>1215</v>
      </c>
      <c r="W1024" s="360"/>
      <c r="X1024" s="448" t="s">
        <v>1208</v>
      </c>
      <c r="Y1024" s="449" t="s">
        <v>1216</v>
      </c>
      <c r="Z1024" s="410">
        <v>2.1599999999999999E-4</v>
      </c>
      <c r="AA1024" s="443"/>
    </row>
    <row r="1025" spans="1:27">
      <c r="A1025" s="413" t="s">
        <v>1217</v>
      </c>
      <c r="B1025" s="413" t="s">
        <v>1212</v>
      </c>
      <c r="C1025" s="450">
        <v>4.3900000000000002E-2</v>
      </c>
      <c r="D1025" s="450">
        <v>3.8600000000000002E-2</v>
      </c>
      <c r="E1025" s="450">
        <v>0.14399999999999999</v>
      </c>
      <c r="F1025" s="450">
        <v>4.1000000000000003E-3</v>
      </c>
      <c r="G1025" s="419">
        <v>4.2651000000000001E-2</v>
      </c>
      <c r="H1025" s="419">
        <v>2.0100000000000001E-5</v>
      </c>
      <c r="I1025" s="419">
        <v>5.6340000000000001E-2</v>
      </c>
      <c r="J1025" s="419">
        <v>1.1900000000000001E-3</v>
      </c>
      <c r="K1025" s="419">
        <v>0.251</v>
      </c>
      <c r="L1025" s="453"/>
      <c r="M1025" s="451">
        <v>0.75</v>
      </c>
      <c r="N1025" s="451">
        <v>0.75</v>
      </c>
      <c r="O1025" s="451">
        <v>0.85</v>
      </c>
      <c r="P1025" s="451">
        <v>0.93</v>
      </c>
      <c r="Q1025" s="451">
        <v>0.93</v>
      </c>
      <c r="R1025" s="451">
        <v>0.3</v>
      </c>
      <c r="S1025" s="451">
        <v>0.93</v>
      </c>
      <c r="T1025" s="443"/>
      <c r="U1025" s="443"/>
      <c r="V1025" s="443"/>
      <c r="W1025" s="360"/>
      <c r="X1025" s="448" t="s">
        <v>1217</v>
      </c>
      <c r="Y1025" s="449" t="s">
        <v>1209</v>
      </c>
      <c r="Z1025" s="410">
        <v>5.2900000000000004E-3</v>
      </c>
      <c r="AA1025" s="443"/>
    </row>
    <row r="1026" spans="1:27" ht="90">
      <c r="A1026" s="413" t="s">
        <v>1217</v>
      </c>
      <c r="B1026" s="413" t="s">
        <v>1214</v>
      </c>
      <c r="C1026" s="450">
        <v>1.9E-2</v>
      </c>
      <c r="D1026" s="450">
        <v>1.61E-2</v>
      </c>
      <c r="E1026" s="450">
        <v>4.5999999999999999E-3</v>
      </c>
      <c r="F1026" s="450">
        <v>4.5999999999999999E-3</v>
      </c>
      <c r="G1026" s="419">
        <v>4.2651000000000001E-2</v>
      </c>
      <c r="H1026" s="419">
        <v>2.0100000000000001E-5</v>
      </c>
      <c r="I1026" s="419">
        <v>5.6340000000000001E-2</v>
      </c>
      <c r="J1026" s="419">
        <v>1.1900000000000001E-3</v>
      </c>
      <c r="K1026" s="419">
        <v>4.5999999999999999E-2</v>
      </c>
      <c r="L1026" s="453"/>
      <c r="M1026" s="451">
        <v>0</v>
      </c>
      <c r="N1026" s="451">
        <v>0</v>
      </c>
      <c r="O1026" s="451">
        <v>0</v>
      </c>
      <c r="P1026" s="451">
        <v>0</v>
      </c>
      <c r="Q1026" s="451">
        <v>0.3</v>
      </c>
      <c r="R1026" s="451">
        <v>0.3</v>
      </c>
      <c r="S1026" s="451">
        <v>0.93</v>
      </c>
      <c r="T1026" s="443"/>
      <c r="U1026" s="443"/>
      <c r="V1026" s="447" t="s">
        <v>1218</v>
      </c>
      <c r="W1026" s="360"/>
      <c r="X1026" s="448" t="s">
        <v>1217</v>
      </c>
      <c r="Y1026" s="449" t="s">
        <v>1211</v>
      </c>
      <c r="Z1026" s="410">
        <v>1.137E-3</v>
      </c>
      <c r="AA1026" s="447" t="s">
        <v>1219</v>
      </c>
    </row>
    <row r="1027" spans="1:27">
      <c r="A1027" s="413" t="s">
        <v>1220</v>
      </c>
      <c r="B1027" s="413" t="s">
        <v>1210</v>
      </c>
      <c r="C1027" s="450">
        <v>3.8999999999999998E-3</v>
      </c>
      <c r="D1027" s="450">
        <v>2.8999999999999998E-3</v>
      </c>
      <c r="E1027" s="450">
        <v>5.3E-3</v>
      </c>
      <c r="F1027" s="450">
        <v>1.8000000000000001E-4</v>
      </c>
      <c r="G1027" s="419">
        <v>5.5500000000000005E-4</v>
      </c>
      <c r="H1027" s="419">
        <v>1.1000000000000001E-7</v>
      </c>
      <c r="I1027" s="419">
        <v>3.0699999999999998E-4</v>
      </c>
      <c r="J1027" s="419">
        <v>9.2603999999999996E-5</v>
      </c>
      <c r="K1027" s="419">
        <v>5.5000000000000003E-4</v>
      </c>
      <c r="L1027" s="453"/>
      <c r="M1027" s="451">
        <v>0.3</v>
      </c>
      <c r="N1027" s="451">
        <v>0.3</v>
      </c>
      <c r="O1027" s="451">
        <v>0.3</v>
      </c>
      <c r="P1027" s="451">
        <v>0.3</v>
      </c>
      <c r="Q1027" s="451">
        <v>0.97</v>
      </c>
      <c r="R1027" s="451">
        <v>0.3</v>
      </c>
      <c r="S1027" s="451">
        <v>0.97</v>
      </c>
      <c r="T1027" s="451">
        <v>0.97</v>
      </c>
      <c r="U1027" s="451">
        <v>0.75</v>
      </c>
      <c r="V1027" s="443"/>
      <c r="W1027" s="360"/>
      <c r="X1027" s="448" t="s">
        <v>1217</v>
      </c>
      <c r="Y1027" s="449" t="s">
        <v>1213</v>
      </c>
      <c r="Z1027" s="410">
        <v>2.8660000000000001E-2</v>
      </c>
      <c r="AA1027" s="443"/>
    </row>
    <row r="1028" spans="1:27">
      <c r="A1028" s="413" t="s">
        <v>1220</v>
      </c>
      <c r="B1028" s="413" t="s">
        <v>1212</v>
      </c>
      <c r="C1028" s="450">
        <v>5.0000000000000001E-4</v>
      </c>
      <c r="D1028" s="450">
        <v>5.0000000000000001E-4</v>
      </c>
      <c r="E1028" s="450">
        <v>5.1999999999999998E-3</v>
      </c>
      <c r="F1028" s="450">
        <v>1.8000000000000001E-4</v>
      </c>
      <c r="G1028" s="419">
        <v>5.5500000000000005E-4</v>
      </c>
      <c r="H1028" s="419">
        <v>1.1000000000000001E-7</v>
      </c>
      <c r="I1028" s="419">
        <v>3.0699999999999998E-4</v>
      </c>
      <c r="J1028" s="419">
        <v>1.7620000000000001E-5</v>
      </c>
      <c r="K1028" s="419">
        <v>5.5000000000000003E-4</v>
      </c>
      <c r="L1028" s="453"/>
      <c r="M1028" s="451">
        <v>0.3</v>
      </c>
      <c r="N1028" s="451">
        <v>0.3</v>
      </c>
      <c r="O1028" s="451">
        <v>0.3</v>
      </c>
      <c r="P1028" s="451">
        <v>0.3</v>
      </c>
      <c r="Q1028" s="451">
        <v>0.97</v>
      </c>
      <c r="R1028" s="451">
        <v>0.3</v>
      </c>
      <c r="S1028" s="451">
        <v>0.97</v>
      </c>
      <c r="T1028" s="451">
        <v>0.97</v>
      </c>
      <c r="U1028" s="451">
        <v>0.75</v>
      </c>
      <c r="V1028" s="443"/>
      <c r="W1028" s="360"/>
      <c r="X1028" s="448" t="s">
        <v>1217</v>
      </c>
      <c r="Y1028" s="449" t="s">
        <v>1216</v>
      </c>
      <c r="Z1028" s="410">
        <v>5.1999999999999997E-5</v>
      </c>
      <c r="AA1028" s="443"/>
    </row>
    <row r="1029" spans="1:27" ht="60">
      <c r="A1029" s="413" t="s">
        <v>1220</v>
      </c>
      <c r="B1029" s="413" t="s">
        <v>1214</v>
      </c>
      <c r="C1029" s="450">
        <v>6.9999999999999994E-5</v>
      </c>
      <c r="D1029" s="450">
        <v>6.9999999999999994E-5</v>
      </c>
      <c r="E1029" s="450">
        <v>6.9999999999999994E-5</v>
      </c>
      <c r="F1029" s="450">
        <v>1.8000000000000001E-4</v>
      </c>
      <c r="G1029" s="419">
        <v>5.5500000000000005E-4</v>
      </c>
      <c r="H1029" s="419">
        <v>1.1000000000000001E-7</v>
      </c>
      <c r="I1029" s="419">
        <v>3.0699999999999998E-4</v>
      </c>
      <c r="J1029" s="419">
        <v>1.7600000000000001E-5</v>
      </c>
      <c r="K1029" s="419">
        <v>5.5000000000000003E-4</v>
      </c>
      <c r="L1029" s="453"/>
      <c r="M1029" s="451">
        <v>0.3</v>
      </c>
      <c r="N1029" s="451">
        <v>0.3</v>
      </c>
      <c r="O1029" s="451">
        <v>0.3</v>
      </c>
      <c r="P1029" s="451">
        <v>0.3</v>
      </c>
      <c r="Q1029" s="451">
        <v>0.3</v>
      </c>
      <c r="R1029" s="451">
        <v>0.3</v>
      </c>
      <c r="S1029" s="451">
        <v>0.97</v>
      </c>
      <c r="T1029" s="451">
        <v>0.3</v>
      </c>
      <c r="U1029" s="451">
        <v>0.3</v>
      </c>
      <c r="V1029" s="447" t="s">
        <v>1221</v>
      </c>
      <c r="W1029" s="360"/>
      <c r="X1029" s="448" t="s">
        <v>1222</v>
      </c>
      <c r="Y1029" s="449" t="s">
        <v>1209</v>
      </c>
      <c r="Z1029" s="410">
        <v>8.5999999999999998E-4</v>
      </c>
      <c r="AA1029" s="443"/>
    </row>
    <row r="1030" spans="1:27">
      <c r="A1030" s="413" t="s">
        <v>1223</v>
      </c>
      <c r="B1030" s="413" t="s">
        <v>1223</v>
      </c>
      <c r="C1030" s="450">
        <v>0.50270000000000004</v>
      </c>
      <c r="D1030" s="450">
        <v>0.50270000000000004</v>
      </c>
      <c r="E1030" s="450">
        <v>0.50270000000000004</v>
      </c>
      <c r="F1030" s="450">
        <v>0.1971</v>
      </c>
      <c r="G1030" s="419">
        <v>7.67E-4</v>
      </c>
      <c r="H1030" s="454"/>
      <c r="I1030" s="419">
        <v>3.9999999999999998E-6</v>
      </c>
      <c r="J1030" s="454"/>
      <c r="K1030" s="419">
        <v>1.399</v>
      </c>
      <c r="L1030" s="453"/>
      <c r="M1030" s="451">
        <v>0.75</v>
      </c>
      <c r="N1030" s="451">
        <v>0.75</v>
      </c>
      <c r="O1030" s="451">
        <v>0.85</v>
      </c>
      <c r="P1030" s="451">
        <v>0.95</v>
      </c>
      <c r="Q1030" s="451">
        <v>0.95</v>
      </c>
      <c r="R1030" s="451">
        <v>0.3</v>
      </c>
      <c r="S1030" s="451">
        <v>0.95</v>
      </c>
      <c r="T1030" s="443"/>
      <c r="U1030" s="443"/>
      <c r="V1030" s="443"/>
      <c r="W1030" s="360"/>
      <c r="X1030" s="448" t="s">
        <v>1222</v>
      </c>
      <c r="Y1030" s="449" t="s">
        <v>1211</v>
      </c>
      <c r="Z1030" s="410">
        <v>8.6000000000000002E-7</v>
      </c>
      <c r="AA1030" s="443"/>
    </row>
    <row r="1031" spans="1:27" ht="120">
      <c r="A1031" s="413" t="s">
        <v>1224</v>
      </c>
      <c r="B1031" s="413" t="s">
        <v>1210</v>
      </c>
      <c r="C1031" s="450">
        <v>0.2293</v>
      </c>
      <c r="D1031" s="450">
        <v>0.2293</v>
      </c>
      <c r="E1031" s="450">
        <v>0.2293</v>
      </c>
      <c r="F1031" s="450">
        <v>9.8599999999999993E-2</v>
      </c>
      <c r="G1031" s="419">
        <v>1.65E-4</v>
      </c>
      <c r="H1031" s="419">
        <v>1.6200000000000001E-5</v>
      </c>
      <c r="I1031" s="419">
        <v>2.9960000000000001E-2</v>
      </c>
      <c r="J1031" s="454"/>
      <c r="K1031" s="419">
        <v>0.35</v>
      </c>
      <c r="L1031" s="453"/>
      <c r="M1031" s="451">
        <v>0.75</v>
      </c>
      <c r="N1031" s="451">
        <v>0.97</v>
      </c>
      <c r="O1031" s="451">
        <v>0.97</v>
      </c>
      <c r="P1031" s="451">
        <v>0.97</v>
      </c>
      <c r="Q1031" s="451">
        <v>0.97</v>
      </c>
      <c r="R1031" s="451">
        <v>0.3</v>
      </c>
      <c r="S1031" s="451">
        <v>0.97</v>
      </c>
      <c r="T1031" s="443"/>
      <c r="U1031" s="443"/>
      <c r="V1031" s="447" t="s">
        <v>1225</v>
      </c>
      <c r="W1031" s="360"/>
      <c r="X1031" s="448" t="s">
        <v>1222</v>
      </c>
      <c r="Y1031" s="449" t="s">
        <v>1213</v>
      </c>
      <c r="Z1031" s="410">
        <v>2.43E-4</v>
      </c>
      <c r="AA1031" s="443"/>
    </row>
    <row r="1032" spans="1:27" ht="80">
      <c r="A1032" s="413" t="s">
        <v>1226</v>
      </c>
      <c r="B1032" s="413" t="s">
        <v>1226</v>
      </c>
      <c r="C1032" s="450">
        <v>3.8E-3</v>
      </c>
      <c r="D1032" s="450">
        <v>4.0000000000000001E-3</v>
      </c>
      <c r="E1032" s="450">
        <v>7.4999999999999997E-3</v>
      </c>
      <c r="F1032" s="450">
        <v>3.3E-3</v>
      </c>
      <c r="G1032" s="419">
        <v>1.078E-3</v>
      </c>
      <c r="H1032" s="419">
        <v>7.0000000000000005E-8</v>
      </c>
      <c r="I1032" s="419">
        <v>1.2E-4</v>
      </c>
      <c r="J1032" s="454"/>
      <c r="K1032" s="419">
        <v>5.1000000000000004E-3</v>
      </c>
      <c r="L1032" s="447" t="s">
        <v>1227</v>
      </c>
      <c r="M1032" s="443"/>
      <c r="N1032" s="443"/>
      <c r="O1032" s="443"/>
      <c r="P1032" s="443"/>
      <c r="Q1032" s="443"/>
      <c r="R1032" s="443"/>
      <c r="S1032" s="443"/>
      <c r="T1032" s="443"/>
      <c r="U1032" s="443"/>
      <c r="V1032" s="447" t="s">
        <v>1228</v>
      </c>
      <c r="W1032" s="360"/>
      <c r="X1032" s="448" t="s">
        <v>1222</v>
      </c>
      <c r="Y1032" s="449" t="s">
        <v>1216</v>
      </c>
      <c r="Z1032" s="410">
        <v>6.0000000000000002E-6</v>
      </c>
      <c r="AA1032" s="443"/>
    </row>
    <row r="1033" spans="1:27" ht="80">
      <c r="A1033" s="413" t="s">
        <v>1229</v>
      </c>
      <c r="B1033" s="413" t="s">
        <v>1229</v>
      </c>
      <c r="C1033" s="450">
        <v>3.3000000000000002E-2</v>
      </c>
      <c r="D1033" s="450">
        <v>3.3000000000000002E-2</v>
      </c>
      <c r="E1033" s="450">
        <v>3.3000000000000002E-2</v>
      </c>
      <c r="F1033" s="450">
        <v>3.3000000000000002E-2</v>
      </c>
      <c r="G1033" s="419">
        <v>8.7999999999999998E-5</v>
      </c>
      <c r="H1033" s="454"/>
      <c r="I1033" s="419">
        <v>1.2E-4</v>
      </c>
      <c r="J1033" s="454"/>
      <c r="K1033" s="419">
        <v>3.3000000000000002E-2</v>
      </c>
      <c r="L1033" s="447" t="s">
        <v>1230</v>
      </c>
      <c r="M1033" s="451">
        <v>0</v>
      </c>
      <c r="N1033" s="451">
        <v>0</v>
      </c>
      <c r="O1033" s="451">
        <v>0</v>
      </c>
      <c r="P1033" s="451">
        <v>0</v>
      </c>
      <c r="Q1033" s="451">
        <v>0</v>
      </c>
      <c r="R1033" s="451">
        <v>0</v>
      </c>
      <c r="S1033" s="451">
        <v>0</v>
      </c>
      <c r="T1033" s="443"/>
      <c r="U1033" s="443"/>
      <c r="V1033" s="447" t="s">
        <v>1231</v>
      </c>
      <c r="W1033" s="360"/>
      <c r="X1033" s="448" t="s">
        <v>1232</v>
      </c>
      <c r="Y1033" s="449" t="s">
        <v>1209</v>
      </c>
      <c r="Z1033" s="410">
        <v>4.4000000000000002E-4</v>
      </c>
      <c r="AA1033" s="443"/>
    </row>
    <row r="1034" spans="1:27">
      <c r="A1034" s="413" t="s">
        <v>1233</v>
      </c>
      <c r="B1034" s="413" t="s">
        <v>1233</v>
      </c>
      <c r="C1034" s="450">
        <f>C1025</f>
        <v>4.3900000000000002E-2</v>
      </c>
      <c r="D1034" s="450">
        <f>D1025</f>
        <v>3.8600000000000002E-2</v>
      </c>
      <c r="E1034" s="450">
        <f>E1025</f>
        <v>0.14399999999999999</v>
      </c>
      <c r="F1034" s="450">
        <f>F1025</f>
        <v>4.1000000000000003E-3</v>
      </c>
      <c r="G1034" s="454"/>
      <c r="H1034" s="454"/>
      <c r="I1034" s="454"/>
      <c r="J1034" s="454"/>
      <c r="K1034" s="454"/>
      <c r="L1034" s="447" t="s">
        <v>1234</v>
      </c>
      <c r="M1034" s="455"/>
      <c r="N1034" s="455"/>
      <c r="O1034" s="455"/>
      <c r="P1034" s="455"/>
      <c r="Q1034" s="455"/>
      <c r="R1034" s="455"/>
      <c r="S1034" s="455"/>
      <c r="T1034" s="455"/>
      <c r="U1034" s="455"/>
      <c r="V1034" s="455"/>
      <c r="W1034" s="360"/>
      <c r="X1034" s="448" t="s">
        <v>1232</v>
      </c>
      <c r="Y1034" s="449" t="s">
        <v>1211</v>
      </c>
      <c r="Z1034" s="410">
        <v>1.6500000000000001E-5</v>
      </c>
      <c r="AA1034" s="443"/>
    </row>
    <row r="1035" spans="1:27" ht="30">
      <c r="A1035" s="413" t="s">
        <v>1235</v>
      </c>
      <c r="B1035" s="413" t="s">
        <v>1235</v>
      </c>
      <c r="C1035" s="450">
        <f>C1023</f>
        <v>8.8999999999999999E-3</v>
      </c>
      <c r="D1035" s="450">
        <f>D1023</f>
        <v>3.5000000000000001E-3</v>
      </c>
      <c r="E1035" s="450">
        <f>E1023</f>
        <v>4.5900000000000003E-2</v>
      </c>
      <c r="F1035" s="450">
        <f>F1023</f>
        <v>3.6000000000000002E-4</v>
      </c>
      <c r="G1035" s="454"/>
      <c r="H1035" s="454"/>
      <c r="I1035" s="454"/>
      <c r="J1035" s="454"/>
      <c r="K1035" s="454"/>
      <c r="L1035" s="447" t="s">
        <v>1236</v>
      </c>
      <c r="M1035" s="455"/>
      <c r="N1035" s="455"/>
      <c r="O1035" s="455"/>
      <c r="P1035" s="455"/>
      <c r="Q1035" s="455"/>
      <c r="R1035" s="455"/>
      <c r="S1035" s="455"/>
      <c r="T1035" s="455"/>
      <c r="U1035" s="455"/>
      <c r="V1035" s="455"/>
      <c r="W1035" s="360"/>
      <c r="X1035" s="448" t="s">
        <v>1232</v>
      </c>
      <c r="Y1035" s="449" t="s">
        <v>1213</v>
      </c>
      <c r="Z1035" s="410">
        <v>4.6299999999999998E-4</v>
      </c>
      <c r="AA1035" s="443"/>
    </row>
    <row r="1036" spans="1:27" ht="30">
      <c r="A1036" s="413" t="s">
        <v>1237</v>
      </c>
      <c r="B1036" s="413" t="s">
        <v>1210</v>
      </c>
      <c r="C1036" s="454"/>
      <c r="D1036" s="454"/>
      <c r="E1036" s="454"/>
      <c r="F1036" s="454"/>
      <c r="G1036" s="454"/>
      <c r="H1036" s="454"/>
      <c r="I1036" s="454"/>
      <c r="J1036" s="419">
        <v>2.6499999999999999E-4</v>
      </c>
      <c r="K1036" s="454"/>
      <c r="L1036" s="447" t="s">
        <v>1238</v>
      </c>
      <c r="M1036" s="455"/>
      <c r="N1036" s="455"/>
      <c r="O1036" s="455"/>
      <c r="P1036" s="455"/>
      <c r="Q1036" s="455"/>
      <c r="R1036" s="455"/>
      <c r="S1036" s="455"/>
      <c r="T1036" s="455"/>
      <c r="U1036" s="455"/>
      <c r="V1036" s="455"/>
      <c r="W1036" s="360"/>
      <c r="X1036" s="448" t="s">
        <v>1232</v>
      </c>
      <c r="Y1036" s="449" t="s">
        <v>1216</v>
      </c>
      <c r="Z1036" s="410">
        <v>2.43E-4</v>
      </c>
      <c r="AA1036" s="443"/>
    </row>
    <row r="1037" spans="1:27">
      <c r="A1037" s="413" t="s">
        <v>1237</v>
      </c>
      <c r="B1037" s="413" t="s">
        <v>1239</v>
      </c>
      <c r="C1037" s="454"/>
      <c r="D1037" s="454"/>
      <c r="E1037" s="454"/>
      <c r="F1037" s="454"/>
      <c r="G1037" s="454"/>
      <c r="H1037" s="454"/>
      <c r="I1037" s="454"/>
      <c r="J1037" s="419">
        <v>2.8699999999999998E-4</v>
      </c>
      <c r="K1037" s="454"/>
      <c r="L1037" s="453"/>
      <c r="M1037" s="455"/>
      <c r="N1037" s="455"/>
      <c r="O1037" s="455"/>
      <c r="P1037" s="455"/>
      <c r="Q1037" s="455"/>
      <c r="R1037" s="455"/>
      <c r="S1037" s="455"/>
      <c r="T1037" s="455"/>
      <c r="U1037" s="455"/>
      <c r="V1037" s="455"/>
      <c r="W1037" s="360"/>
      <c r="X1037" s="448" t="s">
        <v>1223</v>
      </c>
      <c r="Y1037" s="449" t="s">
        <v>1209</v>
      </c>
      <c r="Z1037" s="410">
        <v>1.9400000000000001E-2</v>
      </c>
      <c r="AA1037" s="443"/>
    </row>
    <row r="1038" spans="1:27" ht="30">
      <c r="A1038" s="413" t="s">
        <v>1240</v>
      </c>
      <c r="B1038" s="413" t="s">
        <v>1240</v>
      </c>
      <c r="C1038" s="419">
        <v>7.0000000000000007E-2</v>
      </c>
      <c r="D1038" s="419">
        <v>7.0000000000000007E-2</v>
      </c>
      <c r="E1038" s="419">
        <v>7.0000000000000007E-2</v>
      </c>
      <c r="F1038" s="419">
        <v>7.0000000000000007E-2</v>
      </c>
      <c r="G1038" s="419">
        <v>7.0000000000000007E-2</v>
      </c>
      <c r="H1038" s="419">
        <v>7.0000000000000007E-2</v>
      </c>
      <c r="I1038" s="419">
        <v>7.0000000000000007E-2</v>
      </c>
      <c r="J1038" s="419">
        <v>7.0000000000000007E-2</v>
      </c>
      <c r="K1038" s="419">
        <v>7.0000000000000007E-2</v>
      </c>
      <c r="L1038" s="447" t="s">
        <v>1241</v>
      </c>
      <c r="M1038" s="455"/>
      <c r="N1038" s="455"/>
      <c r="O1038" s="455"/>
      <c r="P1038" s="455"/>
      <c r="Q1038" s="455"/>
      <c r="R1038" s="455"/>
      <c r="S1038" s="455"/>
      <c r="T1038" s="455"/>
      <c r="U1038" s="455"/>
      <c r="V1038" s="456" t="s">
        <v>1242</v>
      </c>
      <c r="W1038" s="360"/>
      <c r="X1038" s="448" t="s">
        <v>1223</v>
      </c>
      <c r="Y1038" s="449" t="s">
        <v>1211</v>
      </c>
      <c r="Z1038" s="410">
        <v>6.8300000000000007E-5</v>
      </c>
      <c r="AA1038" s="443"/>
    </row>
    <row r="1039" spans="1:27" ht="409.5">
      <c r="A1039" s="446" t="s">
        <v>1098</v>
      </c>
      <c r="B1039" s="456" t="s">
        <v>1243</v>
      </c>
      <c r="C1039" s="456" t="s">
        <v>1244</v>
      </c>
      <c r="D1039" s="456" t="s">
        <v>1245</v>
      </c>
      <c r="E1039" s="456" t="s">
        <v>1246</v>
      </c>
      <c r="F1039" s="456" t="s">
        <v>1247</v>
      </c>
      <c r="G1039" s="456" t="s">
        <v>1248</v>
      </c>
      <c r="H1039" s="456" t="s">
        <v>1249</v>
      </c>
      <c r="I1039" s="456" t="s">
        <v>1250</v>
      </c>
      <c r="J1039" s="456" t="s">
        <v>1251</v>
      </c>
      <c r="K1039" s="456" t="s">
        <v>1252</v>
      </c>
      <c r="L1039" s="453"/>
      <c r="M1039" s="453"/>
      <c r="N1039" s="453"/>
      <c r="O1039" s="453"/>
      <c r="P1039" s="453"/>
      <c r="Q1039" s="453"/>
      <c r="R1039" s="453"/>
      <c r="S1039" s="456" t="s">
        <v>1253</v>
      </c>
      <c r="T1039" s="456" t="s">
        <v>1254</v>
      </c>
      <c r="U1039" s="456" t="s">
        <v>1254</v>
      </c>
      <c r="V1039" s="457"/>
      <c r="W1039" s="458"/>
      <c r="X1039" s="448" t="s">
        <v>1223</v>
      </c>
      <c r="Y1039" s="449" t="s">
        <v>1213</v>
      </c>
      <c r="Z1039" s="410">
        <v>1.6500000000000001E-2</v>
      </c>
      <c r="AA1039" s="443"/>
    </row>
    <row r="1040" spans="1:27">
      <c r="A1040" s="369"/>
      <c r="B1040" s="360"/>
      <c r="C1040" s="369"/>
      <c r="D1040" s="369"/>
      <c r="E1040" s="369"/>
      <c r="F1040" s="360"/>
      <c r="G1040" s="360"/>
      <c r="H1040" s="360"/>
      <c r="I1040" s="360"/>
      <c r="J1040" s="360"/>
      <c r="K1040" s="360"/>
      <c r="L1040" s="360"/>
      <c r="M1040" s="360"/>
      <c r="N1040" s="360"/>
      <c r="O1040" s="360"/>
      <c r="P1040" s="360"/>
      <c r="Q1040" s="360"/>
      <c r="R1040" s="360"/>
      <c r="S1040" s="360"/>
      <c r="T1040" s="360"/>
      <c r="U1040" s="360"/>
      <c r="V1040" s="360"/>
      <c r="W1040" s="360"/>
      <c r="X1040" s="448" t="s">
        <v>1223</v>
      </c>
      <c r="Y1040" s="449" t="s">
        <v>1216</v>
      </c>
      <c r="Z1040" s="410">
        <v>3.09E-2</v>
      </c>
      <c r="AA1040" s="443"/>
    </row>
    <row r="1041" spans="1:27">
      <c r="A1041" s="369"/>
      <c r="B1041" s="360"/>
      <c r="C1041" s="369"/>
      <c r="D1041" s="369"/>
      <c r="E1041" s="369"/>
      <c r="F1041" s="360"/>
      <c r="G1041" s="360"/>
      <c r="H1041" s="360"/>
      <c r="I1041" s="360"/>
      <c r="J1041" s="360"/>
      <c r="K1041" s="360"/>
      <c r="L1041" s="360"/>
      <c r="M1041" s="360"/>
      <c r="N1041" s="360"/>
      <c r="O1041" s="360"/>
      <c r="P1041" s="360"/>
      <c r="Q1041" s="360"/>
      <c r="R1041" s="360"/>
      <c r="S1041" s="360"/>
      <c r="T1041" s="360"/>
      <c r="U1041" s="360"/>
      <c r="V1041" s="360"/>
      <c r="W1041" s="360"/>
      <c r="X1041" s="448" t="s">
        <v>1224</v>
      </c>
      <c r="Y1041" s="449" t="s">
        <v>1209</v>
      </c>
      <c r="Z1041" s="410">
        <v>1.9400000000000001E-2</v>
      </c>
      <c r="AA1041" s="443"/>
    </row>
    <row r="1042" spans="1:27">
      <c r="A1042" s="369"/>
      <c r="B1042" s="360"/>
      <c r="C1042" s="360"/>
      <c r="D1042" s="360"/>
      <c r="E1042" s="360"/>
      <c r="F1042" s="360"/>
      <c r="G1042" s="360"/>
      <c r="H1042" s="360"/>
      <c r="I1042" s="360"/>
      <c r="J1042" s="360"/>
      <c r="K1042" s="360"/>
      <c r="L1042" s="360"/>
      <c r="M1042" s="360"/>
      <c r="N1042" s="360"/>
      <c r="O1042" s="360"/>
      <c r="P1042" s="360"/>
      <c r="Q1042" s="360"/>
      <c r="R1042" s="360"/>
      <c r="S1042" s="360"/>
      <c r="T1042" s="360"/>
      <c r="U1042" s="360"/>
      <c r="V1042" s="360"/>
      <c r="W1042" s="360"/>
      <c r="X1042" s="448" t="s">
        <v>1224</v>
      </c>
      <c r="Y1042" s="449" t="s">
        <v>1211</v>
      </c>
      <c r="Z1042" s="410">
        <v>6.8300000000000007E-5</v>
      </c>
      <c r="AA1042" s="443"/>
    </row>
    <row r="1043" spans="1:27">
      <c r="A1043" s="369"/>
      <c r="B1043" s="459"/>
      <c r="C1043" s="360"/>
      <c r="D1043" s="360"/>
      <c r="E1043" s="360"/>
      <c r="F1043" s="360"/>
      <c r="G1043" s="360"/>
      <c r="H1043" s="360"/>
      <c r="I1043" s="360"/>
      <c r="J1043" s="360"/>
      <c r="K1043" s="360"/>
      <c r="L1043" s="360"/>
      <c r="M1043" s="360"/>
      <c r="N1043" s="360"/>
      <c r="O1043" s="360"/>
      <c r="P1043" s="360"/>
      <c r="Q1043" s="360"/>
      <c r="R1043" s="360"/>
      <c r="S1043" s="360"/>
      <c r="T1043" s="360"/>
      <c r="U1043" s="360"/>
      <c r="V1043" s="360"/>
      <c r="W1043" s="360"/>
      <c r="X1043" s="448" t="s">
        <v>1224</v>
      </c>
      <c r="Y1043" s="449" t="s">
        <v>1213</v>
      </c>
      <c r="Z1043" s="410">
        <v>1.6500000000000001E-2</v>
      </c>
      <c r="AA1043" s="443"/>
    </row>
    <row r="1044" spans="1:27">
      <c r="A1044" s="369"/>
      <c r="B1044" s="360"/>
      <c r="C1044" s="360"/>
      <c r="D1044" s="360"/>
      <c r="E1044" s="360"/>
      <c r="F1044" s="360"/>
      <c r="G1044" s="360"/>
      <c r="H1044" s="360"/>
      <c r="I1044" s="360"/>
      <c r="J1044" s="360"/>
      <c r="K1044" s="360"/>
      <c r="L1044" s="360"/>
      <c r="M1044" s="360"/>
      <c r="N1044" s="360"/>
      <c r="O1044" s="360"/>
      <c r="P1044" s="360"/>
      <c r="Q1044" s="360"/>
      <c r="R1044" s="360"/>
      <c r="S1044" s="360"/>
      <c r="T1044" s="360"/>
      <c r="U1044" s="360"/>
      <c r="V1044" s="360"/>
      <c r="W1044" s="360"/>
      <c r="X1044" s="448" t="s">
        <v>1224</v>
      </c>
      <c r="Y1044" s="449" t="s">
        <v>1216</v>
      </c>
      <c r="Z1044" s="410">
        <v>3.09E-2</v>
      </c>
      <c r="AA1044" s="443"/>
    </row>
    <row r="1045" spans="1:27">
      <c r="A1045" s="360"/>
      <c r="B1045" s="360"/>
      <c r="C1045" s="360"/>
      <c r="D1045" s="360"/>
      <c r="E1045" s="360"/>
      <c r="F1045" s="360"/>
      <c r="G1045" s="360"/>
      <c r="H1045" s="360"/>
      <c r="I1045" s="360"/>
      <c r="J1045" s="360"/>
      <c r="K1045" s="360"/>
      <c r="L1045" s="360"/>
      <c r="M1045" s="360"/>
      <c r="N1045" s="360"/>
      <c r="O1045" s="360"/>
      <c r="P1045" s="360"/>
      <c r="Q1045" s="360"/>
      <c r="R1045" s="360"/>
      <c r="S1045" s="360"/>
      <c r="T1045" s="360"/>
      <c r="U1045" s="360"/>
      <c r="V1045" s="360"/>
      <c r="W1045" s="360"/>
      <c r="X1045" s="448" t="s">
        <v>1226</v>
      </c>
      <c r="Y1045" s="449" t="s">
        <v>1209</v>
      </c>
      <c r="Z1045" s="410">
        <v>4.4099999999999999E-3</v>
      </c>
      <c r="AA1045" s="443"/>
    </row>
    <row r="1046" spans="1:27">
      <c r="A1046" s="360"/>
      <c r="B1046" s="360"/>
      <c r="C1046" s="360"/>
      <c r="D1046" s="360"/>
      <c r="E1046" s="360"/>
      <c r="F1046" s="360"/>
      <c r="G1046" s="360"/>
      <c r="H1046" s="360"/>
      <c r="I1046" s="360"/>
      <c r="J1046" s="360"/>
      <c r="K1046" s="360"/>
      <c r="L1046" s="360"/>
      <c r="M1046" s="360"/>
      <c r="N1046" s="360"/>
      <c r="O1046" s="360"/>
      <c r="P1046" s="360"/>
      <c r="Q1046" s="360"/>
      <c r="R1046" s="360"/>
      <c r="S1046" s="360"/>
      <c r="T1046" s="360"/>
      <c r="U1046" s="360"/>
      <c r="V1046" s="360"/>
      <c r="W1046" s="360"/>
      <c r="X1046" s="448" t="s">
        <v>1226</v>
      </c>
      <c r="Y1046" s="449" t="s">
        <v>1211</v>
      </c>
      <c r="Z1046" s="410">
        <v>3.0899999999999998E-4</v>
      </c>
      <c r="AA1046" s="443"/>
    </row>
    <row r="1047" spans="1:27">
      <c r="A1047" s="360"/>
      <c r="B1047" s="360"/>
      <c r="C1047" s="360"/>
      <c r="D1047" s="360"/>
      <c r="E1047" s="360"/>
      <c r="F1047" s="360"/>
      <c r="G1047" s="460"/>
      <c r="H1047" s="360"/>
      <c r="I1047" s="360"/>
      <c r="J1047" s="360"/>
      <c r="K1047" s="360"/>
      <c r="L1047" s="360"/>
      <c r="M1047" s="360"/>
      <c r="N1047" s="360"/>
      <c r="O1047" s="360"/>
      <c r="P1047" s="360"/>
      <c r="Q1047" s="360"/>
      <c r="R1047" s="360"/>
      <c r="S1047" s="360"/>
      <c r="T1047" s="360"/>
      <c r="U1047" s="360"/>
      <c r="V1047" s="360"/>
      <c r="W1047" s="360"/>
      <c r="X1047" s="448" t="s">
        <v>1226</v>
      </c>
      <c r="Y1047" s="449" t="s">
        <v>1213</v>
      </c>
      <c r="Z1047" s="410">
        <v>3.0899999999999999E-3</v>
      </c>
      <c r="AA1047" s="443"/>
    </row>
    <row r="1048" spans="1:27">
      <c r="A1048" s="360"/>
      <c r="B1048" s="360"/>
      <c r="C1048" s="360"/>
      <c r="D1048" s="360"/>
      <c r="E1048" s="360"/>
      <c r="F1048" s="360"/>
      <c r="G1048" s="360"/>
      <c r="H1048" s="461"/>
      <c r="I1048" s="369"/>
      <c r="J1048" s="360"/>
      <c r="K1048" s="360"/>
      <c r="L1048" s="360"/>
      <c r="M1048" s="360"/>
      <c r="N1048" s="360"/>
      <c r="O1048" s="360"/>
      <c r="P1048" s="360"/>
      <c r="Q1048" s="360"/>
      <c r="R1048" s="360"/>
      <c r="S1048" s="360"/>
      <c r="T1048" s="360"/>
      <c r="U1048" s="360"/>
      <c r="V1048" s="360"/>
      <c r="W1048" s="360"/>
      <c r="X1048" s="448" t="s">
        <v>1226</v>
      </c>
      <c r="Y1048" s="449" t="s">
        <v>1216</v>
      </c>
      <c r="Z1048" s="410">
        <v>5.5000000000000003E-4</v>
      </c>
      <c r="AA1048" s="443"/>
    </row>
    <row r="1049" spans="1:27" ht="40">
      <c r="A1049" s="360"/>
      <c r="B1049" s="360"/>
      <c r="C1049" s="360"/>
      <c r="D1049" s="360"/>
      <c r="E1049" s="360"/>
      <c r="F1049" s="360"/>
      <c r="G1049" s="460"/>
      <c r="H1049" s="360"/>
      <c r="I1049" s="360"/>
      <c r="J1049" s="360"/>
      <c r="K1049" s="360"/>
      <c r="L1049" s="360"/>
      <c r="M1049" s="360"/>
      <c r="N1049" s="360"/>
      <c r="O1049" s="360"/>
      <c r="P1049" s="360"/>
      <c r="Q1049" s="360"/>
      <c r="R1049" s="360"/>
      <c r="S1049" s="360"/>
      <c r="T1049" s="360"/>
      <c r="U1049" s="360"/>
      <c r="V1049" s="360"/>
      <c r="W1049" s="360"/>
      <c r="X1049" s="448" t="s">
        <v>1237</v>
      </c>
      <c r="Y1049" s="449" t="s">
        <v>1209</v>
      </c>
      <c r="Z1049" s="410">
        <v>1.9400000000000001E-2</v>
      </c>
      <c r="AA1049" s="447" t="s">
        <v>1255</v>
      </c>
    </row>
    <row r="1050" spans="1:27">
      <c r="A1050" s="360"/>
      <c r="B1050" s="360"/>
      <c r="C1050" s="360"/>
      <c r="D1050" s="360"/>
      <c r="E1050" s="360"/>
      <c r="F1050" s="360"/>
      <c r="G1050" s="462"/>
      <c r="H1050" s="360"/>
      <c r="I1050" s="369"/>
      <c r="J1050" s="360"/>
      <c r="K1050" s="360"/>
      <c r="L1050" s="360"/>
      <c r="M1050" s="360"/>
      <c r="N1050" s="360"/>
      <c r="O1050" s="360"/>
      <c r="P1050" s="360"/>
      <c r="Q1050" s="360"/>
      <c r="R1050" s="360"/>
      <c r="S1050" s="360"/>
      <c r="T1050" s="360"/>
      <c r="U1050" s="360"/>
      <c r="V1050" s="360"/>
      <c r="W1050" s="360"/>
      <c r="X1050" s="448" t="s">
        <v>1237</v>
      </c>
      <c r="Y1050" s="449" t="s">
        <v>1211</v>
      </c>
      <c r="Z1050" s="410">
        <v>6.8300000000000007E-5</v>
      </c>
      <c r="AA1050" s="443"/>
    </row>
    <row r="1051" spans="1:27">
      <c r="A1051" s="360"/>
      <c r="B1051" s="360"/>
      <c r="C1051" s="360"/>
      <c r="D1051" s="360"/>
      <c r="E1051" s="360"/>
      <c r="F1051" s="360"/>
      <c r="G1051" s="462"/>
      <c r="H1051" s="360"/>
      <c r="I1051" s="360"/>
      <c r="J1051" s="360"/>
      <c r="K1051" s="360"/>
      <c r="L1051" s="360"/>
      <c r="M1051" s="360"/>
      <c r="N1051" s="360"/>
      <c r="O1051" s="360"/>
      <c r="P1051" s="360"/>
      <c r="Q1051" s="360"/>
      <c r="R1051" s="360"/>
      <c r="S1051" s="360"/>
      <c r="T1051" s="360"/>
      <c r="U1051" s="360"/>
      <c r="V1051" s="360"/>
      <c r="W1051" s="360"/>
      <c r="X1051" s="448" t="s">
        <v>1237</v>
      </c>
      <c r="Y1051" s="449" t="s">
        <v>1213</v>
      </c>
      <c r="Z1051" s="410">
        <v>1.6500000000000001E-2</v>
      </c>
      <c r="AA1051" s="443"/>
    </row>
    <row r="1052" spans="1:27">
      <c r="A1052" s="360"/>
      <c r="B1052" s="360"/>
      <c r="C1052" s="360"/>
      <c r="D1052" s="360"/>
      <c r="E1052" s="360"/>
      <c r="F1052" s="360"/>
      <c r="G1052" s="360"/>
      <c r="H1052" s="360"/>
      <c r="I1052" s="360"/>
      <c r="J1052" s="360"/>
      <c r="K1052" s="360"/>
      <c r="L1052" s="360"/>
      <c r="M1052" s="360"/>
      <c r="N1052" s="360"/>
      <c r="O1052" s="360"/>
      <c r="P1052" s="360"/>
      <c r="Q1052" s="360"/>
      <c r="R1052" s="360"/>
      <c r="S1052" s="360"/>
      <c r="T1052" s="360"/>
      <c r="U1052" s="360"/>
      <c r="V1052" s="360"/>
      <c r="W1052" s="360"/>
      <c r="X1052" s="448" t="s">
        <v>1237</v>
      </c>
      <c r="Y1052" s="449" t="s">
        <v>1216</v>
      </c>
      <c r="Z1052" s="410">
        <v>3.09E-2</v>
      </c>
      <c r="AA1052" s="443"/>
    </row>
    <row r="1053" spans="1:27">
      <c r="A1053" s="360"/>
      <c r="B1053" s="360"/>
      <c r="C1053" s="360"/>
      <c r="D1053" s="360"/>
      <c r="E1053" s="360"/>
      <c r="F1053" s="360"/>
      <c r="G1053" s="360"/>
      <c r="H1053" s="360"/>
      <c r="I1053" s="360"/>
      <c r="J1053" s="360"/>
      <c r="K1053" s="360"/>
      <c r="L1053" s="360"/>
      <c r="M1053" s="360"/>
      <c r="N1053" s="360"/>
      <c r="O1053" s="360"/>
      <c r="P1053" s="360"/>
      <c r="Q1053" s="360"/>
      <c r="R1053" s="360"/>
      <c r="S1053" s="360"/>
      <c r="T1053" s="360"/>
      <c r="U1053" s="360"/>
      <c r="V1053" s="360"/>
      <c r="W1053" s="360"/>
      <c r="X1053" s="448" t="s">
        <v>1240</v>
      </c>
      <c r="Y1053" s="449" t="s">
        <v>1209</v>
      </c>
      <c r="Z1053" s="410">
        <v>1.9400000000000001E-2</v>
      </c>
      <c r="AA1053" s="443"/>
    </row>
    <row r="1054" spans="1:27">
      <c r="A1054" s="360"/>
      <c r="B1054" s="360"/>
      <c r="C1054" s="360"/>
      <c r="D1054" s="360"/>
      <c r="E1054" s="360"/>
      <c r="F1054" s="360"/>
      <c r="G1054" s="360"/>
      <c r="H1054" s="360"/>
      <c r="I1054" s="360"/>
      <c r="J1054" s="360"/>
      <c r="K1054" s="360"/>
      <c r="L1054" s="360"/>
      <c r="M1054" s="360"/>
      <c r="N1054" s="360"/>
      <c r="O1054" s="360"/>
      <c r="P1054" s="360"/>
      <c r="Q1054" s="360"/>
      <c r="R1054" s="360"/>
      <c r="S1054" s="360"/>
      <c r="T1054" s="360"/>
      <c r="U1054" s="360"/>
      <c r="V1054" s="360"/>
      <c r="W1054" s="360"/>
      <c r="X1054" s="448" t="s">
        <v>1240</v>
      </c>
      <c r="Y1054" s="449" t="s">
        <v>1211</v>
      </c>
      <c r="Z1054" s="410">
        <v>6.8300000000000007E-5</v>
      </c>
      <c r="AA1054" s="443"/>
    </row>
    <row r="1055" spans="1:27">
      <c r="A1055" s="360"/>
      <c r="B1055" s="360"/>
      <c r="C1055" s="360"/>
      <c r="D1055" s="360"/>
      <c r="E1055" s="360"/>
      <c r="F1055" s="360"/>
      <c r="G1055" s="360"/>
      <c r="H1055" s="360"/>
      <c r="I1055" s="360"/>
      <c r="J1055" s="360"/>
      <c r="K1055" s="360"/>
      <c r="L1055" s="360"/>
      <c r="M1055" s="360"/>
      <c r="N1055" s="360"/>
      <c r="O1055" s="360"/>
      <c r="P1055" s="360"/>
      <c r="Q1055" s="360"/>
      <c r="R1055" s="360"/>
      <c r="S1055" s="360"/>
      <c r="T1055" s="360"/>
      <c r="U1055" s="360"/>
      <c r="V1055" s="360"/>
      <c r="W1055" s="360"/>
      <c r="X1055" s="448" t="s">
        <v>1240</v>
      </c>
      <c r="Y1055" s="449" t="s">
        <v>1213</v>
      </c>
      <c r="Z1055" s="410">
        <v>1.6500000000000001E-2</v>
      </c>
      <c r="AA1055" s="443"/>
    </row>
    <row r="1056" spans="1:27">
      <c r="A1056" s="360"/>
      <c r="B1056" s="360"/>
      <c r="C1056" s="360"/>
      <c r="D1056" s="360"/>
      <c r="E1056" s="360"/>
      <c r="F1056" s="360"/>
      <c r="G1056" s="360"/>
      <c r="H1056" s="360"/>
      <c r="I1056" s="360"/>
      <c r="J1056" s="360"/>
      <c r="K1056" s="360"/>
      <c r="L1056" s="360"/>
      <c r="M1056" s="360"/>
      <c r="N1056" s="360"/>
      <c r="O1056" s="360"/>
      <c r="P1056" s="360"/>
      <c r="Q1056" s="360"/>
      <c r="R1056" s="360"/>
      <c r="S1056" s="360"/>
      <c r="T1056" s="360"/>
      <c r="U1056" s="360"/>
      <c r="V1056" s="360"/>
      <c r="W1056" s="360"/>
      <c r="X1056" s="448" t="s">
        <v>1240</v>
      </c>
      <c r="Y1056" s="449" t="s">
        <v>1216</v>
      </c>
      <c r="Z1056" s="410">
        <v>3.09E-2</v>
      </c>
      <c r="AA1056" s="443"/>
    </row>
    <row r="1057" spans="1:27" ht="120">
      <c r="A1057" s="360"/>
      <c r="B1057" s="360"/>
      <c r="C1057" s="360"/>
      <c r="D1057" s="360"/>
      <c r="E1057" s="360"/>
      <c r="F1057" s="360"/>
      <c r="G1057" s="360"/>
      <c r="H1057" s="360"/>
      <c r="I1057" s="360"/>
      <c r="J1057" s="360"/>
      <c r="K1057" s="360"/>
      <c r="L1057" s="360"/>
      <c r="M1057" s="360"/>
      <c r="N1057" s="360"/>
      <c r="O1057" s="360"/>
      <c r="P1057" s="360"/>
      <c r="Q1057" s="360"/>
      <c r="R1057" s="360"/>
      <c r="S1057" s="360"/>
      <c r="T1057" s="360"/>
      <c r="U1057" s="360"/>
      <c r="V1057" s="360"/>
      <c r="W1057" s="360"/>
      <c r="X1057" s="443"/>
      <c r="Y1057" s="443"/>
      <c r="Z1057" s="456" t="s">
        <v>1256</v>
      </c>
      <c r="AA1057" s="443"/>
    </row>
    <row r="1058" spans="1:27">
      <c r="A1058" s="360"/>
      <c r="B1058" s="360"/>
      <c r="C1058" s="360"/>
      <c r="D1058" s="360"/>
      <c r="E1058" s="360"/>
      <c r="F1058" s="360"/>
      <c r="G1058" s="360"/>
      <c r="H1058" s="360"/>
      <c r="I1058" s="360"/>
      <c r="J1058" s="360"/>
      <c r="K1058" s="360"/>
      <c r="L1058" s="360"/>
      <c r="M1058" s="360"/>
      <c r="N1058" s="360"/>
      <c r="O1058" s="360"/>
      <c r="P1058" s="360"/>
      <c r="Q1058" s="360"/>
      <c r="R1058" s="360"/>
      <c r="S1058" s="360"/>
      <c r="T1058" s="360"/>
      <c r="U1058" s="360"/>
      <c r="V1058" s="360"/>
      <c r="W1058" s="360"/>
      <c r="X1058" s="360"/>
      <c r="Y1058" s="360"/>
      <c r="Z1058" s="360"/>
      <c r="AA1058" s="360"/>
    </row>
  </sheetData>
  <dataValidations count="1">
    <dataValidation type="list" allowBlank="1" showInputMessage="1" showErrorMessage="1" sqref="B855:B857" xr:uid="{2B4694E1-59C6-42A7-A2AA-2CA3E4961F3D}">
      <formula1>"Empty, RVP, RVP+S, Antoine's"</formula1>
    </dataValidation>
  </dataValidations>
  <printOptions horizontalCentered="1"/>
  <pageMargins left="0.5" right="0.5" top="0.5" bottom="0.5" header="0.3" footer="0.3"/>
  <pageSetup scale="65" fitToHeight="0" orientation="landscape" r:id="rId1"/>
  <headerFooter>
    <oddFooter>&amp;L&amp;F&amp;CPage &amp;P of &amp;N&amp;R&amp;8&amp;D</oddFooter>
  </headerFooter>
  <rowBreaks count="24" manualBreakCount="24">
    <brk id="49" max="8" man="1"/>
    <brk id="89" max="8" man="1"/>
    <brk id="129" max="8" man="1"/>
    <brk id="169" max="8" man="1"/>
    <brk id="209" max="8" man="1"/>
    <brk id="249" max="8" man="1"/>
    <brk id="289" max="8" man="1"/>
    <brk id="329" max="8" man="1"/>
    <brk id="369" max="8" man="1"/>
    <brk id="409" max="8" man="1"/>
    <brk id="449" max="8" man="1"/>
    <brk id="489" max="8" man="1"/>
    <brk id="529" max="8" man="1"/>
    <brk id="569" max="8" man="1"/>
    <brk id="609" max="8" man="1"/>
    <brk id="649" max="8" man="1"/>
    <brk id="689" max="8" man="1"/>
    <brk id="729" max="8" man="1"/>
    <brk id="769" max="8" man="1"/>
    <brk id="809" max="8" man="1"/>
    <brk id="852" max="8" man="1"/>
    <brk id="927" max="8" man="1"/>
    <brk id="939" max="16383" man="1"/>
    <brk id="986" max="8"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Product Data</vt:lpstr>
      <vt:lpstr>Mixture Data</vt:lpstr>
      <vt:lpstr>Met Data</vt:lpstr>
      <vt:lpstr>Tank Data</vt:lpstr>
      <vt:lpstr>Fitting Data</vt:lpstr>
      <vt:lpstr>Fitting Loss Factors</vt:lpstr>
      <vt:lpstr>Reference Tables</vt:lpstr>
      <vt:lpstr>'Fitting Data'!Print_Area</vt:lpstr>
      <vt:lpstr>'Fitting Loss Factors'!Print_Area</vt:lpstr>
      <vt:lpstr>'Met Data'!Print_Area</vt:lpstr>
      <vt:lpstr>'Mixture Data'!Print_Area</vt:lpstr>
      <vt:lpstr>'Product Data'!Print_Area</vt:lpstr>
      <vt:lpstr>'Reference Tables'!Print_Area</vt:lpstr>
      <vt:lpstr>'Tank Data'!Print_Area</vt:lpstr>
      <vt:lpstr>'Product Data'!Print_Titles</vt:lpstr>
      <vt:lpstr>'Reference Tables'!Print_Titles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 Sarah</dc:creator>
  <cp:lastModifiedBy>Cross, Sarah</cp:lastModifiedBy>
  <dcterms:created xsi:type="dcterms:W3CDTF">2019-11-10T18:59:42Z</dcterms:created>
  <dcterms:modified xsi:type="dcterms:W3CDTF">2019-11-10T19:00:12Z</dcterms:modified>
</cp:coreProperties>
</file>