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cross/Desktop/"/>
    </mc:Choice>
  </mc:AlternateContent>
  <xr:revisionPtr revIDLastSave="0" documentId="13_ncr:1_{BE274163-E973-1B40-9D05-5F865B005AA4}" xr6:coauthVersionLast="45" xr6:coauthVersionMax="45" xr10:uidLastSave="{00000000-0000-0000-0000-000000000000}"/>
  <bookViews>
    <workbookView xWindow="280" yWindow="460" windowWidth="20300" windowHeight="17540" activeTab="1" xr2:uid="{EE431213-BF6D-3E43-86FD-2D6EE492AC05}"/>
  </bookViews>
  <sheets>
    <sheet name="Future" sheetId="20" r:id="rId1"/>
    <sheet name="Annual VFRT" sheetId="3" r:id="rId2"/>
    <sheet name="Met Data &amp; Solar Insolation" sheetId="14" r:id="rId3"/>
    <sheet name="Paint Solar Absorbance" sheetId="15" r:id="rId4"/>
    <sheet name="Product Data" sheetId="8" r:id="rId5"/>
    <sheet name="Drop-Downs" sheetId="19" r:id="rId6"/>
  </sheets>
  <definedNames>
    <definedName name="_xlnm._FilterDatabase" localSheetId="1" hidden="1">'Annual VFRT'!$A$1:$E$1</definedName>
    <definedName name="_xlnm._FilterDatabase" localSheetId="2" hidden="1">'Met Data &amp; Solar Insolation'!$A$1:$E$735</definedName>
    <definedName name="_xlnm._FilterDatabase" localSheetId="4" hidden="1">'Product Data'!$A$1:$S$275</definedName>
    <definedName name="_xlnm.Print_Area" localSheetId="2">'Met Data &amp; Solar Insolation'!$A$1:$E$736</definedName>
    <definedName name="_xlnm.Print_Area" localSheetId="4">'Product Data'!$A$1:$S$275</definedName>
    <definedName name="_xlnm.Print_Titles" localSheetId="2">'Met Data &amp; Solar Insolation'!#REF!</definedName>
    <definedName name="_xlnm.Print_Titles" localSheetId="4">'Product Data'!$1:$1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3" l="1"/>
  <c r="A25" i="3" l="1"/>
  <c r="A18" i="3"/>
  <c r="A17" i="3"/>
  <c r="A41" i="3"/>
  <c r="A20" i="3"/>
  <c r="C210" i="14"/>
  <c r="E795" i="14"/>
  <c r="D795" i="14"/>
  <c r="C795" i="14"/>
  <c r="E782" i="14"/>
  <c r="D782" i="14"/>
  <c r="C782" i="14"/>
  <c r="E769" i="14"/>
  <c r="D769" i="14"/>
  <c r="C769" i="14"/>
  <c r="E756" i="14"/>
  <c r="D756" i="14"/>
  <c r="C756" i="14"/>
  <c r="E743" i="14"/>
  <c r="D743" i="14"/>
  <c r="C743" i="14"/>
  <c r="E730" i="14"/>
  <c r="D730" i="14"/>
  <c r="C730" i="14"/>
  <c r="E717" i="14"/>
  <c r="D717" i="14"/>
  <c r="C717" i="14"/>
  <c r="E704" i="14"/>
  <c r="D704" i="14"/>
  <c r="C704" i="14"/>
  <c r="E691" i="14"/>
  <c r="D691" i="14"/>
  <c r="C691" i="14"/>
  <c r="E678" i="14"/>
  <c r="D678" i="14"/>
  <c r="C678" i="14"/>
  <c r="E665" i="14"/>
  <c r="D665" i="14"/>
  <c r="C665" i="14"/>
  <c r="E652" i="14"/>
  <c r="D652" i="14"/>
  <c r="C652" i="14"/>
  <c r="E639" i="14"/>
  <c r="D639" i="14"/>
  <c r="C639" i="14"/>
  <c r="E626" i="14"/>
  <c r="D626" i="14"/>
  <c r="C626" i="14"/>
  <c r="E613" i="14"/>
  <c r="D613" i="14"/>
  <c r="C613" i="14"/>
  <c r="E600" i="14"/>
  <c r="D600" i="14"/>
  <c r="C600" i="14"/>
  <c r="E587" i="14"/>
  <c r="D587" i="14"/>
  <c r="C587" i="14"/>
  <c r="E574" i="14"/>
  <c r="D574" i="14"/>
  <c r="C574" i="14"/>
  <c r="E561" i="14"/>
  <c r="D561" i="14"/>
  <c r="C561" i="14"/>
  <c r="E548" i="14"/>
  <c r="D548" i="14"/>
  <c r="C548" i="14"/>
  <c r="E535" i="14"/>
  <c r="D535" i="14"/>
  <c r="C535" i="14"/>
  <c r="E522" i="14"/>
  <c r="D522" i="14"/>
  <c r="C522" i="14"/>
  <c r="E509" i="14"/>
  <c r="D509" i="14"/>
  <c r="C509" i="14"/>
  <c r="E496" i="14"/>
  <c r="D496" i="14"/>
  <c r="C496" i="14"/>
  <c r="E483" i="14"/>
  <c r="D483" i="14"/>
  <c r="C483" i="14"/>
  <c r="E470" i="14"/>
  <c r="D470" i="14"/>
  <c r="C470" i="14"/>
  <c r="E457" i="14"/>
  <c r="D457" i="14"/>
  <c r="C457" i="14"/>
  <c r="E444" i="14"/>
  <c r="D444" i="14"/>
  <c r="C444" i="14"/>
  <c r="E431" i="14"/>
  <c r="D431" i="14"/>
  <c r="C431" i="14"/>
  <c r="E418" i="14"/>
  <c r="D418" i="14"/>
  <c r="C418" i="14"/>
  <c r="E405" i="14"/>
  <c r="D405" i="14"/>
  <c r="C405" i="14"/>
  <c r="E392" i="14"/>
  <c r="D392" i="14"/>
  <c r="C392" i="14"/>
  <c r="E379" i="14"/>
  <c r="D379" i="14"/>
  <c r="C379" i="14"/>
  <c r="E366" i="14"/>
  <c r="D366" i="14"/>
  <c r="C366" i="14"/>
  <c r="E353" i="14"/>
  <c r="D353" i="14"/>
  <c r="C353" i="14"/>
  <c r="E340" i="14"/>
  <c r="D340" i="14"/>
  <c r="C340" i="14"/>
  <c r="E327" i="14"/>
  <c r="D327" i="14"/>
  <c r="C327" i="14"/>
  <c r="E314" i="14"/>
  <c r="D314" i="14"/>
  <c r="C314" i="14"/>
  <c r="E301" i="14"/>
  <c r="D301" i="14"/>
  <c r="C301" i="14"/>
  <c r="E288" i="14"/>
  <c r="D288" i="14"/>
  <c r="C288" i="14"/>
  <c r="E275" i="14"/>
  <c r="D275" i="14"/>
  <c r="C275" i="14"/>
  <c r="E262" i="14"/>
  <c r="D262" i="14"/>
  <c r="C262" i="14"/>
  <c r="E249" i="14"/>
  <c r="D249" i="14"/>
  <c r="C249" i="14"/>
  <c r="E236" i="14"/>
  <c r="D236" i="14"/>
  <c r="C236" i="14"/>
  <c r="E223" i="14"/>
  <c r="D223" i="14"/>
  <c r="C223" i="14"/>
  <c r="E210" i="14"/>
  <c r="A19" i="3" s="1"/>
  <c r="D210" i="14"/>
  <c r="E197" i="14"/>
  <c r="D197" i="14"/>
  <c r="C197" i="14"/>
  <c r="E184" i="14"/>
  <c r="D184" i="14"/>
  <c r="C184" i="14"/>
  <c r="E171" i="14"/>
  <c r="D171" i="14"/>
  <c r="C171" i="14"/>
  <c r="E158" i="14"/>
  <c r="D158" i="14"/>
  <c r="C158" i="14"/>
  <c r="E145" i="14"/>
  <c r="D145" i="14"/>
  <c r="C145" i="14"/>
  <c r="E132" i="14"/>
  <c r="D132" i="14"/>
  <c r="C132" i="14"/>
  <c r="E119" i="14"/>
  <c r="D119" i="14"/>
  <c r="C119" i="14"/>
  <c r="E106" i="14"/>
  <c r="D106" i="14"/>
  <c r="C106" i="14"/>
  <c r="E93" i="14"/>
  <c r="D93" i="14"/>
  <c r="C93" i="14"/>
  <c r="E80" i="14"/>
  <c r="D80" i="14"/>
  <c r="C80" i="14"/>
  <c r="E67" i="14"/>
  <c r="D67" i="14"/>
  <c r="C67" i="14"/>
  <c r="E54" i="14"/>
  <c r="D54" i="14"/>
  <c r="C54" i="14"/>
  <c r="E41" i="14"/>
  <c r="D41" i="14"/>
  <c r="C41" i="14"/>
  <c r="E28" i="14"/>
  <c r="D28" i="14"/>
  <c r="C28" i="14"/>
  <c r="E15" i="14"/>
  <c r="D15" i="14"/>
  <c r="C15" i="14"/>
  <c r="A24" i="3" l="1"/>
  <c r="A23" i="3"/>
  <c r="A22" i="3"/>
  <c r="A21" i="3"/>
  <c r="O3" i="8"/>
  <c r="P3" i="8"/>
  <c r="Q3" i="8"/>
  <c r="R3" i="8"/>
  <c r="S3" i="8"/>
  <c r="E4" i="8"/>
  <c r="O4" i="8"/>
  <c r="P4" i="8"/>
  <c r="Q4" i="8"/>
  <c r="R4" i="8"/>
  <c r="S4" i="8"/>
  <c r="E5" i="8"/>
  <c r="O5" i="8"/>
  <c r="P5" i="8"/>
  <c r="Q5" i="8"/>
  <c r="R5" i="8"/>
  <c r="S5" i="8"/>
  <c r="E6" i="8"/>
  <c r="O6" i="8"/>
  <c r="P6" i="8"/>
  <c r="Q6" i="8"/>
  <c r="R6" i="8"/>
  <c r="S6" i="8"/>
  <c r="E7" i="8"/>
  <c r="O7" i="8"/>
  <c r="P7" i="8"/>
  <c r="Q7" i="8"/>
  <c r="R7" i="8"/>
  <c r="S7" i="8"/>
  <c r="E8" i="8"/>
  <c r="O8" i="8"/>
  <c r="P8" i="8"/>
  <c r="Q8" i="8"/>
  <c r="R8" i="8"/>
  <c r="S8" i="8"/>
  <c r="E9" i="8"/>
  <c r="O9" i="8"/>
  <c r="P9" i="8"/>
  <c r="Q9" i="8"/>
  <c r="R9" i="8"/>
  <c r="S9" i="8"/>
  <c r="E10" i="8"/>
  <c r="O10" i="8"/>
  <c r="P10" i="8"/>
  <c r="Q10" i="8"/>
  <c r="R10" i="8"/>
  <c r="S10" i="8"/>
  <c r="E11" i="8"/>
  <c r="I11" i="8"/>
  <c r="O11" i="8" s="1"/>
  <c r="K11" i="8"/>
  <c r="Q11" i="8" s="1"/>
  <c r="P11" i="8"/>
  <c r="R11" i="8"/>
  <c r="S11" i="8"/>
  <c r="E12" i="8"/>
  <c r="O12" i="8"/>
  <c r="P12" i="8"/>
  <c r="Q12" i="8"/>
  <c r="R12" i="8"/>
  <c r="S12" i="8"/>
  <c r="E13" i="8"/>
  <c r="O13" i="8"/>
  <c r="P13" i="8"/>
  <c r="Q13" i="8"/>
  <c r="R13" i="8"/>
  <c r="S13" i="8"/>
  <c r="E14" i="8"/>
  <c r="O14" i="8"/>
  <c r="P14" i="8"/>
  <c r="Q14" i="8"/>
  <c r="R14" i="8"/>
  <c r="S14" i="8"/>
  <c r="E15" i="8"/>
  <c r="O15" i="8"/>
  <c r="P15" i="8"/>
  <c r="Q15" i="8"/>
  <c r="R15" i="8"/>
  <c r="S15" i="8"/>
  <c r="E16" i="8"/>
  <c r="O16" i="8"/>
  <c r="P16" i="8"/>
  <c r="Q16" i="8"/>
  <c r="R16" i="8"/>
  <c r="S16" i="8"/>
  <c r="E17" i="8"/>
  <c r="O17" i="8"/>
  <c r="P17" i="8"/>
  <c r="Q17" i="8"/>
  <c r="R17" i="8"/>
  <c r="S17" i="8"/>
  <c r="E18" i="8"/>
  <c r="O18" i="8"/>
  <c r="P18" i="8"/>
  <c r="Q18" i="8"/>
  <c r="R18" i="8"/>
  <c r="S18" i="8"/>
  <c r="E19" i="8"/>
  <c r="I19" i="8"/>
  <c r="O19" i="8" s="1"/>
  <c r="K19" i="8"/>
  <c r="Q19" i="8" s="1"/>
  <c r="P19" i="8"/>
  <c r="R19" i="8"/>
  <c r="S19" i="8"/>
  <c r="E20" i="8"/>
  <c r="O20" i="8"/>
  <c r="P20" i="8"/>
  <c r="Q20" i="8"/>
  <c r="R20" i="8"/>
  <c r="S20" i="8"/>
  <c r="E21" i="8"/>
  <c r="O21" i="8"/>
  <c r="P21" i="8"/>
  <c r="Q21" i="8"/>
  <c r="R21" i="8"/>
  <c r="S21" i="8"/>
  <c r="O22" i="8"/>
  <c r="P22" i="8"/>
  <c r="Q22" i="8"/>
  <c r="R22" i="8"/>
  <c r="S22" i="8"/>
  <c r="E23" i="8"/>
  <c r="O23" i="8"/>
  <c r="P23" i="8"/>
  <c r="Q23" i="8"/>
  <c r="R23" i="8"/>
  <c r="S23" i="8"/>
  <c r="E24" i="8"/>
  <c r="O24" i="8"/>
  <c r="P24" i="8"/>
  <c r="Q24" i="8"/>
  <c r="R24" i="8"/>
  <c r="S24" i="8"/>
  <c r="E25" i="8"/>
  <c r="O25" i="8"/>
  <c r="P25" i="8"/>
  <c r="Q25" i="8"/>
  <c r="R25" i="8"/>
  <c r="S25" i="8"/>
  <c r="E26" i="8"/>
  <c r="O26" i="8"/>
  <c r="P26" i="8"/>
  <c r="Q26" i="8"/>
  <c r="R26" i="8"/>
  <c r="S26" i="8"/>
  <c r="E27" i="8"/>
  <c r="O27" i="8"/>
  <c r="P27" i="8"/>
  <c r="Q27" i="8"/>
  <c r="R27" i="8"/>
  <c r="S27" i="8"/>
  <c r="E28" i="8"/>
  <c r="O28" i="8"/>
  <c r="P28" i="8"/>
  <c r="Q28" i="8"/>
  <c r="R28" i="8"/>
  <c r="S28" i="8"/>
  <c r="E29" i="8"/>
  <c r="O29" i="8"/>
  <c r="P29" i="8"/>
  <c r="Q29" i="8"/>
  <c r="R29" i="8"/>
  <c r="S29" i="8"/>
  <c r="E30" i="8"/>
  <c r="O30" i="8"/>
  <c r="P30" i="8"/>
  <c r="Q30" i="8"/>
  <c r="R30" i="8"/>
  <c r="S30" i="8"/>
  <c r="E31" i="8"/>
  <c r="O31" i="8"/>
  <c r="P31" i="8"/>
  <c r="Q31" i="8"/>
  <c r="R31" i="8"/>
  <c r="S31" i="8"/>
  <c r="E32" i="8"/>
  <c r="O32" i="8"/>
  <c r="P32" i="8"/>
  <c r="Q32" i="8"/>
  <c r="R32" i="8"/>
  <c r="S32" i="8"/>
  <c r="E33" i="8"/>
  <c r="O33" i="8"/>
  <c r="P33" i="8"/>
  <c r="Q33" i="8"/>
  <c r="R33" i="8"/>
  <c r="S33" i="8"/>
  <c r="O34" i="8"/>
  <c r="P34" i="8"/>
  <c r="Q34" i="8"/>
  <c r="R34" i="8"/>
  <c r="S34" i="8"/>
  <c r="E35" i="8"/>
  <c r="O35" i="8"/>
  <c r="P35" i="8"/>
  <c r="Q35" i="8"/>
  <c r="R35" i="8"/>
  <c r="S35" i="8"/>
  <c r="O36" i="8"/>
  <c r="P36" i="8"/>
  <c r="Q36" i="8"/>
  <c r="R36" i="8"/>
  <c r="S36" i="8"/>
  <c r="O37" i="8"/>
  <c r="P37" i="8"/>
  <c r="Q37" i="8"/>
  <c r="R37" i="8"/>
  <c r="S37" i="8"/>
  <c r="O38" i="8"/>
  <c r="P38" i="8"/>
  <c r="Q38" i="8"/>
  <c r="R38" i="8"/>
  <c r="S38" i="8"/>
  <c r="O39" i="8"/>
  <c r="P39" i="8"/>
  <c r="Q39" i="8"/>
  <c r="R39" i="8"/>
  <c r="S39" i="8"/>
  <c r="O40" i="8"/>
  <c r="P40" i="8"/>
  <c r="Q40" i="8"/>
  <c r="R40" i="8"/>
  <c r="S40" i="8"/>
  <c r="E41" i="8"/>
  <c r="O41" i="8"/>
  <c r="P41" i="8"/>
  <c r="Q41" i="8"/>
  <c r="R41" i="8"/>
  <c r="S41" i="8"/>
  <c r="O42" i="8"/>
  <c r="P42" i="8"/>
  <c r="Q42" i="8"/>
  <c r="R42" i="8"/>
  <c r="S42" i="8"/>
  <c r="O43" i="8"/>
  <c r="P43" i="8"/>
  <c r="Q43" i="8"/>
  <c r="R43" i="8"/>
  <c r="S43" i="8"/>
  <c r="O44" i="8"/>
  <c r="P44" i="8"/>
  <c r="Q44" i="8"/>
  <c r="R44" i="8"/>
  <c r="S44" i="8"/>
  <c r="E45" i="8"/>
  <c r="I45" i="8"/>
  <c r="O45" i="8" s="1"/>
  <c r="K45" i="8"/>
  <c r="Q45" i="8" s="1"/>
  <c r="P45" i="8"/>
  <c r="R45" i="8"/>
  <c r="S45" i="8"/>
  <c r="E46" i="8"/>
  <c r="O46" i="8"/>
  <c r="P46" i="8"/>
  <c r="Q46" i="8"/>
  <c r="R46" i="8"/>
  <c r="S46" i="8"/>
  <c r="E47" i="8"/>
  <c r="O47" i="8"/>
  <c r="P47" i="8"/>
  <c r="Q47" i="8"/>
  <c r="R47" i="8"/>
  <c r="S47" i="8"/>
  <c r="E48" i="8"/>
  <c r="O48" i="8"/>
  <c r="P48" i="8"/>
  <c r="Q48" i="8"/>
  <c r="R48" i="8"/>
  <c r="S48" i="8"/>
  <c r="E49" i="8"/>
  <c r="O49" i="8"/>
  <c r="P49" i="8"/>
  <c r="Q49" i="8"/>
  <c r="R49" i="8"/>
  <c r="S49" i="8"/>
  <c r="E50" i="8"/>
  <c r="O50" i="8"/>
  <c r="P50" i="8"/>
  <c r="Q50" i="8"/>
  <c r="R50" i="8"/>
  <c r="S50" i="8"/>
  <c r="E51" i="8"/>
  <c r="O51" i="8"/>
  <c r="P51" i="8"/>
  <c r="Q51" i="8"/>
  <c r="R51" i="8"/>
  <c r="S51" i="8"/>
  <c r="E52" i="8"/>
  <c r="O52" i="8"/>
  <c r="P52" i="8"/>
  <c r="Q52" i="8"/>
  <c r="R52" i="8"/>
  <c r="S52" i="8"/>
  <c r="E53" i="8"/>
  <c r="O53" i="8"/>
  <c r="P53" i="8"/>
  <c r="Q53" i="8"/>
  <c r="R53" i="8"/>
  <c r="S53" i="8"/>
  <c r="E54" i="8"/>
  <c r="O54" i="8"/>
  <c r="P54" i="8"/>
  <c r="Q54" i="8"/>
  <c r="R54" i="8"/>
  <c r="S54" i="8"/>
  <c r="E55" i="8"/>
  <c r="O55" i="8"/>
  <c r="P55" i="8"/>
  <c r="Q55" i="8"/>
  <c r="R55" i="8"/>
  <c r="S55" i="8"/>
  <c r="E56" i="8"/>
  <c r="O56" i="8"/>
  <c r="P56" i="8"/>
  <c r="Q56" i="8"/>
  <c r="R56" i="8"/>
  <c r="S56" i="8"/>
  <c r="E57" i="8"/>
  <c r="O57" i="8"/>
  <c r="P57" i="8"/>
  <c r="Q57" i="8"/>
  <c r="R57" i="8"/>
  <c r="S57" i="8"/>
  <c r="E58" i="8"/>
  <c r="O58" i="8"/>
  <c r="P58" i="8"/>
  <c r="Q58" i="8"/>
  <c r="R58" i="8"/>
  <c r="S58" i="8"/>
  <c r="E59" i="8"/>
  <c r="O59" i="8"/>
  <c r="P59" i="8"/>
  <c r="Q59" i="8"/>
  <c r="R59" i="8"/>
  <c r="S59" i="8"/>
  <c r="E60" i="8"/>
  <c r="O60" i="8"/>
  <c r="P60" i="8"/>
  <c r="Q60" i="8"/>
  <c r="R60" i="8"/>
  <c r="S60" i="8"/>
  <c r="E61" i="8"/>
  <c r="O61" i="8"/>
  <c r="P61" i="8"/>
  <c r="Q61" i="8"/>
  <c r="R61" i="8"/>
  <c r="S61" i="8"/>
  <c r="E62" i="8"/>
  <c r="O62" i="8"/>
  <c r="P62" i="8"/>
  <c r="Q62" i="8"/>
  <c r="R62" i="8"/>
  <c r="S62" i="8"/>
  <c r="E63" i="8"/>
  <c r="O63" i="8"/>
  <c r="P63" i="8"/>
  <c r="Q63" i="8"/>
  <c r="R63" i="8"/>
  <c r="S63" i="8"/>
  <c r="E64" i="8"/>
  <c r="O64" i="8"/>
  <c r="P64" i="8"/>
  <c r="Q64" i="8"/>
  <c r="R64" i="8"/>
  <c r="S64" i="8"/>
  <c r="E65" i="8"/>
  <c r="O65" i="8"/>
  <c r="P65" i="8"/>
  <c r="Q65" i="8"/>
  <c r="R65" i="8"/>
  <c r="S65" i="8"/>
  <c r="O66" i="8"/>
  <c r="P66" i="8"/>
  <c r="Q66" i="8"/>
  <c r="R66" i="8"/>
  <c r="S66" i="8"/>
  <c r="E67" i="8"/>
  <c r="O67" i="8"/>
  <c r="P67" i="8"/>
  <c r="Q67" i="8"/>
  <c r="R67" i="8"/>
  <c r="S67" i="8"/>
  <c r="O68" i="8"/>
  <c r="P68" i="8"/>
  <c r="Q68" i="8"/>
  <c r="R68" i="8"/>
  <c r="S68" i="8"/>
  <c r="E69" i="8"/>
  <c r="O69" i="8"/>
  <c r="P69" i="8"/>
  <c r="Q69" i="8"/>
  <c r="R69" i="8"/>
  <c r="S69" i="8"/>
  <c r="E70" i="8"/>
  <c r="O70" i="8"/>
  <c r="P70" i="8"/>
  <c r="Q70" i="8"/>
  <c r="R70" i="8"/>
  <c r="S70" i="8"/>
  <c r="E71" i="8"/>
  <c r="O71" i="8"/>
  <c r="P71" i="8"/>
  <c r="Q71" i="8"/>
  <c r="R71" i="8"/>
  <c r="S71" i="8"/>
  <c r="E72" i="8"/>
  <c r="O72" i="8"/>
  <c r="P72" i="8"/>
  <c r="Q72" i="8"/>
  <c r="R72" i="8"/>
  <c r="S72" i="8"/>
  <c r="E73" i="8"/>
  <c r="I73" i="8"/>
  <c r="O73" i="8" s="1"/>
  <c r="K73" i="8"/>
  <c r="Q73" i="8" s="1"/>
  <c r="P73" i="8"/>
  <c r="R73" i="8"/>
  <c r="S73" i="8"/>
  <c r="E74" i="8"/>
  <c r="O74" i="8"/>
  <c r="P74" i="8"/>
  <c r="Q74" i="8"/>
  <c r="R74" i="8"/>
  <c r="S74" i="8"/>
  <c r="E75" i="8"/>
  <c r="O75" i="8"/>
  <c r="P75" i="8"/>
  <c r="Q75" i="8"/>
  <c r="R75" i="8"/>
  <c r="S75" i="8"/>
  <c r="E76" i="8"/>
  <c r="O76" i="8"/>
  <c r="P76" i="8"/>
  <c r="Q76" i="8"/>
  <c r="R76" i="8"/>
  <c r="S76" i="8"/>
  <c r="O77" i="8"/>
  <c r="P77" i="8"/>
  <c r="Q77" i="8"/>
  <c r="R77" i="8"/>
  <c r="S77" i="8"/>
  <c r="O78" i="8"/>
  <c r="P78" i="8"/>
  <c r="Q78" i="8"/>
  <c r="R78" i="8"/>
  <c r="S78" i="8"/>
  <c r="E79" i="8"/>
  <c r="O79" i="8"/>
  <c r="P79" i="8"/>
  <c r="Q79" i="8"/>
  <c r="R79" i="8"/>
  <c r="S79" i="8"/>
  <c r="E80" i="8"/>
  <c r="O80" i="8"/>
  <c r="P80" i="8"/>
  <c r="Q80" i="8"/>
  <c r="R80" i="8"/>
  <c r="S80" i="8"/>
  <c r="E81" i="8"/>
  <c r="O81" i="8"/>
  <c r="P81" i="8"/>
  <c r="Q81" i="8"/>
  <c r="R81" i="8"/>
  <c r="S81" i="8"/>
  <c r="E82" i="8"/>
  <c r="O82" i="8"/>
  <c r="P82" i="8"/>
  <c r="Q82" i="8"/>
  <c r="R82" i="8"/>
  <c r="S82" i="8"/>
  <c r="E83" i="8"/>
  <c r="I83" i="8"/>
  <c r="O83" i="8" s="1"/>
  <c r="K83" i="8"/>
  <c r="Q83" i="8" s="1"/>
  <c r="P83" i="8"/>
  <c r="R83" i="8"/>
  <c r="S83" i="8"/>
  <c r="O84" i="8"/>
  <c r="P84" i="8"/>
  <c r="Q84" i="8"/>
  <c r="R84" i="8"/>
  <c r="S84" i="8"/>
  <c r="E85" i="8"/>
  <c r="I85" i="8"/>
  <c r="O85" i="8" s="1"/>
  <c r="K85" i="8"/>
  <c r="Q85" i="8" s="1"/>
  <c r="P85" i="8"/>
  <c r="R85" i="8"/>
  <c r="S85" i="8"/>
  <c r="O86" i="8"/>
  <c r="P86" i="8"/>
  <c r="Q86" i="8"/>
  <c r="R86" i="8"/>
  <c r="S86" i="8"/>
  <c r="E87" i="8"/>
  <c r="O87" i="8"/>
  <c r="P87" i="8"/>
  <c r="Q87" i="8"/>
  <c r="R87" i="8"/>
  <c r="S87" i="8"/>
  <c r="E88" i="8"/>
  <c r="O88" i="8"/>
  <c r="P88" i="8"/>
  <c r="Q88" i="8"/>
  <c r="R88" i="8"/>
  <c r="S88" i="8"/>
  <c r="E89" i="8"/>
  <c r="I89" i="8"/>
  <c r="O89" i="8" s="1"/>
  <c r="K89" i="8"/>
  <c r="Q89" i="8" s="1"/>
  <c r="P89" i="8"/>
  <c r="R89" i="8"/>
  <c r="S89" i="8"/>
  <c r="E90" i="8"/>
  <c r="O90" i="8"/>
  <c r="P90" i="8"/>
  <c r="Q90" i="8"/>
  <c r="R90" i="8"/>
  <c r="S90" i="8"/>
  <c r="E91" i="8"/>
  <c r="O91" i="8"/>
  <c r="P91" i="8"/>
  <c r="Q91" i="8"/>
  <c r="R91" i="8"/>
  <c r="S91" i="8"/>
  <c r="E92" i="8"/>
  <c r="O92" i="8"/>
  <c r="P92" i="8"/>
  <c r="Q92" i="8"/>
  <c r="R92" i="8"/>
  <c r="S92" i="8"/>
  <c r="E93" i="8"/>
  <c r="O93" i="8"/>
  <c r="P93" i="8"/>
  <c r="Q93" i="8"/>
  <c r="R93" i="8"/>
  <c r="S93" i="8"/>
  <c r="O94" i="8"/>
  <c r="P94" i="8"/>
  <c r="Q94" i="8"/>
  <c r="R94" i="8"/>
  <c r="S94" i="8"/>
  <c r="E95" i="8"/>
  <c r="O95" i="8"/>
  <c r="P95" i="8"/>
  <c r="Q95" i="8"/>
  <c r="R95" i="8"/>
  <c r="S95" i="8"/>
  <c r="O96" i="8"/>
  <c r="P96" i="8"/>
  <c r="Q96" i="8"/>
  <c r="R96" i="8"/>
  <c r="S96" i="8"/>
  <c r="E97" i="8"/>
  <c r="O97" i="8"/>
  <c r="P97" i="8"/>
  <c r="Q97" i="8"/>
  <c r="R97" i="8"/>
  <c r="S97" i="8"/>
  <c r="O98" i="8"/>
  <c r="P98" i="8"/>
  <c r="Q98" i="8"/>
  <c r="R98" i="8"/>
  <c r="S98" i="8"/>
  <c r="O99" i="8"/>
  <c r="P99" i="8"/>
  <c r="Q99" i="8"/>
  <c r="R99" i="8"/>
  <c r="S99" i="8"/>
  <c r="O100" i="8"/>
  <c r="P100" i="8"/>
  <c r="Q100" i="8"/>
  <c r="R100" i="8"/>
  <c r="S100" i="8"/>
  <c r="O101" i="8"/>
  <c r="P101" i="8"/>
  <c r="Q101" i="8"/>
  <c r="R101" i="8"/>
  <c r="S101" i="8"/>
  <c r="I102" i="8"/>
  <c r="O102" i="8" s="1"/>
  <c r="K102" i="8"/>
  <c r="Q102" i="8" s="1"/>
  <c r="P102" i="8"/>
  <c r="R102" i="8"/>
  <c r="S102" i="8"/>
  <c r="O103" i="8"/>
  <c r="P103" i="8"/>
  <c r="Q103" i="8"/>
  <c r="R103" i="8"/>
  <c r="S103" i="8"/>
  <c r="O104" i="8"/>
  <c r="P104" i="8"/>
  <c r="Q104" i="8"/>
  <c r="R104" i="8"/>
  <c r="S104" i="8"/>
  <c r="O105" i="8"/>
  <c r="P105" i="8"/>
  <c r="Q105" i="8"/>
  <c r="R105" i="8"/>
  <c r="S105" i="8"/>
  <c r="O106" i="8"/>
  <c r="P106" i="8"/>
  <c r="Q106" i="8"/>
  <c r="R106" i="8"/>
  <c r="S106" i="8"/>
  <c r="O107" i="8"/>
  <c r="P107" i="8"/>
  <c r="Q107" i="8"/>
  <c r="R107" i="8"/>
  <c r="S107" i="8"/>
  <c r="E108" i="8"/>
  <c r="O108" i="8"/>
  <c r="P108" i="8"/>
  <c r="Q108" i="8"/>
  <c r="R108" i="8"/>
  <c r="S108" i="8"/>
  <c r="E109" i="8"/>
  <c r="O109" i="8"/>
  <c r="P109" i="8"/>
  <c r="Q109" i="8"/>
  <c r="R109" i="8"/>
  <c r="S109" i="8"/>
  <c r="E110" i="8"/>
  <c r="O110" i="8"/>
  <c r="P110" i="8"/>
  <c r="Q110" i="8"/>
  <c r="R110" i="8"/>
  <c r="S110" i="8"/>
  <c r="E111" i="8"/>
  <c r="O111" i="8"/>
  <c r="P111" i="8"/>
  <c r="Q111" i="8"/>
  <c r="R111" i="8"/>
  <c r="S111" i="8"/>
  <c r="O112" i="8"/>
  <c r="P112" i="8"/>
  <c r="Q112" i="8"/>
  <c r="R112" i="8"/>
  <c r="S112" i="8"/>
  <c r="E113" i="8"/>
  <c r="I113" i="8"/>
  <c r="O113" i="8" s="1"/>
  <c r="K113" i="8"/>
  <c r="Q113" i="8" s="1"/>
  <c r="P113" i="8"/>
  <c r="R113" i="8"/>
  <c r="S113" i="8"/>
  <c r="O114" i="8"/>
  <c r="P114" i="8"/>
  <c r="Q114" i="8"/>
  <c r="R114" i="8"/>
  <c r="S114" i="8"/>
  <c r="E115" i="8"/>
  <c r="O115" i="8"/>
  <c r="P115" i="8"/>
  <c r="Q115" i="8"/>
  <c r="R115" i="8"/>
  <c r="S115" i="8"/>
  <c r="O116" i="8"/>
  <c r="P116" i="8"/>
  <c r="Q116" i="8"/>
  <c r="R116" i="8"/>
  <c r="S116" i="8"/>
  <c r="O117" i="8"/>
  <c r="P117" i="8"/>
  <c r="Q117" i="8"/>
  <c r="R117" i="8"/>
  <c r="S117" i="8"/>
  <c r="E118" i="8"/>
  <c r="O118" i="8"/>
  <c r="P118" i="8"/>
  <c r="Q118" i="8"/>
  <c r="R118" i="8"/>
  <c r="S118" i="8"/>
  <c r="E119" i="8"/>
  <c r="O119" i="8"/>
  <c r="P119" i="8"/>
  <c r="Q119" i="8"/>
  <c r="R119" i="8"/>
  <c r="S119" i="8"/>
  <c r="E120" i="8"/>
  <c r="O120" i="8"/>
  <c r="P120" i="8"/>
  <c r="Q120" i="8"/>
  <c r="R120" i="8"/>
  <c r="S120" i="8"/>
  <c r="E121" i="8"/>
  <c r="I121" i="8"/>
  <c r="O121" i="8" s="1"/>
  <c r="K121" i="8"/>
  <c r="Q121" i="8" s="1"/>
  <c r="P121" i="8"/>
  <c r="R121" i="8"/>
  <c r="S121" i="8"/>
  <c r="O122" i="8"/>
  <c r="P122" i="8"/>
  <c r="Q122" i="8"/>
  <c r="R122" i="8"/>
  <c r="S122" i="8"/>
  <c r="O123" i="8"/>
  <c r="P123" i="8"/>
  <c r="Q123" i="8"/>
  <c r="R123" i="8"/>
  <c r="S123" i="8"/>
  <c r="O124" i="8"/>
  <c r="P124" i="8"/>
  <c r="Q124" i="8"/>
  <c r="R124" i="8"/>
  <c r="S124" i="8"/>
  <c r="E125" i="8"/>
  <c r="O125" i="8"/>
  <c r="P125" i="8"/>
  <c r="Q125" i="8"/>
  <c r="R125" i="8"/>
  <c r="S125" i="8"/>
  <c r="O126" i="8"/>
  <c r="P126" i="8"/>
  <c r="Q126" i="8"/>
  <c r="R126" i="8"/>
  <c r="S126" i="8"/>
  <c r="O127" i="8"/>
  <c r="P127" i="8"/>
  <c r="Q127" i="8"/>
  <c r="R127" i="8"/>
  <c r="S127" i="8"/>
  <c r="I128" i="8"/>
  <c r="O128" i="8" s="1"/>
  <c r="K128" i="8"/>
  <c r="Q128" i="8" s="1"/>
  <c r="P128" i="8"/>
  <c r="R128" i="8"/>
  <c r="S128" i="8"/>
  <c r="O129" i="8"/>
  <c r="P129" i="8"/>
  <c r="Q129" i="8"/>
  <c r="R129" i="8"/>
  <c r="S129" i="8"/>
  <c r="O130" i="8"/>
  <c r="P130" i="8"/>
  <c r="Q130" i="8"/>
  <c r="R130" i="8"/>
  <c r="S130" i="8"/>
  <c r="O131" i="8"/>
  <c r="P131" i="8"/>
  <c r="Q131" i="8"/>
  <c r="R131" i="8"/>
  <c r="S131" i="8"/>
  <c r="O132" i="8"/>
  <c r="P132" i="8"/>
  <c r="Q132" i="8"/>
  <c r="R132" i="8"/>
  <c r="S132" i="8"/>
  <c r="O133" i="8"/>
  <c r="P133" i="8"/>
  <c r="Q133" i="8"/>
  <c r="R133" i="8"/>
  <c r="S133" i="8"/>
  <c r="E134" i="8"/>
  <c r="I134" i="8"/>
  <c r="O134" i="8" s="1"/>
  <c r="K134" i="8"/>
  <c r="Q134" i="8" s="1"/>
  <c r="P134" i="8"/>
  <c r="R134" i="8"/>
  <c r="S134" i="8"/>
  <c r="O135" i="8"/>
  <c r="P135" i="8"/>
  <c r="Q135" i="8"/>
  <c r="R135" i="8"/>
  <c r="S135" i="8"/>
  <c r="O136" i="8"/>
  <c r="P136" i="8"/>
  <c r="Q136" i="8"/>
  <c r="R136" i="8"/>
  <c r="S136" i="8"/>
  <c r="E137" i="8"/>
  <c r="I137" i="8"/>
  <c r="O137" i="8" s="1"/>
  <c r="K137" i="8"/>
  <c r="Q137" i="8" s="1"/>
  <c r="P137" i="8"/>
  <c r="R137" i="8"/>
  <c r="S137" i="8"/>
  <c r="O138" i="8"/>
  <c r="P138" i="8"/>
  <c r="Q138" i="8"/>
  <c r="R138" i="8"/>
  <c r="S138" i="8"/>
  <c r="E139" i="8"/>
  <c r="O139" i="8"/>
  <c r="P139" i="8"/>
  <c r="Q139" i="8"/>
  <c r="R139" i="8"/>
  <c r="S139" i="8"/>
  <c r="E140" i="8"/>
  <c r="O140" i="8"/>
  <c r="P140" i="8"/>
  <c r="Q140" i="8"/>
  <c r="R140" i="8"/>
  <c r="S140" i="8"/>
  <c r="E141" i="8"/>
  <c r="O141" i="8"/>
  <c r="P141" i="8"/>
  <c r="Q141" i="8"/>
  <c r="R141" i="8"/>
  <c r="S141" i="8"/>
  <c r="E142" i="8"/>
  <c r="I142" i="8"/>
  <c r="O142" i="8" s="1"/>
  <c r="K142" i="8"/>
  <c r="Q142" i="8" s="1"/>
  <c r="P142" i="8"/>
  <c r="R142" i="8"/>
  <c r="S142" i="8"/>
  <c r="O143" i="8"/>
  <c r="P143" i="8"/>
  <c r="Q143" i="8"/>
  <c r="R143" i="8"/>
  <c r="S143" i="8"/>
  <c r="O144" i="8"/>
  <c r="P144" i="8"/>
  <c r="Q144" i="8"/>
  <c r="R144" i="8"/>
  <c r="S144" i="8"/>
  <c r="O145" i="8"/>
  <c r="P145" i="8"/>
  <c r="Q145" i="8"/>
  <c r="R145" i="8"/>
  <c r="S145" i="8"/>
  <c r="O146" i="8"/>
  <c r="P146" i="8"/>
  <c r="Q146" i="8"/>
  <c r="R146" i="8"/>
  <c r="S146" i="8"/>
  <c r="O147" i="8"/>
  <c r="P147" i="8"/>
  <c r="Q147" i="8"/>
  <c r="R147" i="8"/>
  <c r="S147" i="8"/>
  <c r="O148" i="8"/>
  <c r="P148" i="8"/>
  <c r="Q148" i="8"/>
  <c r="R148" i="8"/>
  <c r="S148" i="8"/>
  <c r="O149" i="8"/>
  <c r="P149" i="8"/>
  <c r="Q149" i="8"/>
  <c r="R149" i="8"/>
  <c r="S149" i="8"/>
  <c r="O150" i="8"/>
  <c r="P150" i="8"/>
  <c r="Q150" i="8"/>
  <c r="R150" i="8"/>
  <c r="S150" i="8"/>
  <c r="O151" i="8"/>
  <c r="P151" i="8"/>
  <c r="Q151" i="8"/>
  <c r="R151" i="8"/>
  <c r="S151" i="8"/>
  <c r="O152" i="8"/>
  <c r="P152" i="8"/>
  <c r="Q152" i="8"/>
  <c r="R152" i="8"/>
  <c r="S152" i="8"/>
  <c r="O153" i="8"/>
  <c r="P153" i="8"/>
  <c r="Q153" i="8"/>
  <c r="R153" i="8"/>
  <c r="S153" i="8"/>
  <c r="O154" i="8"/>
  <c r="P154" i="8"/>
  <c r="Q154" i="8"/>
  <c r="R154" i="8"/>
  <c r="S154" i="8"/>
  <c r="E155" i="8"/>
  <c r="O155" i="8"/>
  <c r="P155" i="8"/>
  <c r="Q155" i="8"/>
  <c r="R155" i="8"/>
  <c r="S155" i="8"/>
  <c r="E156" i="8"/>
  <c r="O156" i="8"/>
  <c r="P156" i="8"/>
  <c r="Q156" i="8"/>
  <c r="R156" i="8"/>
  <c r="S156" i="8"/>
  <c r="E157" i="8"/>
  <c r="O157" i="8"/>
  <c r="P157" i="8"/>
  <c r="Q157" i="8"/>
  <c r="R157" i="8"/>
  <c r="S157" i="8"/>
  <c r="E158" i="8"/>
  <c r="O158" i="8"/>
  <c r="P158" i="8"/>
  <c r="Q158" i="8"/>
  <c r="R158" i="8"/>
  <c r="S158" i="8"/>
  <c r="E159" i="8"/>
  <c r="O159" i="8"/>
  <c r="P159" i="8"/>
  <c r="Q159" i="8"/>
  <c r="R159" i="8"/>
  <c r="S159" i="8"/>
  <c r="E160" i="8"/>
  <c r="O160" i="8"/>
  <c r="P160" i="8"/>
  <c r="Q160" i="8"/>
  <c r="R160" i="8"/>
  <c r="S160" i="8"/>
  <c r="E161" i="8"/>
  <c r="O161" i="8"/>
  <c r="P161" i="8"/>
  <c r="Q161" i="8"/>
  <c r="R161" i="8"/>
  <c r="S161" i="8"/>
  <c r="E162" i="8"/>
  <c r="O162" i="8"/>
  <c r="P162" i="8"/>
  <c r="Q162" i="8"/>
  <c r="R162" i="8"/>
  <c r="S162" i="8"/>
  <c r="E163" i="8"/>
  <c r="O163" i="8"/>
  <c r="P163" i="8"/>
  <c r="Q163" i="8"/>
  <c r="R163" i="8"/>
  <c r="S163" i="8"/>
  <c r="E164" i="8"/>
  <c r="O164" i="8"/>
  <c r="P164" i="8"/>
  <c r="Q164" i="8"/>
  <c r="R164" i="8"/>
  <c r="S164" i="8"/>
  <c r="E165" i="8"/>
  <c r="O165" i="8"/>
  <c r="P165" i="8"/>
  <c r="Q165" i="8"/>
  <c r="R165" i="8"/>
  <c r="S165" i="8"/>
  <c r="E166" i="8"/>
  <c r="O166" i="8"/>
  <c r="P166" i="8"/>
  <c r="Q166" i="8"/>
  <c r="R166" i="8"/>
  <c r="S166" i="8"/>
  <c r="E167" i="8"/>
  <c r="O167" i="8"/>
  <c r="P167" i="8"/>
  <c r="Q167" i="8"/>
  <c r="R167" i="8"/>
  <c r="S167" i="8"/>
  <c r="E168" i="8"/>
  <c r="O168" i="8"/>
  <c r="P168" i="8"/>
  <c r="Q168" i="8"/>
  <c r="R168" i="8"/>
  <c r="S168" i="8"/>
  <c r="E169" i="8"/>
  <c r="O169" i="8"/>
  <c r="P169" i="8"/>
  <c r="Q169" i="8"/>
  <c r="R169" i="8"/>
  <c r="S169" i="8"/>
  <c r="E170" i="8"/>
  <c r="O170" i="8"/>
  <c r="P170" i="8"/>
  <c r="Q170" i="8"/>
  <c r="R170" i="8"/>
  <c r="S170" i="8"/>
  <c r="E171" i="8"/>
  <c r="O171" i="8"/>
  <c r="P171" i="8"/>
  <c r="Q171" i="8"/>
  <c r="R171" i="8"/>
  <c r="S171" i="8"/>
  <c r="E172" i="8"/>
  <c r="O172" i="8"/>
  <c r="P172" i="8"/>
  <c r="Q172" i="8"/>
  <c r="R172" i="8"/>
  <c r="S172" i="8"/>
  <c r="E173" i="8"/>
  <c r="O173" i="8"/>
  <c r="P173" i="8"/>
  <c r="Q173" i="8"/>
  <c r="R173" i="8"/>
  <c r="S173" i="8"/>
  <c r="E174" i="8"/>
  <c r="O174" i="8"/>
  <c r="P174" i="8"/>
  <c r="Q174" i="8"/>
  <c r="R174" i="8"/>
  <c r="S174" i="8"/>
  <c r="E175" i="8"/>
  <c r="O175" i="8"/>
  <c r="P175" i="8"/>
  <c r="Q175" i="8"/>
  <c r="R175" i="8"/>
  <c r="S175" i="8"/>
  <c r="E176" i="8"/>
  <c r="O176" i="8"/>
  <c r="P176" i="8"/>
  <c r="Q176" i="8"/>
  <c r="R176" i="8"/>
  <c r="S176" i="8"/>
  <c r="E177" i="8"/>
  <c r="O177" i="8"/>
  <c r="P177" i="8"/>
  <c r="Q177" i="8"/>
  <c r="R177" i="8"/>
  <c r="S177" i="8"/>
  <c r="O178" i="8"/>
  <c r="P178" i="8"/>
  <c r="Q178" i="8"/>
  <c r="R178" i="8"/>
  <c r="S178" i="8"/>
  <c r="E179" i="8"/>
  <c r="O179" i="8"/>
  <c r="P179" i="8"/>
  <c r="Q179" i="8"/>
  <c r="R179" i="8"/>
  <c r="S179" i="8"/>
  <c r="E180" i="8"/>
  <c r="O180" i="8"/>
  <c r="P180" i="8"/>
  <c r="Q180" i="8"/>
  <c r="R180" i="8"/>
  <c r="S180" i="8"/>
  <c r="E181" i="8"/>
  <c r="O181" i="8"/>
  <c r="P181" i="8"/>
  <c r="Q181" i="8"/>
  <c r="R181" i="8"/>
  <c r="S181" i="8"/>
  <c r="E182" i="8"/>
  <c r="O182" i="8"/>
  <c r="P182" i="8"/>
  <c r="Q182" i="8"/>
  <c r="R182" i="8"/>
  <c r="S182" i="8"/>
  <c r="E183" i="8"/>
  <c r="O183" i="8"/>
  <c r="P183" i="8"/>
  <c r="Q183" i="8"/>
  <c r="R183" i="8"/>
  <c r="S183" i="8"/>
  <c r="E184" i="8"/>
  <c r="O184" i="8"/>
  <c r="P184" i="8"/>
  <c r="Q184" i="8"/>
  <c r="R184" i="8"/>
  <c r="S184" i="8"/>
  <c r="O185" i="8"/>
  <c r="P185" i="8"/>
  <c r="Q185" i="8"/>
  <c r="R185" i="8"/>
  <c r="S185" i="8"/>
  <c r="O186" i="8"/>
  <c r="P186" i="8"/>
  <c r="Q186" i="8"/>
  <c r="R186" i="8"/>
  <c r="S186" i="8"/>
  <c r="E187" i="8"/>
  <c r="O187" i="8"/>
  <c r="P187" i="8"/>
  <c r="Q187" i="8"/>
  <c r="R187" i="8"/>
  <c r="S187" i="8"/>
  <c r="O188" i="8"/>
  <c r="P188" i="8"/>
  <c r="Q188" i="8"/>
  <c r="R188" i="8"/>
  <c r="S188" i="8"/>
  <c r="E189" i="8"/>
  <c r="O189" i="8"/>
  <c r="P189" i="8"/>
  <c r="Q189" i="8"/>
  <c r="R189" i="8"/>
  <c r="S189" i="8"/>
  <c r="E190" i="8"/>
  <c r="O190" i="8"/>
  <c r="P190" i="8"/>
  <c r="Q190" i="8"/>
  <c r="R190" i="8"/>
  <c r="S190" i="8"/>
  <c r="O191" i="8"/>
  <c r="P191" i="8"/>
  <c r="Q191" i="8"/>
  <c r="R191" i="8"/>
  <c r="S191" i="8"/>
  <c r="O192" i="8"/>
  <c r="P192" i="8"/>
  <c r="Q192" i="8"/>
  <c r="R192" i="8"/>
  <c r="S192" i="8"/>
  <c r="O193" i="8"/>
  <c r="P193" i="8"/>
  <c r="Q193" i="8"/>
  <c r="R193" i="8"/>
  <c r="S193" i="8"/>
  <c r="O194" i="8"/>
  <c r="P194" i="8"/>
  <c r="Q194" i="8"/>
  <c r="R194" i="8"/>
  <c r="S194" i="8"/>
  <c r="O195" i="8"/>
  <c r="P195" i="8"/>
  <c r="Q195" i="8"/>
  <c r="R195" i="8"/>
  <c r="S195" i="8"/>
  <c r="E196" i="8"/>
  <c r="O196" i="8"/>
  <c r="P196" i="8"/>
  <c r="Q196" i="8"/>
  <c r="R196" i="8"/>
  <c r="S196" i="8"/>
  <c r="E197" i="8"/>
  <c r="O197" i="8"/>
  <c r="P197" i="8"/>
  <c r="Q197" i="8"/>
  <c r="R197" i="8"/>
  <c r="S197" i="8"/>
  <c r="E198" i="8"/>
  <c r="I198" i="8"/>
  <c r="O198" i="8" s="1"/>
  <c r="K198" i="8"/>
  <c r="Q198" i="8" s="1"/>
  <c r="P198" i="8"/>
  <c r="R198" i="8"/>
  <c r="S198" i="8"/>
  <c r="O199" i="8"/>
  <c r="P199" i="8"/>
  <c r="Q199" i="8"/>
  <c r="R199" i="8"/>
  <c r="S199" i="8"/>
  <c r="E200" i="8"/>
  <c r="O200" i="8"/>
  <c r="P200" i="8"/>
  <c r="Q200" i="8"/>
  <c r="R200" i="8"/>
  <c r="S200" i="8"/>
  <c r="O201" i="8"/>
  <c r="P201" i="8"/>
  <c r="Q201" i="8"/>
  <c r="R201" i="8"/>
  <c r="S201" i="8"/>
  <c r="E202" i="8"/>
  <c r="I202" i="8"/>
  <c r="O202" i="8" s="1"/>
  <c r="K202" i="8"/>
  <c r="Q202" i="8" s="1"/>
  <c r="P202" i="8"/>
  <c r="R202" i="8"/>
  <c r="S202" i="8"/>
  <c r="E203" i="8"/>
  <c r="I203" i="8"/>
  <c r="O203" i="8" s="1"/>
  <c r="K203" i="8"/>
  <c r="Q203" i="8" s="1"/>
  <c r="P203" i="8"/>
  <c r="R203" i="8"/>
  <c r="S203" i="8"/>
  <c r="O204" i="8"/>
  <c r="P204" i="8"/>
  <c r="Q204" i="8"/>
  <c r="R204" i="8"/>
  <c r="S204" i="8"/>
  <c r="E205" i="8"/>
  <c r="I205" i="8"/>
  <c r="O205" i="8" s="1"/>
  <c r="K205" i="8"/>
  <c r="Q205" i="8" s="1"/>
  <c r="P205" i="8"/>
  <c r="R205" i="8"/>
  <c r="S205" i="8"/>
  <c r="E206" i="8"/>
  <c r="I206" i="8"/>
  <c r="O206" i="8" s="1"/>
  <c r="K206" i="8"/>
  <c r="Q206" i="8" s="1"/>
  <c r="P206" i="8"/>
  <c r="R206" i="8"/>
  <c r="S206" i="8"/>
  <c r="O207" i="8"/>
  <c r="P207" i="8"/>
  <c r="Q207" i="8"/>
  <c r="R207" i="8"/>
  <c r="S207" i="8"/>
  <c r="E208" i="8"/>
  <c r="O208" i="8"/>
  <c r="P208" i="8"/>
  <c r="Q208" i="8"/>
  <c r="R208" i="8"/>
  <c r="S208" i="8"/>
  <c r="O209" i="8"/>
  <c r="P209" i="8"/>
  <c r="Q209" i="8"/>
  <c r="R209" i="8"/>
  <c r="S209" i="8"/>
  <c r="O210" i="8"/>
  <c r="P210" i="8"/>
  <c r="Q210" i="8"/>
  <c r="R210" i="8"/>
  <c r="S210" i="8"/>
  <c r="E211" i="8"/>
  <c r="I211" i="8"/>
  <c r="O211" i="8" s="1"/>
  <c r="K211" i="8"/>
  <c r="Q211" i="8" s="1"/>
  <c r="P211" i="8"/>
  <c r="R211" i="8"/>
  <c r="S211" i="8"/>
  <c r="O212" i="8"/>
  <c r="P212" i="8"/>
  <c r="Q212" i="8"/>
  <c r="R212" i="8"/>
  <c r="S212" i="8"/>
  <c r="E213" i="8"/>
  <c r="O213" i="8"/>
  <c r="P213" i="8"/>
  <c r="Q213" i="8"/>
  <c r="R213" i="8"/>
  <c r="S213" i="8"/>
  <c r="O214" i="8"/>
  <c r="P214" i="8"/>
  <c r="Q214" i="8"/>
  <c r="R214" i="8"/>
  <c r="S214" i="8"/>
  <c r="E215" i="8"/>
  <c r="O215" i="8"/>
  <c r="P215" i="8"/>
  <c r="Q215" i="8"/>
  <c r="R215" i="8"/>
  <c r="S215" i="8"/>
  <c r="O216" i="8"/>
  <c r="P216" i="8"/>
  <c r="Q216" i="8"/>
  <c r="R216" i="8"/>
  <c r="S216" i="8"/>
  <c r="O217" i="8"/>
  <c r="P217" i="8"/>
  <c r="Q217" i="8"/>
  <c r="R217" i="8"/>
  <c r="S217" i="8"/>
  <c r="E218" i="8"/>
  <c r="O218" i="8"/>
  <c r="P218" i="8"/>
  <c r="Q218" i="8"/>
  <c r="R218" i="8"/>
  <c r="S218" i="8"/>
  <c r="E219" i="8"/>
  <c r="O219" i="8"/>
  <c r="P219" i="8"/>
  <c r="Q219" i="8"/>
  <c r="R219" i="8"/>
  <c r="S219" i="8"/>
  <c r="E220" i="8"/>
  <c r="O220" i="8"/>
  <c r="P220" i="8"/>
  <c r="Q220" i="8"/>
  <c r="R220" i="8"/>
  <c r="S220" i="8"/>
  <c r="O221" i="8"/>
  <c r="P221" i="8"/>
  <c r="Q221" i="8"/>
  <c r="R221" i="8"/>
  <c r="S221" i="8"/>
  <c r="E222" i="8"/>
  <c r="O222" i="8"/>
  <c r="P222" i="8"/>
  <c r="Q222" i="8"/>
  <c r="R222" i="8"/>
  <c r="S222" i="8"/>
  <c r="E223" i="8"/>
  <c r="O223" i="8"/>
  <c r="P223" i="8"/>
  <c r="Q223" i="8"/>
  <c r="R223" i="8"/>
  <c r="S223" i="8"/>
  <c r="E224" i="8"/>
  <c r="O224" i="8"/>
  <c r="P224" i="8"/>
  <c r="Q224" i="8"/>
  <c r="R224" i="8"/>
  <c r="S224" i="8"/>
  <c r="O225" i="8"/>
  <c r="P225" i="8"/>
  <c r="Q225" i="8"/>
  <c r="R225" i="8"/>
  <c r="S225" i="8"/>
  <c r="E226" i="8"/>
  <c r="O226" i="8"/>
  <c r="P226" i="8"/>
  <c r="Q226" i="8"/>
  <c r="R226" i="8"/>
  <c r="S226" i="8"/>
  <c r="E227" i="8"/>
  <c r="O227" i="8"/>
  <c r="P227" i="8"/>
  <c r="Q227" i="8"/>
  <c r="R227" i="8"/>
  <c r="S227" i="8"/>
  <c r="E228" i="8"/>
  <c r="I228" i="8"/>
  <c r="O228" i="8" s="1"/>
  <c r="K228" i="8"/>
  <c r="Q228" i="8" s="1"/>
  <c r="P228" i="8"/>
  <c r="R228" i="8"/>
  <c r="S228" i="8"/>
  <c r="O229" i="8"/>
  <c r="P229" i="8"/>
  <c r="Q229" i="8"/>
  <c r="R229" i="8"/>
  <c r="S229" i="8"/>
  <c r="E230" i="8"/>
  <c r="O230" i="8"/>
  <c r="P230" i="8"/>
  <c r="Q230" i="8"/>
  <c r="R230" i="8"/>
  <c r="S230" i="8"/>
  <c r="E231" i="8"/>
  <c r="O231" i="8"/>
  <c r="P231" i="8"/>
  <c r="Q231" i="8"/>
  <c r="R231" i="8"/>
  <c r="S231" i="8"/>
  <c r="E232" i="8"/>
  <c r="O232" i="8"/>
  <c r="P232" i="8"/>
  <c r="Q232" i="8"/>
  <c r="R232" i="8"/>
  <c r="S232" i="8"/>
  <c r="E233" i="8"/>
  <c r="O233" i="8"/>
  <c r="P233" i="8"/>
  <c r="Q233" i="8"/>
  <c r="R233" i="8"/>
  <c r="S233" i="8"/>
  <c r="O234" i="8"/>
  <c r="P234" i="8"/>
  <c r="Q234" i="8"/>
  <c r="R234" i="8"/>
  <c r="S234" i="8"/>
  <c r="E235" i="8"/>
  <c r="O235" i="8"/>
  <c r="P235" i="8"/>
  <c r="Q235" i="8"/>
  <c r="R235" i="8"/>
  <c r="S235" i="8"/>
  <c r="E236" i="8"/>
  <c r="O236" i="8"/>
  <c r="P236" i="8"/>
  <c r="Q236" i="8"/>
  <c r="R236" i="8"/>
  <c r="S236" i="8"/>
  <c r="O237" i="8"/>
  <c r="P237" i="8"/>
  <c r="Q237" i="8"/>
  <c r="R237" i="8"/>
  <c r="S237" i="8"/>
  <c r="E238" i="8"/>
  <c r="O238" i="8"/>
  <c r="P238" i="8"/>
  <c r="Q238" i="8"/>
  <c r="R238" i="8"/>
  <c r="S238" i="8"/>
  <c r="E239" i="8"/>
  <c r="O239" i="8"/>
  <c r="P239" i="8"/>
  <c r="Q239" i="8"/>
  <c r="R239" i="8"/>
  <c r="S239" i="8"/>
  <c r="E240" i="8"/>
  <c r="I240" i="8"/>
  <c r="O240" i="8" s="1"/>
  <c r="K240" i="8"/>
  <c r="Q240" i="8" s="1"/>
  <c r="P240" i="8"/>
  <c r="R240" i="8"/>
  <c r="S240" i="8"/>
  <c r="E241" i="8"/>
  <c r="I241" i="8"/>
  <c r="O241" i="8" s="1"/>
  <c r="K241" i="8"/>
  <c r="Q241" i="8" s="1"/>
  <c r="P241" i="8"/>
  <c r="R241" i="8"/>
  <c r="S241" i="8"/>
  <c r="O242" i="8"/>
  <c r="P242" i="8"/>
  <c r="Q242" i="8"/>
  <c r="R242" i="8"/>
  <c r="S242" i="8"/>
  <c r="O243" i="8"/>
  <c r="P243" i="8"/>
  <c r="Q243" i="8"/>
  <c r="R243" i="8"/>
  <c r="S243" i="8"/>
  <c r="O244" i="8"/>
  <c r="P244" i="8"/>
  <c r="Q244" i="8"/>
  <c r="R244" i="8"/>
  <c r="S244" i="8"/>
  <c r="E245" i="8"/>
  <c r="O245" i="8"/>
  <c r="P245" i="8"/>
  <c r="Q245" i="8"/>
  <c r="R245" i="8"/>
  <c r="S245" i="8"/>
  <c r="E246" i="8"/>
  <c r="O246" i="8"/>
  <c r="P246" i="8"/>
  <c r="Q246" i="8"/>
  <c r="R246" i="8"/>
  <c r="S246" i="8"/>
  <c r="O247" i="8"/>
  <c r="P247" i="8"/>
  <c r="Q247" i="8"/>
  <c r="R247" i="8"/>
  <c r="S247" i="8"/>
  <c r="E248" i="8"/>
  <c r="O248" i="8"/>
  <c r="P248" i="8"/>
  <c r="Q248" i="8"/>
  <c r="R248" i="8"/>
  <c r="S248" i="8"/>
  <c r="O249" i="8"/>
  <c r="P249" i="8"/>
  <c r="Q249" i="8"/>
  <c r="R249" i="8"/>
  <c r="S249" i="8"/>
  <c r="E250" i="8"/>
  <c r="O250" i="8"/>
  <c r="P250" i="8"/>
  <c r="Q250" i="8"/>
  <c r="R250" i="8"/>
  <c r="S250" i="8"/>
  <c r="O251" i="8"/>
  <c r="P251" i="8"/>
  <c r="Q251" i="8"/>
  <c r="R251" i="8"/>
  <c r="S251" i="8"/>
  <c r="O252" i="8"/>
  <c r="P252" i="8"/>
  <c r="Q252" i="8"/>
  <c r="R252" i="8"/>
  <c r="S252" i="8"/>
  <c r="O253" i="8"/>
  <c r="P253" i="8"/>
  <c r="Q253" i="8"/>
  <c r="R253" i="8"/>
  <c r="S253" i="8"/>
  <c r="O254" i="8"/>
  <c r="P254" i="8"/>
  <c r="Q254" i="8"/>
  <c r="R254" i="8"/>
  <c r="S254" i="8"/>
  <c r="O255" i="8"/>
  <c r="P255" i="8"/>
  <c r="Q255" i="8"/>
  <c r="R255" i="8"/>
  <c r="S255" i="8"/>
  <c r="E256" i="8"/>
  <c r="O256" i="8"/>
  <c r="P256" i="8"/>
  <c r="Q256" i="8"/>
  <c r="R256" i="8"/>
  <c r="S256" i="8"/>
  <c r="O257" i="8"/>
  <c r="P257" i="8"/>
  <c r="Q257" i="8"/>
  <c r="R257" i="8"/>
  <c r="S257" i="8"/>
  <c r="E258" i="8"/>
  <c r="O258" i="8"/>
  <c r="P258" i="8"/>
  <c r="Q258" i="8"/>
  <c r="R258" i="8"/>
  <c r="S258" i="8"/>
  <c r="O259" i="8"/>
  <c r="P259" i="8"/>
  <c r="Q259" i="8"/>
  <c r="R259" i="8"/>
  <c r="S259" i="8"/>
  <c r="O260" i="8"/>
  <c r="P260" i="8"/>
  <c r="Q260" i="8"/>
  <c r="R260" i="8"/>
  <c r="S260" i="8"/>
  <c r="O261" i="8"/>
  <c r="P261" i="8"/>
  <c r="Q261" i="8"/>
  <c r="R261" i="8"/>
  <c r="S261" i="8"/>
  <c r="O262" i="8"/>
  <c r="P262" i="8"/>
  <c r="Q262" i="8"/>
  <c r="R262" i="8"/>
  <c r="S262" i="8"/>
  <c r="O263" i="8"/>
  <c r="P263" i="8"/>
  <c r="Q263" i="8"/>
  <c r="R263" i="8"/>
  <c r="S263" i="8"/>
  <c r="O264" i="8"/>
  <c r="P264" i="8"/>
  <c r="Q264" i="8"/>
  <c r="R264" i="8"/>
  <c r="S264" i="8"/>
  <c r="E265" i="8"/>
  <c r="O265" i="8"/>
  <c r="P265" i="8"/>
  <c r="Q265" i="8"/>
  <c r="R265" i="8"/>
  <c r="S265" i="8"/>
  <c r="E266" i="8"/>
  <c r="O266" i="8"/>
  <c r="P266" i="8"/>
  <c r="Q266" i="8"/>
  <c r="R266" i="8"/>
  <c r="S266" i="8"/>
  <c r="O267" i="8"/>
  <c r="P267" i="8"/>
  <c r="Q267" i="8"/>
  <c r="R267" i="8"/>
  <c r="S267" i="8"/>
  <c r="E268" i="8"/>
  <c r="O268" i="8"/>
  <c r="P268" i="8"/>
  <c r="Q268" i="8"/>
  <c r="R268" i="8"/>
  <c r="S268" i="8"/>
  <c r="E269" i="8"/>
  <c r="O269" i="8"/>
  <c r="P269" i="8"/>
  <c r="Q269" i="8"/>
  <c r="R269" i="8"/>
  <c r="S269" i="8"/>
  <c r="O270" i="8"/>
  <c r="P270" i="8"/>
  <c r="Q270" i="8"/>
  <c r="R270" i="8"/>
  <c r="S270" i="8"/>
  <c r="O271" i="8"/>
  <c r="P271" i="8"/>
  <c r="Q271" i="8"/>
  <c r="R271" i="8"/>
  <c r="S271" i="8"/>
  <c r="O272" i="8"/>
  <c r="P272" i="8"/>
  <c r="Q272" i="8"/>
  <c r="R272" i="8"/>
  <c r="S272" i="8"/>
  <c r="O273" i="8"/>
  <c r="P273" i="8"/>
  <c r="Q273" i="8"/>
  <c r="R273" i="8"/>
  <c r="S273" i="8"/>
  <c r="O274" i="8"/>
  <c r="P274" i="8"/>
  <c r="Q274" i="8"/>
  <c r="R274" i="8"/>
  <c r="S274" i="8"/>
  <c r="O275" i="8"/>
  <c r="P275" i="8"/>
  <c r="Q275" i="8"/>
  <c r="R275" i="8"/>
  <c r="S275" i="8"/>
  <c r="A68" i="3" l="1"/>
  <c r="A30" i="3"/>
  <c r="A67" i="3"/>
  <c r="A31" i="3"/>
  <c r="A58" i="3" l="1"/>
  <c r="A59" i="3" s="1"/>
  <c r="A57" i="3" s="1"/>
  <c r="A8" i="3"/>
  <c r="A10" i="3" s="1"/>
  <c r="A69" i="3" s="1"/>
  <c r="A64" i="3"/>
  <c r="A56" i="3"/>
  <c r="A43" i="3" s="1"/>
  <c r="A55" i="3" l="1"/>
  <c r="A65" i="3"/>
  <c r="A62" i="3" s="1"/>
  <c r="A63" i="3" s="1"/>
  <c r="A45" i="3" s="1"/>
  <c r="A46" i="3" s="1"/>
  <c r="A66" i="3" s="1"/>
  <c r="A51" i="3" l="1"/>
  <c r="A52" i="3" s="1"/>
  <c r="A53" i="3" s="1"/>
  <c r="A54" i="3" s="1"/>
  <c r="A47" i="3"/>
  <c r="A48" i="3" l="1"/>
  <c r="A49" i="3" s="1"/>
  <c r="A50" i="3" s="1"/>
  <c r="A44" i="3" s="1"/>
  <c r="A42" i="3" s="1"/>
  <c r="A60" i="3"/>
  <c r="A61" i="3"/>
  <c r="A40" i="3" l="1"/>
  <c r="A39" i="3" s="1"/>
  <c r="A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Ward, Ellen</author>
  </authors>
  <commentList>
    <comment ref="E340" authorId="0" shapeId="0" xr:uid="{4115F08F-8ECA-D64A-8F51-E3791C30DCEC}">
      <text>
        <r>
          <rPr>
            <b/>
            <sz val="9"/>
            <color indexed="81"/>
            <rFont val="Tahoma"/>
            <family val="2"/>
          </rPr>
          <t>Ward, Ellen:</t>
        </r>
        <r>
          <rPr>
            <sz val="9"/>
            <color indexed="81"/>
            <rFont val="Tahoma"/>
            <family val="2"/>
          </rPr>
          <t xml:space="preserve">
A value of 1165 is shown in the table. </t>
        </r>
      </text>
    </comment>
    <comment ref="E665" authorId="0" shapeId="0" xr:uid="{D4590341-878F-9548-AE07-F58B7032FBE6}">
      <text>
        <r>
          <rPr>
            <sz val="11"/>
            <color theme="1"/>
            <rFont val="Calibri"/>
            <family val="2"/>
            <scheme val="minor"/>
          </rPr>
          <t>Ward, Ellen:</t>
        </r>
        <r>
          <rPr>
            <sz val="11"/>
            <color theme="1"/>
            <rFont val="Calibri"/>
            <family val="2"/>
            <scheme val="minor"/>
          </rPr>
          <t xml:space="preserve">
</t>
        </r>
        <r>
          <rPr>
            <sz val="11"/>
            <color theme="1"/>
            <rFont val="Calibri"/>
            <family val="2"/>
            <scheme val="minor"/>
          </rPr>
          <t xml:space="preserve">The value listed in AP-42 for this value is 1608 which is not the average of these numbers.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Ward, Ellen</author>
    <author>Guerrero, Alyshia</author>
  </authors>
  <commentList>
    <comment ref="A3" authorId="0" shapeId="0" xr:uid="{97213CC4-B7E0-4DA7-BBA9-1456DB150C85}">
      <text>
        <r>
          <rPr>
            <b/>
            <sz val="9"/>
            <color rgb="FF000000"/>
            <rFont val="Tahoma"/>
            <family val="2"/>
          </rPr>
          <t>Ward, Ellen: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aka Methyl Chloroform</t>
        </r>
      </text>
    </comment>
    <comment ref="A38" authorId="0" shapeId="0" xr:uid="{D3F9DEFD-748B-40A3-98EB-86EF77B8510A}">
      <text>
        <r>
          <rPr>
            <b/>
            <sz val="9"/>
            <color indexed="81"/>
            <rFont val="Tahoma"/>
            <family val="2"/>
          </rPr>
          <t>Ward, Ellen:</t>
        </r>
        <r>
          <rPr>
            <sz val="9"/>
            <color indexed="81"/>
            <rFont val="Tahoma"/>
            <family val="2"/>
          </rPr>
          <t xml:space="preserve">
aka dimethyl ether</t>
        </r>
      </text>
    </comment>
    <comment ref="D67" authorId="1" shapeId="0" xr:uid="{A0DD64E5-6F6B-4D8E-908D-FBE66AAD1ED6}">
      <text>
        <r>
          <rPr>
            <b/>
            <sz val="9"/>
            <color indexed="81"/>
            <rFont val="Tahoma"/>
            <family val="2"/>
          </rPr>
          <t>Guerrero, Alyshia:</t>
        </r>
        <r>
          <rPr>
            <sz val="9"/>
            <color indexed="81"/>
            <rFont val="Tahoma"/>
            <family val="2"/>
          </rPr>
          <t xml:space="preserve">
Used MW of Asbestos (Crysotile) CAS # 12001-29-5</t>
        </r>
      </text>
    </comment>
    <comment ref="A78" authorId="1" shapeId="0" xr:uid="{FE559CB4-9D97-4AD9-BA9A-E8FB38A957DB}">
      <text>
        <r>
          <rPr>
            <b/>
            <sz val="9"/>
            <color indexed="81"/>
            <rFont val="Tahoma"/>
            <family val="2"/>
          </rPr>
          <t>Guerrero, Alyshia:</t>
        </r>
        <r>
          <rPr>
            <sz val="9"/>
            <color indexed="81"/>
            <rFont val="Tahoma"/>
            <family val="2"/>
          </rPr>
          <t xml:space="preserve">
aka BUTYL ALCOHOL, N-</t>
        </r>
      </text>
    </comment>
    <comment ref="A136" authorId="1" shapeId="0" xr:uid="{FB8C4854-7AEE-4076-9B2B-BEA7ED17CA98}">
      <text>
        <r>
          <rPr>
            <b/>
            <sz val="9"/>
            <color indexed="81"/>
            <rFont val="Tahoma"/>
            <family val="2"/>
          </rPr>
          <t>Guerrero, Alyshia:</t>
        </r>
        <r>
          <rPr>
            <sz val="9"/>
            <color indexed="81"/>
            <rFont val="Tahoma"/>
            <family val="2"/>
          </rPr>
          <t xml:space="preserve">
aka Diethyl Ether</t>
        </r>
      </text>
    </comment>
    <comment ref="A248" authorId="1" shapeId="0" xr:uid="{EB62265C-3CDC-4CCA-BC05-B773BD18B322}">
      <text>
        <r>
          <rPr>
            <b/>
            <sz val="9"/>
            <color rgb="FF000000"/>
            <rFont val="Tahoma"/>
            <family val="2"/>
          </rPr>
          <t>Guerrero, Alyshia: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aka DIHYDROXYBENZENE, 1,3-</t>
        </r>
      </text>
    </comment>
  </commentList>
</comments>
</file>

<file path=xl/sharedStrings.xml><?xml version="1.0" encoding="utf-8"?>
<sst xmlns="http://schemas.openxmlformats.org/spreadsheetml/2006/main" count="2611" uniqueCount="832">
  <si>
    <t>Description</t>
  </si>
  <si>
    <t>LT</t>
  </si>
  <si>
    <t>LS</t>
  </si>
  <si>
    <t>LW</t>
  </si>
  <si>
    <t>VV</t>
  </si>
  <si>
    <t>WV</t>
  </si>
  <si>
    <t>KS</t>
  </si>
  <si>
    <t>D</t>
  </si>
  <si>
    <t>HVO</t>
  </si>
  <si>
    <t>ΔTV</t>
  </si>
  <si>
    <t>TAX</t>
  </si>
  <si>
    <t>TAN</t>
  </si>
  <si>
    <t>α</t>
  </si>
  <si>
    <t>I</t>
  </si>
  <si>
    <t>ΔPB</t>
  </si>
  <si>
    <t>PA</t>
  </si>
  <si>
    <t>PVA</t>
  </si>
  <si>
    <t>TLA</t>
  </si>
  <si>
    <t>ΔTA</t>
  </si>
  <si>
    <t>PVX</t>
  </si>
  <si>
    <t>PVN</t>
  </si>
  <si>
    <t>B</t>
  </si>
  <si>
    <t>PBP</t>
  </si>
  <si>
    <t>PBV</t>
  </si>
  <si>
    <t>HS</t>
  </si>
  <si>
    <t>HL</t>
  </si>
  <si>
    <t>HRO</t>
  </si>
  <si>
    <t>HR</t>
  </si>
  <si>
    <t>SR</t>
  </si>
  <si>
    <t>RS</t>
  </si>
  <si>
    <t>RR</t>
  </si>
  <si>
    <t>MV</t>
  </si>
  <si>
    <t>R</t>
  </si>
  <si>
    <t>A</t>
  </si>
  <si>
    <t>TAA</t>
  </si>
  <si>
    <t>TB</t>
  </si>
  <si>
    <t>Q</t>
  </si>
  <si>
    <t>N</t>
  </si>
  <si>
    <t>KN</t>
  </si>
  <si>
    <t>VLX</t>
  </si>
  <si>
    <t>HLX</t>
  </si>
  <si>
    <t>KP</t>
  </si>
  <si>
    <t>PI</t>
  </si>
  <si>
    <t>total losses</t>
  </si>
  <si>
    <t xml:space="preserve">lb/yr </t>
  </si>
  <si>
    <t>standing storage losses</t>
  </si>
  <si>
    <t>working losses</t>
  </si>
  <si>
    <t>vapor space volume</t>
  </si>
  <si>
    <t>ft3</t>
  </si>
  <si>
    <t>stock vapor density</t>
  </si>
  <si>
    <t>lb/ft3</t>
  </si>
  <si>
    <t>vapor space expansion factor</t>
  </si>
  <si>
    <t>dimensionless</t>
  </si>
  <si>
    <t>vented vapor saturation factor</t>
  </si>
  <si>
    <t xml:space="preserve">dimensionless </t>
  </si>
  <si>
    <t>constant</t>
  </si>
  <si>
    <t>(year)-1</t>
  </si>
  <si>
    <t>the number of daily events in a year</t>
  </si>
  <si>
    <t>tank diameter</t>
  </si>
  <si>
    <t>ft</t>
  </si>
  <si>
    <t>vapor space outage</t>
  </si>
  <si>
    <t>Variable</t>
  </si>
  <si>
    <t>Units</t>
  </si>
  <si>
    <t>daily vapor temperature range</t>
  </si>
  <si>
    <t>°R</t>
  </si>
  <si>
    <t>daily maximum ambient temperature</t>
  </si>
  <si>
    <t>daily minimum ambient temperature</t>
  </si>
  <si>
    <t>tank paint solar absorptance</t>
  </si>
  <si>
    <t>daily total solar insolation on a horizontal surface</t>
  </si>
  <si>
    <t xml:space="preserve">Btu/(ft2 day) </t>
  </si>
  <si>
    <t>(°R)-1</t>
  </si>
  <si>
    <t>(°R ft2 day)/Btu</t>
  </si>
  <si>
    <t>daily vapor pressure range</t>
  </si>
  <si>
    <t>breather vent pressure setting range</t>
  </si>
  <si>
    <t>atmospheric pressure</t>
  </si>
  <si>
    <t xml:space="preserve">psia </t>
  </si>
  <si>
    <t>input</t>
  </si>
  <si>
    <t>vapor pressure at daily average liquid surface temperature</t>
  </si>
  <si>
    <t>daily average liquid surface temperature</t>
  </si>
  <si>
    <t>assumed</t>
  </si>
  <si>
    <t>breather vent pressure setting</t>
  </si>
  <si>
    <t>constant in the vapor pressure equation</t>
  </si>
  <si>
    <t>daily ambient temperature range</t>
  </si>
  <si>
    <t>vapor pressure at the daily maximum liquid surface temperature</t>
  </si>
  <si>
    <t>vapor pressure at the daily minimum liquid surface temperature</t>
  </si>
  <si>
    <t xml:space="preserve">psi / psia </t>
  </si>
  <si>
    <t>psi / psig</t>
  </si>
  <si>
    <t>psig</t>
  </si>
  <si>
    <t>tank shell height</t>
  </si>
  <si>
    <t>liquid height</t>
  </si>
  <si>
    <t>roof outage (or shell height equivalent to the volume contained under the roof)</t>
  </si>
  <si>
    <t>tank roof height</t>
  </si>
  <si>
    <t>tank cone roof slope</t>
  </si>
  <si>
    <t>ft/ft</t>
  </si>
  <si>
    <t>tank shell radius</t>
  </si>
  <si>
    <t>tank dome roof radius</t>
  </si>
  <si>
    <t>(psia-ft)-1</t>
  </si>
  <si>
    <t>the ideal gas constant</t>
  </si>
  <si>
    <t>psia ft3/lb-mole °R</t>
  </si>
  <si>
    <t>vapor molecular weight</t>
  </si>
  <si>
    <t>lb/lb-mole</t>
  </si>
  <si>
    <t>annual net throughput (tank capacity [bbl] times annual turnover rate)</t>
  </si>
  <si>
    <t>bbl/yr</t>
  </si>
  <si>
    <t>working loss turnover (saturation) factor</t>
  </si>
  <si>
    <t>number of turnovers per year</t>
  </si>
  <si>
    <t>tank maximum liquid volume</t>
  </si>
  <si>
    <t>liquid bulk temperature</t>
  </si>
  <si>
    <t>daily average ambient temperature</t>
  </si>
  <si>
    <t>pressure of the vapor space at normal operating conditions</t>
  </si>
  <si>
    <t>maximum liquid height</t>
  </si>
  <si>
    <t>working loss product factor</t>
  </si>
  <si>
    <t>KB</t>
  </si>
  <si>
    <t>vent setting correction factor</t>
  </si>
  <si>
    <t>C</t>
  </si>
  <si>
    <t>type of vertical fixed roof tank</t>
  </si>
  <si>
    <t>Tank_Roof</t>
  </si>
  <si>
    <t>cone</t>
  </si>
  <si>
    <t>Antoine's</t>
  </si>
  <si>
    <t>Antoine's C
(°C)</t>
  </si>
  <si>
    <t>Antoine's B
(°R or °C)</t>
  </si>
  <si>
    <t>Antoine's A
(unitless)</t>
  </si>
  <si>
    <t>Reference</t>
  </si>
  <si>
    <t>S-Value 
(unitless)</t>
  </si>
  <si>
    <t>RVP
(psia)</t>
  </si>
  <si>
    <t>Calculation Type</t>
  </si>
  <si>
    <t>Classification</t>
  </si>
  <si>
    <t>CAS No.</t>
  </si>
  <si>
    <t>[1] Table 7.1-5 and [2] Table 3</t>
  </si>
  <si>
    <t>VOC HAP</t>
  </si>
  <si>
    <t>1330-20-7</t>
  </si>
  <si>
    <t>Xylenes (isomers and mixture)</t>
  </si>
  <si>
    <t>106-42-3</t>
  </si>
  <si>
    <t>Xylene(p-)</t>
  </si>
  <si>
    <t>95-47-6</t>
  </si>
  <si>
    <t>Xylene(o-)</t>
  </si>
  <si>
    <t>108-38-3</t>
  </si>
  <si>
    <t>Xylene(m-)</t>
  </si>
  <si>
    <t>Wikipedia</t>
  </si>
  <si>
    <t>Water</t>
  </si>
  <si>
    <t>7732-18-5</t>
  </si>
  <si>
    <t>75-35-4</t>
  </si>
  <si>
    <t>Vinylidene chloride</t>
  </si>
  <si>
    <t>Yaws Handbook of Vapor Pressure</t>
  </si>
  <si>
    <t>75-01-4</t>
  </si>
  <si>
    <t>Vinyl chloride</t>
  </si>
  <si>
    <t>593-60-2</t>
  </si>
  <si>
    <t>Vinyl bromide</t>
  </si>
  <si>
    <t>108-05-4</t>
  </si>
  <si>
    <t>Vinyl acetate</t>
  </si>
  <si>
    <t>PubChem</t>
  </si>
  <si>
    <t>Non-volatile</t>
  </si>
  <si>
    <t>1582-09-8</t>
  </si>
  <si>
    <t>Trifluralin</t>
  </si>
  <si>
    <t>121-44-8</t>
  </si>
  <si>
    <t>Triethylamine</t>
  </si>
  <si>
    <t>VOC</t>
  </si>
  <si>
    <t>96-18-4</t>
  </si>
  <si>
    <t>Trichloropropane(1,2,3)</t>
  </si>
  <si>
    <t>[1] Table 7.1-5</t>
  </si>
  <si>
    <t>VOC Exempt</t>
  </si>
  <si>
    <t>75-69-4</t>
  </si>
  <si>
    <t>Trichlorofluoromethane</t>
  </si>
  <si>
    <t>79-01-6</t>
  </si>
  <si>
    <t>Trichloroethylene</t>
  </si>
  <si>
    <t>79-00-5</t>
  </si>
  <si>
    <t>Trichloroethane(1,1,2)</t>
  </si>
  <si>
    <t>VOC Exempt HAP</t>
  </si>
  <si>
    <t>71-55-6</t>
  </si>
  <si>
    <t>Trichloroethane(1,1,1)</t>
  </si>
  <si>
    <t>76-13-1</t>
  </si>
  <si>
    <t>Trichloro(1,1,2)trifluoroethane</t>
  </si>
  <si>
    <t>Vapor pressure data not available</t>
  </si>
  <si>
    <t>8001-35-2</t>
  </si>
  <si>
    <t>Toxaphene (chlorinated camphene)</t>
  </si>
  <si>
    <t>108-88-3</t>
  </si>
  <si>
    <t>Toluene</t>
  </si>
  <si>
    <t>7550-45-0</t>
  </si>
  <si>
    <t>Titanium tetrachloride</t>
  </si>
  <si>
    <t>109-99-9</t>
  </si>
  <si>
    <t>Tetrahydrofuran</t>
  </si>
  <si>
    <t>127-18-4</t>
  </si>
  <si>
    <t>Tetrachloroethylene</t>
  </si>
  <si>
    <t>79-34-5</t>
  </si>
  <si>
    <t>Tetrachloroethane(1,1,2,2)</t>
  </si>
  <si>
    <t>630-20-6</t>
  </si>
  <si>
    <t>Tetrachloroethane(1,1,1,2)</t>
  </si>
  <si>
    <t>Wikipedia / www.IrChe.com</t>
  </si>
  <si>
    <t>540-88-5</t>
  </si>
  <si>
    <t>T-Butyl Acetate</t>
  </si>
  <si>
    <t>96-09-3</t>
  </si>
  <si>
    <t>Styrene oxide</t>
  </si>
  <si>
    <t>100-42-5</t>
  </si>
  <si>
    <t>Styrene</t>
  </si>
  <si>
    <t>108-46-3</t>
  </si>
  <si>
    <t>Resorcinol</t>
  </si>
  <si>
    <t>[1] Table 7.1-2 - Antoine's Derived</t>
  </si>
  <si>
    <t>N/A</t>
  </si>
  <si>
    <t>Residual Oil No.6</t>
  </si>
  <si>
    <t>106-51-4</t>
  </si>
  <si>
    <t>Quinone</t>
  </si>
  <si>
    <t>91-22-5</t>
  </si>
  <si>
    <t>Quinoline</t>
  </si>
  <si>
    <t>110-86-1</t>
  </si>
  <si>
    <t>Pyridine</t>
  </si>
  <si>
    <t>75-56-9</t>
  </si>
  <si>
    <t>Propylene oxide</t>
  </si>
  <si>
    <t>57-55-6</t>
  </si>
  <si>
    <t>Propylene glycol</t>
  </si>
  <si>
    <t>NIST</t>
  </si>
  <si>
    <t>78-87-5</t>
  </si>
  <si>
    <t>Propylene dichloride (1,2-Dichloropropane)</t>
  </si>
  <si>
    <t>https://shareok.org/bitstream/handle/11244/19378/Thesis-1983D-K97v.pdf?sequence=1&amp;isAllowed=y</t>
  </si>
  <si>
    <t>108-32-7</t>
  </si>
  <si>
    <t>Propylene Carbonate</t>
  </si>
  <si>
    <t>114-26-1</t>
  </si>
  <si>
    <t>Propoxur (Baygon)</t>
  </si>
  <si>
    <t>123-38-6</t>
  </si>
  <si>
    <t>Propionaldehyde</t>
  </si>
  <si>
    <t>67-63-0</t>
  </si>
  <si>
    <t>Propanol (iso)</t>
  </si>
  <si>
    <t>106-50-3</t>
  </si>
  <si>
    <t>p-Phenylenediamine</t>
  </si>
  <si>
    <t>1336-36-3</t>
  </si>
  <si>
    <t>Polychlorinated biphenyls (Aroclors)</t>
  </si>
  <si>
    <t>109-06-8</t>
  </si>
  <si>
    <t>Picoline(-2) (2-methyl pyridine)</t>
  </si>
  <si>
    <t>85-44-9</t>
  </si>
  <si>
    <t>Phthalic anhydride</t>
  </si>
  <si>
    <t>PM HAP</t>
  </si>
  <si>
    <t>7723-14-0</t>
  </si>
  <si>
    <t>Phosphorus</t>
  </si>
  <si>
    <t>7803-51-2</t>
  </si>
  <si>
    <t>Phosphine</t>
  </si>
  <si>
    <t>75-44-5</t>
  </si>
  <si>
    <t>Phosgene</t>
  </si>
  <si>
    <t>108-95-2</t>
  </si>
  <si>
    <t>Phenol</t>
  </si>
  <si>
    <t>Perchloroethylene (Tetrachloroethylene)</t>
  </si>
  <si>
    <t>87-86-5</t>
  </si>
  <si>
    <t>Pentachlorophenol</t>
  </si>
  <si>
    <t>82-68-8</t>
  </si>
  <si>
    <t>Pentachloronitrobenzene (Quintobenzene)</t>
  </si>
  <si>
    <t>76-01-7</t>
  </si>
  <si>
    <t>Pentachloroethane</t>
  </si>
  <si>
    <t>EPA</t>
  </si>
  <si>
    <t>56-38-2</t>
  </si>
  <si>
    <t>Parathion</t>
  </si>
  <si>
    <t>95-53-4</t>
  </si>
  <si>
    <t>o-Toluidine</t>
  </si>
  <si>
    <t>90-04-0</t>
  </si>
  <si>
    <t>o-Anisidine</t>
  </si>
  <si>
    <t>No. 2 Fuel Oil (Diesel)</t>
  </si>
  <si>
    <t>NOAA</t>
  </si>
  <si>
    <t>684-93-5</t>
  </si>
  <si>
    <t>N-Nitroso-N-methylurea</t>
  </si>
  <si>
    <t>59-89-2</t>
  </si>
  <si>
    <t>N-Nitrosomorpholine</t>
  </si>
  <si>
    <t>62-75-9</t>
  </si>
  <si>
    <t>N-Nitrosodimethylamine</t>
  </si>
  <si>
    <t>98-95-3</t>
  </si>
  <si>
    <t>Nitrobenzene</t>
  </si>
  <si>
    <t>91-20-3</t>
  </si>
  <si>
    <t>Naphthalene</t>
  </si>
  <si>
    <t>121-69-7</t>
  </si>
  <si>
    <t>N,N-Dimethylaniline</t>
  </si>
  <si>
    <t>110-91-8</t>
  </si>
  <si>
    <t>Morpholine</t>
  </si>
  <si>
    <t>101-68-8</t>
  </si>
  <si>
    <t>Methylene diphenyl diisocyanate (MDI)</t>
  </si>
  <si>
    <t>75-09-2</t>
  </si>
  <si>
    <t>Methylene chloride ( Dichloromethane)</t>
  </si>
  <si>
    <t>1634-04-4</t>
  </si>
  <si>
    <t>Methyl tert butyl ether</t>
  </si>
  <si>
    <t>98-83-9</t>
  </si>
  <si>
    <t>Methyl styrene (alpha)</t>
  </si>
  <si>
    <t>80-62-6</t>
  </si>
  <si>
    <t>Methyl methacrylate</t>
  </si>
  <si>
    <t>624-83-9</t>
  </si>
  <si>
    <t>Methyl isocyanate</t>
  </si>
  <si>
    <t>108-10-1</t>
  </si>
  <si>
    <t>Methyl isobutyl ketone</t>
  </si>
  <si>
    <t>74-88-4</t>
  </si>
  <si>
    <t>Methyl iodide (Iodomethane)</t>
  </si>
  <si>
    <t>60-34-4</t>
  </si>
  <si>
    <t>Methyl hydrazine</t>
  </si>
  <si>
    <t>78-93-3</t>
  </si>
  <si>
    <t>Methyl ethyl ketone</t>
  </si>
  <si>
    <t>74-87-3</t>
  </si>
  <si>
    <t>Methyl chloride (Chloromethane)</t>
  </si>
  <si>
    <t>74-83-9</t>
  </si>
  <si>
    <t>Methyl bromide (Bromomethane)</t>
  </si>
  <si>
    <t>79-20-9</t>
  </si>
  <si>
    <t>Methyl acetate</t>
  </si>
  <si>
    <t>72-43-5</t>
  </si>
  <si>
    <t>Methoxychlor</t>
  </si>
  <si>
    <t>67-56-1</t>
  </si>
  <si>
    <t>Methanol</t>
  </si>
  <si>
    <t>74-82-8</t>
  </si>
  <si>
    <t>Methane</t>
  </si>
  <si>
    <t>108-31-6</t>
  </si>
  <si>
    <t>Maleic anhydride</t>
  </si>
  <si>
    <t>58-89-9</t>
  </si>
  <si>
    <t>Lindane (all isomers)</t>
  </si>
  <si>
    <t>Jet Naphtha (JP-4)</t>
  </si>
  <si>
    <t>Jet Kerosene (Jet A)</t>
  </si>
  <si>
    <t>Isopropyl alcohol</t>
  </si>
  <si>
    <t>78-59-1</t>
  </si>
  <si>
    <t>Isophorone</t>
  </si>
  <si>
    <t>123-31-9</t>
  </si>
  <si>
    <t>Hydroquinone</t>
  </si>
  <si>
    <t>7783-06-4</t>
  </si>
  <si>
    <t>Hydrogen sulfide</t>
  </si>
  <si>
    <t>7664-39-3</t>
  </si>
  <si>
    <t>Hydrogen fluoride (Hydrofluoric acid)</t>
  </si>
  <si>
    <t>74-90-8</t>
  </si>
  <si>
    <t>Hydrocyanic acid</t>
  </si>
  <si>
    <t>302-01-2</t>
  </si>
  <si>
    <t>Hydrazine</t>
  </si>
  <si>
    <t>111-27-3</t>
  </si>
  <si>
    <t>Hexanol(-1)</t>
  </si>
  <si>
    <t>110-54-3</t>
  </si>
  <si>
    <t>Hexane(-N)</t>
  </si>
  <si>
    <t>680-31-9</t>
  </si>
  <si>
    <t>Hexamethylphosphoramide</t>
  </si>
  <si>
    <t>822-06-0</t>
  </si>
  <si>
    <t>Hexamethylene-1,6-diisocyanate</t>
  </si>
  <si>
    <t>67-72-1</t>
  </si>
  <si>
    <t>Hexachloroethane</t>
  </si>
  <si>
    <t>77-47-4</t>
  </si>
  <si>
    <t>Hexachlorocyclopentadiene</t>
  </si>
  <si>
    <t>87-68-3</t>
  </si>
  <si>
    <t>Hexachlorobutadiene</t>
  </si>
  <si>
    <t>118-74-1</t>
  </si>
  <si>
    <t>Hexachlorobenzene</t>
  </si>
  <si>
    <t>31394-54-4</t>
  </si>
  <si>
    <t>Heptane(iso)</t>
  </si>
  <si>
    <t>76-44-8</t>
  </si>
  <si>
    <t>Heptachlor</t>
  </si>
  <si>
    <t>Derived based on Experimental Data</t>
  </si>
  <si>
    <t>7647-01-0</t>
  </si>
  <si>
    <t>HCl up to 8%</t>
  </si>
  <si>
    <t>HCl up to 6%</t>
  </si>
  <si>
    <t>HCl up to 46%</t>
  </si>
  <si>
    <t>HCl up to 42%</t>
  </si>
  <si>
    <t>HCl up to 40%</t>
  </si>
  <si>
    <t>HCl up to 4%</t>
  </si>
  <si>
    <t>HCl up to 38%</t>
  </si>
  <si>
    <t>HCl up to 36%</t>
  </si>
  <si>
    <t>HCl up to 34%</t>
  </si>
  <si>
    <t>HCl up to 32%</t>
  </si>
  <si>
    <t>HCl up to 30%</t>
  </si>
  <si>
    <t>HCl up to 28%</t>
  </si>
  <si>
    <t>HCl up to 26%</t>
  </si>
  <si>
    <t>HCl up to 24%</t>
  </si>
  <si>
    <t>HCl up to 22%</t>
  </si>
  <si>
    <t>HCl up to 20%</t>
  </si>
  <si>
    <t>HCl up to 2%</t>
  </si>
  <si>
    <t>HCl up to 18%</t>
  </si>
  <si>
    <t>HCl up to 16%</t>
  </si>
  <si>
    <t>HCl up to 14%</t>
  </si>
  <si>
    <t>HCl up to 12%</t>
  </si>
  <si>
    <t>HCl up to 10%</t>
  </si>
  <si>
    <t>[1] Table 7.1-2</t>
  </si>
  <si>
    <t>RVP+S</t>
  </si>
  <si>
    <t>Gasoline RVP 8.3</t>
  </si>
  <si>
    <t>Gasoline RVP 7.8</t>
  </si>
  <si>
    <t>Gasoline RVP 7</t>
  </si>
  <si>
    <t>Gasoline RVP 15</t>
  </si>
  <si>
    <t>Gasoline RVP 13.5</t>
  </si>
  <si>
    <t>Gasoline RVP 13</t>
  </si>
  <si>
    <t>Gasoline RVP 11.5</t>
  </si>
  <si>
    <t>Gasoline RVP 10</t>
  </si>
  <si>
    <t>98-01-1</t>
  </si>
  <si>
    <t>Furfural</t>
  </si>
  <si>
    <t>110-00-9</t>
  </si>
  <si>
    <t>Furan</t>
  </si>
  <si>
    <t>64-18-6</t>
  </si>
  <si>
    <t>Formic acid</t>
  </si>
  <si>
    <t>50-00-0</t>
  </si>
  <si>
    <t>Formaldehyde</t>
  </si>
  <si>
    <t>75-34-3</t>
  </si>
  <si>
    <t>Ethylidene dichloride (1,1-Dichloroethane)</t>
  </si>
  <si>
    <t>96-45-7</t>
  </si>
  <si>
    <t>Ethylene thiourea</t>
  </si>
  <si>
    <t>75-21-8</t>
  </si>
  <si>
    <t>Ethylene oxide</t>
  </si>
  <si>
    <t>Handbook of the Thermodynamics of Organic Compounds</t>
  </si>
  <si>
    <t xml:space="preserve"> 151-56-4</t>
  </si>
  <si>
    <t>Ethylene imine (Aziridine)</t>
  </si>
  <si>
    <t>107-21-1</t>
  </si>
  <si>
    <t>Ethylene glycol</t>
  </si>
  <si>
    <t>106-93-4</t>
  </si>
  <si>
    <t>Ethylene dibromide (Dibromoethane)</t>
  </si>
  <si>
    <t>60-29-7</t>
  </si>
  <si>
    <t>Ethyl ether</t>
  </si>
  <si>
    <t>75-00-3</t>
  </si>
  <si>
    <t>Ethyl chloride</t>
  </si>
  <si>
    <t xml:space="preserve"> ‎51-79-6</t>
  </si>
  <si>
    <t>Ethyl carbamate (Urethane)</t>
  </si>
  <si>
    <t>100-41-4</t>
  </si>
  <si>
    <t>Ethyl benzene</t>
  </si>
  <si>
    <t>140-88-5</t>
  </si>
  <si>
    <t>Ethyl acrylate</t>
  </si>
  <si>
    <t>141-78-6</t>
  </si>
  <si>
    <t>Ethyl acetate</t>
  </si>
  <si>
    <t>141-43-5</t>
  </si>
  <si>
    <t>Ethanolamine(mono-)</t>
  </si>
  <si>
    <t>64-17-5</t>
  </si>
  <si>
    <t>Ethanol</t>
  </si>
  <si>
    <t>74-84-0</t>
  </si>
  <si>
    <t>Ethane</t>
  </si>
  <si>
    <t>106-89-8</t>
  </si>
  <si>
    <t>Epichlorohydrin</t>
  </si>
  <si>
    <t>123-91-1</t>
  </si>
  <si>
    <t>Dioxane(1,4)</t>
  </si>
  <si>
    <t>77-78-1</t>
  </si>
  <si>
    <t>Dimethyl sulfate</t>
  </si>
  <si>
    <t>131-11-3</t>
  </si>
  <si>
    <t>Dimethyl phthalate</t>
  </si>
  <si>
    <t>57-14-7</t>
  </si>
  <si>
    <t>Dimethyl hydrazine (1,1)</t>
  </si>
  <si>
    <t>68-12-2</t>
  </si>
  <si>
    <t>Dimethyl formamide</t>
  </si>
  <si>
    <t>616-38-6</t>
  </si>
  <si>
    <t>Dimethyl Carbonate</t>
  </si>
  <si>
    <t>79-44-7</t>
  </si>
  <si>
    <t>Dimethyl carbamoyl chloride</t>
  </si>
  <si>
    <t>60-11-7</t>
  </si>
  <si>
    <t>Dimethyl aminoazobenzene</t>
  </si>
  <si>
    <t>64-67-5</t>
  </si>
  <si>
    <t>Diethyl sulfate</t>
  </si>
  <si>
    <t>91-66-7</t>
  </si>
  <si>
    <t>Diethyl (N,N) anilin</t>
  </si>
  <si>
    <t>111-42-2</t>
  </si>
  <si>
    <t>Diethanolamine</t>
  </si>
  <si>
    <t>62-73-7</t>
  </si>
  <si>
    <t>Dichlorvos</t>
  </si>
  <si>
    <t>156-60-5</t>
  </si>
  <si>
    <t>Dichloroethylene(1,2)</t>
  </si>
  <si>
    <t>111-44-4</t>
  </si>
  <si>
    <t>Dichloroethyl ether (Bis(2-chloroethyl)ether)</t>
  </si>
  <si>
    <t>107-06-2</t>
  </si>
  <si>
    <t>Dichloroethane(1,2)</t>
  </si>
  <si>
    <t>84-74-2</t>
  </si>
  <si>
    <t>Dibutylphthalate</t>
  </si>
  <si>
    <t>132-64-9</t>
  </si>
  <si>
    <t>Dibenzofurans</t>
  </si>
  <si>
    <t>Constants not available - vapor pressure &gt; 1atm</t>
  </si>
  <si>
    <t>334-88-3</t>
  </si>
  <si>
    <t>Diazomethane</t>
  </si>
  <si>
    <t>3547-04-4</t>
  </si>
  <si>
    <t>DDE</t>
  </si>
  <si>
    <t>108-94-1</t>
  </si>
  <si>
    <t>Cyclohexanone</t>
  </si>
  <si>
    <t>108-93-0</t>
  </si>
  <si>
    <t>Cyclohexanol</t>
  </si>
  <si>
    <t>110-82-7</t>
  </si>
  <si>
    <t>Cyclohexane</t>
  </si>
  <si>
    <t>98-82-8</t>
  </si>
  <si>
    <t>Cumene (isopropylbenzene)</t>
  </si>
  <si>
    <t>RVP</t>
  </si>
  <si>
    <t>Crude RVP 5</t>
  </si>
  <si>
    <t>NIST (based on p-cresol)</t>
  </si>
  <si>
    <t>1319-77-3</t>
  </si>
  <si>
    <t>Cresols/Cresylic acid (isomers and mixture)</t>
  </si>
  <si>
    <t>106-44-5</t>
  </si>
  <si>
    <t>Cresol(p-)</t>
  </si>
  <si>
    <t xml:space="preserve"> 95-48-7</t>
  </si>
  <si>
    <t>Cresol(o-)</t>
  </si>
  <si>
    <t>108-39-4</t>
  </si>
  <si>
    <t>Cresol(m-)</t>
  </si>
  <si>
    <t>126-99-8</t>
  </si>
  <si>
    <t>Chloroprene</t>
  </si>
  <si>
    <t>107-30-2</t>
  </si>
  <si>
    <t>Chloromethyl methyl ether</t>
  </si>
  <si>
    <t>67-66-3</t>
  </si>
  <si>
    <t>Chloroform</t>
  </si>
  <si>
    <t>510-15-6</t>
  </si>
  <si>
    <t>Chlorobenzilate</t>
  </si>
  <si>
    <t>108-90-7</t>
  </si>
  <si>
    <t>Chlorobenzene</t>
  </si>
  <si>
    <t>79-11-8</t>
  </si>
  <si>
    <t>Chloroacetic acid</t>
  </si>
  <si>
    <t>7782-50-5</t>
  </si>
  <si>
    <t>Chlorine</t>
  </si>
  <si>
    <t>57-74-9</t>
  </si>
  <si>
    <t>Chlordane</t>
  </si>
  <si>
    <t>133-90-4</t>
  </si>
  <si>
    <t>Chloramben</t>
  </si>
  <si>
    <t>120-80-9</t>
  </si>
  <si>
    <t>Catechol</t>
  </si>
  <si>
    <t>463-58-1</t>
  </si>
  <si>
    <t>Carbonyl sulfide</t>
  </si>
  <si>
    <t>463-79-6</t>
  </si>
  <si>
    <t>Carbonic Acid</t>
  </si>
  <si>
    <t>56-23-5</t>
  </si>
  <si>
    <t>Carbon tetrachloride</t>
  </si>
  <si>
    <t>www.IrChe.com</t>
  </si>
  <si>
    <t>630-08-0</t>
  </si>
  <si>
    <t>Carbon Monoxide</t>
  </si>
  <si>
    <t>75-15-0</t>
  </si>
  <si>
    <t>Carbon disulfide</t>
  </si>
  <si>
    <t>124-38-9</t>
  </si>
  <si>
    <t>Carbon Dioxide</t>
  </si>
  <si>
    <t>63-25-2</t>
  </si>
  <si>
    <t>Carbaryl</t>
  </si>
  <si>
    <t>133-06-2</t>
  </si>
  <si>
    <t>Captan</t>
  </si>
  <si>
    <t>105-60-2</t>
  </si>
  <si>
    <t>Caprolactam</t>
  </si>
  <si>
    <t>156-62-7</t>
  </si>
  <si>
    <t>Calcium cyanamide</t>
  </si>
  <si>
    <t>71-36-3</t>
  </si>
  <si>
    <t>Butanol-(1)</t>
  </si>
  <si>
    <t>78-83-1</t>
  </si>
  <si>
    <t>Butanol (iso)</t>
  </si>
  <si>
    <t>75-25-2</t>
  </si>
  <si>
    <t>Bromoform</t>
  </si>
  <si>
    <t>542-88-1</t>
  </si>
  <si>
    <t>Bis(chloromethyl)ether</t>
  </si>
  <si>
    <t>117-81-7</t>
  </si>
  <si>
    <t>Bis(2-ethylhexyl)phthalate (DEHP)</t>
  </si>
  <si>
    <t>92-52-4</t>
  </si>
  <si>
    <t>Biphenyl</t>
  </si>
  <si>
    <t>57-57-8</t>
  </si>
  <si>
    <t>beta-Propiolactone</t>
  </si>
  <si>
    <t>100-44-7</t>
  </si>
  <si>
    <t>Benzyl chloride</t>
  </si>
  <si>
    <t>98-07-7</t>
  </si>
  <si>
    <t>Benzotrichloride</t>
  </si>
  <si>
    <t>92-87-5</t>
  </si>
  <si>
    <t>Benzidine</t>
  </si>
  <si>
    <t>71-43-2</t>
  </si>
  <si>
    <t>Benzene</t>
  </si>
  <si>
    <t>1332-21-4</t>
  </si>
  <si>
    <t>Asbestos</t>
  </si>
  <si>
    <t>62-53-3</t>
  </si>
  <si>
    <t>Aniline</t>
  </si>
  <si>
    <t>506-87-6</t>
  </si>
  <si>
    <t>Ammonium Carbonate</t>
  </si>
  <si>
    <t>Non-VOC</t>
  </si>
  <si>
    <t>7664-41-7</t>
  </si>
  <si>
    <t>Ammonia up to 94.72%</t>
  </si>
  <si>
    <t>Ammonia up to 9.50%</t>
  </si>
  <si>
    <t>Ammonia up to 89.47%</t>
  </si>
  <si>
    <t>Ammonia up to 84.26%</t>
  </si>
  <si>
    <t>Ammonia up to 79.07%</t>
  </si>
  <si>
    <t>Ammonia up to 73.91%</t>
  </si>
  <si>
    <t>Ammonia up to 68.79%</t>
  </si>
  <si>
    <t>Ammonia up to 63.69%</t>
  </si>
  <si>
    <t>Ammonia up to 58.62%</t>
  </si>
  <si>
    <t>Ammonia up to 53.58%</t>
  </si>
  <si>
    <t>Ammonia up to 48.57%</t>
  </si>
  <si>
    <t>Ammonia up to 43.59%</t>
  </si>
  <si>
    <t>Ammonia up to 4.74%</t>
  </si>
  <si>
    <t>Ammonia up to 38.64%</t>
  </si>
  <si>
    <t>Ammonia up to 33.71%</t>
  </si>
  <si>
    <t>Ammonia up to 28.81%</t>
  </si>
  <si>
    <t>Ammonia up to 23.94%</t>
  </si>
  <si>
    <t>Ammonia up to 19.10%</t>
  </si>
  <si>
    <t>Ammonia up to 14.29%</t>
  </si>
  <si>
    <t>107-05-1</t>
  </si>
  <si>
    <t>Allyl chloride</t>
  </si>
  <si>
    <t>107-13-1</t>
  </si>
  <si>
    <t>Acrylonitrile</t>
  </si>
  <si>
    <t>79-10-7</t>
  </si>
  <si>
    <t>Acrylic acid</t>
  </si>
  <si>
    <t>79-06-1</t>
  </si>
  <si>
    <t>Acrylamide</t>
  </si>
  <si>
    <t>107-02-8</t>
  </si>
  <si>
    <t>Acrolein</t>
  </si>
  <si>
    <t>98-86-2</t>
  </si>
  <si>
    <t>Acetophenone</t>
  </si>
  <si>
    <t>75-05-8</t>
  </si>
  <si>
    <t>Acetonitrile</t>
  </si>
  <si>
    <t>67-64-1</t>
  </si>
  <si>
    <t>Acetone</t>
  </si>
  <si>
    <t>108-24-7</t>
  </si>
  <si>
    <t>Acetic anhydride</t>
  </si>
  <si>
    <t>64-19-7</t>
  </si>
  <si>
    <t>Acetic acid</t>
  </si>
  <si>
    <t>60-35-5</t>
  </si>
  <si>
    <t>Acetamide</t>
  </si>
  <si>
    <t>75-07-0</t>
  </si>
  <si>
    <t>Acetaldehyde</t>
  </si>
  <si>
    <t>100-02-7</t>
  </si>
  <si>
    <t>4-Nitrophenol</t>
  </si>
  <si>
    <t>Chemical Book</t>
  </si>
  <si>
    <t>92-93-3</t>
  </si>
  <si>
    <t>4-Nitrobiphenyl</t>
  </si>
  <si>
    <t>92-67-1</t>
  </si>
  <si>
    <t>4-Aminobiphenyl</t>
  </si>
  <si>
    <t>534-52-1</t>
  </si>
  <si>
    <t>4,6-Dinitro-o-cresol, and salts</t>
  </si>
  <si>
    <t>101-77-9</t>
  </si>
  <si>
    <t>4,4'-Methylenedianiline</t>
  </si>
  <si>
    <t>101-14-44</t>
  </si>
  <si>
    <t>4,4-Methylene bis(2-chloroaniline)</t>
  </si>
  <si>
    <t>119-93-7</t>
  </si>
  <si>
    <t>3,3'-Dimethyl benzidine</t>
  </si>
  <si>
    <t>119-90-4</t>
  </si>
  <si>
    <t>3,3-Dimethoxybenzidine</t>
  </si>
  <si>
    <t>91-94-1</t>
  </si>
  <si>
    <t>3,3-Dichlorobenzidene</t>
  </si>
  <si>
    <t xml:space="preserve"> 79-46-9</t>
  </si>
  <si>
    <t>2-Nitropropane</t>
  </si>
  <si>
    <t>532-27-4</t>
  </si>
  <si>
    <t>2-Chloroacetophenone</t>
  </si>
  <si>
    <t>Chemspider</t>
  </si>
  <si>
    <t>124-68-5</t>
  </si>
  <si>
    <t>2-Amino-2-Methyl-1-Propanol</t>
  </si>
  <si>
    <t>53-96-3</t>
  </si>
  <si>
    <t>2-Acetylaminofluorene</t>
  </si>
  <si>
    <t>584-84-9</t>
  </si>
  <si>
    <t>2,4-Toluene diisocyanate</t>
  </si>
  <si>
    <t>95-80-7</t>
  </si>
  <si>
    <t>2,4-Toluene diamine</t>
  </si>
  <si>
    <t>121-14-2</t>
  </si>
  <si>
    <t>2,4-Dinitrotoluene</t>
  </si>
  <si>
    <t>51-28-5</t>
  </si>
  <si>
    <t>2,4-Dinitrophenol</t>
  </si>
  <si>
    <t>ChemSpider</t>
  </si>
  <si>
    <t>94-75-7</t>
  </si>
  <si>
    <t>2,4-D, salts and esters</t>
  </si>
  <si>
    <t>88-06-2</t>
  </si>
  <si>
    <t>2,4,6-Trichlorophenol</t>
  </si>
  <si>
    <t>95-95-4</t>
  </si>
  <si>
    <t>2,4,5-Trichlorophenol</t>
  </si>
  <si>
    <t>1746-01-6</t>
  </si>
  <si>
    <t>2,3,7,8-Tetrachlorodibenzo-p-dioxin</t>
  </si>
  <si>
    <t>540-84-1</t>
  </si>
  <si>
    <t>2,2,4-Trimethylpentane</t>
  </si>
  <si>
    <t>106-46-7</t>
  </si>
  <si>
    <t>1,4-Dichlorobenzene(p)</t>
  </si>
  <si>
    <t>1120-71-4</t>
  </si>
  <si>
    <t>1,3-Propane sultone</t>
  </si>
  <si>
    <t>542-75-6</t>
  </si>
  <si>
    <t>1,3-Dichloropropene</t>
  </si>
  <si>
    <t>75-55-8</t>
  </si>
  <si>
    <t>1,2-Propylenimine (2-Methyl aziridine)</t>
  </si>
  <si>
    <t>106-88-7</t>
  </si>
  <si>
    <t>1,2-Epoxybutane</t>
  </si>
  <si>
    <t>122-66-7</t>
  </si>
  <si>
    <t>1,2-Diphenylhydrazine</t>
  </si>
  <si>
    <t>96-12-8</t>
  </si>
  <si>
    <t>1,2-Dibromo-3-chloropropane</t>
  </si>
  <si>
    <t>120-82-1</t>
  </si>
  <si>
    <t>1,2,4-Trichlorobenzene</t>
  </si>
  <si>
    <t>1,1,1-Trichloroethane</t>
  </si>
  <si>
    <t>Product Code</t>
  </si>
  <si>
    <t>Annual</t>
  </si>
  <si>
    <t>Month Code</t>
  </si>
  <si>
    <t>Location</t>
  </si>
  <si>
    <t>Dallas, TX</t>
  </si>
  <si>
    <t>White</t>
  </si>
  <si>
    <t>Value</t>
  </si>
  <si>
    <t>Cheyenne, WY</t>
  </si>
  <si>
    <t>Huntington, WV</t>
  </si>
  <si>
    <r>
      <t>Solar Insolation Factor (I) (BTU/ ft</t>
    </r>
    <r>
      <rPr>
        <b/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day)</t>
    </r>
  </si>
  <si>
    <r>
      <t>Daily Ambient Maximum Temperature (T</t>
    </r>
    <r>
      <rPr>
        <b/>
        <vertAlign val="subscript"/>
        <sz val="11"/>
        <rFont val="Arial"/>
        <family val="2"/>
      </rPr>
      <t>AX</t>
    </r>
    <r>
      <rPr>
        <b/>
        <sz val="11"/>
        <rFont val="Arial"/>
        <family val="2"/>
      </rPr>
      <t>) 
 (°F)</t>
    </r>
  </si>
  <si>
    <r>
      <t>Daily Ambient Minimum Temperature 
(T</t>
    </r>
    <r>
      <rPr>
        <b/>
        <vertAlign val="subscript"/>
        <sz val="11"/>
        <rFont val="Arial"/>
        <family val="2"/>
      </rPr>
      <t>AN</t>
    </r>
    <r>
      <rPr>
        <b/>
        <sz val="11"/>
        <rFont val="Arial"/>
        <family val="2"/>
      </rPr>
      <t>)   
(°F)</t>
    </r>
  </si>
  <si>
    <t>Charleston, WV</t>
  </si>
  <si>
    <t>Seattle, WA (Sea-Tac Airport)</t>
  </si>
  <si>
    <t>Richmond, VA</t>
  </si>
  <si>
    <t>Salt Lake City, UT</t>
  </si>
  <si>
    <t>Midland-Odessa, TX</t>
  </si>
  <si>
    <t>Houston, TX</t>
  </si>
  <si>
    <t>Corpus Christi, TX</t>
  </si>
  <si>
    <t>Amarillo, TX</t>
  </si>
  <si>
    <t>Memphis, TN</t>
  </si>
  <si>
    <t>Sioux Falls, SD</t>
  </si>
  <si>
    <t>Columbia, SC</t>
  </si>
  <si>
    <t>Providence, RI</t>
  </si>
  <si>
    <t>Pittsburgh, PA</t>
  </si>
  <si>
    <t>Philadelphia, PA</t>
  </si>
  <si>
    <t>Portland, OR</t>
  </si>
  <si>
    <t>Astoria, OR</t>
  </si>
  <si>
    <t>Tulsa, OK</t>
  </si>
  <si>
    <t>Oklahoma City, OK</t>
  </si>
  <si>
    <t>Toledo, OH</t>
  </si>
  <si>
    <t>Columbus, OH</t>
  </si>
  <si>
    <t>Cleveland, OH</t>
  </si>
  <si>
    <t>New York, NY (LaGuardia Airport)</t>
  </si>
  <si>
    <t>Buffalo, NY</t>
  </si>
  <si>
    <t>Roswell, NM</t>
  </si>
  <si>
    <t>Newark, NJ</t>
  </si>
  <si>
    <t>Las Vegas, NV</t>
  </si>
  <si>
    <t>Billings, MT</t>
  </si>
  <si>
    <t>Jackson, MS</t>
  </si>
  <si>
    <t>Minneapolis-St.Paul, MN</t>
  </si>
  <si>
    <t>Grand Rapids, MI</t>
  </si>
  <si>
    <t>Detroit, MI</t>
  </si>
  <si>
    <t>New Orleans, LA</t>
  </si>
  <si>
    <t>Lake Charles, LA</t>
  </si>
  <si>
    <t>Baton Rouge, LA</t>
  </si>
  <si>
    <t>Louisville, KY</t>
  </si>
  <si>
    <t>Wichita, KS</t>
  </si>
  <si>
    <t>Indianapolis, IN</t>
  </si>
  <si>
    <t>Springfield, IL</t>
  </si>
  <si>
    <t>Chicago, IL</t>
  </si>
  <si>
    <t>Honolulu, HI</t>
  </si>
  <si>
    <t>Savannah, GA</t>
  </si>
  <si>
    <t>Atlanta, GA</t>
  </si>
  <si>
    <t>Wilmington, DE</t>
  </si>
  <si>
    <t>Grand Junction, CO</t>
  </si>
  <si>
    <t>Denver, CO</t>
  </si>
  <si>
    <t>Santa Maria, CA</t>
  </si>
  <si>
    <t>San Francisco AP, CA</t>
  </si>
  <si>
    <t>Sacramento, CA</t>
  </si>
  <si>
    <t>Los Angeles AP, CA</t>
  </si>
  <si>
    <t>Long Beach, CA</t>
  </si>
  <si>
    <t>Bakersfield, CA</t>
  </si>
  <si>
    <t>Little Rock, AR</t>
  </si>
  <si>
    <t>Fort Smith, AR</t>
  </si>
  <si>
    <t>Tucson, AZ</t>
  </si>
  <si>
    <t>Phoenix, AZ</t>
  </si>
  <si>
    <t>Homer, AK</t>
  </si>
  <si>
    <t>Montgomery, AL</t>
  </si>
  <si>
    <t>Birmingham, AL</t>
  </si>
  <si>
    <t>Tan</t>
  </si>
  <si>
    <t>Rust</t>
  </si>
  <si>
    <t>Red Primer</t>
  </si>
  <si>
    <t>Green Dark</t>
  </si>
  <si>
    <t>Gray Medium</t>
  </si>
  <si>
    <t>Gray Light</t>
  </si>
  <si>
    <t>Brown</t>
  </si>
  <si>
    <t>Black</t>
  </si>
  <si>
    <t>Beige/Cream</t>
  </si>
  <si>
    <t>Aluminum Unpainted</t>
  </si>
  <si>
    <t>Aluminum Diffuse</t>
  </si>
  <si>
    <t>Aluminum Specular</t>
  </si>
  <si>
    <r>
      <rPr>
        <b/>
        <sz val="11"/>
        <rFont val="Symbol"/>
        <family val="1"/>
        <charset val="2"/>
      </rPr>
      <t>a</t>
    </r>
    <r>
      <rPr>
        <b/>
        <sz val="11"/>
        <rFont val="Arial"/>
        <family val="2"/>
      </rPr>
      <t xml:space="preserve">
(unitless)
Poor Paint Condition</t>
    </r>
  </si>
  <si>
    <r>
      <rPr>
        <b/>
        <sz val="11"/>
        <rFont val="Symbol"/>
        <family val="1"/>
        <charset val="2"/>
      </rPr>
      <t>a</t>
    </r>
    <r>
      <rPr>
        <b/>
        <sz val="11"/>
        <rFont val="Arial"/>
        <family val="2"/>
      </rPr>
      <t xml:space="preserve">
(unitless)
Good Paint Condition</t>
    </r>
  </si>
  <si>
    <t>Paint Color</t>
  </si>
  <si>
    <r>
      <t>Vapor Molecular Weight
M</t>
    </r>
    <r>
      <rPr>
        <b/>
        <vertAlign val="subscript"/>
        <sz val="10"/>
        <rFont val="Calibri"/>
        <family val="2"/>
        <scheme val="minor"/>
      </rPr>
      <t>V</t>
    </r>
    <r>
      <rPr>
        <b/>
        <sz val="10"/>
        <rFont val="Calibri"/>
        <family val="2"/>
        <scheme val="minor"/>
      </rPr>
      <t xml:space="preserve">
(lb/lb-mol)</t>
    </r>
  </si>
  <si>
    <r>
      <t>Liquid Density
W</t>
    </r>
    <r>
      <rPr>
        <b/>
        <vertAlign val="subscript"/>
        <sz val="10"/>
        <rFont val="Calibri"/>
        <family val="2"/>
        <scheme val="minor"/>
      </rPr>
      <t>L</t>
    </r>
    <r>
      <rPr>
        <b/>
        <sz val="10"/>
        <rFont val="Calibri"/>
        <family val="2"/>
        <scheme val="minor"/>
      </rPr>
      <t xml:space="preserve">
(lb/gal)</t>
    </r>
  </si>
  <si>
    <r>
      <t>Antoine's A</t>
    </r>
    <r>
      <rPr>
        <b/>
        <vertAlign val="subscript"/>
        <sz val="10"/>
        <rFont val="Calibri"/>
        <family val="2"/>
        <scheme val="minor"/>
      </rPr>
      <t>1</t>
    </r>
    <r>
      <rPr>
        <b/>
        <sz val="10"/>
        <rFont val="Calibri"/>
        <family val="2"/>
        <scheme val="minor"/>
      </rPr>
      <t xml:space="preserve">
 (unitless)</t>
    </r>
  </si>
  <si>
    <r>
      <t>Antoine's B</t>
    </r>
    <r>
      <rPr>
        <b/>
        <vertAlign val="subscript"/>
        <sz val="10"/>
        <rFont val="Calibri"/>
        <family val="2"/>
        <scheme val="minor"/>
      </rPr>
      <t>1</t>
    </r>
    <r>
      <rPr>
        <b/>
        <sz val="10"/>
        <rFont val="Calibri"/>
        <family val="2"/>
        <scheme val="minor"/>
      </rPr>
      <t xml:space="preserve">
(°R or °C)</t>
    </r>
  </si>
  <si>
    <r>
      <t>Antoine's C</t>
    </r>
    <r>
      <rPr>
        <b/>
        <vertAlign val="subscript"/>
        <sz val="10"/>
        <rFont val="Calibri"/>
        <family val="2"/>
        <scheme val="minor"/>
      </rPr>
      <t>1</t>
    </r>
    <r>
      <rPr>
        <b/>
        <sz val="10"/>
        <rFont val="Calibri"/>
        <family val="2"/>
        <scheme val="minor"/>
      </rPr>
      <t xml:space="preserve">
 (°C)</t>
    </r>
  </si>
  <si>
    <r>
      <t>Antoine's Temperature Range
T</t>
    </r>
    <r>
      <rPr>
        <b/>
        <vertAlign val="subscript"/>
        <sz val="10"/>
        <rFont val="Calibri"/>
        <family val="2"/>
        <scheme val="minor"/>
      </rPr>
      <t>min</t>
    </r>
    <r>
      <rPr>
        <b/>
        <sz val="10"/>
        <rFont val="Calibri"/>
        <family val="2"/>
        <scheme val="minor"/>
      </rPr>
      <t xml:space="preserve">
(°R)</t>
    </r>
  </si>
  <si>
    <r>
      <t>Antoine's Temperature Range
T</t>
    </r>
    <r>
      <rPr>
        <b/>
        <vertAlign val="subscript"/>
        <sz val="10"/>
        <rFont val="Calibri"/>
        <family val="2"/>
        <scheme val="minor"/>
      </rPr>
      <t xml:space="preserve">max
</t>
    </r>
    <r>
      <rPr>
        <b/>
        <sz val="10"/>
        <rFont val="Calibri"/>
        <family val="2"/>
        <scheme val="minor"/>
      </rPr>
      <t>(°R)</t>
    </r>
  </si>
  <si>
    <r>
      <t>Product Factor 
K</t>
    </r>
    <r>
      <rPr>
        <b/>
        <vertAlign val="subscript"/>
        <sz val="10"/>
        <color rgb="FF0070C0"/>
        <rFont val="Calibri"/>
        <family val="2"/>
        <scheme val="minor"/>
      </rPr>
      <t xml:space="preserve">C
</t>
    </r>
    <r>
      <rPr>
        <b/>
        <sz val="10"/>
        <color rgb="FF0070C0"/>
        <rFont val="Calibri"/>
        <family val="2"/>
        <scheme val="minor"/>
      </rPr>
      <t>(unitless)</t>
    </r>
  </si>
  <si>
    <r>
      <t>Working Loss Product Factor
K</t>
    </r>
    <r>
      <rPr>
        <b/>
        <vertAlign val="subscript"/>
        <sz val="10"/>
        <color rgb="FF0070C0"/>
        <rFont val="Calibri"/>
        <family val="2"/>
        <scheme val="minor"/>
      </rPr>
      <t xml:space="preserve">P
</t>
    </r>
    <r>
      <rPr>
        <b/>
        <sz val="10"/>
        <color rgb="FF0070C0"/>
        <rFont val="Calibri"/>
        <family val="2"/>
        <scheme val="minor"/>
      </rPr>
      <t>(unitless)</t>
    </r>
  </si>
  <si>
    <t>°C or °R</t>
  </si>
  <si>
    <t>°C</t>
  </si>
  <si>
    <t>ΔPV</t>
  </si>
  <si>
    <t>Product</t>
  </si>
  <si>
    <t>tank contents</t>
  </si>
  <si>
    <t>assumed STP</t>
  </si>
  <si>
    <t>Tank_Color</t>
  </si>
  <si>
    <t>tank color</t>
  </si>
  <si>
    <t>tank paint conditions</t>
  </si>
  <si>
    <t>Paint_Cond</t>
  </si>
  <si>
    <t>input: cone, dome</t>
  </si>
  <si>
    <t>input: product data</t>
  </si>
  <si>
    <t>input: table 7.1-6</t>
  </si>
  <si>
    <t xml:space="preserve">(1-1) LS + LW </t>
  </si>
  <si>
    <t xml:space="preserve">(1-2) 365 VV WV KE KS </t>
  </si>
  <si>
    <t>KE</t>
  </si>
  <si>
    <t>(1-8) 0.72 ΔTA + 0.028 α I</t>
  </si>
  <si>
    <t xml:space="preserve">(1-11) PBP - PBV </t>
  </si>
  <si>
    <t xml:space="preserve">(1-12) TAX - TAN </t>
  </si>
  <si>
    <t xml:space="preserve">(1-15) HS - HL + HRO </t>
  </si>
  <si>
    <t>(1-17, 1-19) if cone then SR RS else if dome then RR - (RR^2 - RS^2)^0.5</t>
  </si>
  <si>
    <t>(1-16, 1-18) if cone then 1/3 * HR else if dome then HR ( 1/2 + ( 1/6 * (HR/RS)^2) )</t>
  </si>
  <si>
    <t>(1-20) 1 / (1+ 0.053 PVA HVO)</t>
  </si>
  <si>
    <t>(1-21) (MV PVA / R TLA)</t>
  </si>
  <si>
    <t xml:space="preserve">(1-26) 0.44TAA + 0.56TB + 0.0079 α I </t>
  </si>
  <si>
    <t>(1-27) (TAX + TAN)/2</t>
  </si>
  <si>
    <t>(1-28) TAA + 6α - 1</t>
  </si>
  <si>
    <t>(1-29) 0.0010 MV PVA Q KN KP</t>
  </si>
  <si>
    <t>(1-30) (5.614 Q) / VLX</t>
  </si>
  <si>
    <t>(1-31) (pi/4) D^2 HLX</t>
  </si>
  <si>
    <t>(1-37) if |PBP| - |PBV| = 0 then I else ( ( (PI + PA) / KN) - PVA) / (PBP + PA - PVA))</t>
  </si>
  <si>
    <t>(1-37) if N &gt; 36 then (180 + N)/6N else 1</t>
  </si>
  <si>
    <t>City</t>
  </si>
  <si>
    <t>input: table 7.1-7</t>
  </si>
  <si>
    <t>nearest major city</t>
  </si>
  <si>
    <t>input: good, poor</t>
  </si>
  <si>
    <t>dome</t>
  </si>
  <si>
    <t>good</t>
  </si>
  <si>
    <t>2</t>
  </si>
  <si>
    <t>3</t>
  </si>
  <si>
    <t>4</t>
  </si>
  <si>
    <t>5</t>
  </si>
  <si>
    <t>LTt</t>
  </si>
  <si>
    <t>tpy</t>
  </si>
  <si>
    <t>total losses in tons</t>
  </si>
  <si>
    <t>LS+LW/2000</t>
  </si>
  <si>
    <t>bbl</t>
  </si>
  <si>
    <t>gal</t>
  </si>
  <si>
    <t>calculated tank volume</t>
  </si>
  <si>
    <t>Vol_gal</t>
  </si>
  <si>
    <t>Vol_bbl</t>
  </si>
  <si>
    <t>VLX/7.48052</t>
  </si>
  <si>
    <t>Vol_gal/42</t>
  </si>
  <si>
    <t>"City" lookup</t>
  </si>
  <si>
    <t>"Tank_Color " and "Paint_Cond" lookup</t>
  </si>
  <si>
    <t>"Product" lookup</t>
  </si>
  <si>
    <t>poor</t>
  </si>
  <si>
    <t>1</t>
  </si>
  <si>
    <t>Calc_Type</t>
  </si>
  <si>
    <t>type of calculation</t>
  </si>
  <si>
    <t>-</t>
  </si>
  <si>
    <t>10^(A-(B/(C+T))) where T = TLA (units °C and mmHg)</t>
  </si>
  <si>
    <t>(1-9) PVX - PVN</t>
  </si>
  <si>
    <t>(1-9) TLA + 0.25ΔTV</t>
  </si>
  <si>
    <t>TLX</t>
  </si>
  <si>
    <t>TLN</t>
  </si>
  <si>
    <t>minimum liquid temerature</t>
  </si>
  <si>
    <t>maximum liquid temerature</t>
  </si>
  <si>
    <t>(1-9) TLA - 0.25ΔTV</t>
  </si>
  <si>
    <t>(1-5, 1-7) if TVP &gt; 0.1 psia then 0.04 (1-7) (ΔTV / TLA) + ((ΔPV - ΔPB) / (PA - PVA)) else 0.0018 ΔTV</t>
  </si>
  <si>
    <t>TLA_C</t>
  </si>
  <si>
    <t>(TLA − 491.67) × 5/9</t>
  </si>
  <si>
    <t>TLN_C</t>
  </si>
  <si>
    <t>TLX_C</t>
  </si>
  <si>
    <t>(TLX − 491.67) × 5/9</t>
  </si>
  <si>
    <t>(TLN − 491.67) × 5/9</t>
  </si>
  <si>
    <t>mmHg</t>
  </si>
  <si>
    <t>psia</t>
  </si>
  <si>
    <t>PVA_mmhg</t>
  </si>
  <si>
    <t>PVX_mmHg</t>
  </si>
  <si>
    <t>PVN_mmhg</t>
  </si>
  <si>
    <t>"City" lookup, table uses °F, converted to °R here</t>
  </si>
  <si>
    <t>PVN_mmhg * (14.7/760)</t>
  </si>
  <si>
    <t>PVX_mmhg * (14.7/760)</t>
  </si>
  <si>
    <t>PVA_mmhg * (14.7/760)</t>
  </si>
  <si>
    <t>(1-3) ((pi/4) * D^2) * HVO</t>
  </si>
  <si>
    <t>10^(A-(B/(C+T))) where T = TLX (units °C and mmHg)</t>
  </si>
  <si>
    <t>10^(A-(B/(C+T))) where T = TLN (units °C and mmHg)</t>
  </si>
  <si>
    <t>- Determine max emitter from multiple chemicals 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</si>
</sst>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#,##0.0"/>
  </numFmts>
  <fonts count="2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rgb="FF0070C0"/>
      <name val="Arial"/>
      <family val="2"/>
    </font>
    <font>
      <sz val="11"/>
      <color rgb="FFFF0000"/>
      <name val="Arial"/>
      <family val="2"/>
    </font>
    <font>
      <b/>
      <sz val="11"/>
      <name val="Arial"/>
      <family val="2"/>
    </font>
    <font>
      <b/>
      <vertAlign val="subscript"/>
      <sz val="11"/>
      <name val="Arial"/>
      <family val="2"/>
    </font>
    <font>
      <sz val="10"/>
      <name val="MS Sans Serif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vertAlign val="superscript"/>
      <sz val="11"/>
      <name val="Arial"/>
      <family val="2"/>
    </font>
    <font>
      <b/>
      <sz val="11"/>
      <name val="Symbol"/>
      <family val="1"/>
      <charset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vertAlign val="subscript"/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9AD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3" fillId="0" borderId="0"/>
    <xf numFmtId="0" fontId="3" fillId="0" borderId="0"/>
    <xf numFmtId="0" fontId="9" fillId="0" borderId="0"/>
    <xf numFmtId="0" fontId="12" fillId="0" borderId="0"/>
    <xf numFmtId="0" fontId="3" fillId="0" borderId="0"/>
    <xf numFmtId="0" fontId="12" fillId="0" borderId="0"/>
  </cellStyleXfs>
  <cellXfs count="10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1" xfId="1" applyFont="1" applyBorder="1" applyAlignment="1">
      <alignment horizontal="center" vertical="center"/>
    </xf>
    <xf numFmtId="49" fontId="4" fillId="0" borderId="1" xfId="1" applyNumberFormat="1" applyFont="1" applyBorder="1" applyAlignment="1">
      <alignment horizontal="center" vertical="center"/>
    </xf>
    <xf numFmtId="0" fontId="7" fillId="8" borderId="1" xfId="1" applyFont="1" applyFill="1" applyBorder="1" applyAlignment="1">
      <alignment horizontal="center" vertical="center" wrapText="1"/>
    </xf>
    <xf numFmtId="49" fontId="7" fillId="8" borderId="1" xfId="1" applyNumberFormat="1" applyFont="1" applyFill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0" fontId="7" fillId="8" borderId="1" xfId="3" applyFont="1" applyFill="1" applyBorder="1" applyAlignment="1">
      <alignment horizontal="center" vertical="center" wrapText="1"/>
    </xf>
    <xf numFmtId="0" fontId="4" fillId="0" borderId="0" xfId="5" applyFont="1"/>
    <xf numFmtId="0" fontId="6" fillId="0" borderId="0" xfId="5" applyFont="1"/>
    <xf numFmtId="0" fontId="3" fillId="0" borderId="0" xfId="5"/>
    <xf numFmtId="0" fontId="4" fillId="0" borderId="1" xfId="5" applyFont="1" applyBorder="1" applyAlignment="1">
      <alignment horizontal="center"/>
    </xf>
    <xf numFmtId="164" fontId="4" fillId="0" borderId="1" xfId="5" applyNumberFormat="1" applyFont="1" applyBorder="1" applyAlignment="1">
      <alignment horizontal="center"/>
    </xf>
    <xf numFmtId="164" fontId="4" fillId="0" borderId="1" xfId="1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 wrapText="1"/>
    </xf>
    <xf numFmtId="1" fontId="5" fillId="0" borderId="1" xfId="5" applyNumberFormat="1" applyFont="1" applyBorder="1" applyAlignment="1">
      <alignment horizontal="center"/>
    </xf>
    <xf numFmtId="164" fontId="5" fillId="0" borderId="1" xfId="5" applyNumberFormat="1" applyFont="1" applyBorder="1" applyAlignment="1">
      <alignment horizontal="center"/>
    </xf>
    <xf numFmtId="1" fontId="4" fillId="0" borderId="1" xfId="5" applyNumberFormat="1" applyFont="1" applyBorder="1" applyAlignment="1">
      <alignment horizontal="center"/>
    </xf>
    <xf numFmtId="1" fontId="5" fillId="0" borderId="1" xfId="1" applyNumberFormat="1" applyFont="1" applyBorder="1" applyAlignment="1">
      <alignment horizontal="center" vertical="center"/>
    </xf>
    <xf numFmtId="1" fontId="4" fillId="0" borderId="1" xfId="1" applyNumberFormat="1" applyFont="1" applyBorder="1" applyAlignment="1">
      <alignment horizontal="center" vertical="center"/>
    </xf>
    <xf numFmtId="49" fontId="4" fillId="0" borderId="1" xfId="1" applyNumberFormat="1" applyFont="1" applyBorder="1" applyAlignment="1">
      <alignment horizontal="center" vertical="center" wrapText="1"/>
    </xf>
    <xf numFmtId="164" fontId="4" fillId="0" borderId="1" xfId="1" applyNumberFormat="1" applyFont="1" applyBorder="1" applyAlignment="1">
      <alignment horizontal="center" vertical="center" wrapText="1"/>
    </xf>
    <xf numFmtId="1" fontId="4" fillId="0" borderId="1" xfId="1" applyNumberFormat="1" applyFont="1" applyBorder="1" applyAlignment="1">
      <alignment horizontal="center" vertical="center" wrapText="1"/>
    </xf>
    <xf numFmtId="1" fontId="5" fillId="0" borderId="1" xfId="1" applyNumberFormat="1" applyFont="1" applyBorder="1" applyAlignment="1">
      <alignment horizontal="center" vertical="center" wrapText="1"/>
    </xf>
    <xf numFmtId="0" fontId="18" fillId="0" borderId="0" xfId="1" applyFont="1" applyAlignment="1">
      <alignment vertical="center"/>
    </xf>
    <xf numFmtId="0" fontId="17" fillId="8" borderId="2" xfId="1" applyFont="1" applyFill="1" applyBorder="1" applyAlignment="1">
      <alignment horizontal="center" vertical="center" wrapText="1"/>
    </xf>
    <xf numFmtId="49" fontId="17" fillId="8" borderId="3" xfId="1" applyNumberFormat="1" applyFont="1" applyFill="1" applyBorder="1" applyAlignment="1">
      <alignment horizontal="center" vertical="center" wrapText="1"/>
    </xf>
    <xf numFmtId="0" fontId="17" fillId="8" borderId="3" xfId="1" applyFont="1" applyFill="1" applyBorder="1" applyAlignment="1">
      <alignment horizontal="center" vertical="center" wrapText="1"/>
    </xf>
    <xf numFmtId="165" fontId="17" fillId="8" borderId="2" xfId="1" applyNumberFormat="1" applyFont="1" applyFill="1" applyBorder="1" applyAlignment="1">
      <alignment horizontal="center" vertical="center" wrapText="1"/>
    </xf>
    <xf numFmtId="166" fontId="17" fillId="8" borderId="2" xfId="1" applyNumberFormat="1" applyFont="1" applyFill="1" applyBorder="1" applyAlignment="1">
      <alignment horizontal="center" vertical="center" wrapText="1"/>
    </xf>
    <xf numFmtId="0" fontId="17" fillId="8" borderId="1" xfId="1" applyFont="1" applyFill="1" applyBorder="1" applyAlignment="1">
      <alignment horizontal="center" vertical="center" wrapText="1"/>
    </xf>
    <xf numFmtId="0" fontId="21" fillId="8" borderId="1" xfId="1" applyFont="1" applyFill="1" applyBorder="1" applyAlignment="1">
      <alignment horizontal="center" vertical="center" wrapText="1"/>
    </xf>
    <xf numFmtId="0" fontId="21" fillId="8" borderId="4" xfId="1" applyFont="1" applyFill="1" applyBorder="1" applyAlignment="1">
      <alignment horizontal="center" vertical="center" wrapText="1"/>
    </xf>
    <xf numFmtId="0" fontId="18" fillId="0" borderId="0" xfId="1" applyFont="1" applyAlignment="1">
      <alignment horizontal="center" vertical="center"/>
    </xf>
    <xf numFmtId="0" fontId="18" fillId="0" borderId="1" xfId="1" applyFont="1" applyBorder="1" applyAlignment="1">
      <alignment horizontal="center" vertical="center"/>
    </xf>
    <xf numFmtId="0" fontId="18" fillId="0" borderId="1" xfId="2" applyFont="1" applyBorder="1" applyAlignment="1">
      <alignment horizontal="center" vertical="center"/>
    </xf>
    <xf numFmtId="2" fontId="18" fillId="0" borderId="1" xfId="1" applyNumberFormat="1" applyFont="1" applyBorder="1" applyAlignment="1">
      <alignment horizontal="center" vertical="center"/>
    </xf>
    <xf numFmtId="166" fontId="18" fillId="0" borderId="1" xfId="1" applyNumberFormat="1" applyFont="1" applyBorder="1" applyAlignment="1">
      <alignment horizontal="center" vertical="center"/>
    </xf>
    <xf numFmtId="166" fontId="19" fillId="0" borderId="1" xfId="1" applyNumberFormat="1" applyFont="1" applyBorder="1" applyAlignment="1">
      <alignment horizontal="center" vertical="center"/>
    </xf>
    <xf numFmtId="2" fontId="19" fillId="0" borderId="1" xfId="1" applyNumberFormat="1" applyFont="1" applyBorder="1" applyAlignment="1">
      <alignment horizontal="center" vertical="center"/>
    </xf>
    <xf numFmtId="0" fontId="18" fillId="0" borderId="1" xfId="1" applyFont="1" applyBorder="1" applyAlignment="1">
      <alignment horizontal="center" vertical="center" wrapText="1"/>
    </xf>
    <xf numFmtId="166" fontId="18" fillId="4" borderId="1" xfId="1" applyNumberFormat="1" applyFont="1" applyFill="1" applyBorder="1" applyAlignment="1">
      <alignment horizontal="center" vertical="center"/>
    </xf>
    <xf numFmtId="49" fontId="18" fillId="0" borderId="1" xfId="1" applyNumberFormat="1" applyFont="1" applyBorder="1" applyAlignment="1">
      <alignment horizontal="center" vertical="center"/>
    </xf>
    <xf numFmtId="3" fontId="18" fillId="0" borderId="1" xfId="1" applyNumberFormat="1" applyFont="1" applyBorder="1" applyAlignment="1">
      <alignment horizontal="center" vertical="center"/>
    </xf>
    <xf numFmtId="166" fontId="18" fillId="0" borderId="1" xfId="1" applyNumberFormat="1" applyFont="1" applyBorder="1" applyAlignment="1">
      <alignment horizontal="left" vertical="center"/>
    </xf>
    <xf numFmtId="165" fontId="23" fillId="0" borderId="1" xfId="1" applyNumberFormat="1" applyFont="1" applyBorder="1" applyAlignment="1">
      <alignment horizontal="center"/>
    </xf>
    <xf numFmtId="49" fontId="18" fillId="0" borderId="1" xfId="1" quotePrefix="1" applyNumberFormat="1" applyFont="1" applyBorder="1" applyAlignment="1">
      <alignment horizontal="center" vertical="center"/>
    </xf>
    <xf numFmtId="2" fontId="18" fillId="0" borderId="1" xfId="1" applyNumberFormat="1" applyFont="1" applyBorder="1" applyAlignment="1">
      <alignment horizontal="center" vertical="center" wrapText="1"/>
    </xf>
    <xf numFmtId="0" fontId="18" fillId="4" borderId="1" xfId="1" applyFont="1" applyFill="1" applyBorder="1" applyAlignment="1">
      <alignment horizontal="center" vertical="center"/>
    </xf>
    <xf numFmtId="0" fontId="18" fillId="4" borderId="1" xfId="2" applyFont="1" applyFill="1" applyBorder="1" applyAlignment="1">
      <alignment horizontal="center" vertical="center"/>
    </xf>
    <xf numFmtId="2" fontId="18" fillId="4" borderId="1" xfId="1" applyNumberFormat="1" applyFont="1" applyFill="1" applyBorder="1" applyAlignment="1">
      <alignment horizontal="center" vertical="center"/>
    </xf>
    <xf numFmtId="166" fontId="19" fillId="4" borderId="1" xfId="1" applyNumberFormat="1" applyFont="1" applyFill="1" applyBorder="1" applyAlignment="1">
      <alignment horizontal="center" vertical="center"/>
    </xf>
    <xf numFmtId="2" fontId="19" fillId="4" borderId="1" xfId="1" applyNumberFormat="1" applyFont="1" applyFill="1" applyBorder="1" applyAlignment="1">
      <alignment horizontal="center" vertical="center"/>
    </xf>
    <xf numFmtId="0" fontId="18" fillId="4" borderId="0" xfId="1" applyFont="1" applyFill="1" applyAlignment="1">
      <alignment vertical="center"/>
    </xf>
    <xf numFmtId="1" fontId="17" fillId="8" borderId="2" xfId="1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Font="1" applyAlignment="1">
      <alignment horizontal="center"/>
    </xf>
    <xf numFmtId="49" fontId="0" fillId="0" borderId="1" xfId="1" applyNumberFormat="1" applyFont="1" applyBorder="1" applyAlignment="1">
      <alignment horizontal="center" vertical="center" wrapText="1"/>
    </xf>
    <xf numFmtId="0" fontId="0" fillId="0" borderId="0" xfId="0" applyFont="1"/>
    <xf numFmtId="0" fontId="0" fillId="0" borderId="1" xfId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2" fontId="27" fillId="0" borderId="1" xfId="0" applyNumberFormat="1" applyFont="1" applyFill="1" applyBorder="1" applyAlignment="1">
      <alignment horizontal="center" vertical="center"/>
    </xf>
    <xf numFmtId="2" fontId="26" fillId="0" borderId="1" xfId="0" applyNumberFormat="1" applyFont="1" applyFill="1" applyBorder="1" applyAlignment="1">
      <alignment horizontal="left" vertical="center"/>
    </xf>
    <xf numFmtId="0" fontId="24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/>
    <xf numFmtId="2" fontId="26" fillId="0" borderId="1" xfId="0" applyNumberFormat="1" applyFont="1" applyFill="1" applyBorder="1" applyAlignment="1">
      <alignment horizontal="center"/>
    </xf>
    <xf numFmtId="2" fontId="26" fillId="0" borderId="1" xfId="0" applyNumberFormat="1" applyFont="1" applyFill="1" applyBorder="1" applyAlignment="1">
      <alignment horizontal="left"/>
    </xf>
    <xf numFmtId="2" fontId="0" fillId="0" borderId="1" xfId="0" quotePrefix="1" applyNumberForma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3" borderId="1" xfId="0" quotePrefix="1" applyFill="1" applyBorder="1"/>
    <xf numFmtId="2" fontId="0" fillId="5" borderId="1" xfId="0" applyNumberFormat="1" applyFill="1" applyBorder="1" applyAlignment="1">
      <alignment horizontal="center"/>
    </xf>
    <xf numFmtId="0" fontId="0" fillId="5" borderId="1" xfId="0" applyFon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/>
    <xf numFmtId="0" fontId="2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>
      <alignment wrapText="1"/>
    </xf>
    <xf numFmtId="2" fontId="0" fillId="0" borderId="1" xfId="0" quotePrefix="1" applyNumberFormat="1" applyBorder="1" applyAlignment="1">
      <alignment horizontal="center"/>
    </xf>
    <xf numFmtId="2" fontId="0" fillId="4" borderId="1" xfId="0" quotePrefix="1" applyNumberFormat="1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2" fontId="0" fillId="0" borderId="1" xfId="0" applyNumberFormat="1" applyFill="1" applyBorder="1" applyAlignment="1">
      <alignment horizontal="center"/>
    </xf>
    <xf numFmtId="0" fontId="2" fillId="0" borderId="1" xfId="0" applyFont="1" applyBorder="1"/>
    <xf numFmtId="2" fontId="24" fillId="3" borderId="1" xfId="0" applyNumberFormat="1" applyFont="1" applyFill="1" applyBorder="1" applyAlignment="1">
      <alignment horizontal="center"/>
    </xf>
    <xf numFmtId="2" fontId="24" fillId="3" borderId="1" xfId="0" quotePrefix="1" applyNumberFormat="1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Border="1"/>
    <xf numFmtId="0" fontId="0" fillId="7" borderId="1" xfId="0" applyFont="1" applyFill="1" applyBorder="1"/>
    <xf numFmtId="0" fontId="0" fillId="0" borderId="0" xfId="0" quotePrefix="1"/>
  </cellXfs>
  <cellStyles count="7">
    <cellStyle name="Normal" xfId="0" builtinId="0"/>
    <cellStyle name="Normal 10 6" xfId="4" xr:uid="{6F14D115-EDC7-A543-8B22-6FD429014590}"/>
    <cellStyle name="Normal 12 2" xfId="5" xr:uid="{81721FD5-DB58-5244-80E9-981D4461C2A7}"/>
    <cellStyle name="Normal 16 2" xfId="6" xr:uid="{97409E11-7826-C044-9D60-84326EFC3F96}"/>
    <cellStyle name="Normal 2 2" xfId="1" xr:uid="{FBDAECB2-806C-1D4A-B3F0-01C6367DF4FE}"/>
    <cellStyle name="Normal 2 2 2" xfId="2" xr:uid="{F5CDB1ED-690E-7D44-A22D-4DE3326B6EDB}"/>
    <cellStyle name="Normal_TANKSPROD700" xfId="3" xr:uid="{F808C74F-886D-774B-A4F2-35A3A55D5438}"/>
  </cellStyles>
  <dxfs count="318"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F9AD"/>
      <color rgb="FFFCD0D3"/>
      <color rgb="FFF4DFFF"/>
      <color rgb="FFE1C3FE"/>
      <color rgb="FFD8BBF2"/>
      <color rgb="FFE9B3F2"/>
      <color rgb="FFFFFD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A301B-A73D-5D45-B754-8E87D3420DFD}">
  <dimension ref="A2"/>
  <sheetViews>
    <sheetView workbookViewId="0">
      <selection activeCell="H19" sqref="H19"/>
    </sheetView>
  </sheetViews>
  <sheetFormatPr baseColWidth="10" defaultRowHeight="16"/>
  <sheetData>
    <row r="2" spans="1:1">
      <c r="A2" s="105" t="s">
        <v>831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85D4E-F817-B642-A23E-C3E57587CE08}">
  <dimension ref="A1:E69"/>
  <sheetViews>
    <sheetView tabSelected="1" workbookViewId="0">
      <selection activeCell="A8" sqref="A8"/>
    </sheetView>
  </sheetViews>
  <sheetFormatPr baseColWidth="10" defaultRowHeight="16"/>
  <cols>
    <col min="1" max="1" width="17" style="4" customWidth="1"/>
    <col min="2" max="2" width="11.5" style="1" customWidth="1"/>
    <col min="3" max="3" width="18.5" customWidth="1"/>
    <col min="4" max="4" width="30.5" customWidth="1"/>
    <col min="5" max="5" width="81.83203125" bestFit="1" customWidth="1"/>
  </cols>
  <sheetData>
    <row r="1" spans="1:5" s="2" customFormat="1" ht="29" customHeight="1">
      <c r="A1" s="64" t="s">
        <v>655</v>
      </c>
      <c r="B1" s="65" t="s">
        <v>61</v>
      </c>
      <c r="C1" s="66" t="s">
        <v>62</v>
      </c>
      <c r="D1" s="66" t="s">
        <v>0</v>
      </c>
      <c r="E1" s="66" t="s">
        <v>121</v>
      </c>
    </row>
    <row r="2" spans="1:5" s="2" customFormat="1">
      <c r="A2" s="67">
        <f>A39/2000</f>
        <v>1.8956449208212548E-2</v>
      </c>
      <c r="B2" s="68" t="s">
        <v>785</v>
      </c>
      <c r="C2" s="68" t="s">
        <v>786</v>
      </c>
      <c r="D2" s="68" t="s">
        <v>787</v>
      </c>
      <c r="E2" s="68" t="s">
        <v>788</v>
      </c>
    </row>
    <row r="3" spans="1:5">
      <c r="A3" s="69">
        <v>6</v>
      </c>
      <c r="B3" s="70" t="s">
        <v>7</v>
      </c>
      <c r="C3" s="71" t="s">
        <v>59</v>
      </c>
      <c r="D3" s="71" t="s">
        <v>58</v>
      </c>
      <c r="E3" s="71" t="s">
        <v>76</v>
      </c>
    </row>
    <row r="4" spans="1:5">
      <c r="A4" s="69">
        <v>12</v>
      </c>
      <c r="B4" s="70" t="s">
        <v>24</v>
      </c>
      <c r="C4" s="71" t="s">
        <v>59</v>
      </c>
      <c r="D4" s="71" t="s">
        <v>88</v>
      </c>
      <c r="E4" s="71" t="s">
        <v>76</v>
      </c>
    </row>
    <row r="5" spans="1:5">
      <c r="A5" s="69">
        <v>8</v>
      </c>
      <c r="B5" s="70" t="s">
        <v>25</v>
      </c>
      <c r="C5" s="71" t="s">
        <v>59</v>
      </c>
      <c r="D5" s="71" t="s">
        <v>89</v>
      </c>
      <c r="E5" s="71" t="s">
        <v>76</v>
      </c>
    </row>
    <row r="6" spans="1:5">
      <c r="A6" s="69">
        <v>8</v>
      </c>
      <c r="B6" s="70" t="s">
        <v>40</v>
      </c>
      <c r="C6" s="71" t="s">
        <v>59</v>
      </c>
      <c r="D6" s="71" t="s">
        <v>109</v>
      </c>
      <c r="E6" s="71" t="s">
        <v>76</v>
      </c>
    </row>
    <row r="7" spans="1:5" s="2" customFormat="1">
      <c r="A7" s="72">
        <f>A67*7.48052</f>
        <v>1692.0537607462695</v>
      </c>
      <c r="B7" s="73" t="s">
        <v>792</v>
      </c>
      <c r="C7" s="73" t="s">
        <v>790</v>
      </c>
      <c r="D7" s="73" t="s">
        <v>791</v>
      </c>
      <c r="E7" s="73" t="s">
        <v>794</v>
      </c>
    </row>
    <row r="8" spans="1:5" s="2" customFormat="1">
      <c r="A8" s="72">
        <f>A7/42</f>
        <v>40.286994303482608</v>
      </c>
      <c r="B8" s="73" t="s">
        <v>793</v>
      </c>
      <c r="C8" s="73" t="s">
        <v>789</v>
      </c>
      <c r="D8" s="73" t="s">
        <v>791</v>
      </c>
      <c r="E8" s="73" t="s">
        <v>795</v>
      </c>
    </row>
    <row r="9" spans="1:5">
      <c r="A9" s="101">
        <v>201</v>
      </c>
      <c r="B9" s="70" t="s">
        <v>36</v>
      </c>
      <c r="C9" s="71" t="s">
        <v>102</v>
      </c>
      <c r="D9" s="71" t="s">
        <v>101</v>
      </c>
      <c r="E9" s="71" t="s">
        <v>76</v>
      </c>
    </row>
    <row r="10" spans="1:5">
      <c r="A10" s="74">
        <f>(5.614*A9)/A67</f>
        <v>4.9886851653916109</v>
      </c>
      <c r="B10" s="75" t="s">
        <v>37</v>
      </c>
      <c r="C10" s="59" t="s">
        <v>54</v>
      </c>
      <c r="D10" s="59" t="s">
        <v>104</v>
      </c>
      <c r="E10" s="76" t="s">
        <v>771</v>
      </c>
    </row>
    <row r="11" spans="1:5">
      <c r="A11" s="69" t="s">
        <v>116</v>
      </c>
      <c r="B11" s="77" t="s">
        <v>115</v>
      </c>
      <c r="C11" s="71" t="s">
        <v>54</v>
      </c>
      <c r="D11" s="71" t="s">
        <v>114</v>
      </c>
      <c r="E11" s="71" t="s">
        <v>753</v>
      </c>
    </row>
    <row r="12" spans="1:5">
      <c r="A12" s="100" t="s">
        <v>574</v>
      </c>
      <c r="B12" s="77" t="s">
        <v>746</v>
      </c>
      <c r="C12" s="71" t="s">
        <v>54</v>
      </c>
      <c r="D12" s="71" t="s">
        <v>747</v>
      </c>
      <c r="E12" s="71" t="s">
        <v>754</v>
      </c>
    </row>
    <row r="13" spans="1:5">
      <c r="A13" s="69" t="s">
        <v>654</v>
      </c>
      <c r="B13" s="77" t="s">
        <v>749</v>
      </c>
      <c r="C13" s="71" t="s">
        <v>54</v>
      </c>
      <c r="D13" s="71" t="s">
        <v>750</v>
      </c>
      <c r="E13" s="71" t="s">
        <v>755</v>
      </c>
    </row>
    <row r="14" spans="1:5">
      <c r="A14" s="69" t="s">
        <v>780</v>
      </c>
      <c r="B14" s="77" t="s">
        <v>752</v>
      </c>
      <c r="C14" s="71" t="s">
        <v>54</v>
      </c>
      <c r="D14" s="71" t="s">
        <v>751</v>
      </c>
      <c r="E14" s="71" t="s">
        <v>778</v>
      </c>
    </row>
    <row r="15" spans="1:5">
      <c r="A15" s="69" t="s">
        <v>665</v>
      </c>
      <c r="B15" s="77" t="s">
        <v>775</v>
      </c>
      <c r="C15" s="71" t="s">
        <v>54</v>
      </c>
      <c r="D15" s="71" t="s">
        <v>777</v>
      </c>
      <c r="E15" s="71" t="s">
        <v>776</v>
      </c>
    </row>
    <row r="16" spans="1:5">
      <c r="A16" s="69" t="s">
        <v>650</v>
      </c>
      <c r="B16" s="77" t="s">
        <v>801</v>
      </c>
      <c r="C16" s="71" t="s">
        <v>54</v>
      </c>
      <c r="D16" s="71" t="s">
        <v>802</v>
      </c>
      <c r="E16" s="78" t="s">
        <v>803</v>
      </c>
    </row>
    <row r="17" spans="1:5">
      <c r="A17" s="79">
        <f>VLOOKUP($A$15 &amp; $A$16,'Met Data &amp; Solar Insolation'!$1:$1048576,3)+459.67</f>
        <v>509.57</v>
      </c>
      <c r="B17" s="80" t="s">
        <v>11</v>
      </c>
      <c r="C17" s="81" t="s">
        <v>64</v>
      </c>
      <c r="D17" s="81" t="s">
        <v>66</v>
      </c>
      <c r="E17" s="81" t="s">
        <v>824</v>
      </c>
    </row>
    <row r="18" spans="1:5">
      <c r="A18" s="79">
        <f>VLOOKUP($A$15 &amp; $A$16,'Met Data &amp; Solar Insolation'!$1:$1048576,4)+459.67</f>
        <v>536.66166666666663</v>
      </c>
      <c r="B18" s="80" t="s">
        <v>10</v>
      </c>
      <c r="C18" s="81" t="s">
        <v>64</v>
      </c>
      <c r="D18" s="81" t="s">
        <v>65</v>
      </c>
      <c r="E18" s="81" t="s">
        <v>824</v>
      </c>
    </row>
    <row r="19" spans="1:5" ht="17">
      <c r="A19" s="79">
        <f>VLOOKUP($A$15 &amp; $A$16,'Met Data &amp; Solar Insolation'!$1:$1048576,5)</f>
        <v>1802.3333333333333</v>
      </c>
      <c r="B19" s="82" t="s">
        <v>13</v>
      </c>
      <c r="C19" s="83" t="s">
        <v>69</v>
      </c>
      <c r="D19" s="81" t="s">
        <v>68</v>
      </c>
      <c r="E19" s="81" t="s">
        <v>796</v>
      </c>
    </row>
    <row r="20" spans="1:5">
      <c r="A20" s="84">
        <f>IF($A$14="good",VLOOKUP($A$13,'Paint Solar Absorbance'!$A$1:$C$15,2),VLOOKUP($A$13,'Paint Solar Absorbance'!$A$1:$C$15,3))</f>
        <v>0.17</v>
      </c>
      <c r="B20" s="82" t="s">
        <v>12</v>
      </c>
      <c r="C20" s="81" t="s">
        <v>54</v>
      </c>
      <c r="D20" s="81" t="s">
        <v>67</v>
      </c>
      <c r="E20" s="81" t="s">
        <v>797</v>
      </c>
    </row>
    <row r="21" spans="1:5">
      <c r="A21" s="85">
        <f>VLOOKUP($A$12,'Product Data'!$1:$1048576,4)</f>
        <v>41.05</v>
      </c>
      <c r="B21" s="82" t="s">
        <v>31</v>
      </c>
      <c r="C21" s="81" t="s">
        <v>100</v>
      </c>
      <c r="D21" s="81" t="s">
        <v>99</v>
      </c>
      <c r="E21" s="81" t="s">
        <v>798</v>
      </c>
    </row>
    <row r="22" spans="1:5">
      <c r="A22" s="79">
        <f>VLOOKUP($A$12,'Product Data'!$1:$1048576,15)</f>
        <v>7.1189999999999998</v>
      </c>
      <c r="B22" s="82" t="s">
        <v>33</v>
      </c>
      <c r="C22" s="81" t="s">
        <v>52</v>
      </c>
      <c r="D22" s="81" t="s">
        <v>81</v>
      </c>
      <c r="E22" s="81" t="s">
        <v>798</v>
      </c>
    </row>
    <row r="23" spans="1:5">
      <c r="A23" s="79">
        <f>VLOOKUP($A$12,'Product Data'!$1:$1048576,16)</f>
        <v>1314.4</v>
      </c>
      <c r="B23" s="82" t="s">
        <v>21</v>
      </c>
      <c r="C23" s="81" t="s">
        <v>743</v>
      </c>
      <c r="D23" s="81" t="s">
        <v>81</v>
      </c>
      <c r="E23" s="81" t="s">
        <v>798</v>
      </c>
    </row>
    <row r="24" spans="1:5">
      <c r="A24" s="85">
        <f>VLOOKUP($A$12,'Product Data'!$1:$1048576,17)</f>
        <v>230</v>
      </c>
      <c r="B24" s="82" t="s">
        <v>113</v>
      </c>
      <c r="C24" s="81" t="s">
        <v>744</v>
      </c>
      <c r="D24" s="81" t="s">
        <v>81</v>
      </c>
      <c r="E24" s="81" t="s">
        <v>798</v>
      </c>
    </row>
    <row r="25" spans="1:5">
      <c r="A25" s="85">
        <f>VLOOKUP($A$12,'Product Data'!$1:$1048576,19)</f>
        <v>1</v>
      </c>
      <c r="B25" s="82" t="s">
        <v>41</v>
      </c>
      <c r="C25" s="81" t="s">
        <v>54</v>
      </c>
      <c r="D25" s="81" t="s">
        <v>110</v>
      </c>
      <c r="E25" s="81" t="s">
        <v>798</v>
      </c>
    </row>
    <row r="26" spans="1:5">
      <c r="A26" s="87">
        <v>14.7</v>
      </c>
      <c r="B26" s="88" t="s">
        <v>15</v>
      </c>
      <c r="C26" s="89" t="s">
        <v>75</v>
      </c>
      <c r="D26" s="89" t="s">
        <v>74</v>
      </c>
      <c r="E26" s="89" t="s">
        <v>748</v>
      </c>
    </row>
    <row r="27" spans="1:5">
      <c r="A27" s="87">
        <v>0</v>
      </c>
      <c r="B27" s="88" t="s">
        <v>42</v>
      </c>
      <c r="C27" s="89" t="s">
        <v>87</v>
      </c>
      <c r="D27" s="89" t="s">
        <v>108</v>
      </c>
      <c r="E27" s="89" t="s">
        <v>748</v>
      </c>
    </row>
    <row r="28" spans="1:5">
      <c r="A28" s="87">
        <v>0.03</v>
      </c>
      <c r="B28" s="88" t="s">
        <v>22</v>
      </c>
      <c r="C28" s="89" t="s">
        <v>87</v>
      </c>
      <c r="D28" s="89" t="s">
        <v>80</v>
      </c>
      <c r="E28" s="89" t="s">
        <v>79</v>
      </c>
    </row>
    <row r="29" spans="1:5">
      <c r="A29" s="87">
        <v>-0.03</v>
      </c>
      <c r="B29" s="88" t="s">
        <v>23</v>
      </c>
      <c r="C29" s="89" t="s">
        <v>87</v>
      </c>
      <c r="D29" s="89" t="s">
        <v>80</v>
      </c>
      <c r="E29" s="89" t="s">
        <v>79</v>
      </c>
    </row>
    <row r="30" spans="1:5">
      <c r="A30" s="87">
        <f>A3/2</f>
        <v>3</v>
      </c>
      <c r="B30" s="88" t="s">
        <v>30</v>
      </c>
      <c r="C30" s="89" t="s">
        <v>59</v>
      </c>
      <c r="D30" s="89" t="s">
        <v>95</v>
      </c>
      <c r="E30" s="89" t="s">
        <v>79</v>
      </c>
    </row>
    <row r="31" spans="1:5">
      <c r="A31" s="87">
        <f>A3/2</f>
        <v>3</v>
      </c>
      <c r="B31" s="88" t="s">
        <v>29</v>
      </c>
      <c r="C31" s="89" t="s">
        <v>59</v>
      </c>
      <c r="D31" s="89" t="s">
        <v>94</v>
      </c>
      <c r="E31" s="89" t="s">
        <v>79</v>
      </c>
    </row>
    <row r="32" spans="1:5">
      <c r="A32" s="90">
        <v>6.25E-2</v>
      </c>
      <c r="B32" s="88" t="s">
        <v>28</v>
      </c>
      <c r="C32" s="89" t="s">
        <v>93</v>
      </c>
      <c r="D32" s="89" t="s">
        <v>92</v>
      </c>
      <c r="E32" s="89" t="s">
        <v>79</v>
      </c>
    </row>
    <row r="33" spans="1:5" ht="17">
      <c r="A33" s="91">
        <v>10.731</v>
      </c>
      <c r="B33" s="92" t="s">
        <v>32</v>
      </c>
      <c r="C33" s="93" t="s">
        <v>98</v>
      </c>
      <c r="D33" s="86" t="s">
        <v>97</v>
      </c>
      <c r="E33" s="86" t="s">
        <v>55</v>
      </c>
    </row>
    <row r="34" spans="1:5">
      <c r="A34" s="91">
        <v>1.8E-3</v>
      </c>
      <c r="B34" s="92">
        <v>1.8E-3</v>
      </c>
      <c r="C34" s="86" t="s">
        <v>70</v>
      </c>
      <c r="D34" s="86" t="s">
        <v>55</v>
      </c>
      <c r="E34" s="86" t="s">
        <v>55</v>
      </c>
    </row>
    <row r="35" spans="1:5" ht="17">
      <c r="A35" s="91">
        <v>2.8000000000000001E-2</v>
      </c>
      <c r="B35" s="92">
        <v>2.8000000000000001E-2</v>
      </c>
      <c r="C35" s="93" t="s">
        <v>71</v>
      </c>
      <c r="D35" s="86" t="s">
        <v>55</v>
      </c>
      <c r="E35" s="86" t="s">
        <v>55</v>
      </c>
    </row>
    <row r="36" spans="1:5">
      <c r="A36" s="91">
        <v>5.2999999999999999E-2</v>
      </c>
      <c r="B36" s="92">
        <v>5.2999999999999999E-2</v>
      </c>
      <c r="C36" s="86" t="s">
        <v>96</v>
      </c>
      <c r="D36" s="86" t="s">
        <v>55</v>
      </c>
      <c r="E36" s="86" t="s">
        <v>55</v>
      </c>
    </row>
    <row r="37" spans="1:5">
      <c r="A37" s="91">
        <v>0.72</v>
      </c>
      <c r="B37" s="92">
        <v>0.72</v>
      </c>
      <c r="C37" s="86" t="s">
        <v>54</v>
      </c>
      <c r="D37" s="86" t="s">
        <v>55</v>
      </c>
      <c r="E37" s="86" t="s">
        <v>55</v>
      </c>
    </row>
    <row r="38" spans="1:5">
      <c r="A38" s="91">
        <v>365</v>
      </c>
      <c r="B38" s="92">
        <v>365</v>
      </c>
      <c r="C38" s="86" t="s">
        <v>56</v>
      </c>
      <c r="D38" s="86" t="s">
        <v>57</v>
      </c>
      <c r="E38" s="86" t="s">
        <v>55</v>
      </c>
    </row>
    <row r="39" spans="1:5">
      <c r="A39" s="94">
        <f>A40+A66</f>
        <v>37.912898416425094</v>
      </c>
      <c r="B39" s="76" t="s">
        <v>1</v>
      </c>
      <c r="C39" s="59" t="s">
        <v>44</v>
      </c>
      <c r="D39" s="59" t="s">
        <v>43</v>
      </c>
      <c r="E39" s="76" t="s">
        <v>756</v>
      </c>
    </row>
    <row r="40" spans="1:5">
      <c r="A40" s="94">
        <f>365*A41*A61*A42*A60</f>
        <v>26.960786197433258</v>
      </c>
      <c r="B40" s="76" t="s">
        <v>2</v>
      </c>
      <c r="C40" s="59" t="s">
        <v>44</v>
      </c>
      <c r="D40" s="59" t="s">
        <v>45</v>
      </c>
      <c r="E40" s="76" t="s">
        <v>757</v>
      </c>
    </row>
    <row r="41" spans="1:5">
      <c r="A41" s="94">
        <f>((PI()/4)*A3^2)*A57</f>
        <v>114.86448139687681</v>
      </c>
      <c r="B41" s="76" t="s">
        <v>4</v>
      </c>
      <c r="C41" s="59" t="s">
        <v>48</v>
      </c>
      <c r="D41" s="59" t="s">
        <v>47</v>
      </c>
      <c r="E41" s="76" t="s">
        <v>828</v>
      </c>
    </row>
    <row r="42" spans="1:5">
      <c r="A42" s="95">
        <f>(A43/A62)+((A44-A55) / (A26-A46))</f>
        <v>8.5580888560560703E-2</v>
      </c>
      <c r="B42" s="97" t="s">
        <v>758</v>
      </c>
      <c r="C42" s="102" t="s">
        <v>52</v>
      </c>
      <c r="D42" s="102" t="s">
        <v>51</v>
      </c>
      <c r="E42" s="97" t="s">
        <v>812</v>
      </c>
    </row>
    <row r="43" spans="1:5">
      <c r="A43" s="94">
        <f>(0.72*A56)+(0.028*A20*A19)</f>
        <v>28.085106666666647</v>
      </c>
      <c r="B43" s="96" t="s">
        <v>9</v>
      </c>
      <c r="C43" s="103" t="s">
        <v>64</v>
      </c>
      <c r="D43" s="103" t="s">
        <v>63</v>
      </c>
      <c r="E43" s="96" t="s">
        <v>759</v>
      </c>
    </row>
    <row r="44" spans="1:5">
      <c r="A44" s="74">
        <f>A50-A54</f>
        <v>0.48981248986295545</v>
      </c>
      <c r="B44" s="97" t="s">
        <v>745</v>
      </c>
      <c r="C44" s="104" t="s">
        <v>85</v>
      </c>
      <c r="D44" s="102" t="s">
        <v>72</v>
      </c>
      <c r="E44" s="102" t="s">
        <v>805</v>
      </c>
    </row>
    <row r="45" spans="1:5">
      <c r="A45" s="98">
        <f>10^($A$22-($A$23/($A$24+A63)))</f>
        <v>68.625405510614243</v>
      </c>
      <c r="B45" s="96" t="s">
        <v>821</v>
      </c>
      <c r="C45" s="102" t="s">
        <v>819</v>
      </c>
      <c r="D45" s="102" t="s">
        <v>77</v>
      </c>
      <c r="E45" s="102" t="s">
        <v>804</v>
      </c>
    </row>
    <row r="46" spans="1:5">
      <c r="A46" s="98">
        <f>A45*(14.7/760)</f>
        <v>1.3273598171131964</v>
      </c>
      <c r="B46" s="97" t="s">
        <v>16</v>
      </c>
      <c r="C46" s="102" t="s">
        <v>820</v>
      </c>
      <c r="D46" s="102" t="s">
        <v>77</v>
      </c>
      <c r="E46" s="102" t="s">
        <v>827</v>
      </c>
    </row>
    <row r="47" spans="1:5">
      <c r="A47" s="98">
        <f>A62+0.25*A56</f>
        <v>532.32048366666663</v>
      </c>
      <c r="B47" s="97" t="s">
        <v>807</v>
      </c>
      <c r="C47" s="103" t="s">
        <v>64</v>
      </c>
      <c r="D47" s="102" t="s">
        <v>810</v>
      </c>
      <c r="E47" s="102" t="s">
        <v>806</v>
      </c>
    </row>
    <row r="48" spans="1:5">
      <c r="A48" s="74">
        <f>(A47 - 491.67)*(5/9)</f>
        <v>22.583602037037011</v>
      </c>
      <c r="B48" s="97" t="s">
        <v>816</v>
      </c>
      <c r="C48" s="103" t="s">
        <v>744</v>
      </c>
      <c r="D48" s="102" t="s">
        <v>810</v>
      </c>
      <c r="E48" s="102" t="s">
        <v>817</v>
      </c>
    </row>
    <row r="49" spans="1:5">
      <c r="A49" s="98">
        <f>10^($A$22-($A$23/($A$24+A48)))</f>
        <v>82.258051177707017</v>
      </c>
      <c r="B49" s="96" t="s">
        <v>822</v>
      </c>
      <c r="C49" s="102" t="s">
        <v>819</v>
      </c>
      <c r="D49" s="102" t="s">
        <v>83</v>
      </c>
      <c r="E49" s="102" t="s">
        <v>829</v>
      </c>
    </row>
    <row r="50" spans="1:5">
      <c r="A50" s="98">
        <f>A49*(14.7/760)</f>
        <v>1.5910438846214383</v>
      </c>
      <c r="B50" s="97" t="s">
        <v>19</v>
      </c>
      <c r="C50" s="102" t="s">
        <v>820</v>
      </c>
      <c r="D50" s="102" t="s">
        <v>83</v>
      </c>
      <c r="E50" s="102" t="s">
        <v>826</v>
      </c>
    </row>
    <row r="51" spans="1:5">
      <c r="A51" s="98">
        <f>A62-0.25*A56</f>
        <v>518.77465033333328</v>
      </c>
      <c r="B51" s="97" t="s">
        <v>808</v>
      </c>
      <c r="C51" s="103" t="s">
        <v>64</v>
      </c>
      <c r="D51" s="102" t="s">
        <v>809</v>
      </c>
      <c r="E51" s="102" t="s">
        <v>811</v>
      </c>
    </row>
    <row r="52" spans="1:5">
      <c r="A52" s="74">
        <f>(A51 - 491.67)*(5/9)</f>
        <v>15.058139074074038</v>
      </c>
      <c r="B52" s="97" t="s">
        <v>815</v>
      </c>
      <c r="C52" s="103" t="s">
        <v>744</v>
      </c>
      <c r="D52" s="102" t="s">
        <v>809</v>
      </c>
      <c r="E52" s="102" t="s">
        <v>818</v>
      </c>
    </row>
    <row r="53" spans="1:5">
      <c r="A53" s="98">
        <f>10^($A$22-($A$23/($A$24+A52)))</f>
        <v>56.934412246016805</v>
      </c>
      <c r="B53" s="96" t="s">
        <v>823</v>
      </c>
      <c r="C53" s="102" t="s">
        <v>819</v>
      </c>
      <c r="D53" s="102" t="s">
        <v>84</v>
      </c>
      <c r="E53" s="102" t="s">
        <v>830</v>
      </c>
    </row>
    <row r="54" spans="1:5">
      <c r="A54" s="98">
        <f>A53*(14.7/760)</f>
        <v>1.1012313947584829</v>
      </c>
      <c r="B54" s="97" t="s">
        <v>20</v>
      </c>
      <c r="C54" s="102" t="s">
        <v>820</v>
      </c>
      <c r="D54" s="102" t="s">
        <v>84</v>
      </c>
      <c r="E54" s="99" t="s">
        <v>825</v>
      </c>
    </row>
    <row r="55" spans="1:5">
      <c r="A55" s="74">
        <f>A28-A29</f>
        <v>0.06</v>
      </c>
      <c r="B55" s="96" t="s">
        <v>14</v>
      </c>
      <c r="C55" s="104" t="s">
        <v>86</v>
      </c>
      <c r="D55" s="103" t="s">
        <v>73</v>
      </c>
      <c r="E55" s="96" t="s">
        <v>760</v>
      </c>
    </row>
    <row r="56" spans="1:5">
      <c r="A56" s="94">
        <f>A18-A17</f>
        <v>27.09166666666664</v>
      </c>
      <c r="B56" s="96" t="s">
        <v>18</v>
      </c>
      <c r="C56" s="103" t="s">
        <v>64</v>
      </c>
      <c r="D56" s="103" t="s">
        <v>82</v>
      </c>
      <c r="E56" s="96" t="s">
        <v>761</v>
      </c>
    </row>
    <row r="57" spans="1:5">
      <c r="A57" s="94">
        <f>A4-A5+A59</f>
        <v>4.0625</v>
      </c>
      <c r="B57" s="96" t="s">
        <v>8</v>
      </c>
      <c r="C57" s="103" t="s">
        <v>59</v>
      </c>
      <c r="D57" s="103" t="s">
        <v>60</v>
      </c>
      <c r="E57" s="96" t="s">
        <v>762</v>
      </c>
    </row>
    <row r="58" spans="1:5">
      <c r="A58" s="74">
        <f>IF(A11="cone",A32*A31,A30 - (A30^2 - A31^2)^0.5)</f>
        <v>0.1875</v>
      </c>
      <c r="B58" s="97" t="s">
        <v>27</v>
      </c>
      <c r="C58" s="102" t="s">
        <v>59</v>
      </c>
      <c r="D58" s="102" t="s">
        <v>91</v>
      </c>
      <c r="E58" s="97" t="s">
        <v>763</v>
      </c>
    </row>
    <row r="59" spans="1:5">
      <c r="A59" s="74">
        <f>IF(A11="cone",(1/3)*A58,A58*( 1/2 + ( 1/6 * (A58/A31)^2) ))</f>
        <v>6.25E-2</v>
      </c>
      <c r="B59" s="97" t="s">
        <v>26</v>
      </c>
      <c r="C59" s="102" t="s">
        <v>59</v>
      </c>
      <c r="D59" s="102" t="s">
        <v>90</v>
      </c>
      <c r="E59" s="97" t="s">
        <v>764</v>
      </c>
    </row>
    <row r="60" spans="1:5">
      <c r="A60" s="94">
        <f>1/(1+(0.053*A46*A57))</f>
        <v>0.77772764680558892</v>
      </c>
      <c r="B60" s="96" t="s">
        <v>6</v>
      </c>
      <c r="C60" s="103" t="s">
        <v>54</v>
      </c>
      <c r="D60" s="103" t="s">
        <v>53</v>
      </c>
      <c r="E60" s="96" t="s">
        <v>765</v>
      </c>
    </row>
    <row r="61" spans="1:5">
      <c r="A61" s="94">
        <f>((A21*A46)/(A33*A62))</f>
        <v>9.6616122270550501E-3</v>
      </c>
      <c r="B61" s="96" t="s">
        <v>5</v>
      </c>
      <c r="C61" s="103" t="s">
        <v>50</v>
      </c>
      <c r="D61" s="103" t="s">
        <v>49</v>
      </c>
      <c r="E61" s="96" t="s">
        <v>766</v>
      </c>
    </row>
    <row r="62" spans="1:5">
      <c r="A62" s="94">
        <f>0.44*A64 + 0.56*A65 + 0.0079*A20*A19</f>
        <v>525.54756699999996</v>
      </c>
      <c r="B62" s="96" t="s">
        <v>17</v>
      </c>
      <c r="C62" s="103" t="s">
        <v>64</v>
      </c>
      <c r="D62" s="103" t="s">
        <v>78</v>
      </c>
      <c r="E62" s="96" t="s">
        <v>767</v>
      </c>
    </row>
    <row r="63" spans="1:5">
      <c r="A63" s="94">
        <f>(A62 - 491.67)*(5/9)</f>
        <v>18.820870555555523</v>
      </c>
      <c r="B63" s="96" t="s">
        <v>813</v>
      </c>
      <c r="C63" s="103" t="s">
        <v>744</v>
      </c>
      <c r="D63" s="103" t="s">
        <v>78</v>
      </c>
      <c r="E63" s="96" t="s">
        <v>814</v>
      </c>
    </row>
    <row r="64" spans="1:5">
      <c r="A64" s="94">
        <f>(A18+A17)/2</f>
        <v>523.11583333333328</v>
      </c>
      <c r="B64" s="96" t="s">
        <v>34</v>
      </c>
      <c r="C64" s="103" t="s">
        <v>64</v>
      </c>
      <c r="D64" s="103" t="s">
        <v>107</v>
      </c>
      <c r="E64" s="96" t="s">
        <v>768</v>
      </c>
    </row>
    <row r="65" spans="1:5">
      <c r="A65" s="94">
        <f>A64+(6*A20)-1</f>
        <v>523.13583333333327</v>
      </c>
      <c r="B65" s="76" t="s">
        <v>35</v>
      </c>
      <c r="C65" s="59" t="s">
        <v>64</v>
      </c>
      <c r="D65" s="59" t="s">
        <v>106</v>
      </c>
      <c r="E65" s="76" t="s">
        <v>769</v>
      </c>
    </row>
    <row r="66" spans="1:5">
      <c r="A66" s="94">
        <f>0.001*A21*A46*A9*A69*A25</f>
        <v>10.952112218991838</v>
      </c>
      <c r="B66" s="76" t="s">
        <v>3</v>
      </c>
      <c r="C66" s="59" t="s">
        <v>44</v>
      </c>
      <c r="D66" s="59" t="s">
        <v>46</v>
      </c>
      <c r="E66" s="76" t="s">
        <v>770</v>
      </c>
    </row>
    <row r="67" spans="1:5">
      <c r="A67" s="94">
        <f>(PI()/4)*A3^2*A6</f>
        <v>226.1946710584651</v>
      </c>
      <c r="B67" s="76" t="s">
        <v>39</v>
      </c>
      <c r="C67" s="59" t="s">
        <v>48</v>
      </c>
      <c r="D67" s="59" t="s">
        <v>105</v>
      </c>
      <c r="E67" s="76" t="s">
        <v>772</v>
      </c>
    </row>
    <row r="68" spans="1:5">
      <c r="A68" s="94">
        <f>IF(ABS(A28)-ABS(A29)=0,1,((((PI+PA)/KN)-PVA)/(PBP+PA-PVA)))</f>
        <v>1</v>
      </c>
      <c r="B68" s="76" t="s">
        <v>111</v>
      </c>
      <c r="C68" s="59" t="s">
        <v>54</v>
      </c>
      <c r="D68" s="59" t="s">
        <v>112</v>
      </c>
      <c r="E68" s="76" t="s">
        <v>773</v>
      </c>
    </row>
    <row r="69" spans="1:5">
      <c r="A69" s="94">
        <f>IF(A10&gt;36,(180+A10)/(6*A10),1)</f>
        <v>1</v>
      </c>
      <c r="B69" s="76" t="s">
        <v>38</v>
      </c>
      <c r="C69" s="59" t="s">
        <v>54</v>
      </c>
      <c r="D69" s="59" t="s">
        <v>103</v>
      </c>
      <c r="E69" s="76" t="s">
        <v>774</v>
      </c>
    </row>
  </sheetData>
  <autoFilter ref="A1:E1" xr:uid="{39D94C43-A830-144A-AB54-899F4DFC7835}">
    <sortState ref="A2:E72">
      <sortCondition ref="B1:B72"/>
    </sortState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9144131-70F8-DE46-B394-F84D237C0BC1}">
          <x14:formula1>
            <xm:f>'Drop-Downs'!$C:$C</xm:f>
          </x14:formula1>
          <xm:sqref>A15</xm:sqref>
        </x14:dataValidation>
        <x14:dataValidation type="list" allowBlank="1" showInputMessage="1" showErrorMessage="1" xr:uid="{5E043B60-C642-D642-BF7C-601790D41B41}">
          <x14:formula1>
            <xm:f>'Drop-Downs'!$A:$A</xm:f>
          </x14:formula1>
          <xm:sqref>A11</xm:sqref>
        </x14:dataValidation>
        <x14:dataValidation type="list" allowBlank="1" showInputMessage="1" showErrorMessage="1" xr:uid="{AA6BC1FD-A8CC-E340-A3BF-52C02F1D0A74}">
          <x14:formula1>
            <xm:f>'Drop-Downs'!$B:$B</xm:f>
          </x14:formula1>
          <xm:sqref>A14</xm:sqref>
        </x14:dataValidation>
        <x14:dataValidation type="list" allowBlank="1" showInputMessage="1" showErrorMessage="1" xr:uid="{94DAFEDA-3427-9C4E-B1A3-EA62336D2033}">
          <x14:formula1>
            <xm:f>'Product Data'!$A:$A</xm:f>
          </x14:formula1>
          <xm:sqref>A12</xm:sqref>
        </x14:dataValidation>
        <x14:dataValidation type="list" allowBlank="1" showInputMessage="1" showErrorMessage="1" xr:uid="{F5ED97D5-7884-AE4E-8E46-7034966BEB15}">
          <x14:formula1>
            <xm:f>'Paint Solar Absorbance'!$A:$A</xm:f>
          </x14:formula1>
          <xm:sqref>A13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A741F-26D1-C442-B843-9C233903F3BA}">
  <sheetPr>
    <pageSetUpPr fitToPage="1"/>
  </sheetPr>
  <dimension ref="A1:W816"/>
  <sheetViews>
    <sheetView workbookViewId="0">
      <pane ySplit="1980" activePane="bottomLeft"/>
      <selection activeCell="F1" sqref="F1:G1048576"/>
      <selection pane="bottomLeft" activeCell="H215" sqref="H215"/>
    </sheetView>
  </sheetViews>
  <sheetFormatPr baseColWidth="10" defaultColWidth="8.83203125" defaultRowHeight="14"/>
  <cols>
    <col min="1" max="1" width="31.6640625" style="12" customWidth="1"/>
    <col min="2" max="2" width="24.33203125" style="12" customWidth="1"/>
    <col min="3" max="3" width="22" style="12" customWidth="1"/>
    <col min="4" max="4" width="21.5" style="12" customWidth="1"/>
    <col min="5" max="5" width="18.33203125" style="12" customWidth="1"/>
    <col min="6" max="7" width="12.5" style="12" customWidth="1"/>
    <col min="8" max="8" width="26.33203125" style="12" customWidth="1"/>
    <col min="9" max="17" width="8.83203125" style="12"/>
    <col min="18" max="18" width="41.5" style="12" customWidth="1"/>
    <col min="19" max="19" width="8.83203125" style="12"/>
    <col min="20" max="20" width="19.5" style="12" customWidth="1"/>
    <col min="21" max="21" width="23.1640625" style="12" customWidth="1"/>
    <col min="22" max="22" width="14" style="12" customWidth="1"/>
    <col min="23" max="23" width="30.33203125" style="12" customWidth="1"/>
    <col min="24" max="16384" width="8.83203125" style="12"/>
  </cols>
  <sheetData>
    <row r="1" spans="1:7" ht="62">
      <c r="A1" s="8" t="s">
        <v>652</v>
      </c>
      <c r="B1" s="8" t="s">
        <v>651</v>
      </c>
      <c r="C1" s="8" t="s">
        <v>660</v>
      </c>
      <c r="D1" s="8" t="s">
        <v>659</v>
      </c>
      <c r="E1" s="8" t="s">
        <v>658</v>
      </c>
      <c r="G1" s="13"/>
    </row>
    <row r="2" spans="1:7" ht="15">
      <c r="A2" s="8" t="s">
        <v>800</v>
      </c>
      <c r="B2" s="8" t="s">
        <v>781</v>
      </c>
      <c r="C2" s="8" t="s">
        <v>782</v>
      </c>
      <c r="D2" s="8" t="s">
        <v>783</v>
      </c>
      <c r="E2" s="8" t="s">
        <v>784</v>
      </c>
      <c r="G2" s="13"/>
    </row>
    <row r="3" spans="1:7">
      <c r="A3" s="5" t="s">
        <v>668</v>
      </c>
      <c r="B3" s="5">
        <v>1</v>
      </c>
      <c r="C3" s="17">
        <v>21.7</v>
      </c>
      <c r="D3" s="17">
        <v>49.1</v>
      </c>
      <c r="E3" s="23">
        <v>960</v>
      </c>
      <c r="G3" s="14"/>
    </row>
    <row r="4" spans="1:7">
      <c r="A4" s="5" t="s">
        <v>668</v>
      </c>
      <c r="B4" s="5">
        <v>2</v>
      </c>
      <c r="C4" s="17">
        <v>26.1</v>
      </c>
      <c r="D4" s="17">
        <v>53.1</v>
      </c>
      <c r="E4" s="23">
        <v>1244</v>
      </c>
      <c r="G4" s="14"/>
    </row>
    <row r="5" spans="1:7">
      <c r="A5" s="5" t="s">
        <v>668</v>
      </c>
      <c r="B5" s="5">
        <v>3</v>
      </c>
      <c r="C5" s="17">
        <v>32</v>
      </c>
      <c r="D5" s="17">
        <v>60.8</v>
      </c>
      <c r="E5" s="23">
        <v>1631</v>
      </c>
      <c r="G5" s="14"/>
    </row>
    <row r="6" spans="1:7">
      <c r="A6" s="5" t="s">
        <v>668</v>
      </c>
      <c r="B6" s="5">
        <v>4</v>
      </c>
      <c r="C6" s="17">
        <v>42</v>
      </c>
      <c r="D6" s="17">
        <v>71</v>
      </c>
      <c r="E6" s="23">
        <v>2019</v>
      </c>
      <c r="G6" s="14"/>
    </row>
    <row r="7" spans="1:7">
      <c r="A7" s="5" t="s">
        <v>668</v>
      </c>
      <c r="B7" s="5">
        <v>5</v>
      </c>
      <c r="C7" s="17">
        <v>51.9</v>
      </c>
      <c r="D7" s="17">
        <v>79.099999999999994</v>
      </c>
      <c r="E7" s="23">
        <v>2212</v>
      </c>
      <c r="G7" s="14"/>
    </row>
    <row r="8" spans="1:7">
      <c r="A8" s="5" t="s">
        <v>668</v>
      </c>
      <c r="B8" s="5">
        <v>6</v>
      </c>
      <c r="C8" s="17">
        <v>61.5</v>
      </c>
      <c r="D8" s="17">
        <v>88.2</v>
      </c>
      <c r="E8" s="23">
        <v>2393</v>
      </c>
      <c r="G8" s="14"/>
    </row>
    <row r="9" spans="1:7">
      <c r="A9" s="5" t="s">
        <v>668</v>
      </c>
      <c r="B9" s="5">
        <v>7</v>
      </c>
      <c r="C9" s="17">
        <v>66.2</v>
      </c>
      <c r="D9" s="17">
        <v>91.4</v>
      </c>
      <c r="E9" s="23">
        <v>2281</v>
      </c>
      <c r="G9" s="14"/>
    </row>
    <row r="10" spans="1:7">
      <c r="A10" s="5" t="s">
        <v>668</v>
      </c>
      <c r="B10" s="5">
        <v>8</v>
      </c>
      <c r="C10" s="17">
        <v>64.5</v>
      </c>
      <c r="D10" s="17">
        <v>89.6</v>
      </c>
      <c r="E10" s="23">
        <v>2103</v>
      </c>
      <c r="G10" s="14"/>
    </row>
    <row r="11" spans="1:7">
      <c r="A11" s="5" t="s">
        <v>668</v>
      </c>
      <c r="B11" s="5">
        <v>9</v>
      </c>
      <c r="C11" s="17">
        <v>56.9</v>
      </c>
      <c r="D11" s="17">
        <v>82.4</v>
      </c>
      <c r="E11" s="23">
        <v>1761</v>
      </c>
      <c r="G11" s="14"/>
    </row>
    <row r="12" spans="1:7">
      <c r="A12" s="5" t="s">
        <v>668</v>
      </c>
      <c r="B12" s="5">
        <v>10</v>
      </c>
      <c r="C12" s="17">
        <v>45.5</v>
      </c>
      <c r="D12" s="17">
        <v>72.7</v>
      </c>
      <c r="E12" s="23">
        <v>1404</v>
      </c>
      <c r="G12" s="14"/>
    </row>
    <row r="13" spans="1:7">
      <c r="A13" s="5" t="s">
        <v>668</v>
      </c>
      <c r="B13" s="5">
        <v>11</v>
      </c>
      <c r="C13" s="17">
        <v>32.1</v>
      </c>
      <c r="D13" s="17">
        <v>58.7</v>
      </c>
      <c r="E13" s="23">
        <v>1033</v>
      </c>
      <c r="G13" s="14"/>
    </row>
    <row r="14" spans="1:7">
      <c r="A14" s="5" t="s">
        <v>668</v>
      </c>
      <c r="B14" s="5">
        <v>12</v>
      </c>
      <c r="C14" s="17">
        <v>24.8</v>
      </c>
      <c r="D14" s="17">
        <v>51.8</v>
      </c>
      <c r="E14" s="23">
        <v>872</v>
      </c>
      <c r="G14" s="14"/>
    </row>
    <row r="15" spans="1:7">
      <c r="A15" s="5" t="s">
        <v>668</v>
      </c>
      <c r="B15" s="5" t="s">
        <v>650</v>
      </c>
      <c r="C15" s="10">
        <f>AVERAGE(C3:C14)</f>
        <v>43.766666666666659</v>
      </c>
      <c r="D15" s="10">
        <f>AVERAGE(D3:D14)</f>
        <v>70.658333333333346</v>
      </c>
      <c r="E15" s="22">
        <f>AVERAGE(E3:E14)</f>
        <v>1659.4166666666667</v>
      </c>
      <c r="G15" s="14"/>
    </row>
    <row r="16" spans="1:7" ht="15">
      <c r="A16" s="24" t="s">
        <v>676</v>
      </c>
      <c r="B16" s="5">
        <v>1</v>
      </c>
      <c r="C16" s="25">
        <v>35.4</v>
      </c>
      <c r="D16" s="25">
        <v>46.8</v>
      </c>
      <c r="E16" s="26">
        <v>315</v>
      </c>
      <c r="G16" s="14"/>
    </row>
    <row r="17" spans="1:7" ht="15">
      <c r="A17" s="24" t="s">
        <v>676</v>
      </c>
      <c r="B17" s="5">
        <v>2</v>
      </c>
      <c r="C17" s="25">
        <v>37.1</v>
      </c>
      <c r="D17" s="25">
        <v>50.6</v>
      </c>
      <c r="E17" s="26">
        <v>545</v>
      </c>
      <c r="G17" s="14"/>
    </row>
    <row r="18" spans="1:7" ht="15">
      <c r="A18" s="24" t="s">
        <v>676</v>
      </c>
      <c r="B18" s="5">
        <v>3</v>
      </c>
      <c r="C18" s="25">
        <v>36.9</v>
      </c>
      <c r="D18" s="25">
        <v>51.9</v>
      </c>
      <c r="E18" s="26">
        <v>866</v>
      </c>
      <c r="G18" s="14"/>
    </row>
    <row r="19" spans="1:7" ht="15">
      <c r="A19" s="24" t="s">
        <v>676</v>
      </c>
      <c r="B19" s="5">
        <v>4</v>
      </c>
      <c r="C19" s="25">
        <v>39.700000000000003</v>
      </c>
      <c r="D19" s="25">
        <v>55.5</v>
      </c>
      <c r="E19" s="26">
        <v>1253</v>
      </c>
      <c r="G19" s="14"/>
    </row>
    <row r="20" spans="1:7" ht="17">
      <c r="A20" s="61" t="s">
        <v>676</v>
      </c>
      <c r="B20" s="5">
        <v>5</v>
      </c>
      <c r="C20" s="25">
        <v>44.1</v>
      </c>
      <c r="D20" s="25">
        <v>60.2</v>
      </c>
      <c r="E20" s="26">
        <v>1608</v>
      </c>
      <c r="G20" s="14"/>
    </row>
    <row r="21" spans="1:7" ht="15">
      <c r="A21" s="24" t="s">
        <v>676</v>
      </c>
      <c r="B21" s="5">
        <v>6</v>
      </c>
      <c r="C21" s="25">
        <v>49.2</v>
      </c>
      <c r="D21" s="25">
        <v>63.9</v>
      </c>
      <c r="E21" s="26">
        <v>1626</v>
      </c>
      <c r="G21" s="14"/>
    </row>
    <row r="22" spans="1:7" ht="15">
      <c r="A22" s="24" t="s">
        <v>676</v>
      </c>
      <c r="B22" s="5">
        <v>7</v>
      </c>
      <c r="C22" s="25">
        <v>52.2</v>
      </c>
      <c r="D22" s="25">
        <v>67.900000000000006</v>
      </c>
      <c r="E22" s="26">
        <v>1746</v>
      </c>
      <c r="G22" s="14"/>
    </row>
    <row r="23" spans="1:7" ht="15">
      <c r="A23" s="24" t="s">
        <v>676</v>
      </c>
      <c r="B23" s="5">
        <v>8</v>
      </c>
      <c r="C23" s="25">
        <v>52.6</v>
      </c>
      <c r="D23" s="25">
        <v>68.599999999999994</v>
      </c>
      <c r="E23" s="26">
        <v>1499</v>
      </c>
      <c r="G23" s="14"/>
    </row>
    <row r="24" spans="1:7" ht="15">
      <c r="A24" s="24" t="s">
        <v>676</v>
      </c>
      <c r="B24" s="5">
        <v>9</v>
      </c>
      <c r="C24" s="25">
        <v>49.2</v>
      </c>
      <c r="D24" s="25">
        <v>67.8</v>
      </c>
      <c r="E24" s="26">
        <v>1183</v>
      </c>
      <c r="G24" s="14"/>
    </row>
    <row r="25" spans="1:7" ht="15">
      <c r="A25" s="24" t="s">
        <v>676</v>
      </c>
      <c r="B25" s="5">
        <v>10</v>
      </c>
      <c r="C25" s="25">
        <v>44.3</v>
      </c>
      <c r="D25" s="25">
        <v>61.4</v>
      </c>
      <c r="E25" s="26">
        <v>713</v>
      </c>
      <c r="G25" s="14"/>
    </row>
    <row r="26" spans="1:7" ht="15">
      <c r="A26" s="24" t="s">
        <v>676</v>
      </c>
      <c r="B26" s="5">
        <v>11</v>
      </c>
      <c r="C26" s="25">
        <v>39.700000000000003</v>
      </c>
      <c r="D26" s="25">
        <v>53.5</v>
      </c>
      <c r="E26" s="26">
        <v>387</v>
      </c>
      <c r="G26" s="14"/>
    </row>
    <row r="27" spans="1:7" ht="15">
      <c r="A27" s="24" t="s">
        <v>676</v>
      </c>
      <c r="B27" s="5">
        <v>12</v>
      </c>
      <c r="C27" s="25">
        <v>37.299999999999997</v>
      </c>
      <c r="D27" s="25">
        <v>48.8</v>
      </c>
      <c r="E27" s="26">
        <v>261</v>
      </c>
      <c r="G27" s="14"/>
    </row>
    <row r="28" spans="1:7" ht="15">
      <c r="A28" s="24" t="s">
        <v>676</v>
      </c>
      <c r="B28" s="5" t="s">
        <v>650</v>
      </c>
      <c r="C28" s="20">
        <f>AVERAGE(C16:C27)</f>
        <v>43.141666666666673</v>
      </c>
      <c r="D28" s="20">
        <f>AVERAGE(D16:D27)</f>
        <v>58.074999999999989</v>
      </c>
      <c r="E28" s="19">
        <f>AVERAGE(E16:E27)</f>
        <v>1000.1666666666666</v>
      </c>
      <c r="G28" s="14"/>
    </row>
    <row r="29" spans="1:7" ht="15">
      <c r="A29" s="24" t="s">
        <v>702</v>
      </c>
      <c r="B29" s="5">
        <v>1</v>
      </c>
      <c r="C29" s="25">
        <v>32.6</v>
      </c>
      <c r="D29" s="25">
        <v>51.2</v>
      </c>
      <c r="E29" s="26">
        <v>718</v>
      </c>
      <c r="G29" s="14"/>
    </row>
    <row r="30" spans="1:7" ht="15">
      <c r="A30" s="24" t="s">
        <v>702</v>
      </c>
      <c r="B30" s="5">
        <v>2</v>
      </c>
      <c r="C30" s="25">
        <v>34.5</v>
      </c>
      <c r="D30" s="25">
        <v>55.3</v>
      </c>
      <c r="E30" s="26">
        <v>969</v>
      </c>
      <c r="G30" s="14"/>
    </row>
    <row r="31" spans="1:7" ht="15">
      <c r="A31" s="24" t="s">
        <v>702</v>
      </c>
      <c r="B31" s="5">
        <v>3</v>
      </c>
      <c r="C31" s="25">
        <v>41.7</v>
      </c>
      <c r="D31" s="25">
        <v>63.2</v>
      </c>
      <c r="E31" s="26">
        <v>1304</v>
      </c>
      <c r="G31" s="14"/>
    </row>
    <row r="32" spans="1:7" ht="15">
      <c r="A32" s="24" t="s">
        <v>702</v>
      </c>
      <c r="B32" s="5">
        <v>4</v>
      </c>
      <c r="C32" s="25">
        <v>50.4</v>
      </c>
      <c r="D32" s="25">
        <v>73.2</v>
      </c>
      <c r="E32" s="26">
        <v>1686</v>
      </c>
      <c r="G32" s="14"/>
    </row>
    <row r="33" spans="1:7" ht="15">
      <c r="A33" s="24" t="s">
        <v>702</v>
      </c>
      <c r="B33" s="5">
        <v>5</v>
      </c>
      <c r="C33" s="25">
        <v>58.7</v>
      </c>
      <c r="D33" s="25">
        <v>79.8</v>
      </c>
      <c r="E33" s="26">
        <v>1854</v>
      </c>
      <c r="G33" s="14"/>
    </row>
    <row r="34" spans="1:7" ht="15">
      <c r="A34" s="24" t="s">
        <v>702</v>
      </c>
      <c r="B34" s="5">
        <v>6</v>
      </c>
      <c r="C34" s="25">
        <v>65.900000000000006</v>
      </c>
      <c r="D34" s="25">
        <v>85.6</v>
      </c>
      <c r="E34" s="26">
        <v>1914</v>
      </c>
      <c r="G34" s="14"/>
    </row>
    <row r="35" spans="1:7" ht="15">
      <c r="A35" s="24" t="s">
        <v>702</v>
      </c>
      <c r="B35" s="5">
        <v>7</v>
      </c>
      <c r="C35" s="25">
        <v>69.2</v>
      </c>
      <c r="D35" s="25">
        <v>87.9</v>
      </c>
      <c r="E35" s="26">
        <v>1812</v>
      </c>
      <c r="G35" s="14"/>
    </row>
    <row r="36" spans="1:7" ht="15">
      <c r="A36" s="24" t="s">
        <v>702</v>
      </c>
      <c r="B36" s="5">
        <v>8</v>
      </c>
      <c r="C36" s="25">
        <v>68.7</v>
      </c>
      <c r="D36" s="25">
        <v>87.6</v>
      </c>
      <c r="E36" s="26">
        <v>1709</v>
      </c>
      <c r="G36" s="14"/>
    </row>
    <row r="37" spans="1:7" ht="15">
      <c r="A37" s="24" t="s">
        <v>702</v>
      </c>
      <c r="B37" s="5">
        <v>9</v>
      </c>
      <c r="C37" s="25">
        <v>63.6</v>
      </c>
      <c r="D37" s="25">
        <v>82.3</v>
      </c>
      <c r="E37" s="26">
        <v>1422</v>
      </c>
      <c r="G37" s="14"/>
    </row>
    <row r="38" spans="1:7" ht="15">
      <c r="A38" s="24" t="s">
        <v>702</v>
      </c>
      <c r="B38" s="5">
        <v>10</v>
      </c>
      <c r="C38" s="25">
        <v>51.4</v>
      </c>
      <c r="D38" s="25">
        <v>72.900000000000006</v>
      </c>
      <c r="E38" s="26">
        <v>1200</v>
      </c>
      <c r="G38" s="14"/>
    </row>
    <row r="39" spans="1:7" ht="15">
      <c r="A39" s="24" t="s">
        <v>702</v>
      </c>
      <c r="B39" s="5">
        <v>11</v>
      </c>
      <c r="C39" s="25">
        <v>41.3</v>
      </c>
      <c r="D39" s="25">
        <v>62.6</v>
      </c>
      <c r="E39" s="26">
        <v>883</v>
      </c>
      <c r="G39" s="14"/>
    </row>
    <row r="40" spans="1:7" ht="15">
      <c r="A40" s="24" t="s">
        <v>702</v>
      </c>
      <c r="B40" s="5">
        <v>12</v>
      </c>
      <c r="C40" s="25">
        <v>34.799999999999997</v>
      </c>
      <c r="D40" s="25">
        <v>54.1</v>
      </c>
      <c r="E40" s="26">
        <v>674</v>
      </c>
      <c r="G40" s="14"/>
    </row>
    <row r="41" spans="1:7" ht="15">
      <c r="A41" s="24" t="s">
        <v>702</v>
      </c>
      <c r="B41" s="5" t="s">
        <v>650</v>
      </c>
      <c r="C41" s="18">
        <f>AVERAGE(C29:C40)</f>
        <v>51.066666666666656</v>
      </c>
      <c r="D41" s="18">
        <f>AVERAGE(D29:D40)</f>
        <v>71.308333333333323</v>
      </c>
      <c r="E41" s="27">
        <f>AVERAGE(E29:E40)</f>
        <v>1345.4166666666667</v>
      </c>
      <c r="G41" s="14"/>
    </row>
    <row r="42" spans="1:7" ht="15">
      <c r="A42" s="24" t="s">
        <v>711</v>
      </c>
      <c r="B42" s="5">
        <v>1</v>
      </c>
      <c r="C42" s="25">
        <v>38.9</v>
      </c>
      <c r="D42" s="25">
        <v>57.4</v>
      </c>
      <c r="E42" s="26">
        <v>766</v>
      </c>
      <c r="G42" s="14"/>
    </row>
    <row r="43" spans="1:7" ht="15">
      <c r="A43" s="24" t="s">
        <v>711</v>
      </c>
      <c r="B43" s="5">
        <v>2</v>
      </c>
      <c r="C43" s="25">
        <v>42.6</v>
      </c>
      <c r="D43" s="25">
        <v>63.7</v>
      </c>
      <c r="E43" s="26">
        <v>1102</v>
      </c>
      <c r="G43" s="14"/>
    </row>
    <row r="44" spans="1:7" ht="15">
      <c r="A44" s="24" t="s">
        <v>711</v>
      </c>
      <c r="B44" s="5">
        <v>3</v>
      </c>
      <c r="C44" s="25">
        <v>45.5</v>
      </c>
      <c r="D44" s="25">
        <v>68.599999999999994</v>
      </c>
      <c r="E44" s="26">
        <v>1595</v>
      </c>
      <c r="G44" s="14"/>
    </row>
    <row r="45" spans="1:7" ht="15">
      <c r="A45" s="24" t="s">
        <v>711</v>
      </c>
      <c r="B45" s="5">
        <v>4</v>
      </c>
      <c r="C45" s="25">
        <v>50.1</v>
      </c>
      <c r="D45" s="25">
        <v>75.099999999999994</v>
      </c>
      <c r="E45" s="26">
        <v>2095</v>
      </c>
      <c r="G45" s="14"/>
    </row>
    <row r="46" spans="1:7" ht="15">
      <c r="A46" s="24" t="s">
        <v>711</v>
      </c>
      <c r="B46" s="5">
        <v>5</v>
      </c>
      <c r="C46" s="25">
        <v>57.2</v>
      </c>
      <c r="D46" s="25">
        <v>83.9</v>
      </c>
      <c r="E46" s="26">
        <v>2509</v>
      </c>
      <c r="G46" s="14"/>
    </row>
    <row r="47" spans="1:7" ht="15">
      <c r="A47" s="24" t="s">
        <v>711</v>
      </c>
      <c r="B47" s="5">
        <v>6</v>
      </c>
      <c r="C47" s="25">
        <v>64.3</v>
      </c>
      <c r="D47" s="25">
        <v>92.2</v>
      </c>
      <c r="E47" s="26">
        <v>2749</v>
      </c>
      <c r="G47" s="14"/>
    </row>
    <row r="48" spans="1:7" ht="15">
      <c r="A48" s="24" t="s">
        <v>711</v>
      </c>
      <c r="B48" s="5">
        <v>7</v>
      </c>
      <c r="C48" s="25">
        <v>70.099999999999994</v>
      </c>
      <c r="D48" s="25">
        <v>98.8</v>
      </c>
      <c r="E48" s="26">
        <v>2684</v>
      </c>
      <c r="G48" s="14"/>
    </row>
    <row r="49" spans="1:7" ht="15">
      <c r="A49" s="24" t="s">
        <v>711</v>
      </c>
      <c r="B49" s="5">
        <v>8</v>
      </c>
      <c r="C49" s="25">
        <v>68.5</v>
      </c>
      <c r="D49" s="25">
        <v>96.4</v>
      </c>
      <c r="E49" s="26">
        <v>2421</v>
      </c>
      <c r="G49" s="14"/>
    </row>
    <row r="50" spans="1:7" ht="15">
      <c r="A50" s="24" t="s">
        <v>711</v>
      </c>
      <c r="B50" s="5">
        <v>9</v>
      </c>
      <c r="C50" s="25">
        <v>63.8</v>
      </c>
      <c r="D50" s="25">
        <v>90.8</v>
      </c>
      <c r="E50" s="26">
        <v>1992</v>
      </c>
      <c r="G50" s="14"/>
    </row>
    <row r="51" spans="1:7" ht="15">
      <c r="A51" s="24" t="s">
        <v>711</v>
      </c>
      <c r="B51" s="5">
        <v>10</v>
      </c>
      <c r="C51" s="25">
        <v>54.9</v>
      </c>
      <c r="D51" s="25">
        <v>81</v>
      </c>
      <c r="E51" s="26">
        <v>1458</v>
      </c>
      <c r="G51" s="14"/>
    </row>
    <row r="52" spans="1:7" ht="15">
      <c r="A52" s="24" t="s">
        <v>711</v>
      </c>
      <c r="B52" s="5">
        <v>11</v>
      </c>
      <c r="C52" s="25">
        <v>44.9</v>
      </c>
      <c r="D52" s="25">
        <v>67.400000000000006</v>
      </c>
      <c r="E52" s="26">
        <v>942</v>
      </c>
      <c r="G52" s="14"/>
    </row>
    <row r="53" spans="1:7" ht="15">
      <c r="A53" s="24" t="s">
        <v>711</v>
      </c>
      <c r="B53" s="5">
        <v>12</v>
      </c>
      <c r="C53" s="25">
        <v>38.700000000000003</v>
      </c>
      <c r="D53" s="25">
        <v>57.6</v>
      </c>
      <c r="E53" s="26">
        <v>677</v>
      </c>
      <c r="G53" s="14"/>
    </row>
    <row r="54" spans="1:7" ht="15">
      <c r="A54" s="24" t="s">
        <v>711</v>
      </c>
      <c r="B54" s="5" t="s">
        <v>650</v>
      </c>
      <c r="C54" s="18">
        <f>AVERAGE(C42:C53)</f>
        <v>53.291666666666679</v>
      </c>
      <c r="D54" s="18">
        <f>AVERAGE(D42:D53)</f>
        <v>77.74166666666666</v>
      </c>
      <c r="E54" s="27">
        <f>AVERAGE(E42:E53)</f>
        <v>1749.1666666666667</v>
      </c>
      <c r="G54" s="14"/>
    </row>
    <row r="55" spans="1:7">
      <c r="A55" s="15" t="s">
        <v>694</v>
      </c>
      <c r="B55" s="5">
        <v>1</v>
      </c>
      <c r="C55" s="16">
        <v>40.5</v>
      </c>
      <c r="D55" s="16">
        <v>61.1</v>
      </c>
      <c r="E55" s="21">
        <v>785</v>
      </c>
      <c r="G55" s="14"/>
    </row>
    <row r="56" spans="1:7">
      <c r="A56" s="15" t="s">
        <v>694</v>
      </c>
      <c r="B56" s="5">
        <v>2</v>
      </c>
      <c r="C56" s="16">
        <v>42.7</v>
      </c>
      <c r="D56" s="16">
        <v>64.5</v>
      </c>
      <c r="E56" s="21">
        <v>1054</v>
      </c>
      <c r="G56" s="14"/>
    </row>
    <row r="57" spans="1:7">
      <c r="A57" s="15" t="s">
        <v>694</v>
      </c>
      <c r="B57" s="5">
        <v>3</v>
      </c>
      <c r="C57" s="16">
        <v>49.4</v>
      </c>
      <c r="D57" s="16">
        <v>71.599999999999994</v>
      </c>
      <c r="E57" s="21">
        <v>1379</v>
      </c>
      <c r="G57" s="14"/>
    </row>
    <row r="58" spans="1:7">
      <c r="A58" s="15" t="s">
        <v>694</v>
      </c>
      <c r="B58" s="5">
        <v>4</v>
      </c>
      <c r="C58" s="16">
        <v>57.5</v>
      </c>
      <c r="D58" s="16">
        <v>79.2</v>
      </c>
      <c r="E58" s="21">
        <v>1681</v>
      </c>
      <c r="G58" s="14"/>
    </row>
    <row r="59" spans="1:7">
      <c r="A59" s="15" t="s">
        <v>694</v>
      </c>
      <c r="B59" s="5">
        <v>5</v>
      </c>
      <c r="C59" s="16">
        <v>64.3</v>
      </c>
      <c r="D59" s="16">
        <v>85.2</v>
      </c>
      <c r="E59" s="21">
        <v>1871</v>
      </c>
      <c r="G59" s="14"/>
    </row>
    <row r="60" spans="1:7">
      <c r="A60" s="15" t="s">
        <v>694</v>
      </c>
      <c r="B60" s="5">
        <v>6</v>
      </c>
      <c r="C60" s="16">
        <v>70</v>
      </c>
      <c r="D60" s="16">
        <v>90.6</v>
      </c>
      <c r="E60" s="21">
        <v>1926</v>
      </c>
      <c r="G60" s="14"/>
    </row>
    <row r="61" spans="1:7">
      <c r="A61" s="15" t="s">
        <v>694</v>
      </c>
      <c r="B61" s="5">
        <v>7</v>
      </c>
      <c r="C61" s="16">
        <v>72.8</v>
      </c>
      <c r="D61" s="16">
        <v>91.4</v>
      </c>
      <c r="E61" s="21">
        <v>1746</v>
      </c>
      <c r="G61" s="14"/>
    </row>
    <row r="62" spans="1:7">
      <c r="A62" s="15" t="s">
        <v>694</v>
      </c>
      <c r="B62" s="5">
        <v>8</v>
      </c>
      <c r="C62" s="16">
        <v>72</v>
      </c>
      <c r="D62" s="16">
        <v>90.8</v>
      </c>
      <c r="E62" s="21">
        <v>1677</v>
      </c>
      <c r="G62" s="14"/>
    </row>
    <row r="63" spans="1:7">
      <c r="A63" s="15" t="s">
        <v>694</v>
      </c>
      <c r="B63" s="5">
        <v>9</v>
      </c>
      <c r="C63" s="16">
        <v>68.3</v>
      </c>
      <c r="D63" s="16">
        <v>87.4</v>
      </c>
      <c r="E63" s="21">
        <v>1464</v>
      </c>
      <c r="G63" s="14"/>
    </row>
    <row r="64" spans="1:7">
      <c r="A64" s="15" t="s">
        <v>694</v>
      </c>
      <c r="B64" s="5">
        <v>10</v>
      </c>
      <c r="C64" s="16">
        <v>56.3</v>
      </c>
      <c r="D64" s="16">
        <v>80.099999999999994</v>
      </c>
      <c r="E64" s="21">
        <v>1301</v>
      </c>
      <c r="G64" s="14"/>
    </row>
    <row r="65" spans="1:7">
      <c r="A65" s="15" t="s">
        <v>694</v>
      </c>
      <c r="B65" s="5">
        <v>11</v>
      </c>
      <c r="C65" s="16">
        <v>47.2</v>
      </c>
      <c r="D65" s="16">
        <v>70.099999999999994</v>
      </c>
      <c r="E65" s="21">
        <v>920</v>
      </c>
      <c r="G65" s="14"/>
    </row>
    <row r="66" spans="1:7">
      <c r="A66" s="15" t="s">
        <v>694</v>
      </c>
      <c r="B66" s="5">
        <v>12</v>
      </c>
      <c r="C66" s="16">
        <v>42.3</v>
      </c>
      <c r="D66" s="16">
        <v>63.8</v>
      </c>
      <c r="E66" s="21">
        <v>737</v>
      </c>
      <c r="G66" s="14"/>
    </row>
    <row r="67" spans="1:7">
      <c r="A67" s="15" t="s">
        <v>694</v>
      </c>
      <c r="B67" s="5" t="s">
        <v>650</v>
      </c>
      <c r="C67" s="18">
        <f>AVERAGE(C55:C66)</f>
        <v>56.941666666666663</v>
      </c>
      <c r="D67" s="20">
        <f>AVERAGE(D55:D66)</f>
        <v>77.98333333333332</v>
      </c>
      <c r="E67" s="27">
        <f>AVERAGE(E55:E66)</f>
        <v>1378.4166666666667</v>
      </c>
      <c r="G67" s="14"/>
    </row>
    <row r="68" spans="1:7" ht="15">
      <c r="A68" s="24" t="s">
        <v>687</v>
      </c>
      <c r="B68" s="5">
        <v>1</v>
      </c>
      <c r="C68" s="25">
        <v>11.8</v>
      </c>
      <c r="D68" s="25">
        <v>29.9</v>
      </c>
      <c r="E68" s="26">
        <v>486</v>
      </c>
      <c r="G68" s="14"/>
    </row>
    <row r="69" spans="1:7" ht="15">
      <c r="A69" s="24" t="s">
        <v>687</v>
      </c>
      <c r="B69" s="5">
        <v>2</v>
      </c>
      <c r="C69" s="25">
        <v>18.8</v>
      </c>
      <c r="D69" s="25">
        <v>37.9</v>
      </c>
      <c r="E69" s="26">
        <v>763</v>
      </c>
      <c r="G69" s="14"/>
    </row>
    <row r="70" spans="1:7" ht="15">
      <c r="A70" s="24" t="s">
        <v>687</v>
      </c>
      <c r="B70" s="5">
        <v>3</v>
      </c>
      <c r="C70" s="25">
        <v>23.6</v>
      </c>
      <c r="D70" s="25">
        <v>44</v>
      </c>
      <c r="E70" s="26">
        <v>1190</v>
      </c>
      <c r="G70" s="14"/>
    </row>
    <row r="71" spans="1:7" ht="15">
      <c r="A71" s="24" t="s">
        <v>687</v>
      </c>
      <c r="B71" s="5">
        <v>4</v>
      </c>
      <c r="C71" s="25">
        <v>33.200000000000003</v>
      </c>
      <c r="D71" s="25">
        <v>55.9</v>
      </c>
      <c r="E71" s="26">
        <v>1526</v>
      </c>
      <c r="G71" s="14"/>
    </row>
    <row r="72" spans="1:7" ht="15">
      <c r="A72" s="24" t="s">
        <v>687</v>
      </c>
      <c r="B72" s="5">
        <v>5</v>
      </c>
      <c r="C72" s="25">
        <v>43.3</v>
      </c>
      <c r="D72" s="25">
        <v>66.400000000000006</v>
      </c>
      <c r="E72" s="26">
        <v>1913</v>
      </c>
      <c r="G72" s="14"/>
    </row>
    <row r="73" spans="1:7" ht="15">
      <c r="A73" s="24" t="s">
        <v>687</v>
      </c>
      <c r="B73" s="5">
        <v>6</v>
      </c>
      <c r="C73" s="25">
        <v>51.6</v>
      </c>
      <c r="D73" s="25">
        <v>76.3</v>
      </c>
      <c r="E73" s="26">
        <v>2174</v>
      </c>
      <c r="G73" s="14"/>
    </row>
    <row r="74" spans="1:7" ht="15">
      <c r="A74" s="24" t="s">
        <v>687</v>
      </c>
      <c r="B74" s="5">
        <v>7</v>
      </c>
      <c r="C74" s="25">
        <v>58</v>
      </c>
      <c r="D74" s="25">
        <v>86.6</v>
      </c>
      <c r="E74" s="26">
        <v>2384</v>
      </c>
      <c r="G74" s="14"/>
    </row>
    <row r="75" spans="1:7" ht="15">
      <c r="A75" s="24" t="s">
        <v>687</v>
      </c>
      <c r="B75" s="5">
        <v>8</v>
      </c>
      <c r="C75" s="25">
        <v>56.2</v>
      </c>
      <c r="D75" s="25">
        <v>84.3</v>
      </c>
      <c r="E75" s="26">
        <v>2022</v>
      </c>
      <c r="G75" s="14"/>
    </row>
    <row r="76" spans="1:7" ht="15">
      <c r="A76" s="24" t="s">
        <v>687</v>
      </c>
      <c r="B76" s="5">
        <v>9</v>
      </c>
      <c r="C76" s="25">
        <v>46.5</v>
      </c>
      <c r="D76" s="25">
        <v>72.3</v>
      </c>
      <c r="E76" s="26">
        <v>1470</v>
      </c>
      <c r="G76" s="14"/>
    </row>
    <row r="77" spans="1:7" ht="15">
      <c r="A77" s="24" t="s">
        <v>687</v>
      </c>
      <c r="B77" s="5">
        <v>10</v>
      </c>
      <c r="C77" s="25">
        <v>37.5</v>
      </c>
      <c r="D77" s="25">
        <v>61</v>
      </c>
      <c r="E77" s="26">
        <v>987</v>
      </c>
      <c r="G77" s="14"/>
    </row>
    <row r="78" spans="1:7" ht="15">
      <c r="A78" s="24" t="s">
        <v>687</v>
      </c>
      <c r="B78" s="5">
        <v>11</v>
      </c>
      <c r="C78" s="25">
        <v>25.5</v>
      </c>
      <c r="D78" s="25">
        <v>44.4</v>
      </c>
      <c r="E78" s="26">
        <v>561</v>
      </c>
      <c r="G78" s="14"/>
    </row>
    <row r="79" spans="1:7" ht="15">
      <c r="A79" s="24" t="s">
        <v>687</v>
      </c>
      <c r="B79" s="5">
        <v>12</v>
      </c>
      <c r="C79" s="25">
        <v>18.2</v>
      </c>
      <c r="D79" s="25">
        <v>36</v>
      </c>
      <c r="E79" s="26">
        <v>421</v>
      </c>
      <c r="G79" s="14"/>
    </row>
    <row r="80" spans="1:7" ht="15">
      <c r="A80" s="24" t="s">
        <v>687</v>
      </c>
      <c r="B80" s="5" t="s">
        <v>650</v>
      </c>
      <c r="C80" s="20">
        <f>AVERAGE(C68:C79)</f>
        <v>35.35</v>
      </c>
      <c r="D80" s="20">
        <f>AVERAGE(D68:D79)</f>
        <v>57.916666666666664</v>
      </c>
      <c r="E80" s="19">
        <f>AVERAGE(E68:E79)</f>
        <v>1324.75</v>
      </c>
      <c r="G80" s="14"/>
    </row>
    <row r="81" spans="1:7" ht="15">
      <c r="A81" s="24" t="s">
        <v>718</v>
      </c>
      <c r="B81" s="5">
        <v>1</v>
      </c>
      <c r="C81" s="25">
        <v>33</v>
      </c>
      <c r="D81" s="25">
        <v>52.7</v>
      </c>
      <c r="E81" s="26">
        <v>707</v>
      </c>
      <c r="G81" s="13"/>
    </row>
    <row r="82" spans="1:7" ht="15">
      <c r="A82" s="24" t="s">
        <v>718</v>
      </c>
      <c r="B82" s="5">
        <v>2</v>
      </c>
      <c r="C82" s="25">
        <v>35.200000000000003</v>
      </c>
      <c r="D82" s="25">
        <v>57.3</v>
      </c>
      <c r="E82" s="26">
        <v>967</v>
      </c>
      <c r="G82" s="13"/>
    </row>
    <row r="83" spans="1:7" ht="15">
      <c r="A83" s="24" t="s">
        <v>718</v>
      </c>
      <c r="B83" s="5">
        <v>3</v>
      </c>
      <c r="C83" s="25">
        <v>42.1</v>
      </c>
      <c r="D83" s="25">
        <v>65.2</v>
      </c>
      <c r="E83" s="26">
        <v>1296</v>
      </c>
      <c r="G83" s="13"/>
    </row>
    <row r="84" spans="1:7" ht="15">
      <c r="A84" s="24" t="s">
        <v>718</v>
      </c>
      <c r="B84" s="5">
        <v>4</v>
      </c>
      <c r="C84" s="25">
        <v>50.4</v>
      </c>
      <c r="D84" s="25">
        <v>75.2</v>
      </c>
      <c r="E84" s="26">
        <v>1674</v>
      </c>
      <c r="G84" s="13"/>
    </row>
    <row r="85" spans="1:7" ht="15">
      <c r="A85" s="24" t="s">
        <v>718</v>
      </c>
      <c r="B85" s="5">
        <v>5</v>
      </c>
      <c r="C85" s="25">
        <v>58.3</v>
      </c>
      <c r="D85" s="25">
        <v>81.599999999999994</v>
      </c>
      <c r="E85" s="26">
        <v>1857</v>
      </c>
      <c r="G85" s="13"/>
    </row>
    <row r="86" spans="1:7" ht="15">
      <c r="A86" s="24" t="s">
        <v>718</v>
      </c>
      <c r="B86" s="5">
        <v>6</v>
      </c>
      <c r="C86" s="25">
        <v>65.900000000000006</v>
      </c>
      <c r="D86" s="25">
        <v>87.9</v>
      </c>
      <c r="E86" s="26">
        <v>1919</v>
      </c>
      <c r="G86" s="13"/>
    </row>
    <row r="87" spans="1:7" ht="15">
      <c r="A87" s="24" t="s">
        <v>718</v>
      </c>
      <c r="B87" s="5">
        <v>7</v>
      </c>
      <c r="C87" s="25">
        <v>69.8</v>
      </c>
      <c r="D87" s="25">
        <v>90.3</v>
      </c>
      <c r="E87" s="26">
        <v>1810</v>
      </c>
      <c r="G87" s="13"/>
    </row>
    <row r="88" spans="1:7" ht="15">
      <c r="A88" s="24" t="s">
        <v>718</v>
      </c>
      <c r="B88" s="5">
        <v>8</v>
      </c>
      <c r="C88" s="25">
        <v>69.099999999999994</v>
      </c>
      <c r="D88" s="25">
        <v>89.7</v>
      </c>
      <c r="E88" s="26">
        <v>1724</v>
      </c>
      <c r="G88" s="13"/>
    </row>
    <row r="89" spans="1:7" ht="15">
      <c r="A89" s="24" t="s">
        <v>718</v>
      </c>
      <c r="B89" s="5">
        <v>9</v>
      </c>
      <c r="C89" s="25">
        <v>63.6</v>
      </c>
      <c r="D89" s="25">
        <v>84.6</v>
      </c>
      <c r="E89" s="26">
        <v>1455</v>
      </c>
      <c r="G89" s="13"/>
    </row>
    <row r="90" spans="1:7" ht="15">
      <c r="A90" s="24" t="s">
        <v>718</v>
      </c>
      <c r="B90" s="5">
        <v>10</v>
      </c>
      <c r="C90" s="25">
        <v>50.4</v>
      </c>
      <c r="D90" s="25">
        <v>74.8</v>
      </c>
      <c r="E90" s="26">
        <v>1211</v>
      </c>
      <c r="G90" s="13"/>
    </row>
    <row r="91" spans="1:7" ht="15">
      <c r="A91" s="24" t="s">
        <v>718</v>
      </c>
      <c r="B91" s="5">
        <v>11</v>
      </c>
      <c r="C91" s="25">
        <v>40.5</v>
      </c>
      <c r="D91" s="25">
        <v>63.7</v>
      </c>
      <c r="E91" s="26">
        <v>858</v>
      </c>
      <c r="G91" s="13"/>
    </row>
    <row r="92" spans="1:7" ht="15">
      <c r="A92" s="24" t="s">
        <v>718</v>
      </c>
      <c r="B92" s="5">
        <v>12</v>
      </c>
      <c r="C92" s="25">
        <v>35.200000000000003</v>
      </c>
      <c r="D92" s="25">
        <v>55.9</v>
      </c>
      <c r="E92" s="26">
        <v>661</v>
      </c>
      <c r="G92" s="13"/>
    </row>
    <row r="93" spans="1:7" ht="15">
      <c r="A93" s="24" t="s">
        <v>718</v>
      </c>
      <c r="B93" s="5" t="s">
        <v>650</v>
      </c>
      <c r="C93" s="18">
        <f>AVERAGE(C81:C92)</f>
        <v>51.125</v>
      </c>
      <c r="D93" s="18">
        <f>AVERAGE(D81:D92)</f>
        <v>73.24166666666666</v>
      </c>
      <c r="E93" s="27">
        <f>AVERAGE(E81:E92)</f>
        <v>1344.9166666666667</v>
      </c>
      <c r="G93" s="13"/>
    </row>
    <row r="94" spans="1:7" ht="15">
      <c r="A94" s="24" t="s">
        <v>683</v>
      </c>
      <c r="B94" s="5">
        <v>1</v>
      </c>
      <c r="C94" s="25">
        <v>17</v>
      </c>
      <c r="D94" s="25">
        <v>30</v>
      </c>
      <c r="E94" s="26">
        <v>349</v>
      </c>
      <c r="G94" s="14"/>
    </row>
    <row r="95" spans="1:7" ht="15">
      <c r="A95" s="24" t="s">
        <v>683</v>
      </c>
      <c r="B95" s="5">
        <v>2</v>
      </c>
      <c r="C95" s="25">
        <v>17.5</v>
      </c>
      <c r="D95" s="25">
        <v>31.4</v>
      </c>
      <c r="E95" s="26">
        <v>546</v>
      </c>
      <c r="G95" s="14"/>
    </row>
    <row r="96" spans="1:7" ht="15">
      <c r="A96" s="24" t="s">
        <v>683</v>
      </c>
      <c r="B96" s="5">
        <v>3</v>
      </c>
      <c r="C96" s="25">
        <v>25.6</v>
      </c>
      <c r="D96" s="25">
        <v>40.4</v>
      </c>
      <c r="E96" s="26">
        <v>889</v>
      </c>
      <c r="G96" s="14"/>
    </row>
    <row r="97" spans="1:7" ht="15">
      <c r="A97" s="24" t="s">
        <v>683</v>
      </c>
      <c r="B97" s="5">
        <v>4</v>
      </c>
      <c r="C97" s="25">
        <v>36.299999999999997</v>
      </c>
      <c r="D97" s="25">
        <v>54.4</v>
      </c>
      <c r="E97" s="26">
        <v>1315</v>
      </c>
      <c r="G97" s="14"/>
    </row>
    <row r="98" spans="1:7" ht="15">
      <c r="A98" s="24" t="s">
        <v>683</v>
      </c>
      <c r="B98" s="5">
        <v>5</v>
      </c>
      <c r="C98" s="25">
        <v>46.3</v>
      </c>
      <c r="D98" s="25">
        <v>65.900000000000006</v>
      </c>
      <c r="E98" s="26">
        <v>1597</v>
      </c>
      <c r="G98" s="14"/>
    </row>
    <row r="99" spans="1:7" ht="15">
      <c r="A99" s="24" t="s">
        <v>683</v>
      </c>
      <c r="B99" s="5">
        <v>6</v>
      </c>
      <c r="C99" s="25">
        <v>56.4</v>
      </c>
      <c r="D99" s="25">
        <v>75.599999999999994</v>
      </c>
      <c r="E99" s="26">
        <v>1804</v>
      </c>
      <c r="G99" s="14"/>
    </row>
    <row r="100" spans="1:7" ht="15">
      <c r="A100" s="24" t="s">
        <v>683</v>
      </c>
      <c r="B100" s="5">
        <v>7</v>
      </c>
      <c r="C100" s="25">
        <v>61.2</v>
      </c>
      <c r="D100" s="25">
        <v>80.2</v>
      </c>
      <c r="E100" s="26">
        <v>1776</v>
      </c>
      <c r="G100" s="14"/>
    </row>
    <row r="101" spans="1:7" ht="15">
      <c r="A101" s="24" t="s">
        <v>683</v>
      </c>
      <c r="B101" s="5">
        <v>8</v>
      </c>
      <c r="C101" s="25">
        <v>59.6</v>
      </c>
      <c r="D101" s="25">
        <v>78.2</v>
      </c>
      <c r="E101" s="26">
        <v>1513</v>
      </c>
      <c r="G101" s="14"/>
    </row>
    <row r="102" spans="1:7" ht="15">
      <c r="A102" s="24" t="s">
        <v>683</v>
      </c>
      <c r="B102" s="5">
        <v>9</v>
      </c>
      <c r="C102" s="25">
        <v>52.7</v>
      </c>
      <c r="D102" s="25">
        <v>71.400000000000006</v>
      </c>
      <c r="E102" s="26">
        <v>1152</v>
      </c>
      <c r="G102" s="14"/>
    </row>
    <row r="103" spans="1:7" ht="15">
      <c r="A103" s="24" t="s">
        <v>683</v>
      </c>
      <c r="B103" s="5">
        <v>10</v>
      </c>
      <c r="C103" s="25">
        <v>42.7</v>
      </c>
      <c r="D103" s="25">
        <v>60.2</v>
      </c>
      <c r="E103" s="26">
        <v>784</v>
      </c>
      <c r="G103" s="14"/>
    </row>
    <row r="104" spans="1:7" ht="15">
      <c r="A104" s="24" t="s">
        <v>683</v>
      </c>
      <c r="B104" s="5">
        <v>11</v>
      </c>
      <c r="C104" s="25">
        <v>33.6</v>
      </c>
      <c r="D104" s="25">
        <v>47</v>
      </c>
      <c r="E104" s="26">
        <v>403</v>
      </c>
      <c r="G104" s="14"/>
    </row>
    <row r="105" spans="1:7" ht="15">
      <c r="A105" s="24" t="s">
        <v>683</v>
      </c>
      <c r="B105" s="5">
        <v>12</v>
      </c>
      <c r="C105" s="25">
        <v>22.5</v>
      </c>
      <c r="D105" s="25">
        <v>35</v>
      </c>
      <c r="E105" s="26">
        <v>283</v>
      </c>
      <c r="G105" s="14"/>
    </row>
    <row r="106" spans="1:7" ht="15">
      <c r="A106" s="24" t="s">
        <v>683</v>
      </c>
      <c r="B106" s="5" t="s">
        <v>650</v>
      </c>
      <c r="C106" s="20">
        <f>AVERAGE(C94:C105)</f>
        <v>39.283333333333339</v>
      </c>
      <c r="D106" s="20">
        <f>AVERAGE(D94:D105)</f>
        <v>55.808333333333337</v>
      </c>
      <c r="E106" s="19">
        <f>AVERAGE(E94:E105)</f>
        <v>1034.25</v>
      </c>
      <c r="G106" s="14"/>
    </row>
    <row r="107" spans="1:7">
      <c r="A107" s="15" t="s">
        <v>661</v>
      </c>
      <c r="B107" s="5">
        <v>1</v>
      </c>
      <c r="C107" s="16">
        <v>23.9</v>
      </c>
      <c r="D107" s="16">
        <v>41.8</v>
      </c>
      <c r="E107" s="21">
        <v>498</v>
      </c>
      <c r="G107" s="14"/>
    </row>
    <row r="108" spans="1:7">
      <c r="A108" s="15" t="s">
        <v>661</v>
      </c>
      <c r="B108" s="5">
        <v>2</v>
      </c>
      <c r="C108" s="16">
        <v>25.8</v>
      </c>
      <c r="D108" s="16">
        <v>45.4</v>
      </c>
      <c r="E108" s="21">
        <v>707</v>
      </c>
      <c r="G108" s="14"/>
    </row>
    <row r="109" spans="1:7">
      <c r="A109" s="15" t="s">
        <v>661</v>
      </c>
      <c r="B109" s="5">
        <v>3</v>
      </c>
      <c r="C109" s="16">
        <v>34.1</v>
      </c>
      <c r="D109" s="16">
        <v>55.4</v>
      </c>
      <c r="E109" s="21">
        <v>1010</v>
      </c>
      <c r="G109" s="14"/>
    </row>
    <row r="110" spans="1:7">
      <c r="A110" s="15" t="s">
        <v>661</v>
      </c>
      <c r="B110" s="5">
        <v>4</v>
      </c>
      <c r="C110" s="16">
        <v>43.3</v>
      </c>
      <c r="D110" s="16">
        <v>67.3</v>
      </c>
      <c r="E110" s="21">
        <v>1356</v>
      </c>
      <c r="G110" s="14"/>
    </row>
    <row r="111" spans="1:7">
      <c r="A111" s="15" t="s">
        <v>661</v>
      </c>
      <c r="B111" s="5">
        <v>5</v>
      </c>
      <c r="C111" s="16">
        <v>51.8</v>
      </c>
      <c r="D111" s="16">
        <v>76</v>
      </c>
      <c r="E111" s="21">
        <v>1639</v>
      </c>
      <c r="G111" s="14"/>
    </row>
    <row r="112" spans="1:7">
      <c r="A112" s="15" t="s">
        <v>661</v>
      </c>
      <c r="B112" s="5">
        <v>6</v>
      </c>
      <c r="C112" s="16">
        <v>59.4</v>
      </c>
      <c r="D112" s="16">
        <v>82.5</v>
      </c>
      <c r="E112" s="21">
        <v>1776</v>
      </c>
      <c r="G112" s="14"/>
    </row>
    <row r="113" spans="1:7">
      <c r="A113" s="15" t="s">
        <v>661</v>
      </c>
      <c r="B113" s="5">
        <v>7</v>
      </c>
      <c r="C113" s="16">
        <v>63.8</v>
      </c>
      <c r="D113" s="16">
        <v>85.2</v>
      </c>
      <c r="E113" s="21">
        <v>1683</v>
      </c>
      <c r="G113" s="14"/>
    </row>
    <row r="114" spans="1:7">
      <c r="A114" s="15" t="s">
        <v>661</v>
      </c>
      <c r="B114" s="5">
        <v>8</v>
      </c>
      <c r="C114" s="16">
        <v>63.1</v>
      </c>
      <c r="D114" s="16">
        <v>84.2</v>
      </c>
      <c r="E114" s="21">
        <v>1514</v>
      </c>
      <c r="G114" s="14"/>
    </row>
    <row r="115" spans="1:7">
      <c r="A115" s="15" t="s">
        <v>661</v>
      </c>
      <c r="B115" s="5">
        <v>9</v>
      </c>
      <c r="C115" s="16">
        <v>56.4</v>
      </c>
      <c r="D115" s="16">
        <v>78.7</v>
      </c>
      <c r="E115" s="21">
        <v>1272</v>
      </c>
      <c r="G115" s="14"/>
    </row>
    <row r="116" spans="1:7">
      <c r="A116" s="15" t="s">
        <v>661</v>
      </c>
      <c r="B116" s="5">
        <v>10</v>
      </c>
      <c r="C116" s="16">
        <v>44</v>
      </c>
      <c r="D116" s="16">
        <v>67.7</v>
      </c>
      <c r="E116" s="21">
        <v>972</v>
      </c>
      <c r="G116" s="14"/>
    </row>
    <row r="117" spans="1:7">
      <c r="A117" s="15" t="s">
        <v>661</v>
      </c>
      <c r="B117" s="5">
        <v>11</v>
      </c>
      <c r="C117" s="16">
        <v>35</v>
      </c>
      <c r="D117" s="16">
        <v>55.6</v>
      </c>
      <c r="E117" s="21">
        <v>613</v>
      </c>
      <c r="G117" s="14"/>
    </row>
    <row r="118" spans="1:7">
      <c r="A118" s="15" t="s">
        <v>661</v>
      </c>
      <c r="B118" s="5">
        <v>12</v>
      </c>
      <c r="C118" s="16">
        <v>27.8</v>
      </c>
      <c r="D118" s="16">
        <v>45.9</v>
      </c>
      <c r="E118" s="21">
        <v>440</v>
      </c>
      <c r="G118" s="14"/>
    </row>
    <row r="119" spans="1:7">
      <c r="A119" s="15" t="s">
        <v>661</v>
      </c>
      <c r="B119" s="5" t="s">
        <v>650</v>
      </c>
      <c r="C119" s="20">
        <f>AVERAGE(C107:C118)</f>
        <v>44.033333333333331</v>
      </c>
      <c r="D119" s="20">
        <f>AVERAGE(D107:D118)</f>
        <v>65.475000000000009</v>
      </c>
      <c r="E119" s="19">
        <f>AVERAGE(E107:E118)</f>
        <v>1123.3333333333333</v>
      </c>
      <c r="G119" s="14"/>
    </row>
    <row r="120" spans="1:7">
      <c r="A120" s="15" t="s">
        <v>656</v>
      </c>
      <c r="B120" s="5">
        <v>1</v>
      </c>
      <c r="C120" s="16">
        <v>14.8</v>
      </c>
      <c r="D120" s="16">
        <v>37.299999999999997</v>
      </c>
      <c r="E120" s="21">
        <v>766</v>
      </c>
      <c r="G120" s="14"/>
    </row>
    <row r="121" spans="1:7">
      <c r="A121" s="15" t="s">
        <v>656</v>
      </c>
      <c r="B121" s="5">
        <v>2</v>
      </c>
      <c r="C121" s="16">
        <v>17.899999999999999</v>
      </c>
      <c r="D121" s="16">
        <v>40.700000000000003</v>
      </c>
      <c r="E121" s="21">
        <v>1068</v>
      </c>
      <c r="G121" s="14"/>
    </row>
    <row r="122" spans="1:7">
      <c r="A122" s="15" t="s">
        <v>656</v>
      </c>
      <c r="B122" s="5">
        <v>3</v>
      </c>
      <c r="C122" s="16">
        <v>20.6</v>
      </c>
      <c r="D122" s="16">
        <v>43.6</v>
      </c>
      <c r="E122" s="21">
        <v>1433</v>
      </c>
      <c r="G122" s="14"/>
    </row>
    <row r="123" spans="1:7">
      <c r="A123" s="15" t="s">
        <v>656</v>
      </c>
      <c r="B123" s="5">
        <v>4</v>
      </c>
      <c r="C123" s="16">
        <v>29.6</v>
      </c>
      <c r="D123" s="16">
        <v>54</v>
      </c>
      <c r="E123" s="21">
        <v>1771</v>
      </c>
      <c r="G123" s="14"/>
    </row>
    <row r="124" spans="1:7">
      <c r="A124" s="15" t="s">
        <v>656</v>
      </c>
      <c r="B124" s="5">
        <v>5</v>
      </c>
      <c r="C124" s="16">
        <v>39.700000000000003</v>
      </c>
      <c r="D124" s="16">
        <v>64.599999999999994</v>
      </c>
      <c r="E124" s="21">
        <v>1995</v>
      </c>
      <c r="G124" s="14"/>
    </row>
    <row r="125" spans="1:7">
      <c r="A125" s="15" t="s">
        <v>656</v>
      </c>
      <c r="B125" s="5">
        <v>6</v>
      </c>
      <c r="C125" s="16">
        <v>48.5</v>
      </c>
      <c r="D125" s="16">
        <v>75.400000000000006</v>
      </c>
      <c r="E125" s="21">
        <v>2258</v>
      </c>
      <c r="G125" s="14"/>
    </row>
    <row r="126" spans="1:7">
      <c r="A126" s="15" t="s">
        <v>656</v>
      </c>
      <c r="B126" s="5">
        <v>7</v>
      </c>
      <c r="C126" s="16">
        <v>54.6</v>
      </c>
      <c r="D126" s="16">
        <v>83.1</v>
      </c>
      <c r="E126" s="21">
        <v>2230</v>
      </c>
      <c r="G126" s="14"/>
    </row>
    <row r="127" spans="1:7">
      <c r="A127" s="15" t="s">
        <v>656</v>
      </c>
      <c r="B127" s="5">
        <v>8</v>
      </c>
      <c r="C127" s="16">
        <v>52.8</v>
      </c>
      <c r="D127" s="16">
        <v>80.8</v>
      </c>
      <c r="E127" s="21">
        <v>1966</v>
      </c>
      <c r="G127" s="14"/>
    </row>
    <row r="128" spans="1:7">
      <c r="A128" s="15" t="s">
        <v>656</v>
      </c>
      <c r="B128" s="5">
        <v>9</v>
      </c>
      <c r="C128" s="16">
        <v>43.7</v>
      </c>
      <c r="D128" s="16">
        <v>72.099999999999994</v>
      </c>
      <c r="E128" s="21">
        <v>1667</v>
      </c>
      <c r="G128" s="14"/>
    </row>
    <row r="129" spans="1:7">
      <c r="A129" s="15" t="s">
        <v>656</v>
      </c>
      <c r="B129" s="5">
        <v>10</v>
      </c>
      <c r="C129" s="16">
        <v>34</v>
      </c>
      <c r="D129" s="16">
        <v>61</v>
      </c>
      <c r="E129" s="21">
        <v>1242</v>
      </c>
      <c r="G129" s="14"/>
    </row>
    <row r="130" spans="1:7">
      <c r="A130" s="15" t="s">
        <v>656</v>
      </c>
      <c r="B130" s="5">
        <v>11</v>
      </c>
      <c r="C130" s="16">
        <v>23.1</v>
      </c>
      <c r="D130" s="16">
        <v>46.5</v>
      </c>
      <c r="E130" s="21">
        <v>823</v>
      </c>
      <c r="G130" s="14"/>
    </row>
    <row r="131" spans="1:7">
      <c r="A131" s="15" t="s">
        <v>656</v>
      </c>
      <c r="B131" s="5">
        <v>12</v>
      </c>
      <c r="C131" s="16">
        <v>18.2</v>
      </c>
      <c r="D131" s="16">
        <v>40.4</v>
      </c>
      <c r="E131" s="21">
        <v>671</v>
      </c>
      <c r="G131" s="14"/>
    </row>
    <row r="132" spans="1:7">
      <c r="A132" s="15" t="s">
        <v>656</v>
      </c>
      <c r="B132" s="5" t="s">
        <v>650</v>
      </c>
      <c r="C132" s="20">
        <f>AVERAGE(C120:C131)</f>
        <v>33.125</v>
      </c>
      <c r="D132" s="20">
        <f>AVERAGE(D120:D131)</f>
        <v>58.291666666666664</v>
      </c>
      <c r="E132" s="19">
        <f>AVERAGE(E120:E131)</f>
        <v>1490.8333333333333</v>
      </c>
      <c r="G132" s="14"/>
    </row>
    <row r="133" spans="1:7" ht="15">
      <c r="A133" s="24" t="s">
        <v>699</v>
      </c>
      <c r="B133" s="5">
        <v>1</v>
      </c>
      <c r="C133" s="25">
        <v>13.6</v>
      </c>
      <c r="D133" s="25">
        <v>29.2</v>
      </c>
      <c r="E133" s="26">
        <v>507</v>
      </c>
      <c r="G133" s="14"/>
    </row>
    <row r="134" spans="1:7" ht="15">
      <c r="A134" s="24" t="s">
        <v>699</v>
      </c>
      <c r="B134" s="5">
        <v>2</v>
      </c>
      <c r="C134" s="25">
        <v>18.100000000000001</v>
      </c>
      <c r="D134" s="25">
        <v>33.9</v>
      </c>
      <c r="E134" s="26">
        <v>760</v>
      </c>
      <c r="G134" s="14"/>
    </row>
    <row r="135" spans="1:7" ht="15">
      <c r="A135" s="24" t="s">
        <v>699</v>
      </c>
      <c r="B135" s="5">
        <v>3</v>
      </c>
      <c r="C135" s="25">
        <v>27.6</v>
      </c>
      <c r="D135" s="25">
        <v>44.3</v>
      </c>
      <c r="E135" s="26">
        <v>1107</v>
      </c>
      <c r="G135" s="14"/>
    </row>
    <row r="136" spans="1:7" ht="15">
      <c r="A136" s="24" t="s">
        <v>699</v>
      </c>
      <c r="B136" s="5">
        <v>4</v>
      </c>
      <c r="C136" s="25">
        <v>38.799999999999997</v>
      </c>
      <c r="D136" s="25">
        <v>58.8</v>
      </c>
      <c r="E136" s="26">
        <v>1459</v>
      </c>
      <c r="G136" s="14"/>
    </row>
    <row r="137" spans="1:7" ht="15">
      <c r="A137" s="24" t="s">
        <v>699</v>
      </c>
      <c r="B137" s="5">
        <v>5</v>
      </c>
      <c r="C137" s="25">
        <v>48.1</v>
      </c>
      <c r="D137" s="25">
        <v>70</v>
      </c>
      <c r="E137" s="26">
        <v>1789</v>
      </c>
      <c r="G137" s="14"/>
    </row>
    <row r="138" spans="1:7" ht="15">
      <c r="A138" s="24" t="s">
        <v>699</v>
      </c>
      <c r="B138" s="5">
        <v>6</v>
      </c>
      <c r="C138" s="25">
        <v>57.7</v>
      </c>
      <c r="D138" s="25">
        <v>79.400000000000006</v>
      </c>
      <c r="E138" s="26">
        <v>2007</v>
      </c>
      <c r="G138" s="14"/>
    </row>
    <row r="139" spans="1:7" ht="15">
      <c r="A139" s="24" t="s">
        <v>699</v>
      </c>
      <c r="B139" s="5">
        <v>7</v>
      </c>
      <c r="C139" s="25">
        <v>62.7</v>
      </c>
      <c r="D139" s="25">
        <v>83.3</v>
      </c>
      <c r="E139" s="26">
        <v>1944</v>
      </c>
      <c r="G139" s="14"/>
    </row>
    <row r="140" spans="1:7" ht="15">
      <c r="A140" s="24" t="s">
        <v>699</v>
      </c>
      <c r="B140" s="5">
        <v>8</v>
      </c>
      <c r="C140" s="25">
        <v>61.7</v>
      </c>
      <c r="D140" s="25">
        <v>82.1</v>
      </c>
      <c r="E140" s="26">
        <v>1719</v>
      </c>
      <c r="G140" s="14"/>
    </row>
    <row r="141" spans="1:7" ht="15">
      <c r="A141" s="24" t="s">
        <v>699</v>
      </c>
      <c r="B141" s="5">
        <v>9</v>
      </c>
      <c r="C141" s="25">
        <v>53.9</v>
      </c>
      <c r="D141" s="25">
        <v>75.5</v>
      </c>
      <c r="E141" s="26">
        <v>1354</v>
      </c>
      <c r="G141" s="14"/>
    </row>
    <row r="142" spans="1:7" ht="15">
      <c r="A142" s="24" t="s">
        <v>699</v>
      </c>
      <c r="B142" s="5">
        <v>10</v>
      </c>
      <c r="C142" s="25">
        <v>42.9</v>
      </c>
      <c r="D142" s="25">
        <v>64.099999999999994</v>
      </c>
      <c r="E142" s="26">
        <v>969</v>
      </c>
      <c r="G142" s="14"/>
    </row>
    <row r="143" spans="1:7" ht="15">
      <c r="A143" s="24" t="s">
        <v>699</v>
      </c>
      <c r="B143" s="5">
        <v>11</v>
      </c>
      <c r="C143" s="25">
        <v>31.4</v>
      </c>
      <c r="D143" s="25">
        <v>48.2</v>
      </c>
      <c r="E143" s="26">
        <v>566</v>
      </c>
      <c r="G143" s="14"/>
    </row>
    <row r="144" spans="1:7" ht="15">
      <c r="A144" s="24" t="s">
        <v>699</v>
      </c>
      <c r="B144" s="5">
        <v>12</v>
      </c>
      <c r="C144" s="25">
        <v>20.3</v>
      </c>
      <c r="D144" s="25">
        <v>35</v>
      </c>
      <c r="E144" s="26">
        <v>402</v>
      </c>
      <c r="G144" s="14"/>
    </row>
    <row r="145" spans="1:7" ht="15">
      <c r="A145" s="24" t="s">
        <v>699</v>
      </c>
      <c r="B145" s="5" t="s">
        <v>650</v>
      </c>
      <c r="C145" s="18">
        <f>AVERAGE(C133:C144)</f>
        <v>39.733333333333327</v>
      </c>
      <c r="D145" s="18">
        <f>AVERAGE(D133:D144)</f>
        <v>58.650000000000006</v>
      </c>
      <c r="E145" s="27">
        <f>AVERAGE(E133:E144)</f>
        <v>1215.25</v>
      </c>
      <c r="G145" s="14"/>
    </row>
    <row r="146" spans="1:7">
      <c r="A146" s="15" t="s">
        <v>681</v>
      </c>
      <c r="B146" s="5">
        <v>1</v>
      </c>
      <c r="C146" s="16">
        <v>18.5</v>
      </c>
      <c r="D146" s="16">
        <v>32.5</v>
      </c>
      <c r="E146" s="21">
        <v>388</v>
      </c>
      <c r="G146" s="14"/>
    </row>
    <row r="147" spans="1:7">
      <c r="A147" s="15" t="s">
        <v>681</v>
      </c>
      <c r="B147" s="5">
        <v>2</v>
      </c>
      <c r="C147" s="16">
        <v>19.899999999999999</v>
      </c>
      <c r="D147" s="16">
        <v>34.799999999999997</v>
      </c>
      <c r="E147" s="21">
        <v>601</v>
      </c>
      <c r="G147" s="14"/>
    </row>
    <row r="148" spans="1:7">
      <c r="A148" s="15" t="s">
        <v>681</v>
      </c>
      <c r="B148" s="5">
        <v>3</v>
      </c>
      <c r="C148" s="16">
        <v>28.4</v>
      </c>
      <c r="D148" s="16">
        <v>44.8</v>
      </c>
      <c r="E148" s="21">
        <v>922</v>
      </c>
      <c r="G148" s="14"/>
    </row>
    <row r="149" spans="1:7">
      <c r="A149" s="15" t="s">
        <v>681</v>
      </c>
      <c r="B149" s="5">
        <v>4</v>
      </c>
      <c r="C149" s="16">
        <v>38.299999999999997</v>
      </c>
      <c r="D149" s="16">
        <v>57.9</v>
      </c>
      <c r="E149" s="21">
        <v>1350</v>
      </c>
      <c r="G149" s="14"/>
    </row>
    <row r="150" spans="1:7">
      <c r="A150" s="15" t="s">
        <v>681</v>
      </c>
      <c r="B150" s="5">
        <v>5</v>
      </c>
      <c r="C150" s="16">
        <v>47.9</v>
      </c>
      <c r="D150" s="16">
        <v>68.5</v>
      </c>
      <c r="E150" s="21">
        <v>1681</v>
      </c>
      <c r="G150" s="14"/>
    </row>
    <row r="151" spans="1:7">
      <c r="A151" s="15" t="s">
        <v>681</v>
      </c>
      <c r="B151" s="5">
        <v>6</v>
      </c>
      <c r="C151" s="16">
        <v>57.2</v>
      </c>
      <c r="D151" s="16">
        <v>78</v>
      </c>
      <c r="E151" s="21">
        <v>1843</v>
      </c>
      <c r="G151" s="14"/>
    </row>
    <row r="152" spans="1:7">
      <c r="A152" s="15" t="s">
        <v>681</v>
      </c>
      <c r="B152" s="5">
        <v>7</v>
      </c>
      <c r="C152" s="16">
        <v>61.4</v>
      </c>
      <c r="D152" s="16">
        <v>81.7</v>
      </c>
      <c r="E152" s="21">
        <v>1828</v>
      </c>
      <c r="G152" s="14"/>
    </row>
    <row r="153" spans="1:7">
      <c r="A153" s="15" t="s">
        <v>681</v>
      </c>
      <c r="B153" s="5">
        <v>8</v>
      </c>
      <c r="C153" s="16">
        <v>60.5</v>
      </c>
      <c r="D153" s="16">
        <v>80.3</v>
      </c>
      <c r="E153" s="21">
        <v>1583</v>
      </c>
      <c r="G153" s="14"/>
    </row>
    <row r="154" spans="1:7">
      <c r="A154" s="15" t="s">
        <v>681</v>
      </c>
      <c r="B154" s="5">
        <v>9</v>
      </c>
      <c r="C154" s="16">
        <v>54</v>
      </c>
      <c r="D154" s="16">
        <v>74.2</v>
      </c>
      <c r="E154" s="21">
        <v>1240</v>
      </c>
      <c r="G154" s="14"/>
    </row>
    <row r="155" spans="1:7">
      <c r="A155" s="15" t="s">
        <v>681</v>
      </c>
      <c r="B155" s="5">
        <v>10</v>
      </c>
      <c r="C155" s="16">
        <v>43.6</v>
      </c>
      <c r="D155" s="16">
        <v>62.7</v>
      </c>
      <c r="E155" s="21">
        <v>867</v>
      </c>
      <c r="G155" s="14"/>
    </row>
    <row r="156" spans="1:7">
      <c r="A156" s="15" t="s">
        <v>681</v>
      </c>
      <c r="B156" s="5">
        <v>11</v>
      </c>
      <c r="C156" s="16">
        <v>34.299999999999997</v>
      </c>
      <c r="D156" s="16">
        <v>49.3</v>
      </c>
      <c r="E156" s="21">
        <v>466</v>
      </c>
      <c r="G156" s="14"/>
    </row>
    <row r="157" spans="1:7">
      <c r="A157" s="15" t="s">
        <v>681</v>
      </c>
      <c r="B157" s="5">
        <v>12</v>
      </c>
      <c r="C157" s="16">
        <v>24.6</v>
      </c>
      <c r="D157" s="16">
        <v>37.5</v>
      </c>
      <c r="E157" s="21">
        <v>318</v>
      </c>
      <c r="G157" s="14"/>
    </row>
    <row r="158" spans="1:7">
      <c r="A158" s="15" t="s">
        <v>681</v>
      </c>
      <c r="B158" s="5" t="s">
        <v>650</v>
      </c>
      <c r="C158" s="20">
        <f>AVERAGE(C146:C157)</f>
        <v>40.716666666666669</v>
      </c>
      <c r="D158" s="20">
        <f>AVERAGE(D146:D157)</f>
        <v>58.516666666666673</v>
      </c>
      <c r="E158" s="19">
        <f>AVERAGE(E146:E157)</f>
        <v>1090.5833333333333</v>
      </c>
      <c r="G158" s="14"/>
    </row>
    <row r="159" spans="1:7" ht="15">
      <c r="A159" s="24" t="s">
        <v>671</v>
      </c>
      <c r="B159" s="5">
        <v>1</v>
      </c>
      <c r="C159" s="25">
        <v>33.200000000000003</v>
      </c>
      <c r="D159" s="25">
        <v>56.2</v>
      </c>
      <c r="E159" s="26">
        <v>762</v>
      </c>
      <c r="G159" s="14"/>
    </row>
    <row r="160" spans="1:7" ht="15">
      <c r="A160" s="24" t="s">
        <v>671</v>
      </c>
      <c r="B160" s="5">
        <v>2</v>
      </c>
      <c r="C160" s="25">
        <v>34.6</v>
      </c>
      <c r="D160" s="25">
        <v>59.5</v>
      </c>
      <c r="E160" s="26">
        <v>1021</v>
      </c>
      <c r="G160" s="14"/>
    </row>
    <row r="161" spans="1:7" ht="15">
      <c r="A161" s="24" t="s">
        <v>671</v>
      </c>
      <c r="B161" s="5">
        <v>3</v>
      </c>
      <c r="C161" s="25">
        <v>41.9</v>
      </c>
      <c r="D161" s="25">
        <v>67.099999999999994</v>
      </c>
      <c r="E161" s="26">
        <v>1355</v>
      </c>
      <c r="G161" s="14"/>
    </row>
    <row r="162" spans="1:7" ht="15">
      <c r="A162" s="24" t="s">
        <v>671</v>
      </c>
      <c r="B162" s="5">
        <v>4</v>
      </c>
      <c r="C162" s="25">
        <v>50.5</v>
      </c>
      <c r="D162" s="25">
        <v>77</v>
      </c>
      <c r="E162" s="26">
        <v>1747</v>
      </c>
      <c r="G162" s="14"/>
    </row>
    <row r="163" spans="1:7" ht="15">
      <c r="A163" s="24" t="s">
        <v>671</v>
      </c>
      <c r="B163" s="5">
        <v>5</v>
      </c>
      <c r="C163" s="25">
        <v>59.1</v>
      </c>
      <c r="D163" s="25">
        <v>83.8</v>
      </c>
      <c r="E163" s="26">
        <v>1895</v>
      </c>
      <c r="G163" s="14"/>
    </row>
    <row r="164" spans="1:7" ht="15">
      <c r="A164" s="24" t="s">
        <v>671</v>
      </c>
      <c r="B164" s="5">
        <v>6</v>
      </c>
      <c r="C164" s="25">
        <v>66.099999999999994</v>
      </c>
      <c r="D164" s="25">
        <v>89.2</v>
      </c>
      <c r="E164" s="26">
        <v>1947</v>
      </c>
      <c r="G164" s="14"/>
    </row>
    <row r="165" spans="1:7" ht="15">
      <c r="A165" s="24" t="s">
        <v>671</v>
      </c>
      <c r="B165" s="5">
        <v>7</v>
      </c>
      <c r="C165" s="25">
        <v>70.099999999999994</v>
      </c>
      <c r="D165" s="25">
        <v>91.9</v>
      </c>
      <c r="E165" s="26">
        <v>1842</v>
      </c>
      <c r="G165" s="14"/>
    </row>
    <row r="166" spans="1:7" ht="15">
      <c r="A166" s="24" t="s">
        <v>671</v>
      </c>
      <c r="B166" s="5">
        <v>8</v>
      </c>
      <c r="C166" s="25">
        <v>69.400000000000006</v>
      </c>
      <c r="D166" s="25">
        <v>91</v>
      </c>
      <c r="E166" s="26">
        <v>1703</v>
      </c>
      <c r="G166" s="14"/>
    </row>
    <row r="167" spans="1:7" ht="15">
      <c r="A167" s="24" t="s">
        <v>671</v>
      </c>
      <c r="B167" s="5">
        <v>9</v>
      </c>
      <c r="C167" s="25">
        <v>63.9</v>
      </c>
      <c r="D167" s="25">
        <v>85.5</v>
      </c>
      <c r="E167" s="26">
        <v>1439</v>
      </c>
      <c r="G167" s="14"/>
    </row>
    <row r="168" spans="1:7" ht="15">
      <c r="A168" s="24" t="s">
        <v>671</v>
      </c>
      <c r="B168" s="5">
        <v>10</v>
      </c>
      <c r="C168" s="25">
        <v>50.3</v>
      </c>
      <c r="D168" s="25">
        <v>76.5</v>
      </c>
      <c r="E168" s="26">
        <v>1211</v>
      </c>
      <c r="G168" s="14"/>
    </row>
    <row r="169" spans="1:7" ht="15">
      <c r="A169" s="24" t="s">
        <v>671</v>
      </c>
      <c r="B169" s="5">
        <v>11</v>
      </c>
      <c r="C169" s="25">
        <v>40.6</v>
      </c>
      <c r="D169" s="25">
        <v>67.099999999999994</v>
      </c>
      <c r="E169" s="26">
        <v>921</v>
      </c>
      <c r="G169" s="14"/>
    </row>
    <row r="170" spans="1:7" ht="15">
      <c r="A170" s="24" t="s">
        <v>671</v>
      </c>
      <c r="B170" s="5">
        <v>12</v>
      </c>
      <c r="C170" s="25">
        <v>34.700000000000003</v>
      </c>
      <c r="D170" s="25">
        <v>58.8</v>
      </c>
      <c r="E170" s="26">
        <v>722</v>
      </c>
      <c r="G170" s="14"/>
    </row>
    <row r="171" spans="1:7" ht="15">
      <c r="A171" s="24" t="s">
        <v>671</v>
      </c>
      <c r="B171" s="5" t="s">
        <v>650</v>
      </c>
      <c r="C171" s="20">
        <f>AVERAGE(C159:C170)</f>
        <v>51.199999999999996</v>
      </c>
      <c r="D171" s="20">
        <f>AVERAGE(D159:D170)</f>
        <v>75.3</v>
      </c>
      <c r="E171" s="19">
        <f>AVERAGE(E159:E170)</f>
        <v>1380.4166666666667</v>
      </c>
      <c r="G171" s="14"/>
    </row>
    <row r="172" spans="1:7">
      <c r="A172" s="15" t="s">
        <v>680</v>
      </c>
      <c r="B172" s="5">
        <v>1</v>
      </c>
      <c r="C172" s="16">
        <v>19.399999999999999</v>
      </c>
      <c r="D172" s="16">
        <v>34.700000000000003</v>
      </c>
      <c r="E172" s="21">
        <v>459</v>
      </c>
      <c r="G172" s="14"/>
    </row>
    <row r="173" spans="1:7">
      <c r="A173" s="15" t="s">
        <v>680</v>
      </c>
      <c r="B173" s="5">
        <v>2</v>
      </c>
      <c r="C173" s="16">
        <v>21.5</v>
      </c>
      <c r="D173" s="16">
        <v>38.1</v>
      </c>
      <c r="E173" s="21">
        <v>677</v>
      </c>
      <c r="G173" s="14"/>
    </row>
    <row r="174" spans="1:7">
      <c r="A174" s="15" t="s">
        <v>680</v>
      </c>
      <c r="B174" s="5">
        <v>3</v>
      </c>
      <c r="C174" s="16">
        <v>30.6</v>
      </c>
      <c r="D174" s="16">
        <v>49.3</v>
      </c>
      <c r="E174" s="21">
        <v>980</v>
      </c>
      <c r="G174" s="14"/>
    </row>
    <row r="175" spans="1:7">
      <c r="A175" s="15" t="s">
        <v>680</v>
      </c>
      <c r="B175" s="5">
        <v>4</v>
      </c>
      <c r="C175" s="16">
        <v>40.5</v>
      </c>
      <c r="D175" s="16">
        <v>62.3</v>
      </c>
      <c r="E175" s="21">
        <v>1353</v>
      </c>
      <c r="G175" s="14"/>
    </row>
    <row r="176" spans="1:7">
      <c r="A176" s="15" t="s">
        <v>680</v>
      </c>
      <c r="B176" s="5">
        <v>5</v>
      </c>
      <c r="C176" s="16">
        <v>50.2</v>
      </c>
      <c r="D176" s="16">
        <v>72.599999999999994</v>
      </c>
      <c r="E176" s="21">
        <v>1647</v>
      </c>
      <c r="G176" s="14"/>
    </row>
    <row r="177" spans="1:7">
      <c r="A177" s="15" t="s">
        <v>680</v>
      </c>
      <c r="B177" s="5">
        <v>6</v>
      </c>
      <c r="C177" s="16">
        <v>59</v>
      </c>
      <c r="D177" s="16">
        <v>81.3</v>
      </c>
      <c r="E177" s="21">
        <v>1813</v>
      </c>
      <c r="G177" s="14"/>
    </row>
    <row r="178" spans="1:7">
      <c r="A178" s="15" t="s">
        <v>680</v>
      </c>
      <c r="B178" s="5">
        <v>7</v>
      </c>
      <c r="C178" s="16">
        <v>63.2</v>
      </c>
      <c r="D178" s="16">
        <v>84.4</v>
      </c>
      <c r="E178" s="21">
        <v>1755</v>
      </c>
      <c r="G178" s="14"/>
    </row>
    <row r="179" spans="1:7">
      <c r="A179" s="15" t="s">
        <v>680</v>
      </c>
      <c r="B179" s="5">
        <v>8</v>
      </c>
      <c r="C179" s="16">
        <v>61.7</v>
      </c>
      <c r="D179" s="16">
        <v>83</v>
      </c>
      <c r="E179" s="21">
        <v>1641</v>
      </c>
      <c r="G179" s="14"/>
    </row>
    <row r="180" spans="1:7">
      <c r="A180" s="15" t="s">
        <v>680</v>
      </c>
      <c r="B180" s="5">
        <v>9</v>
      </c>
      <c r="C180" s="16">
        <v>54.6</v>
      </c>
      <c r="D180" s="16">
        <v>76.900000000000006</v>
      </c>
      <c r="E180" s="21">
        <v>1282</v>
      </c>
      <c r="G180" s="14"/>
    </row>
    <row r="181" spans="1:7">
      <c r="A181" s="15" t="s">
        <v>680</v>
      </c>
      <c r="B181" s="5">
        <v>10</v>
      </c>
      <c r="C181" s="16">
        <v>42.8</v>
      </c>
      <c r="D181" s="16">
        <v>65</v>
      </c>
      <c r="E181" s="21">
        <v>945</v>
      </c>
      <c r="G181" s="14"/>
    </row>
    <row r="182" spans="1:7">
      <c r="A182" s="15" t="s">
        <v>680</v>
      </c>
      <c r="B182" s="5">
        <v>11</v>
      </c>
      <c r="C182" s="16">
        <v>33.5</v>
      </c>
      <c r="D182" s="16">
        <v>50.7</v>
      </c>
      <c r="E182" s="21">
        <v>538</v>
      </c>
      <c r="G182" s="14"/>
    </row>
    <row r="183" spans="1:7">
      <c r="A183" s="15" t="s">
        <v>680</v>
      </c>
      <c r="B183" s="5">
        <v>12</v>
      </c>
      <c r="C183" s="16">
        <v>24.7</v>
      </c>
      <c r="D183" s="16">
        <v>39.4</v>
      </c>
      <c r="E183" s="21">
        <v>387</v>
      </c>
      <c r="G183" s="14"/>
    </row>
    <row r="184" spans="1:7">
      <c r="A184" s="15" t="s">
        <v>680</v>
      </c>
      <c r="B184" s="5" t="s">
        <v>650</v>
      </c>
      <c r="C184" s="20">
        <f>AVERAGE(C172:C183)</f>
        <v>41.80833333333333</v>
      </c>
      <c r="D184" s="20">
        <f>AVERAGE(D172:D183)</f>
        <v>61.475000000000001</v>
      </c>
      <c r="E184" s="19">
        <f>AVERAGE(E172:E183)</f>
        <v>1123.0833333333333</v>
      </c>
      <c r="G184" s="14"/>
    </row>
    <row r="185" spans="1:7">
      <c r="A185" s="5" t="s">
        <v>667</v>
      </c>
      <c r="B185" s="5">
        <v>1</v>
      </c>
      <c r="C185" s="17">
        <v>46.1</v>
      </c>
      <c r="D185" s="17">
        <v>66.5</v>
      </c>
      <c r="E185" s="23">
        <v>898</v>
      </c>
      <c r="G185" s="14"/>
    </row>
    <row r="186" spans="1:7">
      <c r="A186" s="5" t="s">
        <v>667</v>
      </c>
      <c r="B186" s="5">
        <v>2</v>
      </c>
      <c r="C186" s="17">
        <v>48.7</v>
      </c>
      <c r="D186" s="17">
        <v>69.900000000000006</v>
      </c>
      <c r="E186" s="23">
        <v>1147</v>
      </c>
      <c r="G186" s="14"/>
    </row>
    <row r="187" spans="1:7">
      <c r="A187" s="5" t="s">
        <v>667</v>
      </c>
      <c r="B187" s="5">
        <v>3</v>
      </c>
      <c r="C187" s="17">
        <v>55.7</v>
      </c>
      <c r="D187" s="17">
        <v>76.099999999999994</v>
      </c>
      <c r="E187" s="23">
        <v>1430</v>
      </c>
      <c r="G187" s="14"/>
    </row>
    <row r="188" spans="1:7">
      <c r="A188" s="5" t="s">
        <v>667</v>
      </c>
      <c r="B188" s="5">
        <v>4</v>
      </c>
      <c r="C188" s="17">
        <v>63.9</v>
      </c>
      <c r="D188" s="17">
        <v>82.1</v>
      </c>
      <c r="E188" s="23">
        <v>1642</v>
      </c>
      <c r="G188" s="14"/>
    </row>
    <row r="189" spans="1:7">
      <c r="A189" s="5" t="s">
        <v>667</v>
      </c>
      <c r="B189" s="5">
        <v>5</v>
      </c>
      <c r="C189" s="17">
        <v>69.5</v>
      </c>
      <c r="D189" s="17">
        <v>86.7</v>
      </c>
      <c r="E189" s="23">
        <v>1866</v>
      </c>
      <c r="G189" s="14"/>
    </row>
    <row r="190" spans="1:7">
      <c r="A190" s="5" t="s">
        <v>667</v>
      </c>
      <c r="B190" s="5">
        <v>6</v>
      </c>
      <c r="C190" s="17">
        <v>74.099999999999994</v>
      </c>
      <c r="D190" s="17">
        <v>91.2</v>
      </c>
      <c r="E190" s="23">
        <v>2094</v>
      </c>
      <c r="G190" s="14"/>
    </row>
    <row r="191" spans="1:7">
      <c r="A191" s="5" t="s">
        <v>667</v>
      </c>
      <c r="B191" s="5">
        <v>7</v>
      </c>
      <c r="C191" s="17">
        <v>75.599999999999994</v>
      </c>
      <c r="D191" s="17">
        <v>94.2</v>
      </c>
      <c r="E191" s="23">
        <v>2186</v>
      </c>
      <c r="G191" s="14"/>
    </row>
    <row r="192" spans="1:7">
      <c r="A192" s="5" t="s">
        <v>667</v>
      </c>
      <c r="B192" s="5">
        <v>8</v>
      </c>
      <c r="C192" s="17">
        <v>75.8</v>
      </c>
      <c r="D192" s="17">
        <v>94.1</v>
      </c>
      <c r="E192" s="23">
        <v>1991</v>
      </c>
      <c r="G192" s="14"/>
    </row>
    <row r="193" spans="1:7">
      <c r="A193" s="5" t="s">
        <v>667</v>
      </c>
      <c r="B193" s="5">
        <v>9</v>
      </c>
      <c r="C193" s="17">
        <v>72.8</v>
      </c>
      <c r="D193" s="17">
        <v>90.1</v>
      </c>
      <c r="E193" s="23">
        <v>1687</v>
      </c>
      <c r="G193" s="14"/>
    </row>
    <row r="194" spans="1:7">
      <c r="A194" s="5" t="s">
        <v>667</v>
      </c>
      <c r="B194" s="5">
        <v>10</v>
      </c>
      <c r="C194" s="17">
        <v>64.099999999999994</v>
      </c>
      <c r="D194" s="17">
        <v>83.9</v>
      </c>
      <c r="E194" s="23">
        <v>1416</v>
      </c>
      <c r="G194" s="14"/>
    </row>
    <row r="195" spans="1:7">
      <c r="A195" s="5" t="s">
        <v>667</v>
      </c>
      <c r="B195" s="5">
        <v>11</v>
      </c>
      <c r="C195" s="17">
        <v>54.9</v>
      </c>
      <c r="D195" s="17">
        <v>75.099999999999994</v>
      </c>
      <c r="E195" s="23">
        <v>1043</v>
      </c>
      <c r="G195" s="14"/>
    </row>
    <row r="196" spans="1:7">
      <c r="A196" s="5" t="s">
        <v>667</v>
      </c>
      <c r="B196" s="5">
        <v>12</v>
      </c>
      <c r="C196" s="17">
        <v>48.8</v>
      </c>
      <c r="D196" s="17">
        <v>69.3</v>
      </c>
      <c r="E196" s="23">
        <v>845</v>
      </c>
      <c r="G196" s="14"/>
    </row>
    <row r="197" spans="1:7">
      <c r="A197" s="5" t="s">
        <v>667</v>
      </c>
      <c r="B197" s="5" t="s">
        <v>650</v>
      </c>
      <c r="C197" s="10">
        <f>AVERAGE(C185:C196)</f>
        <v>62.5</v>
      </c>
      <c r="D197" s="10">
        <f>AVERAGE(D185:D196)</f>
        <v>81.600000000000009</v>
      </c>
      <c r="E197" s="22">
        <f>AVERAGE(E185:E196)</f>
        <v>1520.4166666666667</v>
      </c>
      <c r="G197" s="14"/>
    </row>
    <row r="198" spans="1:7">
      <c r="A198" s="5" t="s">
        <v>653</v>
      </c>
      <c r="B198" s="5">
        <v>1</v>
      </c>
      <c r="C198" s="17">
        <v>33.9</v>
      </c>
      <c r="D198" s="17">
        <v>54</v>
      </c>
      <c r="E198" s="23">
        <v>822</v>
      </c>
      <c r="G198" s="14"/>
    </row>
    <row r="199" spans="1:7">
      <c r="A199" s="5" t="s">
        <v>653</v>
      </c>
      <c r="B199" s="5">
        <v>2</v>
      </c>
      <c r="C199" s="17">
        <v>37.799999999999997</v>
      </c>
      <c r="D199" s="17">
        <v>59.1</v>
      </c>
      <c r="E199" s="23">
        <v>1071</v>
      </c>
      <c r="G199" s="14"/>
    </row>
    <row r="200" spans="1:7">
      <c r="A200" s="5" t="s">
        <v>653</v>
      </c>
      <c r="B200" s="5">
        <v>3</v>
      </c>
      <c r="C200" s="17">
        <v>44.9</v>
      </c>
      <c r="D200" s="17">
        <v>67.2</v>
      </c>
      <c r="E200" s="23">
        <v>1422</v>
      </c>
      <c r="G200" s="14"/>
    </row>
    <row r="201" spans="1:7">
      <c r="A201" s="5" t="s">
        <v>653</v>
      </c>
      <c r="B201" s="5">
        <v>4</v>
      </c>
      <c r="C201" s="17">
        <v>55</v>
      </c>
      <c r="D201" s="17">
        <v>76.8</v>
      </c>
      <c r="E201" s="23">
        <v>1627</v>
      </c>
      <c r="G201" s="14"/>
    </row>
    <row r="202" spans="1:7">
      <c r="A202" s="5" t="s">
        <v>653</v>
      </c>
      <c r="B202" s="5">
        <v>5</v>
      </c>
      <c r="C202" s="17">
        <v>62.9</v>
      </c>
      <c r="D202" s="17">
        <v>84.4</v>
      </c>
      <c r="E202" s="23">
        <v>1889</v>
      </c>
      <c r="G202" s="14"/>
    </row>
    <row r="203" spans="1:7">
      <c r="A203" s="5" t="s">
        <v>653</v>
      </c>
      <c r="B203" s="5">
        <v>6</v>
      </c>
      <c r="C203" s="17">
        <v>70.8</v>
      </c>
      <c r="D203" s="17">
        <v>93.2</v>
      </c>
      <c r="E203" s="23">
        <v>2135</v>
      </c>
      <c r="G203" s="14"/>
    </row>
    <row r="204" spans="1:7">
      <c r="A204" s="5" t="s">
        <v>653</v>
      </c>
      <c r="B204" s="5">
        <v>7</v>
      </c>
      <c r="C204" s="17">
        <v>74.7</v>
      </c>
      <c r="D204" s="17">
        <v>97.8</v>
      </c>
      <c r="E204" s="23">
        <v>2122</v>
      </c>
      <c r="G204" s="14"/>
    </row>
    <row r="205" spans="1:7">
      <c r="A205" s="5" t="s">
        <v>653</v>
      </c>
      <c r="B205" s="5">
        <v>8</v>
      </c>
      <c r="C205" s="17">
        <v>73.7</v>
      </c>
      <c r="D205" s="17">
        <v>97.3</v>
      </c>
      <c r="E205" s="23">
        <v>1950</v>
      </c>
      <c r="G205" s="14"/>
    </row>
    <row r="206" spans="1:7">
      <c r="A206" s="5" t="s">
        <v>653</v>
      </c>
      <c r="B206" s="5">
        <v>9</v>
      </c>
      <c r="C206" s="17">
        <v>67.5</v>
      </c>
      <c r="D206" s="17">
        <v>89.7</v>
      </c>
      <c r="E206" s="23">
        <v>1587</v>
      </c>
      <c r="G206" s="14"/>
    </row>
    <row r="207" spans="1:7">
      <c r="A207" s="5" t="s">
        <v>653</v>
      </c>
      <c r="B207" s="5">
        <v>10</v>
      </c>
      <c r="C207" s="17">
        <v>56.3</v>
      </c>
      <c r="D207" s="17">
        <v>79.5</v>
      </c>
      <c r="E207" s="23">
        <v>1276</v>
      </c>
      <c r="G207" s="14"/>
    </row>
    <row r="208" spans="1:7">
      <c r="A208" s="5" t="s">
        <v>653</v>
      </c>
      <c r="B208" s="5">
        <v>11</v>
      </c>
      <c r="C208" s="17">
        <v>44.9</v>
      </c>
      <c r="D208" s="17">
        <v>66.2</v>
      </c>
      <c r="E208" s="23">
        <v>936</v>
      </c>
      <c r="G208" s="14"/>
    </row>
    <row r="209" spans="1:7">
      <c r="A209" s="5" t="s">
        <v>653</v>
      </c>
      <c r="B209" s="5">
        <v>12</v>
      </c>
      <c r="C209" s="17">
        <v>37.4</v>
      </c>
      <c r="D209" s="17">
        <v>58.1</v>
      </c>
      <c r="E209" s="23">
        <v>780</v>
      </c>
      <c r="G209" s="14"/>
    </row>
    <row r="210" spans="1:7">
      <c r="A210" s="5" t="s">
        <v>653</v>
      </c>
      <c r="B210" s="5" t="s">
        <v>650</v>
      </c>
      <c r="C210" s="10">
        <f>AVERAGE(C198:C209)</f>
        <v>54.983333333333327</v>
      </c>
      <c r="D210" s="10">
        <f>AVERAGE(D198:D209)</f>
        <v>76.941666666666677</v>
      </c>
      <c r="E210" s="22">
        <f>AVERAGE(E198:E209)</f>
        <v>1468.0833333333333</v>
      </c>
      <c r="G210" s="14"/>
    </row>
    <row r="211" spans="1:7" ht="15">
      <c r="A211" s="24" t="s">
        <v>705</v>
      </c>
      <c r="B211" s="5">
        <v>1</v>
      </c>
      <c r="C211" s="25">
        <v>15.9</v>
      </c>
      <c r="D211" s="25">
        <v>43.1</v>
      </c>
      <c r="E211" s="26">
        <v>840</v>
      </c>
      <c r="G211" s="14"/>
    </row>
    <row r="212" spans="1:7" ht="15">
      <c r="A212" s="24" t="s">
        <v>705</v>
      </c>
      <c r="B212" s="5">
        <v>2</v>
      </c>
      <c r="C212" s="25">
        <v>20.2</v>
      </c>
      <c r="D212" s="25">
        <v>46.9</v>
      </c>
      <c r="E212" s="26">
        <v>1127</v>
      </c>
      <c r="G212" s="14"/>
    </row>
    <row r="213" spans="1:7" ht="15">
      <c r="A213" s="24" t="s">
        <v>705</v>
      </c>
      <c r="B213" s="5">
        <v>3</v>
      </c>
      <c r="C213" s="25">
        <v>24.7</v>
      </c>
      <c r="D213" s="25">
        <v>51.2</v>
      </c>
      <c r="E213" s="26">
        <v>1530</v>
      </c>
      <c r="G213" s="14"/>
    </row>
    <row r="214" spans="1:7" ht="15">
      <c r="A214" s="24" t="s">
        <v>705</v>
      </c>
      <c r="B214" s="5">
        <v>4</v>
      </c>
      <c r="C214" s="25">
        <v>33.700000000000003</v>
      </c>
      <c r="D214" s="25">
        <v>61</v>
      </c>
      <c r="E214" s="26">
        <v>1879</v>
      </c>
      <c r="G214" s="14"/>
    </row>
    <row r="215" spans="1:7" ht="15">
      <c r="A215" s="24" t="s">
        <v>705</v>
      </c>
      <c r="B215" s="5">
        <v>5</v>
      </c>
      <c r="C215" s="25">
        <v>43.6</v>
      </c>
      <c r="D215" s="25">
        <v>70.7</v>
      </c>
      <c r="E215" s="26">
        <v>2135</v>
      </c>
      <c r="G215" s="14"/>
    </row>
    <row r="216" spans="1:7" ht="15">
      <c r="A216" s="24" t="s">
        <v>705</v>
      </c>
      <c r="B216" s="5">
        <v>6</v>
      </c>
      <c r="C216" s="25">
        <v>52.4</v>
      </c>
      <c r="D216" s="25">
        <v>81.599999999999994</v>
      </c>
      <c r="E216" s="26">
        <v>2351</v>
      </c>
      <c r="G216" s="14"/>
    </row>
    <row r="217" spans="1:7" ht="15">
      <c r="A217" s="24" t="s">
        <v>705</v>
      </c>
      <c r="B217" s="5">
        <v>7</v>
      </c>
      <c r="C217" s="25">
        <v>58.7</v>
      </c>
      <c r="D217" s="25">
        <v>88</v>
      </c>
      <c r="E217" s="26">
        <v>2273</v>
      </c>
      <c r="G217" s="14"/>
    </row>
    <row r="218" spans="1:7" ht="15">
      <c r="A218" s="24" t="s">
        <v>705</v>
      </c>
      <c r="B218" s="5">
        <v>8</v>
      </c>
      <c r="C218" s="25">
        <v>57</v>
      </c>
      <c r="D218" s="25">
        <v>85.8</v>
      </c>
      <c r="E218" s="26">
        <v>2044</v>
      </c>
      <c r="G218" s="14"/>
    </row>
    <row r="219" spans="1:7" ht="15">
      <c r="A219" s="24" t="s">
        <v>705</v>
      </c>
      <c r="B219" s="5">
        <v>9</v>
      </c>
      <c r="C219" s="25">
        <v>47.7</v>
      </c>
      <c r="D219" s="25">
        <v>77.5</v>
      </c>
      <c r="E219" s="26">
        <v>1727</v>
      </c>
      <c r="G219" s="14"/>
    </row>
    <row r="220" spans="1:7" ht="15">
      <c r="A220" s="24" t="s">
        <v>705</v>
      </c>
      <c r="B220" s="5">
        <v>10</v>
      </c>
      <c r="C220" s="25">
        <v>36.9</v>
      </c>
      <c r="D220" s="25">
        <v>66.8</v>
      </c>
      <c r="E220" s="26">
        <v>1301</v>
      </c>
      <c r="G220" s="14"/>
    </row>
    <row r="221" spans="1:7" ht="15">
      <c r="A221" s="24" t="s">
        <v>705</v>
      </c>
      <c r="B221" s="5">
        <v>11</v>
      </c>
      <c r="C221" s="25">
        <v>25.1</v>
      </c>
      <c r="D221" s="25">
        <v>52.4</v>
      </c>
      <c r="E221" s="26">
        <v>884</v>
      </c>
      <c r="G221" s="14"/>
    </row>
    <row r="222" spans="1:7" ht="15">
      <c r="A222" s="24" t="s">
        <v>705</v>
      </c>
      <c r="B222" s="5">
        <v>12</v>
      </c>
      <c r="C222" s="25">
        <v>18.899999999999999</v>
      </c>
      <c r="D222" s="25">
        <v>46.1</v>
      </c>
      <c r="E222" s="26">
        <v>732</v>
      </c>
      <c r="G222" s="14"/>
    </row>
    <row r="223" spans="1:7" ht="15">
      <c r="A223" s="24" t="s">
        <v>705</v>
      </c>
      <c r="B223" s="5" t="s">
        <v>650</v>
      </c>
      <c r="C223" s="18">
        <f>AVERAGE(C211:C222)</f>
        <v>36.233333333333327</v>
      </c>
      <c r="D223" s="18">
        <f>AVERAGE(D211:D222)</f>
        <v>64.258333333333326</v>
      </c>
      <c r="E223" s="27">
        <f>AVERAGE(E211:E222)</f>
        <v>1568.5833333333333</v>
      </c>
      <c r="G223" s="14"/>
    </row>
    <row r="224" spans="1:7" ht="15">
      <c r="A224" s="24" t="s">
        <v>691</v>
      </c>
      <c r="B224" s="5">
        <v>1</v>
      </c>
      <c r="C224" s="25">
        <v>16.100000000000001</v>
      </c>
      <c r="D224" s="25">
        <v>30.6</v>
      </c>
      <c r="E224" s="26">
        <v>417</v>
      </c>
      <c r="G224" s="14"/>
    </row>
    <row r="225" spans="1:7" ht="15">
      <c r="A225" s="24" t="s">
        <v>691</v>
      </c>
      <c r="B225" s="5">
        <v>2</v>
      </c>
      <c r="C225" s="25">
        <v>18</v>
      </c>
      <c r="D225" s="25">
        <v>33.5</v>
      </c>
      <c r="E225" s="26">
        <v>680</v>
      </c>
      <c r="G225" s="14"/>
    </row>
    <row r="226" spans="1:7" ht="15">
      <c r="A226" s="24" t="s">
        <v>691</v>
      </c>
      <c r="B226" s="5">
        <v>3</v>
      </c>
      <c r="C226" s="25">
        <v>26.5</v>
      </c>
      <c r="D226" s="25">
        <v>43.4</v>
      </c>
      <c r="E226" s="26">
        <v>1000</v>
      </c>
      <c r="G226" s="14"/>
    </row>
    <row r="227" spans="1:7" ht="15">
      <c r="A227" s="24" t="s">
        <v>691</v>
      </c>
      <c r="B227" s="5">
        <v>4</v>
      </c>
      <c r="C227" s="25">
        <v>36.9</v>
      </c>
      <c r="D227" s="25">
        <v>57.7</v>
      </c>
      <c r="E227" s="26">
        <v>1399</v>
      </c>
      <c r="G227" s="14"/>
    </row>
    <row r="228" spans="1:7" ht="15">
      <c r="A228" s="24" t="s">
        <v>691</v>
      </c>
      <c r="B228" s="5">
        <v>5</v>
      </c>
      <c r="C228" s="25">
        <v>46.7</v>
      </c>
      <c r="D228" s="25">
        <v>69.400000000000006</v>
      </c>
      <c r="E228" s="26">
        <v>1716</v>
      </c>
      <c r="G228" s="14"/>
    </row>
    <row r="229" spans="1:7" ht="15">
      <c r="A229" s="24" t="s">
        <v>691</v>
      </c>
      <c r="B229" s="5">
        <v>6</v>
      </c>
      <c r="C229" s="25">
        <v>56.3</v>
      </c>
      <c r="D229" s="25">
        <v>79</v>
      </c>
      <c r="E229" s="26">
        <v>1866</v>
      </c>
      <c r="G229" s="14"/>
    </row>
    <row r="230" spans="1:7" ht="15">
      <c r="A230" s="24" t="s">
        <v>691</v>
      </c>
      <c r="B230" s="5">
        <v>7</v>
      </c>
      <c r="C230" s="25">
        <v>60.7</v>
      </c>
      <c r="D230" s="25">
        <v>83.1</v>
      </c>
      <c r="E230" s="26">
        <v>1835</v>
      </c>
      <c r="G230" s="14"/>
    </row>
    <row r="231" spans="1:7" ht="15">
      <c r="A231" s="24" t="s">
        <v>691</v>
      </c>
      <c r="B231" s="5">
        <v>8</v>
      </c>
      <c r="C231" s="25">
        <v>59.4</v>
      </c>
      <c r="D231" s="25">
        <v>81.5</v>
      </c>
      <c r="E231" s="26">
        <v>1576</v>
      </c>
      <c r="G231" s="14"/>
    </row>
    <row r="232" spans="1:7" ht="15">
      <c r="A232" s="24" t="s">
        <v>691</v>
      </c>
      <c r="B232" s="5">
        <v>9</v>
      </c>
      <c r="C232" s="25">
        <v>52.2</v>
      </c>
      <c r="D232" s="25">
        <v>74.400000000000006</v>
      </c>
      <c r="E232" s="26">
        <v>1253</v>
      </c>
      <c r="G232" s="14"/>
    </row>
    <row r="233" spans="1:7" ht="15">
      <c r="A233" s="24" t="s">
        <v>691</v>
      </c>
      <c r="B233" s="5">
        <v>10</v>
      </c>
      <c r="C233" s="25">
        <v>41.2</v>
      </c>
      <c r="D233" s="25">
        <v>62.5</v>
      </c>
      <c r="E233" s="26">
        <v>876</v>
      </c>
      <c r="G233" s="14"/>
    </row>
    <row r="234" spans="1:7" ht="15">
      <c r="A234" s="24" t="s">
        <v>691</v>
      </c>
      <c r="B234" s="5">
        <v>11</v>
      </c>
      <c r="C234" s="25">
        <v>31.4</v>
      </c>
      <c r="D234" s="25">
        <v>47.6</v>
      </c>
      <c r="E234" s="26">
        <v>478</v>
      </c>
      <c r="G234" s="14"/>
    </row>
    <row r="235" spans="1:7" ht="15">
      <c r="A235" s="24" t="s">
        <v>691</v>
      </c>
      <c r="B235" s="5">
        <v>12</v>
      </c>
      <c r="C235" s="25">
        <v>21.6</v>
      </c>
      <c r="D235" s="25">
        <v>35.4</v>
      </c>
      <c r="E235" s="26">
        <v>344</v>
      </c>
      <c r="G235" s="14"/>
    </row>
    <row r="236" spans="1:7" ht="15">
      <c r="A236" s="24" t="s">
        <v>691</v>
      </c>
      <c r="B236" s="5" t="s">
        <v>650</v>
      </c>
      <c r="C236" s="20">
        <f>AVERAGE(C224:C235)</f>
        <v>38.916666666666664</v>
      </c>
      <c r="D236" s="20">
        <f>AVERAGE(D224:D235)</f>
        <v>58.175000000000004</v>
      </c>
      <c r="E236" s="19">
        <f>AVERAGE(E224:E235)</f>
        <v>1120</v>
      </c>
      <c r="G236" s="14"/>
    </row>
    <row r="237" spans="1:7" ht="15">
      <c r="A237" s="24" t="s">
        <v>713</v>
      </c>
      <c r="B237" s="5">
        <v>1</v>
      </c>
      <c r="C237" s="25">
        <v>26.6</v>
      </c>
      <c r="D237" s="25">
        <v>48.4</v>
      </c>
      <c r="E237" s="26">
        <v>744</v>
      </c>
      <c r="G237" s="14"/>
    </row>
    <row r="238" spans="1:7" ht="15">
      <c r="A238" s="24" t="s">
        <v>713</v>
      </c>
      <c r="B238" s="5">
        <v>2</v>
      </c>
      <c r="C238" s="25">
        <v>30.9</v>
      </c>
      <c r="D238" s="25">
        <v>53.8</v>
      </c>
      <c r="E238" s="26">
        <v>999</v>
      </c>
      <c r="G238" s="14"/>
    </row>
    <row r="239" spans="1:7" ht="15">
      <c r="A239" s="24" t="s">
        <v>713</v>
      </c>
      <c r="B239" s="5">
        <v>3</v>
      </c>
      <c r="C239" s="25">
        <v>38.5</v>
      </c>
      <c r="D239" s="25">
        <v>62.5</v>
      </c>
      <c r="E239" s="26">
        <v>1312</v>
      </c>
      <c r="G239" s="14"/>
    </row>
    <row r="240" spans="1:7" ht="15">
      <c r="A240" s="24" t="s">
        <v>713</v>
      </c>
      <c r="B240" s="5">
        <v>4</v>
      </c>
      <c r="C240" s="25">
        <v>49.1</v>
      </c>
      <c r="D240" s="25">
        <v>73.7</v>
      </c>
      <c r="E240" s="26">
        <v>1616</v>
      </c>
      <c r="G240" s="14"/>
    </row>
    <row r="241" spans="1:7" ht="15">
      <c r="A241" s="24" t="s">
        <v>713</v>
      </c>
      <c r="B241" s="5">
        <v>5</v>
      </c>
      <c r="C241" s="25">
        <v>58.2</v>
      </c>
      <c r="D241" s="25">
        <v>81</v>
      </c>
      <c r="E241" s="26">
        <v>1912</v>
      </c>
      <c r="G241" s="14"/>
    </row>
    <row r="242" spans="1:7" ht="15">
      <c r="A242" s="24" t="s">
        <v>713</v>
      </c>
      <c r="B242" s="5">
        <v>6</v>
      </c>
      <c r="C242" s="25">
        <v>66.3</v>
      </c>
      <c r="D242" s="25">
        <v>88.5</v>
      </c>
      <c r="E242" s="26">
        <v>2089</v>
      </c>
      <c r="G242" s="14"/>
    </row>
    <row r="243" spans="1:7" ht="15">
      <c r="A243" s="24" t="s">
        <v>713</v>
      </c>
      <c r="B243" s="5">
        <v>7</v>
      </c>
      <c r="C243" s="25">
        <v>70.5</v>
      </c>
      <c r="D243" s="25">
        <v>93.6</v>
      </c>
      <c r="E243" s="26">
        <v>2065</v>
      </c>
      <c r="G243" s="14"/>
    </row>
    <row r="244" spans="1:7" ht="15">
      <c r="A244" s="24" t="s">
        <v>713</v>
      </c>
      <c r="B244" s="5">
        <v>8</v>
      </c>
      <c r="C244" s="25">
        <v>68.900000000000006</v>
      </c>
      <c r="D244" s="25">
        <v>92.9</v>
      </c>
      <c r="E244" s="26">
        <v>1877</v>
      </c>
      <c r="G244" s="14"/>
    </row>
    <row r="245" spans="1:7" ht="15">
      <c r="A245" s="24" t="s">
        <v>713</v>
      </c>
      <c r="B245" s="5">
        <v>9</v>
      </c>
      <c r="C245" s="25">
        <v>62.1</v>
      </c>
      <c r="D245" s="25">
        <v>85.7</v>
      </c>
      <c r="E245" s="26">
        <v>1502</v>
      </c>
      <c r="G245" s="14"/>
    </row>
    <row r="246" spans="1:7" ht="15">
      <c r="A246" s="24" t="s">
        <v>713</v>
      </c>
      <c r="B246" s="5">
        <v>10</v>
      </c>
      <c r="C246" s="25">
        <v>49</v>
      </c>
      <c r="D246" s="25">
        <v>75.900000000000006</v>
      </c>
      <c r="E246" s="26">
        <v>1201</v>
      </c>
      <c r="G246" s="14"/>
    </row>
    <row r="247" spans="1:7" ht="15">
      <c r="A247" s="24" t="s">
        <v>713</v>
      </c>
      <c r="B247" s="5">
        <v>11</v>
      </c>
      <c r="C247" s="25">
        <v>37.700000000000003</v>
      </c>
      <c r="D247" s="25">
        <v>61.9</v>
      </c>
      <c r="E247" s="26">
        <v>851</v>
      </c>
      <c r="G247" s="14"/>
    </row>
    <row r="248" spans="1:7" ht="15">
      <c r="A248" s="24" t="s">
        <v>713</v>
      </c>
      <c r="B248" s="5">
        <v>12</v>
      </c>
      <c r="C248" s="25">
        <v>30.2</v>
      </c>
      <c r="D248" s="25">
        <v>52.1</v>
      </c>
      <c r="E248" s="26">
        <v>682</v>
      </c>
      <c r="G248" s="14"/>
    </row>
    <row r="249" spans="1:7" ht="15">
      <c r="A249" s="24" t="s">
        <v>713</v>
      </c>
      <c r="B249" s="5" t="s">
        <v>650</v>
      </c>
      <c r="C249" s="18">
        <f>AVERAGE(C237:C248)</f>
        <v>49.000000000000007</v>
      </c>
      <c r="D249" s="18">
        <f>AVERAGE(D237:D248)</f>
        <v>72.5</v>
      </c>
      <c r="E249" s="27">
        <f>AVERAGE(E237:E248)</f>
        <v>1404.1666666666667</v>
      </c>
      <c r="G249" s="14"/>
    </row>
    <row r="250" spans="1:7" ht="15">
      <c r="A250" s="24" t="s">
        <v>704</v>
      </c>
      <c r="B250" s="5">
        <v>1</v>
      </c>
      <c r="C250" s="25">
        <v>15.2</v>
      </c>
      <c r="D250" s="25">
        <v>35.700000000000003</v>
      </c>
      <c r="E250" s="26">
        <v>791</v>
      </c>
      <c r="G250" s="14"/>
    </row>
    <row r="251" spans="1:7" ht="15">
      <c r="A251" s="24" t="s">
        <v>704</v>
      </c>
      <c r="B251" s="5">
        <v>2</v>
      </c>
      <c r="C251" s="25">
        <v>22.4</v>
      </c>
      <c r="D251" s="25">
        <v>44.5</v>
      </c>
      <c r="E251" s="26">
        <v>1119</v>
      </c>
      <c r="G251" s="14"/>
    </row>
    <row r="252" spans="1:7" ht="15">
      <c r="A252" s="24" t="s">
        <v>704</v>
      </c>
      <c r="B252" s="5">
        <v>3</v>
      </c>
      <c r="C252" s="25">
        <v>29.7</v>
      </c>
      <c r="D252" s="25">
        <v>54.1</v>
      </c>
      <c r="E252" s="26">
        <v>1554</v>
      </c>
      <c r="G252" s="14"/>
    </row>
    <row r="253" spans="1:7" ht="15">
      <c r="A253" s="24" t="s">
        <v>704</v>
      </c>
      <c r="B253" s="5">
        <v>4</v>
      </c>
      <c r="C253" s="25">
        <v>38.200000000000003</v>
      </c>
      <c r="D253" s="25">
        <v>65.2</v>
      </c>
      <c r="E253" s="26">
        <v>1986</v>
      </c>
      <c r="G253" s="14"/>
    </row>
    <row r="254" spans="1:7" ht="15">
      <c r="A254" s="24" t="s">
        <v>704</v>
      </c>
      <c r="B254" s="5">
        <v>5</v>
      </c>
      <c r="C254" s="25">
        <v>48</v>
      </c>
      <c r="D254" s="25">
        <v>76.2</v>
      </c>
      <c r="E254" s="26">
        <v>2380</v>
      </c>
      <c r="G254" s="14"/>
    </row>
    <row r="255" spans="1:7" ht="15">
      <c r="A255" s="24" t="s">
        <v>704</v>
      </c>
      <c r="B255" s="5">
        <v>6</v>
      </c>
      <c r="C255" s="25">
        <v>56.6</v>
      </c>
      <c r="D255" s="25">
        <v>87.9</v>
      </c>
      <c r="E255" s="26">
        <v>2599</v>
      </c>
      <c r="G255" s="14"/>
    </row>
    <row r="256" spans="1:7" ht="15">
      <c r="A256" s="24" t="s">
        <v>704</v>
      </c>
      <c r="B256" s="5">
        <v>7</v>
      </c>
      <c r="C256" s="25">
        <v>63.8</v>
      </c>
      <c r="D256" s="25">
        <v>94</v>
      </c>
      <c r="E256" s="26">
        <v>2465</v>
      </c>
      <c r="G256" s="14"/>
    </row>
    <row r="257" spans="1:7" ht="15">
      <c r="A257" s="24" t="s">
        <v>704</v>
      </c>
      <c r="B257" s="5">
        <v>8</v>
      </c>
      <c r="C257" s="25">
        <v>61.5</v>
      </c>
      <c r="D257" s="25">
        <v>90.3</v>
      </c>
      <c r="E257" s="26">
        <v>2182</v>
      </c>
      <c r="G257" s="14"/>
    </row>
    <row r="258" spans="1:7" ht="15">
      <c r="A258" s="24" t="s">
        <v>704</v>
      </c>
      <c r="B258" s="5">
        <v>9</v>
      </c>
      <c r="C258" s="25">
        <v>52.2</v>
      </c>
      <c r="D258" s="25">
        <v>81.900000000000006</v>
      </c>
      <c r="E258" s="26">
        <v>1834</v>
      </c>
      <c r="G258" s="14"/>
    </row>
    <row r="259" spans="1:7" ht="15">
      <c r="A259" s="24" t="s">
        <v>704</v>
      </c>
      <c r="B259" s="5">
        <v>10</v>
      </c>
      <c r="C259" s="25">
        <v>41.1</v>
      </c>
      <c r="D259" s="25">
        <v>68.7</v>
      </c>
      <c r="E259" s="26">
        <v>1345</v>
      </c>
      <c r="G259" s="14"/>
    </row>
    <row r="260" spans="1:7" ht="15">
      <c r="A260" s="24" t="s">
        <v>704</v>
      </c>
      <c r="B260" s="5">
        <v>11</v>
      </c>
      <c r="C260" s="25">
        <v>28.2</v>
      </c>
      <c r="D260" s="25">
        <v>51</v>
      </c>
      <c r="E260" s="26">
        <v>918</v>
      </c>
      <c r="G260" s="14"/>
    </row>
    <row r="261" spans="1:7" ht="15">
      <c r="A261" s="24" t="s">
        <v>704</v>
      </c>
      <c r="B261" s="5">
        <v>12</v>
      </c>
      <c r="C261" s="25">
        <v>17.899999999999999</v>
      </c>
      <c r="D261" s="25">
        <v>38.700000000000003</v>
      </c>
      <c r="E261" s="26">
        <v>731</v>
      </c>
      <c r="G261" s="14"/>
    </row>
    <row r="262" spans="1:7" ht="15">
      <c r="A262" s="24" t="s">
        <v>704</v>
      </c>
      <c r="B262" s="5" t="s">
        <v>650</v>
      </c>
      <c r="C262" s="18">
        <f>AVERAGE(C250:C261)</f>
        <v>39.566666666666663</v>
      </c>
      <c r="D262" s="18">
        <f>AVERAGE(D250:D261)</f>
        <v>65.683333333333337</v>
      </c>
      <c r="E262" s="27">
        <f>AVERAGE(E250:E261)</f>
        <v>1658.6666666666667</v>
      </c>
      <c r="G262" s="14"/>
    </row>
    <row r="263" spans="1:7" ht="15">
      <c r="A263" s="24" t="s">
        <v>690</v>
      </c>
      <c r="B263" s="5">
        <v>1</v>
      </c>
      <c r="C263" s="25">
        <v>14.9</v>
      </c>
      <c r="D263" s="25">
        <v>29</v>
      </c>
      <c r="E263" s="26">
        <v>370</v>
      </c>
      <c r="G263" s="14"/>
    </row>
    <row r="264" spans="1:7" ht="15">
      <c r="A264" s="24" t="s">
        <v>690</v>
      </c>
      <c r="B264" s="5">
        <v>2</v>
      </c>
      <c r="C264" s="25">
        <v>15.6</v>
      </c>
      <c r="D264" s="25">
        <v>31.7</v>
      </c>
      <c r="E264" s="26">
        <v>648</v>
      </c>
      <c r="G264" s="14"/>
    </row>
    <row r="265" spans="1:7" ht="15">
      <c r="A265" s="24" t="s">
        <v>690</v>
      </c>
      <c r="B265" s="5">
        <v>3</v>
      </c>
      <c r="C265" s="25">
        <v>24.5</v>
      </c>
      <c r="D265" s="25">
        <v>41.6</v>
      </c>
      <c r="E265" s="26">
        <v>1014</v>
      </c>
      <c r="G265" s="14"/>
    </row>
    <row r="266" spans="1:7" ht="15">
      <c r="A266" s="24" t="s">
        <v>690</v>
      </c>
      <c r="B266" s="5">
        <v>4</v>
      </c>
      <c r="C266" s="25">
        <v>35.6</v>
      </c>
      <c r="D266" s="25">
        <v>56.9</v>
      </c>
      <c r="E266" s="26">
        <v>1412</v>
      </c>
      <c r="G266" s="14"/>
    </row>
    <row r="267" spans="1:7" ht="15">
      <c r="A267" s="24" t="s">
        <v>690</v>
      </c>
      <c r="B267" s="5">
        <v>5</v>
      </c>
      <c r="C267" s="25">
        <v>45.5</v>
      </c>
      <c r="D267" s="25">
        <v>69.400000000000006</v>
      </c>
      <c r="E267" s="26">
        <v>1755</v>
      </c>
      <c r="G267" s="14"/>
    </row>
    <row r="268" spans="1:7" ht="15">
      <c r="A268" s="24" t="s">
        <v>690</v>
      </c>
      <c r="B268" s="5">
        <v>6</v>
      </c>
      <c r="C268" s="25">
        <v>55.3</v>
      </c>
      <c r="D268" s="25">
        <v>78.900000000000006</v>
      </c>
      <c r="E268" s="26">
        <v>1957</v>
      </c>
      <c r="G268" s="14"/>
    </row>
    <row r="269" spans="1:7" ht="15">
      <c r="A269" s="24" t="s">
        <v>690</v>
      </c>
      <c r="B269" s="5">
        <v>7</v>
      </c>
      <c r="C269" s="25">
        <v>59.8</v>
      </c>
      <c r="D269" s="25">
        <v>83</v>
      </c>
      <c r="E269" s="26">
        <v>1914</v>
      </c>
      <c r="G269" s="14"/>
    </row>
    <row r="270" spans="1:7" ht="15">
      <c r="A270" s="24" t="s">
        <v>690</v>
      </c>
      <c r="B270" s="5">
        <v>8</v>
      </c>
      <c r="C270" s="25">
        <v>58.1</v>
      </c>
      <c r="D270" s="25">
        <v>81.099999999999994</v>
      </c>
      <c r="E270" s="26">
        <v>1676</v>
      </c>
      <c r="G270" s="14"/>
    </row>
    <row r="271" spans="1:7" ht="15">
      <c r="A271" s="24" t="s">
        <v>690</v>
      </c>
      <c r="B271" s="5">
        <v>9</v>
      </c>
      <c r="C271" s="25">
        <v>50.8</v>
      </c>
      <c r="D271" s="25">
        <v>73.400000000000006</v>
      </c>
      <c r="E271" s="26">
        <v>1262</v>
      </c>
      <c r="G271" s="14"/>
    </row>
    <row r="272" spans="1:7" ht="15">
      <c r="A272" s="24" t="s">
        <v>690</v>
      </c>
      <c r="B272" s="5">
        <v>10</v>
      </c>
      <c r="C272" s="25">
        <v>40.4</v>
      </c>
      <c r="D272" s="25">
        <v>61.4</v>
      </c>
      <c r="E272" s="26">
        <v>858</v>
      </c>
      <c r="G272" s="14"/>
    </row>
    <row r="273" spans="1:7" ht="15">
      <c r="A273" s="24" t="s">
        <v>690</v>
      </c>
      <c r="B273" s="5">
        <v>11</v>
      </c>
      <c r="C273" s="25">
        <v>30.9</v>
      </c>
      <c r="D273" s="25">
        <v>46</v>
      </c>
      <c r="E273" s="26">
        <v>446</v>
      </c>
      <c r="G273" s="14"/>
    </row>
    <row r="274" spans="1:7" ht="15">
      <c r="A274" s="24" t="s">
        <v>690</v>
      </c>
      <c r="B274" s="5">
        <v>12</v>
      </c>
      <c r="C274" s="25">
        <v>20.7</v>
      </c>
      <c r="D274" s="25">
        <v>33.799999999999997</v>
      </c>
      <c r="E274" s="26">
        <v>311</v>
      </c>
      <c r="G274" s="14"/>
    </row>
    <row r="275" spans="1:7" ht="15">
      <c r="A275" s="24" t="s">
        <v>690</v>
      </c>
      <c r="B275" s="5" t="s">
        <v>650</v>
      </c>
      <c r="C275" s="20">
        <f>AVERAGE(C263:C274)</f>
        <v>37.674999999999997</v>
      </c>
      <c r="D275" s="20">
        <f>AVERAGE(D263:D274)</f>
        <v>57.18333333333333</v>
      </c>
      <c r="E275" s="19">
        <f>AVERAGE(E263:E274)</f>
        <v>1135.25</v>
      </c>
      <c r="G275" s="14"/>
    </row>
    <row r="276" spans="1:7" ht="15">
      <c r="A276" s="24" t="s">
        <v>716</v>
      </c>
      <c r="B276" s="5">
        <v>1</v>
      </c>
      <c r="C276" s="25">
        <v>14.4</v>
      </c>
      <c r="D276" s="25">
        <v>27</v>
      </c>
      <c r="E276" s="26">
        <v>122</v>
      </c>
      <c r="G276" s="13"/>
    </row>
    <row r="277" spans="1:7" ht="15">
      <c r="A277" s="24" t="s">
        <v>716</v>
      </c>
      <c r="B277" s="5">
        <v>2</v>
      </c>
      <c r="C277" s="25">
        <v>17.399999999999999</v>
      </c>
      <c r="D277" s="25">
        <v>31.2</v>
      </c>
      <c r="E277" s="26">
        <v>334</v>
      </c>
      <c r="G277" s="13"/>
    </row>
    <row r="278" spans="1:7" ht="15">
      <c r="A278" s="24" t="s">
        <v>716</v>
      </c>
      <c r="B278" s="5">
        <v>3</v>
      </c>
      <c r="C278" s="25">
        <v>19.3</v>
      </c>
      <c r="D278" s="25">
        <v>34.4</v>
      </c>
      <c r="E278" s="26">
        <v>759</v>
      </c>
      <c r="G278" s="13"/>
    </row>
    <row r="279" spans="1:7" ht="15">
      <c r="A279" s="24" t="s">
        <v>716</v>
      </c>
      <c r="B279" s="5">
        <v>4</v>
      </c>
      <c r="C279" s="25">
        <v>28.1</v>
      </c>
      <c r="D279" s="25">
        <v>42.1</v>
      </c>
      <c r="E279" s="26">
        <v>1248</v>
      </c>
      <c r="G279" s="13"/>
    </row>
    <row r="280" spans="1:7" ht="15">
      <c r="A280" s="24" t="s">
        <v>716</v>
      </c>
      <c r="B280" s="5">
        <v>5</v>
      </c>
      <c r="C280" s="25">
        <v>34.6</v>
      </c>
      <c r="D280" s="25">
        <v>49.8</v>
      </c>
      <c r="E280" s="26">
        <v>1583</v>
      </c>
      <c r="G280" s="13"/>
    </row>
    <row r="281" spans="1:7" ht="15">
      <c r="A281" s="24" t="s">
        <v>716</v>
      </c>
      <c r="B281" s="5">
        <v>6</v>
      </c>
      <c r="C281" s="25">
        <v>41.2</v>
      </c>
      <c r="D281" s="25">
        <v>56.3</v>
      </c>
      <c r="E281" s="26">
        <v>1751</v>
      </c>
      <c r="G281" s="13"/>
    </row>
    <row r="282" spans="1:7" ht="15">
      <c r="A282" s="24" t="s">
        <v>716</v>
      </c>
      <c r="B282" s="5">
        <v>7</v>
      </c>
      <c r="C282" s="25">
        <v>45.1</v>
      </c>
      <c r="D282" s="25">
        <v>60.5</v>
      </c>
      <c r="E282" s="26">
        <v>1598</v>
      </c>
      <c r="G282" s="13"/>
    </row>
    <row r="283" spans="1:7" ht="15">
      <c r="A283" s="24" t="s">
        <v>716</v>
      </c>
      <c r="B283" s="5">
        <v>8</v>
      </c>
      <c r="C283" s="25">
        <v>45.2</v>
      </c>
      <c r="D283" s="25">
        <v>60.3</v>
      </c>
      <c r="E283" s="26">
        <v>1189</v>
      </c>
      <c r="G283" s="13"/>
    </row>
    <row r="284" spans="1:7" ht="15">
      <c r="A284" s="24" t="s">
        <v>716</v>
      </c>
      <c r="B284" s="5">
        <v>9</v>
      </c>
      <c r="C284" s="25">
        <v>39.700000000000003</v>
      </c>
      <c r="D284" s="25">
        <v>54.8</v>
      </c>
      <c r="E284" s="26">
        <v>791</v>
      </c>
      <c r="G284" s="13"/>
    </row>
    <row r="285" spans="1:7" ht="15">
      <c r="A285" s="24" t="s">
        <v>716</v>
      </c>
      <c r="B285" s="5">
        <v>10</v>
      </c>
      <c r="C285" s="25">
        <v>30.6</v>
      </c>
      <c r="D285" s="25">
        <v>44</v>
      </c>
      <c r="E285" s="26">
        <v>437</v>
      </c>
      <c r="G285" s="13"/>
    </row>
    <row r="286" spans="1:7" ht="15">
      <c r="A286" s="24" t="s">
        <v>716</v>
      </c>
      <c r="B286" s="5">
        <v>11</v>
      </c>
      <c r="C286" s="25">
        <v>22.8</v>
      </c>
      <c r="D286" s="25">
        <v>34.9</v>
      </c>
      <c r="E286" s="26">
        <v>175</v>
      </c>
      <c r="G286" s="13"/>
    </row>
    <row r="287" spans="1:7" ht="15">
      <c r="A287" s="24" t="s">
        <v>716</v>
      </c>
      <c r="B287" s="5">
        <v>12</v>
      </c>
      <c r="C287" s="25">
        <v>15.8</v>
      </c>
      <c r="D287" s="25">
        <v>27.7</v>
      </c>
      <c r="E287" s="26">
        <v>64</v>
      </c>
      <c r="G287" s="13"/>
    </row>
    <row r="288" spans="1:7" ht="15">
      <c r="A288" s="24" t="s">
        <v>716</v>
      </c>
      <c r="B288" s="5" t="s">
        <v>650</v>
      </c>
      <c r="C288" s="18">
        <f>AVERAGE(C276:C287)</f>
        <v>29.516666666666669</v>
      </c>
      <c r="D288" s="18">
        <f>AVERAGE(D276:D287)</f>
        <v>43.583333333333336</v>
      </c>
      <c r="E288" s="27">
        <f>AVERAGE(E276:E287)</f>
        <v>837.58333333333337</v>
      </c>
      <c r="G288" s="13"/>
    </row>
    <row r="289" spans="1:7" ht="15">
      <c r="A289" s="24" t="s">
        <v>700</v>
      </c>
      <c r="B289" s="5">
        <v>1</v>
      </c>
      <c r="C289" s="25">
        <v>65.3</v>
      </c>
      <c r="D289" s="25">
        <v>79.900000000000006</v>
      </c>
      <c r="E289" s="26">
        <v>1180</v>
      </c>
      <c r="G289" s="14"/>
    </row>
    <row r="290" spans="1:7" ht="15">
      <c r="A290" s="24" t="s">
        <v>700</v>
      </c>
      <c r="B290" s="5">
        <v>2</v>
      </c>
      <c r="C290" s="25">
        <v>65.3</v>
      </c>
      <c r="D290" s="25">
        <v>80.400000000000006</v>
      </c>
      <c r="E290" s="26">
        <v>1396</v>
      </c>
      <c r="G290" s="14"/>
    </row>
    <row r="291" spans="1:7" ht="15">
      <c r="A291" s="24" t="s">
        <v>700</v>
      </c>
      <c r="B291" s="5">
        <v>3</v>
      </c>
      <c r="C291" s="25">
        <v>67.3</v>
      </c>
      <c r="D291" s="25">
        <v>81.400000000000006</v>
      </c>
      <c r="E291" s="26">
        <v>1622</v>
      </c>
      <c r="G291" s="14"/>
    </row>
    <row r="292" spans="1:7" ht="15">
      <c r="A292" s="24" t="s">
        <v>700</v>
      </c>
      <c r="B292" s="5">
        <v>4</v>
      </c>
      <c r="C292" s="25">
        <v>68.7</v>
      </c>
      <c r="D292" s="25">
        <v>82.7</v>
      </c>
      <c r="E292" s="26">
        <v>1796</v>
      </c>
      <c r="G292" s="14"/>
    </row>
    <row r="293" spans="1:7" ht="15">
      <c r="A293" s="24" t="s">
        <v>700</v>
      </c>
      <c r="B293" s="5">
        <v>5</v>
      </c>
      <c r="C293" s="25">
        <v>70.2</v>
      </c>
      <c r="D293" s="25">
        <v>84.8</v>
      </c>
      <c r="E293" s="26">
        <v>1949</v>
      </c>
      <c r="G293" s="14"/>
    </row>
    <row r="294" spans="1:7" ht="15">
      <c r="A294" s="24" t="s">
        <v>700</v>
      </c>
      <c r="B294" s="5">
        <v>6</v>
      </c>
      <c r="C294" s="25">
        <v>71.900000000000006</v>
      </c>
      <c r="D294" s="25">
        <v>86.2</v>
      </c>
      <c r="E294" s="26">
        <v>2004</v>
      </c>
      <c r="G294" s="14"/>
    </row>
    <row r="295" spans="1:7" ht="15">
      <c r="A295" s="24" t="s">
        <v>700</v>
      </c>
      <c r="B295" s="5">
        <v>7</v>
      </c>
      <c r="C295" s="25">
        <v>73.099999999999994</v>
      </c>
      <c r="D295" s="25">
        <v>87.1</v>
      </c>
      <c r="E295" s="26">
        <v>2002</v>
      </c>
      <c r="G295" s="14"/>
    </row>
    <row r="296" spans="1:7" ht="15">
      <c r="A296" s="24" t="s">
        <v>700</v>
      </c>
      <c r="B296" s="5">
        <v>8</v>
      </c>
      <c r="C296" s="25">
        <v>73.599999999999994</v>
      </c>
      <c r="D296" s="25">
        <v>88.3</v>
      </c>
      <c r="E296" s="26">
        <v>1967</v>
      </c>
      <c r="G296" s="14"/>
    </row>
    <row r="297" spans="1:7" ht="15">
      <c r="A297" s="24" t="s">
        <v>700</v>
      </c>
      <c r="B297" s="5">
        <v>9</v>
      </c>
      <c r="C297" s="25">
        <v>72.900000000000006</v>
      </c>
      <c r="D297" s="25">
        <v>88.2</v>
      </c>
      <c r="E297" s="26">
        <v>1810</v>
      </c>
      <c r="G297" s="14"/>
    </row>
    <row r="298" spans="1:7" ht="15">
      <c r="A298" s="24" t="s">
        <v>700</v>
      </c>
      <c r="B298" s="5">
        <v>10</v>
      </c>
      <c r="C298" s="25">
        <v>72.2</v>
      </c>
      <c r="D298" s="25">
        <v>86.7</v>
      </c>
      <c r="E298" s="26">
        <v>1540</v>
      </c>
      <c r="G298" s="14"/>
    </row>
    <row r="299" spans="1:7" ht="15">
      <c r="A299" s="24" t="s">
        <v>700</v>
      </c>
      <c r="B299" s="5">
        <v>11</v>
      </c>
      <c r="C299" s="25">
        <v>69.2</v>
      </c>
      <c r="D299" s="25">
        <v>83.9</v>
      </c>
      <c r="E299" s="26">
        <v>1266</v>
      </c>
      <c r="G299" s="14"/>
    </row>
    <row r="300" spans="1:7" ht="15">
      <c r="A300" s="24" t="s">
        <v>700</v>
      </c>
      <c r="B300" s="5">
        <v>12</v>
      </c>
      <c r="C300" s="25">
        <v>66.5</v>
      </c>
      <c r="D300" s="25">
        <v>81.400000000000006</v>
      </c>
      <c r="E300" s="26">
        <v>1133</v>
      </c>
      <c r="G300" s="14"/>
    </row>
    <row r="301" spans="1:7" ht="15">
      <c r="A301" s="24" t="s">
        <v>700</v>
      </c>
      <c r="B301" s="5" t="s">
        <v>650</v>
      </c>
      <c r="C301" s="18">
        <f>AVERAGE(C289:C300)</f>
        <v>69.683333333333337</v>
      </c>
      <c r="D301" s="18">
        <f>AVERAGE(D289:D300)</f>
        <v>84.25</v>
      </c>
      <c r="E301" s="27">
        <f>AVERAGE(E289:E300)</f>
        <v>1638.75</v>
      </c>
      <c r="G301" s="14"/>
    </row>
    <row r="302" spans="1:7">
      <c r="A302" s="5" t="s">
        <v>666</v>
      </c>
      <c r="B302" s="5">
        <v>1</v>
      </c>
      <c r="C302" s="17">
        <v>40.799999999999997</v>
      </c>
      <c r="D302" s="17">
        <v>61.9</v>
      </c>
      <c r="E302" s="23">
        <v>772</v>
      </c>
      <c r="G302" s="14"/>
    </row>
    <row r="303" spans="1:7">
      <c r="A303" s="5" t="s">
        <v>666</v>
      </c>
      <c r="B303" s="5">
        <v>2</v>
      </c>
      <c r="C303" s="17">
        <v>43.2</v>
      </c>
      <c r="D303" s="17">
        <v>65.7</v>
      </c>
      <c r="E303" s="23">
        <v>1034</v>
      </c>
      <c r="G303" s="14"/>
    </row>
    <row r="304" spans="1:7">
      <c r="A304" s="5" t="s">
        <v>666</v>
      </c>
      <c r="B304" s="5">
        <v>3</v>
      </c>
      <c r="C304" s="17">
        <v>49.8</v>
      </c>
      <c r="D304" s="17">
        <v>72.099999999999994</v>
      </c>
      <c r="E304" s="23">
        <v>1297</v>
      </c>
      <c r="G304" s="14"/>
    </row>
    <row r="305" spans="1:7">
      <c r="A305" s="5" t="s">
        <v>666</v>
      </c>
      <c r="B305" s="5">
        <v>4</v>
      </c>
      <c r="C305" s="17">
        <v>58.3</v>
      </c>
      <c r="D305" s="17">
        <v>79</v>
      </c>
      <c r="E305" s="23">
        <v>1522</v>
      </c>
      <c r="G305" s="14"/>
    </row>
    <row r="306" spans="1:7">
      <c r="A306" s="5" t="s">
        <v>666</v>
      </c>
      <c r="B306" s="5">
        <v>5</v>
      </c>
      <c r="C306" s="17">
        <v>64.7</v>
      </c>
      <c r="D306" s="17">
        <v>85.1</v>
      </c>
      <c r="E306" s="23">
        <v>1775</v>
      </c>
      <c r="G306" s="14"/>
    </row>
    <row r="307" spans="1:7">
      <c r="A307" s="5" t="s">
        <v>666</v>
      </c>
      <c r="B307" s="5">
        <v>6</v>
      </c>
      <c r="C307" s="17">
        <v>70.2</v>
      </c>
      <c r="D307" s="17">
        <v>90.9</v>
      </c>
      <c r="E307" s="23">
        <v>1898</v>
      </c>
      <c r="G307" s="14"/>
    </row>
    <row r="308" spans="1:7">
      <c r="A308" s="5" t="s">
        <v>666</v>
      </c>
      <c r="B308" s="5">
        <v>7</v>
      </c>
      <c r="C308" s="17">
        <v>72.5</v>
      </c>
      <c r="D308" s="17">
        <v>93.6</v>
      </c>
      <c r="E308" s="23">
        <v>1828</v>
      </c>
      <c r="G308" s="14"/>
    </row>
    <row r="309" spans="1:7">
      <c r="A309" s="5" t="s">
        <v>666</v>
      </c>
      <c r="B309" s="5">
        <v>8</v>
      </c>
      <c r="C309" s="17">
        <v>72.099999999999994</v>
      </c>
      <c r="D309" s="17">
        <v>93.1</v>
      </c>
      <c r="E309" s="23">
        <v>1686</v>
      </c>
      <c r="G309" s="14"/>
    </row>
    <row r="310" spans="1:7">
      <c r="A310" s="5" t="s">
        <v>666</v>
      </c>
      <c r="B310" s="5">
        <v>9</v>
      </c>
      <c r="C310" s="17">
        <v>68.099999999999994</v>
      </c>
      <c r="D310" s="17">
        <v>88.7</v>
      </c>
      <c r="E310" s="23">
        <v>1471</v>
      </c>
      <c r="G310" s="14"/>
    </row>
    <row r="311" spans="1:7">
      <c r="A311" s="5" t="s">
        <v>666</v>
      </c>
      <c r="B311" s="5">
        <v>10</v>
      </c>
      <c r="C311" s="17">
        <v>57.5</v>
      </c>
      <c r="D311" s="17">
        <v>81.900000000000006</v>
      </c>
      <c r="E311" s="23">
        <v>1276</v>
      </c>
      <c r="G311" s="14"/>
    </row>
    <row r="312" spans="1:7">
      <c r="A312" s="5" t="s">
        <v>666</v>
      </c>
      <c r="B312" s="5">
        <v>11</v>
      </c>
      <c r="C312" s="17">
        <v>48.6</v>
      </c>
      <c r="D312" s="17">
        <v>71.599999999999994</v>
      </c>
      <c r="E312" s="23">
        <v>924</v>
      </c>
      <c r="G312" s="14"/>
    </row>
    <row r="313" spans="1:7">
      <c r="A313" s="5" t="s">
        <v>666</v>
      </c>
      <c r="B313" s="5">
        <v>12</v>
      </c>
      <c r="C313" s="17">
        <v>42.7</v>
      </c>
      <c r="D313" s="17">
        <v>65.2</v>
      </c>
      <c r="E313" s="23">
        <v>730</v>
      </c>
      <c r="G313" s="14"/>
    </row>
    <row r="314" spans="1:7">
      <c r="A314" s="5" t="s">
        <v>666</v>
      </c>
      <c r="B314" s="5" t="s">
        <v>650</v>
      </c>
      <c r="C314" s="10">
        <f>AVERAGE(C302:C313)</f>
        <v>57.375000000000007</v>
      </c>
      <c r="D314" s="10">
        <f>AVERAGE(D302:D313)</f>
        <v>79.066666666666677</v>
      </c>
      <c r="E314" s="22">
        <f>AVERAGE(E302:E313)</f>
        <v>1351.0833333333333</v>
      </c>
      <c r="G314" s="14"/>
    </row>
    <row r="315" spans="1:7">
      <c r="A315" s="15" t="s">
        <v>657</v>
      </c>
      <c r="B315" s="5">
        <v>1</v>
      </c>
      <c r="C315" s="16">
        <v>24.5</v>
      </c>
      <c r="D315" s="16">
        <v>41.1</v>
      </c>
      <c r="E315" s="21">
        <v>526</v>
      </c>
      <c r="G315" s="14"/>
    </row>
    <row r="316" spans="1:7">
      <c r="A316" s="15" t="s">
        <v>657</v>
      </c>
      <c r="B316" s="5">
        <v>2</v>
      </c>
      <c r="C316" s="16">
        <v>26.6</v>
      </c>
      <c r="D316" s="16">
        <v>45</v>
      </c>
      <c r="E316" s="21">
        <v>757</v>
      </c>
      <c r="G316" s="14"/>
    </row>
    <row r="317" spans="1:7">
      <c r="A317" s="15" t="s">
        <v>657</v>
      </c>
      <c r="B317" s="5">
        <v>3</v>
      </c>
      <c r="C317" s="16">
        <v>35</v>
      </c>
      <c r="D317" s="16">
        <v>55.2</v>
      </c>
      <c r="E317" s="21">
        <v>1067</v>
      </c>
      <c r="G317" s="14"/>
    </row>
    <row r="318" spans="1:7">
      <c r="A318" s="15" t="s">
        <v>657</v>
      </c>
      <c r="B318" s="5">
        <v>4</v>
      </c>
      <c r="C318" s="16">
        <v>44.4</v>
      </c>
      <c r="D318" s="16">
        <v>67.2</v>
      </c>
      <c r="E318" s="21">
        <v>1448</v>
      </c>
      <c r="G318" s="14"/>
    </row>
    <row r="319" spans="1:7">
      <c r="A319" s="15" t="s">
        <v>657</v>
      </c>
      <c r="B319" s="5">
        <v>5</v>
      </c>
      <c r="C319" s="16">
        <v>52.8</v>
      </c>
      <c r="D319" s="16">
        <v>75.7</v>
      </c>
      <c r="E319" s="21">
        <v>1710</v>
      </c>
      <c r="G319" s="14"/>
    </row>
    <row r="320" spans="1:7">
      <c r="A320" s="15" t="s">
        <v>657</v>
      </c>
      <c r="B320" s="5">
        <v>6</v>
      </c>
      <c r="C320" s="16">
        <v>60.7</v>
      </c>
      <c r="D320" s="16">
        <v>82.6</v>
      </c>
      <c r="E320" s="21">
        <v>1844</v>
      </c>
      <c r="G320" s="14"/>
    </row>
    <row r="321" spans="1:7">
      <c r="A321" s="15" t="s">
        <v>657</v>
      </c>
      <c r="B321" s="5">
        <v>7</v>
      </c>
      <c r="C321" s="16">
        <v>65.099999999999994</v>
      </c>
      <c r="D321" s="16">
        <v>85.6</v>
      </c>
      <c r="E321" s="21">
        <v>1769</v>
      </c>
      <c r="G321" s="14"/>
    </row>
    <row r="322" spans="1:7">
      <c r="A322" s="15" t="s">
        <v>657</v>
      </c>
      <c r="B322" s="5">
        <v>8</v>
      </c>
      <c r="C322" s="16">
        <v>64</v>
      </c>
      <c r="D322" s="16">
        <v>84.4</v>
      </c>
      <c r="E322" s="21">
        <v>1580</v>
      </c>
      <c r="G322" s="14"/>
    </row>
    <row r="323" spans="1:7">
      <c r="A323" s="15" t="s">
        <v>657</v>
      </c>
      <c r="B323" s="5">
        <v>9</v>
      </c>
      <c r="C323" s="16">
        <v>57.2</v>
      </c>
      <c r="D323" s="16">
        <v>78.7</v>
      </c>
      <c r="E323" s="21">
        <v>1306</v>
      </c>
      <c r="G323" s="14"/>
    </row>
    <row r="324" spans="1:7">
      <c r="A324" s="15" t="s">
        <v>657</v>
      </c>
      <c r="B324" s="5">
        <v>10</v>
      </c>
      <c r="C324" s="16">
        <v>44.9</v>
      </c>
      <c r="D324" s="16">
        <v>67.599999999999994</v>
      </c>
      <c r="E324" s="21">
        <v>1004</v>
      </c>
      <c r="G324" s="14"/>
    </row>
    <row r="325" spans="1:7">
      <c r="A325" s="15" t="s">
        <v>657</v>
      </c>
      <c r="B325" s="5">
        <v>11</v>
      </c>
      <c r="C325" s="16">
        <v>35.9</v>
      </c>
      <c r="D325" s="16">
        <v>55.2</v>
      </c>
      <c r="E325" s="21">
        <v>638</v>
      </c>
      <c r="G325" s="14"/>
    </row>
    <row r="326" spans="1:7">
      <c r="A326" s="15" t="s">
        <v>657</v>
      </c>
      <c r="B326" s="5">
        <v>12</v>
      </c>
      <c r="C326" s="16">
        <v>28.5</v>
      </c>
      <c r="D326" s="16">
        <v>45.2</v>
      </c>
      <c r="E326" s="21">
        <v>467</v>
      </c>
      <c r="G326" s="14"/>
    </row>
    <row r="327" spans="1:7">
      <c r="A327" s="15" t="s">
        <v>657</v>
      </c>
      <c r="B327" s="5" t="s">
        <v>650</v>
      </c>
      <c r="C327" s="20">
        <f>AVERAGE(C315:C326)</f>
        <v>44.966666666666661</v>
      </c>
      <c r="D327" s="20">
        <f>AVERAGE(D315:D326)</f>
        <v>65.291666666666671</v>
      </c>
      <c r="E327" s="19">
        <f>AVERAGE(E315:E326)</f>
        <v>1176.3333333333333</v>
      </c>
      <c r="G327" s="14"/>
    </row>
    <row r="328" spans="1:7" ht="15">
      <c r="A328" s="24" t="s">
        <v>697</v>
      </c>
      <c r="B328" s="5">
        <v>1</v>
      </c>
      <c r="C328" s="25">
        <v>17.8</v>
      </c>
      <c r="D328" s="25">
        <v>34.200000000000003</v>
      </c>
      <c r="E328" s="26">
        <v>496</v>
      </c>
      <c r="G328" s="14"/>
    </row>
    <row r="329" spans="1:7" ht="15">
      <c r="A329" s="24" t="s">
        <v>697</v>
      </c>
      <c r="B329" s="5">
        <v>2</v>
      </c>
      <c r="C329" s="25">
        <v>21.1</v>
      </c>
      <c r="D329" s="25">
        <v>38.5</v>
      </c>
      <c r="E329" s="26">
        <v>747</v>
      </c>
      <c r="G329" s="14"/>
    </row>
    <row r="330" spans="1:7" ht="15">
      <c r="A330" s="24" t="s">
        <v>697</v>
      </c>
      <c r="B330" s="5">
        <v>3</v>
      </c>
      <c r="C330" s="25">
        <v>30.7</v>
      </c>
      <c r="D330" s="25">
        <v>49.3</v>
      </c>
      <c r="E330" s="26">
        <v>1037</v>
      </c>
      <c r="G330" s="14"/>
    </row>
    <row r="331" spans="1:7" ht="15">
      <c r="A331" s="24" t="s">
        <v>697</v>
      </c>
      <c r="B331" s="5">
        <v>4</v>
      </c>
      <c r="C331" s="25">
        <v>41.7</v>
      </c>
      <c r="D331" s="25">
        <v>63.1</v>
      </c>
      <c r="E331" s="26">
        <v>1398</v>
      </c>
      <c r="G331" s="14"/>
    </row>
    <row r="332" spans="1:7" ht="15">
      <c r="A332" s="24" t="s">
        <v>697</v>
      </c>
      <c r="B332" s="5">
        <v>5</v>
      </c>
      <c r="C332" s="25">
        <v>51.5</v>
      </c>
      <c r="D332" s="25">
        <v>73.400000000000006</v>
      </c>
      <c r="E332" s="26">
        <v>1638</v>
      </c>
      <c r="G332" s="14"/>
    </row>
    <row r="333" spans="1:7" ht="15">
      <c r="A333" s="24" t="s">
        <v>697</v>
      </c>
      <c r="B333" s="5">
        <v>6</v>
      </c>
      <c r="C333" s="25">
        <v>60.9</v>
      </c>
      <c r="D333" s="25">
        <v>82.3</v>
      </c>
      <c r="E333" s="26">
        <v>1868</v>
      </c>
      <c r="G333" s="14"/>
    </row>
    <row r="334" spans="1:7" ht="15">
      <c r="A334" s="24" t="s">
        <v>697</v>
      </c>
      <c r="B334" s="5">
        <v>7</v>
      </c>
      <c r="C334" s="25">
        <v>64.900000000000006</v>
      </c>
      <c r="D334" s="25">
        <v>85.2</v>
      </c>
      <c r="E334" s="26">
        <v>1806</v>
      </c>
      <c r="G334" s="14"/>
    </row>
    <row r="335" spans="1:7" ht="15">
      <c r="A335" s="24" t="s">
        <v>697</v>
      </c>
      <c r="B335" s="5">
        <v>8</v>
      </c>
      <c r="C335" s="25">
        <v>62.7</v>
      </c>
      <c r="D335" s="25">
        <v>83.7</v>
      </c>
      <c r="E335" s="26">
        <v>1644</v>
      </c>
      <c r="G335" s="14"/>
    </row>
    <row r="336" spans="1:7" ht="15">
      <c r="A336" s="24" t="s">
        <v>697</v>
      </c>
      <c r="B336" s="5">
        <v>9</v>
      </c>
      <c r="C336" s="25">
        <v>55.3</v>
      </c>
      <c r="D336" s="25">
        <v>77.900000000000006</v>
      </c>
      <c r="E336" s="26">
        <v>1324</v>
      </c>
      <c r="G336" s="14"/>
    </row>
    <row r="337" spans="1:7" ht="15">
      <c r="A337" s="24" t="s">
        <v>697</v>
      </c>
      <c r="B337" s="5">
        <v>10</v>
      </c>
      <c r="C337" s="25">
        <v>43.4</v>
      </c>
      <c r="D337" s="25">
        <v>66.099999999999994</v>
      </c>
      <c r="E337" s="26">
        <v>977</v>
      </c>
      <c r="G337" s="14"/>
    </row>
    <row r="338" spans="1:7" ht="15">
      <c r="A338" s="24" t="s">
        <v>697</v>
      </c>
      <c r="B338" s="5">
        <v>11</v>
      </c>
      <c r="C338" s="25">
        <v>32.799999999999997</v>
      </c>
      <c r="D338" s="25">
        <v>50.8</v>
      </c>
      <c r="E338" s="26">
        <v>579</v>
      </c>
      <c r="G338" s="14"/>
    </row>
    <row r="339" spans="1:7" ht="15">
      <c r="A339" s="24" t="s">
        <v>697</v>
      </c>
      <c r="B339" s="5">
        <v>12</v>
      </c>
      <c r="C339" s="25">
        <v>23.7</v>
      </c>
      <c r="D339" s="25">
        <v>39.200000000000003</v>
      </c>
      <c r="E339" s="26">
        <v>417</v>
      </c>
      <c r="G339" s="14"/>
    </row>
    <row r="340" spans="1:7" ht="15">
      <c r="A340" s="24" t="s">
        <v>697</v>
      </c>
      <c r="B340" s="5" t="s">
        <v>650</v>
      </c>
      <c r="C340" s="18">
        <f>AVERAGE(C328:C339)</f>
        <v>42.208333333333336</v>
      </c>
      <c r="D340" s="18">
        <f>AVERAGE(D328:D339)</f>
        <v>61.975000000000001</v>
      </c>
      <c r="E340" s="27">
        <f>AVERAGE(E328:E339)</f>
        <v>1160.9166666666667</v>
      </c>
      <c r="G340" s="14"/>
    </row>
    <row r="341" spans="1:7">
      <c r="A341" s="15" t="s">
        <v>688</v>
      </c>
      <c r="B341" s="5">
        <v>1</v>
      </c>
      <c r="C341" s="16">
        <v>34.9</v>
      </c>
      <c r="D341" s="16">
        <v>56.5</v>
      </c>
      <c r="E341" s="21">
        <v>754</v>
      </c>
      <c r="G341" s="14"/>
    </row>
    <row r="342" spans="1:7">
      <c r="A342" s="15" t="s">
        <v>688</v>
      </c>
      <c r="B342" s="5">
        <v>2</v>
      </c>
      <c r="C342" s="16">
        <v>37.200000000000003</v>
      </c>
      <c r="D342" s="16">
        <v>60.9</v>
      </c>
      <c r="E342" s="21">
        <v>1026</v>
      </c>
      <c r="G342" s="14"/>
    </row>
    <row r="343" spans="1:7">
      <c r="A343" s="15" t="s">
        <v>688</v>
      </c>
      <c r="B343" s="5">
        <v>3</v>
      </c>
      <c r="C343" s="16">
        <v>44.2</v>
      </c>
      <c r="D343" s="16">
        <v>68.400000000000006</v>
      </c>
      <c r="E343" s="21">
        <v>1369</v>
      </c>
      <c r="G343" s="14"/>
    </row>
    <row r="344" spans="1:7">
      <c r="A344" s="15" t="s">
        <v>688</v>
      </c>
      <c r="B344" s="5">
        <v>4</v>
      </c>
      <c r="C344" s="16">
        <v>52.9</v>
      </c>
      <c r="D344" s="16">
        <v>77.3</v>
      </c>
      <c r="E344" s="21">
        <v>1708</v>
      </c>
      <c r="G344" s="14"/>
    </row>
    <row r="345" spans="1:7">
      <c r="A345" s="15" t="s">
        <v>688</v>
      </c>
      <c r="B345" s="5">
        <v>5</v>
      </c>
      <c r="C345" s="16">
        <v>60.8</v>
      </c>
      <c r="D345" s="16">
        <v>84.1</v>
      </c>
      <c r="E345" s="21">
        <v>1941</v>
      </c>
      <c r="G345" s="14"/>
    </row>
    <row r="346" spans="1:7">
      <c r="A346" s="15" t="s">
        <v>688</v>
      </c>
      <c r="B346" s="5">
        <v>6</v>
      </c>
      <c r="C346" s="16">
        <v>67.900000000000006</v>
      </c>
      <c r="D346" s="16">
        <v>90.5</v>
      </c>
      <c r="E346" s="21">
        <v>2024</v>
      </c>
      <c r="G346" s="14"/>
    </row>
    <row r="347" spans="1:7">
      <c r="A347" s="15" t="s">
        <v>688</v>
      </c>
      <c r="B347" s="5">
        <v>7</v>
      </c>
      <c r="C347" s="16">
        <v>71.3</v>
      </c>
      <c r="D347" s="16">
        <v>92.5</v>
      </c>
      <c r="E347" s="21">
        <v>1909</v>
      </c>
      <c r="G347" s="14"/>
    </row>
    <row r="348" spans="1:7">
      <c r="A348" s="15" t="s">
        <v>688</v>
      </c>
      <c r="B348" s="5">
        <v>8</v>
      </c>
      <c r="C348" s="16">
        <v>70.2</v>
      </c>
      <c r="D348" s="16">
        <v>92.1</v>
      </c>
      <c r="E348" s="21">
        <v>1781</v>
      </c>
      <c r="G348" s="14"/>
    </row>
    <row r="349" spans="1:7">
      <c r="A349" s="15" t="s">
        <v>688</v>
      </c>
      <c r="B349" s="5">
        <v>9</v>
      </c>
      <c r="C349" s="16">
        <v>65.099999999999994</v>
      </c>
      <c r="D349" s="16">
        <v>87.6</v>
      </c>
      <c r="E349" s="21">
        <v>1509</v>
      </c>
      <c r="G349" s="14"/>
    </row>
    <row r="350" spans="1:7">
      <c r="A350" s="15" t="s">
        <v>688</v>
      </c>
      <c r="B350" s="5">
        <v>10</v>
      </c>
      <c r="C350" s="16">
        <v>51.4</v>
      </c>
      <c r="D350" s="16">
        <v>78.599999999999994</v>
      </c>
      <c r="E350" s="21">
        <v>1271</v>
      </c>
      <c r="G350" s="14"/>
    </row>
    <row r="351" spans="1:7">
      <c r="A351" s="15" t="s">
        <v>688</v>
      </c>
      <c r="B351" s="5">
        <v>11</v>
      </c>
      <c r="C351" s="16">
        <v>42.3</v>
      </c>
      <c r="D351" s="16">
        <v>67.5</v>
      </c>
      <c r="E351" s="21">
        <v>902</v>
      </c>
      <c r="G351" s="14"/>
    </row>
    <row r="352" spans="1:7">
      <c r="A352" s="15" t="s">
        <v>688</v>
      </c>
      <c r="B352" s="5">
        <v>12</v>
      </c>
      <c r="C352" s="16">
        <v>37.1</v>
      </c>
      <c r="D352" s="16">
        <v>60</v>
      </c>
      <c r="E352" s="21">
        <v>709</v>
      </c>
      <c r="G352" s="14"/>
    </row>
    <row r="353" spans="1:7">
      <c r="A353" s="15" t="s">
        <v>688</v>
      </c>
      <c r="B353" s="5" t="s">
        <v>650</v>
      </c>
      <c r="C353" s="20">
        <f>AVERAGE(C341:C352)</f>
        <v>52.941666666666663</v>
      </c>
      <c r="D353" s="20">
        <f>AVERAGE(D341:D352)</f>
        <v>76.333333333333343</v>
      </c>
      <c r="E353" s="19">
        <f>AVERAGE(E341:E352)</f>
        <v>1408.5833333333333</v>
      </c>
      <c r="G353" s="14"/>
    </row>
    <row r="354" spans="1:7">
      <c r="A354" s="15" t="s">
        <v>693</v>
      </c>
      <c r="B354" s="5">
        <v>1</v>
      </c>
      <c r="C354" s="16">
        <v>42.2</v>
      </c>
      <c r="D354" s="16">
        <v>60.8</v>
      </c>
      <c r="E354" s="21">
        <v>728</v>
      </c>
      <c r="G354" s="14"/>
    </row>
    <row r="355" spans="1:7">
      <c r="A355" s="15" t="s">
        <v>693</v>
      </c>
      <c r="B355" s="5">
        <v>2</v>
      </c>
      <c r="C355" s="16">
        <v>44.5</v>
      </c>
      <c r="D355" s="16">
        <v>64</v>
      </c>
      <c r="E355" s="21">
        <v>1010</v>
      </c>
      <c r="G355" s="14"/>
    </row>
    <row r="356" spans="1:7">
      <c r="A356" s="15" t="s">
        <v>693</v>
      </c>
      <c r="B356" s="5">
        <v>3</v>
      </c>
      <c r="C356" s="16">
        <v>50.8</v>
      </c>
      <c r="D356" s="16">
        <v>70.5</v>
      </c>
      <c r="E356" s="21">
        <v>1313</v>
      </c>
      <c r="G356" s="14"/>
    </row>
    <row r="357" spans="1:7">
      <c r="A357" s="15" t="s">
        <v>693</v>
      </c>
      <c r="B357" s="5">
        <v>4</v>
      </c>
      <c r="C357" s="16">
        <v>58.9</v>
      </c>
      <c r="D357" s="16">
        <v>77.8</v>
      </c>
      <c r="E357" s="21">
        <v>1570</v>
      </c>
      <c r="G357" s="14"/>
    </row>
    <row r="358" spans="1:7">
      <c r="A358" s="15" t="s">
        <v>693</v>
      </c>
      <c r="B358" s="5">
        <v>5</v>
      </c>
      <c r="C358" s="16">
        <v>65.599999999999994</v>
      </c>
      <c r="D358" s="16">
        <v>84.1</v>
      </c>
      <c r="E358" s="21">
        <v>1849</v>
      </c>
      <c r="G358" s="14"/>
    </row>
    <row r="359" spans="1:7">
      <c r="A359" s="15" t="s">
        <v>693</v>
      </c>
      <c r="B359" s="5">
        <v>6</v>
      </c>
      <c r="C359" s="16">
        <v>71.400000000000006</v>
      </c>
      <c r="D359" s="16">
        <v>89.4</v>
      </c>
      <c r="E359" s="21">
        <v>1970</v>
      </c>
      <c r="G359" s="14"/>
    </row>
    <row r="360" spans="1:7">
      <c r="A360" s="15" t="s">
        <v>693</v>
      </c>
      <c r="B360" s="5">
        <v>7</v>
      </c>
      <c r="C360" s="16">
        <v>73.5</v>
      </c>
      <c r="D360" s="16">
        <v>91</v>
      </c>
      <c r="E360" s="21">
        <v>1788</v>
      </c>
      <c r="G360" s="14"/>
    </row>
    <row r="361" spans="1:7">
      <c r="A361" s="15" t="s">
        <v>693</v>
      </c>
      <c r="B361" s="5">
        <v>8</v>
      </c>
      <c r="C361" s="16">
        <v>72.8</v>
      </c>
      <c r="D361" s="16">
        <v>90.8</v>
      </c>
      <c r="E361" s="21">
        <v>1657</v>
      </c>
      <c r="G361" s="14"/>
    </row>
    <row r="362" spans="1:7">
      <c r="A362" s="15" t="s">
        <v>693</v>
      </c>
      <c r="B362" s="5">
        <v>9</v>
      </c>
      <c r="C362" s="16">
        <v>68.900000000000006</v>
      </c>
      <c r="D362" s="16">
        <v>87.5</v>
      </c>
      <c r="E362" s="21">
        <v>1485</v>
      </c>
      <c r="G362" s="14"/>
    </row>
    <row r="363" spans="1:7">
      <c r="A363" s="15" t="s">
        <v>693</v>
      </c>
      <c r="B363" s="5">
        <v>10</v>
      </c>
      <c r="C363" s="16">
        <v>57.7</v>
      </c>
      <c r="D363" s="16">
        <v>80.8</v>
      </c>
      <c r="E363" s="21">
        <v>1381</v>
      </c>
      <c r="G363" s="14"/>
    </row>
    <row r="364" spans="1:7">
      <c r="A364" s="15" t="s">
        <v>693</v>
      </c>
      <c r="B364" s="5">
        <v>11</v>
      </c>
      <c r="C364" s="16">
        <v>48.9</v>
      </c>
      <c r="D364" s="16">
        <v>70.5</v>
      </c>
      <c r="E364" s="21">
        <v>917</v>
      </c>
      <c r="G364" s="14"/>
    </row>
    <row r="365" spans="1:7">
      <c r="A365" s="15" t="s">
        <v>693</v>
      </c>
      <c r="B365" s="5">
        <v>12</v>
      </c>
      <c r="C365" s="16">
        <v>43.8</v>
      </c>
      <c r="D365" s="16">
        <v>64</v>
      </c>
      <c r="E365" s="21">
        <v>706</v>
      </c>
      <c r="G365" s="14"/>
    </row>
    <row r="366" spans="1:7">
      <c r="A366" s="15" t="s">
        <v>693</v>
      </c>
      <c r="B366" s="5" t="s">
        <v>650</v>
      </c>
      <c r="C366" s="20">
        <f>AVERAGE(C354:C365)</f>
        <v>58.25</v>
      </c>
      <c r="D366" s="20">
        <f>AVERAGE(D354:D365)</f>
        <v>77.599999999999994</v>
      </c>
      <c r="E366" s="19">
        <f>AVERAGE(E354:E365)</f>
        <v>1364.5</v>
      </c>
      <c r="G366" s="14"/>
    </row>
    <row r="367" spans="1:7" ht="15">
      <c r="A367" s="24" t="s">
        <v>686</v>
      </c>
      <c r="B367" s="5">
        <v>1</v>
      </c>
      <c r="C367" s="25">
        <v>33</v>
      </c>
      <c r="D367" s="25">
        <v>56</v>
      </c>
      <c r="E367" s="26">
        <v>978</v>
      </c>
      <c r="G367" s="14"/>
    </row>
    <row r="368" spans="1:7" ht="15">
      <c r="A368" s="24" t="s">
        <v>686</v>
      </c>
      <c r="B368" s="5">
        <v>2</v>
      </c>
      <c r="C368" s="25">
        <v>37.700000000000003</v>
      </c>
      <c r="D368" s="25">
        <v>62.4</v>
      </c>
      <c r="E368" s="26">
        <v>1340</v>
      </c>
      <c r="G368" s="14"/>
    </row>
    <row r="369" spans="1:7" ht="15">
      <c r="A369" s="24" t="s">
        <v>686</v>
      </c>
      <c r="B369" s="5">
        <v>3</v>
      </c>
      <c r="C369" s="25">
        <v>42.3</v>
      </c>
      <c r="D369" s="25">
        <v>68.3</v>
      </c>
      <c r="E369" s="26">
        <v>1824</v>
      </c>
      <c r="G369" s="14"/>
    </row>
    <row r="370" spans="1:7" ht="15">
      <c r="A370" s="24" t="s">
        <v>686</v>
      </c>
      <c r="B370" s="5">
        <v>4</v>
      </c>
      <c r="C370" s="25">
        <v>49.8</v>
      </c>
      <c r="D370" s="25">
        <v>77.2</v>
      </c>
      <c r="E370" s="26">
        <v>2319</v>
      </c>
      <c r="G370" s="14"/>
    </row>
    <row r="371" spans="1:7" ht="15">
      <c r="A371" s="24" t="s">
        <v>686</v>
      </c>
      <c r="B371" s="5">
        <v>5</v>
      </c>
      <c r="C371" s="25">
        <v>59</v>
      </c>
      <c r="D371" s="25">
        <v>87.4</v>
      </c>
      <c r="E371" s="26">
        <v>2646</v>
      </c>
      <c r="G371" s="14"/>
    </row>
    <row r="372" spans="1:7" ht="15">
      <c r="A372" s="24" t="s">
        <v>686</v>
      </c>
      <c r="B372" s="5">
        <v>6</v>
      </c>
      <c r="C372" s="25">
        <v>68.599999999999994</v>
      </c>
      <c r="D372" s="25">
        <v>98.6</v>
      </c>
      <c r="E372" s="26">
        <v>2778</v>
      </c>
      <c r="G372" s="14"/>
    </row>
    <row r="373" spans="1:7" ht="15">
      <c r="A373" s="24" t="s">
        <v>686</v>
      </c>
      <c r="B373" s="5">
        <v>7</v>
      </c>
      <c r="C373" s="25">
        <v>75.900000000000006</v>
      </c>
      <c r="D373" s="25">
        <v>104.5</v>
      </c>
      <c r="E373" s="26">
        <v>2588</v>
      </c>
      <c r="G373" s="14"/>
    </row>
    <row r="374" spans="1:7" ht="15">
      <c r="A374" s="24" t="s">
        <v>686</v>
      </c>
      <c r="B374" s="5">
        <v>8</v>
      </c>
      <c r="C374" s="25">
        <v>73.900000000000006</v>
      </c>
      <c r="D374" s="25">
        <v>101.9</v>
      </c>
      <c r="E374" s="26">
        <v>2355</v>
      </c>
      <c r="G374" s="14"/>
    </row>
    <row r="375" spans="1:7" ht="15">
      <c r="A375" s="24" t="s">
        <v>686</v>
      </c>
      <c r="B375" s="5">
        <v>9</v>
      </c>
      <c r="C375" s="25">
        <v>65.599999999999994</v>
      </c>
      <c r="D375" s="25">
        <v>94.7</v>
      </c>
      <c r="E375" s="26">
        <v>2037</v>
      </c>
      <c r="G375" s="14"/>
    </row>
    <row r="376" spans="1:7" ht="15">
      <c r="A376" s="24" t="s">
        <v>686</v>
      </c>
      <c r="B376" s="5">
        <v>10</v>
      </c>
      <c r="C376" s="25">
        <v>53.5</v>
      </c>
      <c r="D376" s="25">
        <v>81.5</v>
      </c>
      <c r="E376" s="26">
        <v>1540</v>
      </c>
      <c r="G376" s="14"/>
    </row>
    <row r="377" spans="1:7" ht="15">
      <c r="A377" s="24" t="s">
        <v>686</v>
      </c>
      <c r="B377" s="5">
        <v>11</v>
      </c>
      <c r="C377" s="25">
        <v>41.2</v>
      </c>
      <c r="D377" s="25">
        <v>66</v>
      </c>
      <c r="E377" s="26">
        <v>1086</v>
      </c>
      <c r="G377" s="14"/>
    </row>
    <row r="378" spans="1:7" ht="15">
      <c r="A378" s="24" t="s">
        <v>686</v>
      </c>
      <c r="B378" s="5">
        <v>12</v>
      </c>
      <c r="C378" s="25">
        <v>33.6</v>
      </c>
      <c r="D378" s="25">
        <v>57.1</v>
      </c>
      <c r="E378" s="26">
        <v>881</v>
      </c>
      <c r="G378" s="14"/>
    </row>
    <row r="379" spans="1:7" ht="15">
      <c r="A379" s="24" t="s">
        <v>686</v>
      </c>
      <c r="B379" s="5" t="s">
        <v>650</v>
      </c>
      <c r="C379" s="20">
        <f>AVERAGE(C367:C378)</f>
        <v>52.841666666666669</v>
      </c>
      <c r="D379" s="20">
        <f>AVERAGE(D367:D378)</f>
        <v>79.63333333333334</v>
      </c>
      <c r="E379" s="19">
        <f>AVERAGE(E367:E378)</f>
        <v>1864.3333333333333</v>
      </c>
      <c r="G379" s="14"/>
    </row>
    <row r="380" spans="1:7" ht="15">
      <c r="A380" s="24" t="s">
        <v>712</v>
      </c>
      <c r="B380" s="5">
        <v>1</v>
      </c>
      <c r="C380" s="25">
        <v>29.9</v>
      </c>
      <c r="D380" s="25">
        <v>49.8</v>
      </c>
      <c r="E380" s="26">
        <v>731</v>
      </c>
      <c r="G380" s="14"/>
    </row>
    <row r="381" spans="1:7" ht="15">
      <c r="A381" s="24" t="s">
        <v>712</v>
      </c>
      <c r="B381" s="5">
        <v>2</v>
      </c>
      <c r="C381" s="25">
        <v>33.6</v>
      </c>
      <c r="D381" s="25">
        <v>54.5</v>
      </c>
      <c r="E381" s="26">
        <v>1003</v>
      </c>
      <c r="G381" s="14"/>
    </row>
    <row r="382" spans="1:7" ht="15">
      <c r="A382" s="24" t="s">
        <v>712</v>
      </c>
      <c r="B382" s="5">
        <v>3</v>
      </c>
      <c r="C382" s="25">
        <v>41.2</v>
      </c>
      <c r="D382" s="25">
        <v>63.2</v>
      </c>
      <c r="E382" s="26">
        <v>1313</v>
      </c>
      <c r="G382" s="14"/>
    </row>
    <row r="383" spans="1:7" ht="15">
      <c r="A383" s="24" t="s">
        <v>712</v>
      </c>
      <c r="B383" s="5">
        <v>4</v>
      </c>
      <c r="C383" s="25">
        <v>50.9</v>
      </c>
      <c r="D383" s="25">
        <v>73.8</v>
      </c>
      <c r="E383" s="26">
        <v>1611</v>
      </c>
      <c r="G383" s="14"/>
    </row>
    <row r="384" spans="1:7" ht="15">
      <c r="A384" s="24" t="s">
        <v>712</v>
      </c>
      <c r="B384" s="5">
        <v>5</v>
      </c>
      <c r="C384" s="25">
        <v>59.2</v>
      </c>
      <c r="D384" s="25">
        <v>81.7</v>
      </c>
      <c r="E384" s="26">
        <v>1929</v>
      </c>
      <c r="G384" s="14"/>
    </row>
    <row r="385" spans="1:7" ht="15">
      <c r="A385" s="24" t="s">
        <v>712</v>
      </c>
      <c r="B385" s="5">
        <v>6</v>
      </c>
      <c r="C385" s="25">
        <v>67.5</v>
      </c>
      <c r="D385" s="25">
        <v>89.5</v>
      </c>
      <c r="E385" s="26">
        <v>2107</v>
      </c>
      <c r="G385" s="14"/>
    </row>
    <row r="386" spans="1:7" ht="15">
      <c r="A386" s="24" t="s">
        <v>712</v>
      </c>
      <c r="B386" s="5">
        <v>7</v>
      </c>
      <c r="C386" s="25">
        <v>71.400000000000006</v>
      </c>
      <c r="D386" s="25">
        <v>92.7</v>
      </c>
      <c r="E386" s="26">
        <v>2032</v>
      </c>
      <c r="G386" s="14"/>
    </row>
    <row r="387" spans="1:7" ht="15">
      <c r="A387" s="24" t="s">
        <v>712</v>
      </c>
      <c r="B387" s="5">
        <v>8</v>
      </c>
      <c r="C387" s="25">
        <v>69.599999999999994</v>
      </c>
      <c r="D387" s="25">
        <v>92.3</v>
      </c>
      <c r="E387" s="26">
        <v>1861</v>
      </c>
      <c r="G387" s="14"/>
    </row>
    <row r="388" spans="1:7" ht="15">
      <c r="A388" s="24" t="s">
        <v>712</v>
      </c>
      <c r="B388" s="5">
        <v>9</v>
      </c>
      <c r="C388" s="25">
        <v>63</v>
      </c>
      <c r="D388" s="25">
        <v>85.6</v>
      </c>
      <c r="E388" s="26">
        <v>1518</v>
      </c>
      <c r="G388" s="14"/>
    </row>
    <row r="389" spans="1:7" ht="15">
      <c r="A389" s="24" t="s">
        <v>712</v>
      </c>
      <c r="B389" s="5">
        <v>10</v>
      </c>
      <c r="C389" s="25">
        <v>50.4</v>
      </c>
      <c r="D389" s="25">
        <v>75.8</v>
      </c>
      <c r="E389" s="26">
        <v>1228</v>
      </c>
      <c r="G389" s="14"/>
    </row>
    <row r="390" spans="1:7" ht="15">
      <c r="A390" s="24" t="s">
        <v>712</v>
      </c>
      <c r="B390" s="5">
        <v>11</v>
      </c>
      <c r="C390" s="25">
        <v>40</v>
      </c>
      <c r="D390" s="25">
        <v>62.4</v>
      </c>
      <c r="E390" s="26">
        <v>847</v>
      </c>
      <c r="G390" s="14"/>
    </row>
    <row r="391" spans="1:7" ht="15">
      <c r="A391" s="24" t="s">
        <v>712</v>
      </c>
      <c r="B391" s="5">
        <v>12</v>
      </c>
      <c r="C391" s="25">
        <v>33.200000000000003</v>
      </c>
      <c r="D391" s="25">
        <v>53.2</v>
      </c>
      <c r="E391" s="26">
        <v>674</v>
      </c>
      <c r="G391" s="14"/>
    </row>
    <row r="392" spans="1:7" ht="15">
      <c r="A392" s="24" t="s">
        <v>712</v>
      </c>
      <c r="B392" s="5" t="s">
        <v>650</v>
      </c>
      <c r="C392" s="18">
        <f>AVERAGE(C380:C391)</f>
        <v>50.82500000000001</v>
      </c>
      <c r="D392" s="18">
        <f>AVERAGE(D380:D391)</f>
        <v>72.875</v>
      </c>
      <c r="E392" s="27">
        <f>AVERAGE(E380:E391)</f>
        <v>1404.5</v>
      </c>
      <c r="G392" s="14"/>
    </row>
    <row r="393" spans="1:7" ht="15">
      <c r="A393" s="24" t="s">
        <v>710</v>
      </c>
      <c r="B393" s="5">
        <v>1</v>
      </c>
      <c r="C393" s="25">
        <v>44.3</v>
      </c>
      <c r="D393" s="25">
        <v>66</v>
      </c>
      <c r="E393" s="26">
        <v>928</v>
      </c>
      <c r="G393" s="13"/>
    </row>
    <row r="394" spans="1:7" ht="15">
      <c r="A394" s="24" t="s">
        <v>710</v>
      </c>
      <c r="B394" s="5">
        <v>2</v>
      </c>
      <c r="C394" s="25">
        <v>45.9</v>
      </c>
      <c r="D394" s="25">
        <v>67.3</v>
      </c>
      <c r="E394" s="26">
        <v>1215</v>
      </c>
      <c r="G394" s="13"/>
    </row>
    <row r="395" spans="1:7" ht="15">
      <c r="A395" s="24" t="s">
        <v>710</v>
      </c>
      <c r="B395" s="5">
        <v>3</v>
      </c>
      <c r="C395" s="25">
        <v>47.7</v>
      </c>
      <c r="D395" s="25">
        <v>68</v>
      </c>
      <c r="E395" s="26">
        <v>1610</v>
      </c>
      <c r="G395" s="13"/>
    </row>
    <row r="396" spans="1:7" ht="15">
      <c r="A396" s="24" t="s">
        <v>710</v>
      </c>
      <c r="B396" s="5">
        <v>4</v>
      </c>
      <c r="C396" s="25">
        <v>50.8</v>
      </c>
      <c r="D396" s="25">
        <v>70.900000000000006</v>
      </c>
      <c r="E396" s="26">
        <v>1938</v>
      </c>
      <c r="G396" s="13"/>
    </row>
    <row r="397" spans="1:7" ht="15">
      <c r="A397" s="24" t="s">
        <v>710</v>
      </c>
      <c r="B397" s="5">
        <v>5</v>
      </c>
      <c r="C397" s="25">
        <v>55.2</v>
      </c>
      <c r="D397" s="25">
        <v>73.400000000000006</v>
      </c>
      <c r="E397" s="26">
        <v>2065</v>
      </c>
      <c r="G397" s="13"/>
    </row>
    <row r="398" spans="1:7" ht="15">
      <c r="A398" s="24" t="s">
        <v>710</v>
      </c>
      <c r="B398" s="5">
        <v>6</v>
      </c>
      <c r="C398" s="25">
        <v>58.9</v>
      </c>
      <c r="D398" s="25">
        <v>77.400000000000006</v>
      </c>
      <c r="E398" s="26">
        <v>2140</v>
      </c>
      <c r="G398" s="13"/>
    </row>
    <row r="399" spans="1:7" ht="15">
      <c r="A399" s="24" t="s">
        <v>710</v>
      </c>
      <c r="B399" s="5">
        <v>7</v>
      </c>
      <c r="C399" s="25">
        <v>62.6</v>
      </c>
      <c r="D399" s="25">
        <v>83</v>
      </c>
      <c r="E399" s="26">
        <v>2300</v>
      </c>
      <c r="G399" s="13"/>
    </row>
    <row r="400" spans="1:7" ht="15">
      <c r="A400" s="24" t="s">
        <v>710</v>
      </c>
      <c r="B400" s="5">
        <v>8</v>
      </c>
      <c r="C400" s="25">
        <v>64</v>
      </c>
      <c r="D400" s="25">
        <v>83.8</v>
      </c>
      <c r="E400" s="26">
        <v>2100</v>
      </c>
      <c r="G400" s="13"/>
    </row>
    <row r="401" spans="1:7" ht="15">
      <c r="A401" s="24" t="s">
        <v>710</v>
      </c>
      <c r="B401" s="5">
        <v>9</v>
      </c>
      <c r="C401" s="25">
        <v>61.6</v>
      </c>
      <c r="D401" s="25">
        <v>82.5</v>
      </c>
      <c r="E401" s="26">
        <v>1701</v>
      </c>
      <c r="G401" s="13"/>
    </row>
    <row r="402" spans="1:7" ht="15">
      <c r="A402" s="24" t="s">
        <v>710</v>
      </c>
      <c r="B402" s="5">
        <v>10</v>
      </c>
      <c r="C402" s="25">
        <v>56.6</v>
      </c>
      <c r="D402" s="25">
        <v>78.400000000000006</v>
      </c>
      <c r="E402" s="26">
        <v>1326</v>
      </c>
      <c r="G402" s="13"/>
    </row>
    <row r="403" spans="1:7" ht="15">
      <c r="A403" s="24" t="s">
        <v>710</v>
      </c>
      <c r="B403" s="5">
        <v>11</v>
      </c>
      <c r="C403" s="25">
        <v>49.6</v>
      </c>
      <c r="D403" s="25">
        <v>72.7</v>
      </c>
      <c r="E403" s="26">
        <v>1004</v>
      </c>
      <c r="G403" s="13"/>
    </row>
    <row r="404" spans="1:7" ht="15">
      <c r="A404" s="24" t="s">
        <v>710</v>
      </c>
      <c r="B404" s="5">
        <v>12</v>
      </c>
      <c r="C404" s="25">
        <v>44.7</v>
      </c>
      <c r="D404" s="25">
        <v>67.400000000000006</v>
      </c>
      <c r="E404" s="26">
        <v>847</v>
      </c>
      <c r="G404" s="13"/>
    </row>
    <row r="405" spans="1:7" ht="15">
      <c r="A405" s="24" t="s">
        <v>710</v>
      </c>
      <c r="B405" s="5" t="s">
        <v>650</v>
      </c>
      <c r="C405" s="18">
        <f>AVERAGE(C393:C404)</f>
        <v>53.491666666666674</v>
      </c>
      <c r="D405" s="18">
        <f>AVERAGE(D393:D404)</f>
        <v>74.233333333333334</v>
      </c>
      <c r="E405" s="27">
        <f>AVERAGE(E393:E404)</f>
        <v>1597.8333333333333</v>
      </c>
      <c r="G405" s="13"/>
    </row>
    <row r="406" spans="1:7" ht="15">
      <c r="A406" s="24" t="s">
        <v>709</v>
      </c>
      <c r="B406" s="5">
        <v>1</v>
      </c>
      <c r="C406" s="25">
        <v>47.3</v>
      </c>
      <c r="D406" s="25">
        <v>64.599999999999994</v>
      </c>
      <c r="E406" s="26">
        <v>926</v>
      </c>
      <c r="G406" s="13"/>
    </row>
    <row r="407" spans="1:7" ht="15">
      <c r="A407" s="24" t="s">
        <v>709</v>
      </c>
      <c r="B407" s="5">
        <v>2</v>
      </c>
      <c r="C407" s="25">
        <v>48.6</v>
      </c>
      <c r="D407" s="25">
        <v>65.5</v>
      </c>
      <c r="E407" s="26">
        <v>1214</v>
      </c>
      <c r="G407" s="13"/>
    </row>
    <row r="408" spans="1:7" ht="15">
      <c r="A408" s="24" t="s">
        <v>709</v>
      </c>
      <c r="B408" s="5">
        <v>3</v>
      </c>
      <c r="C408" s="25">
        <v>49.7</v>
      </c>
      <c r="D408" s="25">
        <v>65.099999999999994</v>
      </c>
      <c r="E408" s="26">
        <v>1619</v>
      </c>
      <c r="G408" s="13"/>
    </row>
    <row r="409" spans="1:7" ht="15">
      <c r="A409" s="24" t="s">
        <v>709</v>
      </c>
      <c r="B409" s="5">
        <v>4</v>
      </c>
      <c r="C409" s="25">
        <v>52.2</v>
      </c>
      <c r="D409" s="25">
        <v>66.7</v>
      </c>
      <c r="E409" s="26">
        <v>1951</v>
      </c>
      <c r="G409" s="13"/>
    </row>
    <row r="410" spans="1:7" ht="15">
      <c r="A410" s="24" t="s">
        <v>709</v>
      </c>
      <c r="B410" s="5">
        <v>5</v>
      </c>
      <c r="C410" s="25">
        <v>55.7</v>
      </c>
      <c r="D410" s="25">
        <v>69.099999999999994</v>
      </c>
      <c r="E410" s="26">
        <v>2060</v>
      </c>
      <c r="G410" s="13"/>
    </row>
    <row r="411" spans="1:7" ht="15">
      <c r="A411" s="24" t="s">
        <v>709</v>
      </c>
      <c r="B411" s="5">
        <v>6</v>
      </c>
      <c r="C411" s="25">
        <v>59.1</v>
      </c>
      <c r="D411" s="25">
        <v>72</v>
      </c>
      <c r="E411" s="26">
        <v>2119</v>
      </c>
      <c r="G411" s="13"/>
    </row>
    <row r="412" spans="1:7" ht="15">
      <c r="A412" s="24" t="s">
        <v>709</v>
      </c>
      <c r="B412" s="5">
        <v>7</v>
      </c>
      <c r="C412" s="25">
        <v>62.6</v>
      </c>
      <c r="D412" s="25">
        <v>75.3</v>
      </c>
      <c r="E412" s="26">
        <v>2308</v>
      </c>
      <c r="G412" s="13"/>
    </row>
    <row r="413" spans="1:7" ht="15">
      <c r="A413" s="24" t="s">
        <v>709</v>
      </c>
      <c r="B413" s="5">
        <v>8</v>
      </c>
      <c r="C413" s="25">
        <v>64</v>
      </c>
      <c r="D413" s="25">
        <v>76.5</v>
      </c>
      <c r="E413" s="26">
        <v>2080</v>
      </c>
      <c r="G413" s="14"/>
    </row>
    <row r="414" spans="1:7" ht="15">
      <c r="A414" s="24" t="s">
        <v>709</v>
      </c>
      <c r="B414" s="5">
        <v>9</v>
      </c>
      <c r="C414" s="25">
        <v>62.5</v>
      </c>
      <c r="D414" s="25">
        <v>76.400000000000006</v>
      </c>
      <c r="E414" s="26">
        <v>1681</v>
      </c>
      <c r="G414" s="14"/>
    </row>
    <row r="415" spans="1:7" ht="15">
      <c r="A415" s="24" t="s">
        <v>709</v>
      </c>
      <c r="B415" s="5">
        <v>10</v>
      </c>
      <c r="C415" s="25">
        <v>58.5</v>
      </c>
      <c r="D415" s="25">
        <v>74</v>
      </c>
      <c r="E415" s="26">
        <v>1317</v>
      </c>
      <c r="G415" s="14"/>
    </row>
    <row r="416" spans="1:7" ht="15">
      <c r="A416" s="24" t="s">
        <v>709</v>
      </c>
      <c r="B416" s="5">
        <v>11</v>
      </c>
      <c r="C416" s="25">
        <v>52.1</v>
      </c>
      <c r="D416" s="25">
        <v>70.3</v>
      </c>
      <c r="E416" s="26">
        <v>1004</v>
      </c>
      <c r="G416" s="14"/>
    </row>
    <row r="417" spans="1:7" ht="15">
      <c r="A417" s="24" t="s">
        <v>709</v>
      </c>
      <c r="B417" s="5">
        <v>12</v>
      </c>
      <c r="C417" s="25">
        <v>47.8</v>
      </c>
      <c r="D417" s="25">
        <v>66.099999999999994</v>
      </c>
      <c r="E417" s="26">
        <v>849</v>
      </c>
      <c r="G417" s="14"/>
    </row>
    <row r="418" spans="1:7" ht="15">
      <c r="A418" s="24" t="s">
        <v>709</v>
      </c>
      <c r="B418" s="5" t="s">
        <v>650</v>
      </c>
      <c r="C418" s="18">
        <f>AVERAGE(C406:C417)</f>
        <v>55.008333333333333</v>
      </c>
      <c r="D418" s="18">
        <f>AVERAGE(D406:D417)</f>
        <v>70.133333333333326</v>
      </c>
      <c r="E418" s="27">
        <f>AVERAGE(E406:E417)</f>
        <v>1594</v>
      </c>
      <c r="G418" s="14"/>
    </row>
    <row r="419" spans="1:7" ht="15">
      <c r="A419" s="24" t="s">
        <v>695</v>
      </c>
      <c r="B419" s="5">
        <v>1</v>
      </c>
      <c r="C419" s="25">
        <v>24.1</v>
      </c>
      <c r="D419" s="25">
        <v>40.799999999999997</v>
      </c>
      <c r="E419" s="26">
        <v>546</v>
      </c>
      <c r="G419" s="14"/>
    </row>
    <row r="420" spans="1:7" ht="15">
      <c r="A420" s="24" t="s">
        <v>695</v>
      </c>
      <c r="B420" s="5">
        <v>2</v>
      </c>
      <c r="C420" s="25">
        <v>26.8</v>
      </c>
      <c r="D420" s="25">
        <v>45</v>
      </c>
      <c r="E420" s="26">
        <v>789</v>
      </c>
      <c r="G420" s="14"/>
    </row>
    <row r="421" spans="1:7" ht="15">
      <c r="A421" s="24" t="s">
        <v>695</v>
      </c>
      <c r="B421" s="5">
        <v>3</v>
      </c>
      <c r="C421" s="25">
        <v>35.200000000000003</v>
      </c>
      <c r="D421" s="25">
        <v>54.9</v>
      </c>
      <c r="E421" s="26">
        <v>1102</v>
      </c>
      <c r="G421" s="14"/>
    </row>
    <row r="422" spans="1:7" ht="15">
      <c r="A422" s="24" t="s">
        <v>695</v>
      </c>
      <c r="B422" s="5">
        <v>4</v>
      </c>
      <c r="C422" s="25">
        <v>45.6</v>
      </c>
      <c r="D422" s="25">
        <v>67.5</v>
      </c>
      <c r="E422" s="26">
        <v>1467</v>
      </c>
      <c r="G422" s="14"/>
    </row>
    <row r="423" spans="1:7" ht="15">
      <c r="A423" s="24" t="s">
        <v>695</v>
      </c>
      <c r="B423" s="5">
        <v>5</v>
      </c>
      <c r="C423" s="25">
        <v>54.6</v>
      </c>
      <c r="D423" s="25">
        <v>76.2</v>
      </c>
      <c r="E423" s="26">
        <v>1720</v>
      </c>
      <c r="G423" s="14"/>
    </row>
    <row r="424" spans="1:7" ht="15">
      <c r="A424" s="24" t="s">
        <v>695</v>
      </c>
      <c r="B424" s="5">
        <v>6</v>
      </c>
      <c r="C424" s="25">
        <v>63.3</v>
      </c>
      <c r="D424" s="25">
        <v>84</v>
      </c>
      <c r="E424" s="26">
        <v>1904</v>
      </c>
      <c r="G424" s="14"/>
    </row>
    <row r="425" spans="1:7" ht="15">
      <c r="A425" s="24" t="s">
        <v>695</v>
      </c>
      <c r="B425" s="5">
        <v>7</v>
      </c>
      <c r="C425" s="25">
        <v>67.5</v>
      </c>
      <c r="D425" s="25">
        <v>87.6</v>
      </c>
      <c r="E425" s="26">
        <v>1838</v>
      </c>
      <c r="G425" s="14"/>
    </row>
    <row r="426" spans="1:7" ht="15">
      <c r="A426" s="24" t="s">
        <v>695</v>
      </c>
      <c r="B426" s="5">
        <v>8</v>
      </c>
      <c r="C426" s="25">
        <v>66.099999999999994</v>
      </c>
      <c r="D426" s="25">
        <v>86.7</v>
      </c>
      <c r="E426" s="26">
        <v>1680</v>
      </c>
      <c r="G426" s="14"/>
    </row>
    <row r="427" spans="1:7" ht="15">
      <c r="A427" s="24" t="s">
        <v>695</v>
      </c>
      <c r="B427" s="5">
        <v>9</v>
      </c>
      <c r="C427" s="25">
        <v>59.1</v>
      </c>
      <c r="D427" s="25">
        <v>80.599999999999994</v>
      </c>
      <c r="E427" s="26">
        <v>1361</v>
      </c>
      <c r="G427" s="14"/>
    </row>
    <row r="428" spans="1:7" ht="15">
      <c r="A428" s="24" t="s">
        <v>695</v>
      </c>
      <c r="B428" s="5">
        <v>10</v>
      </c>
      <c r="C428" s="25">
        <v>46.2</v>
      </c>
      <c r="D428" s="25">
        <v>69.2</v>
      </c>
      <c r="E428" s="26">
        <v>1042</v>
      </c>
      <c r="G428" s="14"/>
    </row>
    <row r="429" spans="1:7" ht="15">
      <c r="A429" s="24" t="s">
        <v>695</v>
      </c>
      <c r="B429" s="5">
        <v>11</v>
      </c>
      <c r="C429" s="25">
        <v>36.6</v>
      </c>
      <c r="D429" s="25">
        <v>55.5</v>
      </c>
      <c r="E429" s="26">
        <v>653</v>
      </c>
      <c r="G429" s="14"/>
    </row>
    <row r="430" spans="1:7" ht="15">
      <c r="A430" s="24" t="s">
        <v>695</v>
      </c>
      <c r="B430" s="5">
        <v>12</v>
      </c>
      <c r="C430" s="25">
        <v>28.9</v>
      </c>
      <c r="D430" s="25">
        <v>45.4</v>
      </c>
      <c r="E430" s="26">
        <v>488</v>
      </c>
      <c r="G430" s="14"/>
    </row>
    <row r="431" spans="1:7" ht="15">
      <c r="A431" s="24" t="s">
        <v>695</v>
      </c>
      <c r="B431" s="5" t="s">
        <v>650</v>
      </c>
      <c r="C431" s="18">
        <f>AVERAGE(C419:C430)</f>
        <v>46.166666666666664</v>
      </c>
      <c r="D431" s="18">
        <f>AVERAGE(D419:D430)</f>
        <v>66.116666666666674</v>
      </c>
      <c r="E431" s="27">
        <f>AVERAGE(E419:E430)</f>
        <v>1215.8333333333333</v>
      </c>
      <c r="G431" s="14"/>
    </row>
    <row r="432" spans="1:7" ht="15">
      <c r="A432" s="24" t="s">
        <v>669</v>
      </c>
      <c r="B432" s="5">
        <v>1</v>
      </c>
      <c r="C432" s="25">
        <v>30.9</v>
      </c>
      <c r="D432" s="25">
        <v>48.3</v>
      </c>
      <c r="E432" s="26">
        <v>683</v>
      </c>
      <c r="G432" s="14"/>
    </row>
    <row r="433" spans="1:7" ht="15">
      <c r="A433" s="24" t="s">
        <v>669</v>
      </c>
      <c r="B433" s="5">
        <v>2</v>
      </c>
      <c r="C433" s="25">
        <v>34.1</v>
      </c>
      <c r="D433" s="25">
        <v>53</v>
      </c>
      <c r="E433" s="26">
        <v>945</v>
      </c>
      <c r="G433" s="14"/>
    </row>
    <row r="434" spans="1:7" ht="15">
      <c r="A434" s="24" t="s">
        <v>669</v>
      </c>
      <c r="B434" s="5">
        <v>3</v>
      </c>
      <c r="C434" s="25">
        <v>41.9</v>
      </c>
      <c r="D434" s="25">
        <v>61.4</v>
      </c>
      <c r="E434" s="26">
        <v>1278</v>
      </c>
      <c r="G434" s="14"/>
    </row>
    <row r="435" spans="1:7" ht="15">
      <c r="A435" s="24" t="s">
        <v>669</v>
      </c>
      <c r="B435" s="5">
        <v>4</v>
      </c>
      <c r="C435" s="25">
        <v>52.2</v>
      </c>
      <c r="D435" s="25">
        <v>72.900000000000006</v>
      </c>
      <c r="E435" s="26">
        <v>1639</v>
      </c>
      <c r="G435" s="14"/>
    </row>
    <row r="436" spans="1:7" ht="15">
      <c r="A436" s="24" t="s">
        <v>669</v>
      </c>
      <c r="B436" s="5">
        <v>5</v>
      </c>
      <c r="C436" s="25">
        <v>60.9</v>
      </c>
      <c r="D436" s="25">
        <v>81</v>
      </c>
      <c r="E436" s="26">
        <v>1885</v>
      </c>
      <c r="G436" s="14"/>
    </row>
    <row r="437" spans="1:7" ht="15">
      <c r="A437" s="24" t="s">
        <v>669</v>
      </c>
      <c r="B437" s="5">
        <v>6</v>
      </c>
      <c r="C437" s="25">
        <v>68.900000000000006</v>
      </c>
      <c r="D437" s="25">
        <v>88.4</v>
      </c>
      <c r="E437" s="26">
        <v>2045</v>
      </c>
      <c r="G437" s="14"/>
    </row>
    <row r="438" spans="1:7" ht="15">
      <c r="A438" s="24" t="s">
        <v>669</v>
      </c>
      <c r="B438" s="5">
        <v>7</v>
      </c>
      <c r="C438" s="25">
        <v>72.599999999999994</v>
      </c>
      <c r="D438" s="25">
        <v>91.5</v>
      </c>
      <c r="E438" s="26">
        <v>1972</v>
      </c>
      <c r="G438" s="14"/>
    </row>
    <row r="439" spans="1:7" ht="15">
      <c r="A439" s="24" t="s">
        <v>669</v>
      </c>
      <c r="B439" s="5">
        <v>8</v>
      </c>
      <c r="C439" s="25">
        <v>70.8</v>
      </c>
      <c r="D439" s="25">
        <v>90.3</v>
      </c>
      <c r="E439" s="26">
        <v>1824</v>
      </c>
      <c r="G439" s="14"/>
    </row>
    <row r="440" spans="1:7" ht="15">
      <c r="A440" s="24" t="s">
        <v>669</v>
      </c>
      <c r="B440" s="5">
        <v>9</v>
      </c>
      <c r="C440" s="25">
        <v>64.099999999999994</v>
      </c>
      <c r="D440" s="25">
        <v>84.3</v>
      </c>
      <c r="E440" s="26">
        <v>1471</v>
      </c>
      <c r="G440" s="14"/>
    </row>
    <row r="441" spans="1:7" ht="15">
      <c r="A441" s="24" t="s">
        <v>669</v>
      </c>
      <c r="B441" s="5">
        <v>10</v>
      </c>
      <c r="C441" s="25">
        <v>51.3</v>
      </c>
      <c r="D441" s="25">
        <v>74.5</v>
      </c>
      <c r="E441" s="26">
        <v>1205</v>
      </c>
      <c r="G441" s="14"/>
    </row>
    <row r="442" spans="1:7" ht="15">
      <c r="A442" s="24" t="s">
        <v>669</v>
      </c>
      <c r="B442" s="5">
        <v>11</v>
      </c>
      <c r="C442" s="25">
        <v>41.1</v>
      </c>
      <c r="D442" s="25">
        <v>61.4</v>
      </c>
      <c r="E442" s="26">
        <v>817</v>
      </c>
      <c r="G442" s="14"/>
    </row>
    <row r="443" spans="1:7" ht="15">
      <c r="A443" s="24" t="s">
        <v>669</v>
      </c>
      <c r="B443" s="5">
        <v>12</v>
      </c>
      <c r="C443" s="25">
        <v>34.299999999999997</v>
      </c>
      <c r="D443" s="25">
        <v>52.3</v>
      </c>
      <c r="E443" s="26">
        <v>629</v>
      </c>
      <c r="G443" s="14"/>
    </row>
    <row r="444" spans="1:7" ht="15">
      <c r="A444" s="24" t="s">
        <v>669</v>
      </c>
      <c r="B444" s="5" t="s">
        <v>650</v>
      </c>
      <c r="C444" s="20">
        <f>AVERAGE(C432:C443)</f>
        <v>51.92499999999999</v>
      </c>
      <c r="D444" s="20">
        <f>AVERAGE(D432:D443)</f>
        <v>71.60833333333332</v>
      </c>
      <c r="E444" s="19">
        <f>AVERAGE(E432:E443)</f>
        <v>1366.0833333333333</v>
      </c>
      <c r="G444" s="14"/>
    </row>
    <row r="445" spans="1:7">
      <c r="A445" s="5" t="s">
        <v>665</v>
      </c>
      <c r="B445" s="5">
        <v>1</v>
      </c>
      <c r="C445" s="17">
        <v>29.7</v>
      </c>
      <c r="D445" s="17">
        <v>57.6</v>
      </c>
      <c r="E445" s="23">
        <v>1081</v>
      </c>
      <c r="G445" s="14"/>
    </row>
    <row r="446" spans="1:7">
      <c r="A446" s="5" t="s">
        <v>665</v>
      </c>
      <c r="B446" s="5">
        <v>2</v>
      </c>
      <c r="C446" s="17">
        <v>33.299999999999997</v>
      </c>
      <c r="D446" s="17">
        <v>62.1</v>
      </c>
      <c r="E446" s="23">
        <v>1383</v>
      </c>
      <c r="G446" s="14"/>
    </row>
    <row r="447" spans="1:7">
      <c r="A447" s="5" t="s">
        <v>665</v>
      </c>
      <c r="B447" s="5">
        <v>3</v>
      </c>
      <c r="C447" s="17">
        <v>40.200000000000003</v>
      </c>
      <c r="D447" s="17">
        <v>69.8</v>
      </c>
      <c r="E447" s="23">
        <v>1839</v>
      </c>
      <c r="G447" s="14"/>
    </row>
    <row r="448" spans="1:7">
      <c r="A448" s="5" t="s">
        <v>665</v>
      </c>
      <c r="B448" s="5">
        <v>4</v>
      </c>
      <c r="C448" s="17">
        <v>49.4</v>
      </c>
      <c r="D448" s="17">
        <v>78.8</v>
      </c>
      <c r="E448" s="23">
        <v>2192</v>
      </c>
      <c r="G448" s="14"/>
    </row>
    <row r="449" spans="1:7">
      <c r="A449" s="5" t="s">
        <v>665</v>
      </c>
      <c r="B449" s="5">
        <v>5</v>
      </c>
      <c r="C449" s="17">
        <v>58.2</v>
      </c>
      <c r="D449" s="17">
        <v>86</v>
      </c>
      <c r="E449" s="23">
        <v>2430</v>
      </c>
      <c r="G449" s="14"/>
    </row>
    <row r="450" spans="1:7">
      <c r="A450" s="5" t="s">
        <v>665</v>
      </c>
      <c r="B450" s="5">
        <v>6</v>
      </c>
      <c r="C450" s="17">
        <v>66.599999999999994</v>
      </c>
      <c r="D450" s="17">
        <v>93</v>
      </c>
      <c r="E450" s="23">
        <v>2562</v>
      </c>
      <c r="G450" s="14"/>
    </row>
    <row r="451" spans="1:7">
      <c r="A451" s="5" t="s">
        <v>665</v>
      </c>
      <c r="B451" s="5">
        <v>7</v>
      </c>
      <c r="C451" s="17">
        <v>69.2</v>
      </c>
      <c r="D451" s="17">
        <v>94.2</v>
      </c>
      <c r="E451" s="23">
        <v>2389</v>
      </c>
      <c r="G451" s="14"/>
    </row>
    <row r="452" spans="1:7">
      <c r="A452" s="5" t="s">
        <v>665</v>
      </c>
      <c r="B452" s="5">
        <v>8</v>
      </c>
      <c r="C452" s="17">
        <v>68</v>
      </c>
      <c r="D452" s="17">
        <v>93.1</v>
      </c>
      <c r="E452" s="23">
        <v>2210</v>
      </c>
      <c r="G452" s="14"/>
    </row>
    <row r="453" spans="1:7">
      <c r="A453" s="5" t="s">
        <v>665</v>
      </c>
      <c r="B453" s="5">
        <v>9</v>
      </c>
      <c r="C453" s="17">
        <v>61.9</v>
      </c>
      <c r="D453" s="17">
        <v>86.4</v>
      </c>
      <c r="E453" s="23">
        <v>1844</v>
      </c>
      <c r="G453" s="14"/>
    </row>
    <row r="454" spans="1:7">
      <c r="A454" s="5" t="s">
        <v>665</v>
      </c>
      <c r="B454" s="5">
        <v>10</v>
      </c>
      <c r="C454" s="17">
        <v>51.1</v>
      </c>
      <c r="D454" s="17">
        <v>77.7</v>
      </c>
      <c r="E454" s="23">
        <v>1522</v>
      </c>
      <c r="G454" s="14"/>
    </row>
    <row r="455" spans="1:7">
      <c r="A455" s="5" t="s">
        <v>665</v>
      </c>
      <c r="B455" s="5">
        <v>11</v>
      </c>
      <c r="C455" s="17">
        <v>39</v>
      </c>
      <c r="D455" s="17">
        <v>65.5</v>
      </c>
      <c r="E455" s="23">
        <v>1176</v>
      </c>
      <c r="G455" s="14"/>
    </row>
    <row r="456" spans="1:7">
      <c r="A456" s="5" t="s">
        <v>665</v>
      </c>
      <c r="B456" s="5">
        <v>12</v>
      </c>
      <c r="C456" s="17">
        <v>32.200000000000003</v>
      </c>
      <c r="D456" s="17">
        <v>59.7</v>
      </c>
      <c r="E456" s="23">
        <v>1000</v>
      </c>
      <c r="G456" s="14"/>
    </row>
    <row r="457" spans="1:7">
      <c r="A457" s="5" t="s">
        <v>665</v>
      </c>
      <c r="B457" s="5" t="s">
        <v>650</v>
      </c>
      <c r="C457" s="10">
        <f>AVERAGE(C445:C456)</f>
        <v>49.9</v>
      </c>
      <c r="D457" s="10">
        <f>AVERAGE(D445:D456)</f>
        <v>76.991666666666674</v>
      </c>
      <c r="E457" s="22">
        <f>AVERAGE(E445:E456)</f>
        <v>1802.3333333333333</v>
      </c>
      <c r="G457" s="14"/>
    </row>
    <row r="458" spans="1:7" ht="15">
      <c r="A458" s="24" t="s">
        <v>689</v>
      </c>
      <c r="B458" s="5">
        <v>1</v>
      </c>
      <c r="C458" s="25">
        <v>2.4</v>
      </c>
      <c r="D458" s="25">
        <v>19.899999999999999</v>
      </c>
      <c r="E458" s="26">
        <v>464</v>
      </c>
      <c r="G458" s="14"/>
    </row>
    <row r="459" spans="1:7" ht="15">
      <c r="A459" s="24" t="s">
        <v>689</v>
      </c>
      <c r="B459" s="5">
        <v>2</v>
      </c>
      <c r="C459" s="25">
        <v>8.5</v>
      </c>
      <c r="D459" s="25">
        <v>26.4</v>
      </c>
      <c r="E459" s="26">
        <v>764</v>
      </c>
      <c r="G459" s="14"/>
    </row>
    <row r="460" spans="1:7" ht="15">
      <c r="A460" s="24" t="s">
        <v>689</v>
      </c>
      <c r="B460" s="5">
        <v>3</v>
      </c>
      <c r="C460" s="25">
        <v>20.8</v>
      </c>
      <c r="D460" s="25">
        <v>37.5</v>
      </c>
      <c r="E460" s="26">
        <v>1104</v>
      </c>
      <c r="G460" s="14"/>
    </row>
    <row r="461" spans="1:7" ht="15">
      <c r="A461" s="24" t="s">
        <v>689</v>
      </c>
      <c r="B461" s="5">
        <v>4</v>
      </c>
      <c r="C461" s="25">
        <v>36</v>
      </c>
      <c r="D461" s="25">
        <v>56</v>
      </c>
      <c r="E461" s="26">
        <v>1442</v>
      </c>
      <c r="G461" s="14"/>
    </row>
    <row r="462" spans="1:7" ht="15">
      <c r="A462" s="24" t="s">
        <v>689</v>
      </c>
      <c r="B462" s="5">
        <v>5</v>
      </c>
      <c r="C462" s="25">
        <v>47.6</v>
      </c>
      <c r="D462" s="25">
        <v>69.400000000000006</v>
      </c>
      <c r="E462" s="26">
        <v>1737</v>
      </c>
      <c r="G462" s="14"/>
    </row>
    <row r="463" spans="1:7" ht="15">
      <c r="A463" s="24" t="s">
        <v>689</v>
      </c>
      <c r="B463" s="5">
        <v>6</v>
      </c>
      <c r="C463" s="25">
        <v>57.7</v>
      </c>
      <c r="D463" s="25">
        <v>78.5</v>
      </c>
      <c r="E463" s="26">
        <v>1928</v>
      </c>
      <c r="G463" s="14"/>
    </row>
    <row r="464" spans="1:7" ht="15">
      <c r="A464" s="24" t="s">
        <v>689</v>
      </c>
      <c r="B464" s="5">
        <v>7</v>
      </c>
      <c r="C464" s="25">
        <v>62.7</v>
      </c>
      <c r="D464" s="25">
        <v>83.4</v>
      </c>
      <c r="E464" s="26">
        <v>1970</v>
      </c>
      <c r="G464" s="14"/>
    </row>
    <row r="465" spans="1:7" ht="15">
      <c r="A465" s="24" t="s">
        <v>689</v>
      </c>
      <c r="B465" s="5">
        <v>8</v>
      </c>
      <c r="C465" s="25">
        <v>60.3</v>
      </c>
      <c r="D465" s="25">
        <v>80.900000000000006</v>
      </c>
      <c r="E465" s="26">
        <v>1687</v>
      </c>
      <c r="G465" s="14"/>
    </row>
    <row r="466" spans="1:7" ht="15">
      <c r="A466" s="24" t="s">
        <v>689</v>
      </c>
      <c r="B466" s="5">
        <v>9</v>
      </c>
      <c r="C466" s="25">
        <v>50.2</v>
      </c>
      <c r="D466" s="25">
        <v>71</v>
      </c>
      <c r="E466" s="26">
        <v>1255</v>
      </c>
      <c r="G466" s="14"/>
    </row>
    <row r="467" spans="1:7" ht="15">
      <c r="A467" s="24" t="s">
        <v>689</v>
      </c>
      <c r="B467" s="5">
        <v>10</v>
      </c>
      <c r="C467" s="25">
        <v>39.4</v>
      </c>
      <c r="D467" s="25">
        <v>59.7</v>
      </c>
      <c r="E467" s="26">
        <v>860</v>
      </c>
      <c r="G467" s="14"/>
    </row>
    <row r="468" spans="1:7" ht="15">
      <c r="A468" s="24" t="s">
        <v>689</v>
      </c>
      <c r="B468" s="5">
        <v>11</v>
      </c>
      <c r="C468" s="25">
        <v>25.3</v>
      </c>
      <c r="D468" s="25">
        <v>41.1</v>
      </c>
      <c r="E468" s="26">
        <v>480</v>
      </c>
      <c r="G468" s="14"/>
    </row>
    <row r="469" spans="1:7" ht="15">
      <c r="A469" s="24" t="s">
        <v>689</v>
      </c>
      <c r="B469" s="5">
        <v>12</v>
      </c>
      <c r="C469" s="25">
        <v>11.7</v>
      </c>
      <c r="D469" s="25">
        <v>26.7</v>
      </c>
      <c r="E469" s="26">
        <v>353</v>
      </c>
      <c r="G469" s="14"/>
    </row>
    <row r="470" spans="1:7" ht="15">
      <c r="A470" s="24" t="s">
        <v>689</v>
      </c>
      <c r="B470" s="5" t="s">
        <v>650</v>
      </c>
      <c r="C470" s="20">
        <f>AVERAGE(C458:C469)</f>
        <v>35.216666666666661</v>
      </c>
      <c r="D470" s="20">
        <f>AVERAGE(D458:D469)</f>
        <v>54.208333333333343</v>
      </c>
      <c r="E470" s="19">
        <f>AVERAGE(E458:E469)</f>
        <v>1170.3333333333333</v>
      </c>
      <c r="G470" s="14"/>
    </row>
    <row r="471" spans="1:7" ht="15">
      <c r="A471" s="24" t="s">
        <v>717</v>
      </c>
      <c r="B471" s="5">
        <v>1</v>
      </c>
      <c r="C471" s="25">
        <v>36.4</v>
      </c>
      <c r="D471" s="25">
        <v>57</v>
      </c>
      <c r="E471" s="26">
        <v>752</v>
      </c>
      <c r="G471" s="14"/>
    </row>
    <row r="472" spans="1:7" ht="15">
      <c r="A472" s="24" t="s">
        <v>717</v>
      </c>
      <c r="B472" s="5">
        <v>2</v>
      </c>
      <c r="C472" s="25">
        <v>38.799999999999997</v>
      </c>
      <c r="D472" s="25">
        <v>60.9</v>
      </c>
      <c r="E472" s="26">
        <v>1013</v>
      </c>
      <c r="G472" s="14"/>
    </row>
    <row r="473" spans="1:7" ht="15">
      <c r="A473" s="24" t="s">
        <v>717</v>
      </c>
      <c r="B473" s="5">
        <v>3</v>
      </c>
      <c r="C473" s="25">
        <v>45.5</v>
      </c>
      <c r="D473" s="25">
        <v>68.099999999999994</v>
      </c>
      <c r="E473" s="26">
        <v>1341</v>
      </c>
      <c r="G473" s="14"/>
    </row>
    <row r="474" spans="1:7" ht="15">
      <c r="A474" s="24" t="s">
        <v>717</v>
      </c>
      <c r="B474" s="5">
        <v>4</v>
      </c>
      <c r="C474" s="25">
        <v>53.3</v>
      </c>
      <c r="D474" s="25">
        <v>77</v>
      </c>
      <c r="E474" s="26">
        <v>1729</v>
      </c>
      <c r="G474" s="14"/>
    </row>
    <row r="475" spans="1:7" ht="15">
      <c r="A475" s="24" t="s">
        <v>717</v>
      </c>
      <c r="B475" s="5">
        <v>5</v>
      </c>
      <c r="C475" s="25">
        <v>61.1</v>
      </c>
      <c r="D475" s="25">
        <v>83.6</v>
      </c>
      <c r="E475" s="26">
        <v>1897</v>
      </c>
      <c r="G475" s="14"/>
    </row>
    <row r="476" spans="1:7" ht="15">
      <c r="A476" s="24" t="s">
        <v>717</v>
      </c>
      <c r="B476" s="5">
        <v>6</v>
      </c>
      <c r="C476" s="25">
        <v>68.400000000000006</v>
      </c>
      <c r="D476" s="25">
        <v>89.8</v>
      </c>
      <c r="E476" s="26">
        <v>1972</v>
      </c>
      <c r="G476" s="14"/>
    </row>
    <row r="477" spans="1:7" ht="15">
      <c r="A477" s="24" t="s">
        <v>717</v>
      </c>
      <c r="B477" s="5">
        <v>7</v>
      </c>
      <c r="C477" s="25">
        <v>71.8</v>
      </c>
      <c r="D477" s="25">
        <v>91.5</v>
      </c>
      <c r="E477" s="26">
        <v>1841</v>
      </c>
      <c r="G477" s="14"/>
    </row>
    <row r="478" spans="1:7" ht="15">
      <c r="A478" s="24" t="s">
        <v>717</v>
      </c>
      <c r="B478" s="5">
        <v>8</v>
      </c>
      <c r="C478" s="25">
        <v>71.099999999999994</v>
      </c>
      <c r="D478" s="25">
        <v>91.2</v>
      </c>
      <c r="E478" s="26">
        <v>1746</v>
      </c>
      <c r="G478" s="14"/>
    </row>
    <row r="479" spans="1:7" ht="15">
      <c r="A479" s="24" t="s">
        <v>717</v>
      </c>
      <c r="B479" s="5">
        <v>9</v>
      </c>
      <c r="C479" s="25">
        <v>66.400000000000006</v>
      </c>
      <c r="D479" s="25">
        <v>86.9</v>
      </c>
      <c r="E479" s="26">
        <v>1468</v>
      </c>
      <c r="G479" s="14"/>
    </row>
    <row r="480" spans="1:7" ht="15">
      <c r="A480" s="24" t="s">
        <v>717</v>
      </c>
      <c r="B480" s="5">
        <v>10</v>
      </c>
      <c r="C480" s="25">
        <v>53.1</v>
      </c>
      <c r="D480" s="25">
        <v>77.5</v>
      </c>
      <c r="E480" s="26">
        <v>1262</v>
      </c>
      <c r="G480" s="14"/>
    </row>
    <row r="481" spans="1:7" ht="15">
      <c r="A481" s="24" t="s">
        <v>717</v>
      </c>
      <c r="B481" s="5">
        <v>11</v>
      </c>
      <c r="C481" s="25">
        <v>43</v>
      </c>
      <c r="D481" s="25">
        <v>67</v>
      </c>
      <c r="E481" s="26">
        <v>915</v>
      </c>
      <c r="G481" s="14"/>
    </row>
    <row r="482" spans="1:7" ht="15">
      <c r="A482" s="24" t="s">
        <v>717</v>
      </c>
      <c r="B482" s="5">
        <v>12</v>
      </c>
      <c r="C482" s="25">
        <v>37.9</v>
      </c>
      <c r="D482" s="25">
        <v>59.8</v>
      </c>
      <c r="E482" s="26">
        <v>719</v>
      </c>
      <c r="G482" s="14"/>
    </row>
    <row r="483" spans="1:7" ht="15">
      <c r="A483" s="24" t="s">
        <v>717</v>
      </c>
      <c r="B483" s="5" t="s">
        <v>650</v>
      </c>
      <c r="C483" s="18">
        <f>AVERAGE(C471:C482)</f>
        <v>53.9</v>
      </c>
      <c r="D483" s="18">
        <f>AVERAGE(D471:D482)</f>
        <v>75.858333333333334</v>
      </c>
      <c r="E483" s="27">
        <f>AVERAGE(E471:E482)</f>
        <v>1387.9166666666667</v>
      </c>
      <c r="G483" s="14"/>
    </row>
    <row r="484" spans="1:7">
      <c r="A484" s="15" t="s">
        <v>692</v>
      </c>
      <c r="B484" s="5">
        <v>1</v>
      </c>
      <c r="C484" s="16">
        <v>43</v>
      </c>
      <c r="D484" s="16">
        <v>61.8</v>
      </c>
      <c r="E484" s="21">
        <v>835</v>
      </c>
      <c r="G484" s="14"/>
    </row>
    <row r="485" spans="1:7">
      <c r="A485" s="15" t="s">
        <v>692</v>
      </c>
      <c r="B485" s="5">
        <v>2</v>
      </c>
      <c r="C485" s="16">
        <v>44.8</v>
      </c>
      <c r="D485" s="16">
        <v>64.599999999999994</v>
      </c>
      <c r="E485" s="21">
        <v>1112</v>
      </c>
      <c r="G485" s="14"/>
    </row>
    <row r="486" spans="1:7">
      <c r="A486" s="15" t="s">
        <v>692</v>
      </c>
      <c r="B486" s="5">
        <v>3</v>
      </c>
      <c r="C486" s="16">
        <v>51.6</v>
      </c>
      <c r="D486" s="16">
        <v>71.2</v>
      </c>
      <c r="E486" s="21">
        <v>1415</v>
      </c>
      <c r="G486" s="14"/>
    </row>
    <row r="487" spans="1:7">
      <c r="A487" s="15" t="s">
        <v>692</v>
      </c>
      <c r="B487" s="5">
        <v>4</v>
      </c>
      <c r="C487" s="16">
        <v>58.8</v>
      </c>
      <c r="D487" s="16">
        <v>78.599999999999994</v>
      </c>
      <c r="E487" s="21">
        <v>1780</v>
      </c>
      <c r="G487" s="14"/>
    </row>
    <row r="488" spans="1:7">
      <c r="A488" s="15" t="s">
        <v>692</v>
      </c>
      <c r="B488" s="5">
        <v>5</v>
      </c>
      <c r="C488" s="16">
        <v>65.3</v>
      </c>
      <c r="D488" s="16">
        <v>84.5</v>
      </c>
      <c r="E488" s="21">
        <v>1968</v>
      </c>
      <c r="G488" s="14"/>
    </row>
    <row r="489" spans="1:7">
      <c r="A489" s="15" t="s">
        <v>692</v>
      </c>
      <c r="B489" s="5">
        <v>6</v>
      </c>
      <c r="C489" s="16">
        <v>70.900000000000006</v>
      </c>
      <c r="D489" s="16">
        <v>89.5</v>
      </c>
      <c r="E489" s="21">
        <v>2004</v>
      </c>
      <c r="G489" s="14"/>
    </row>
    <row r="490" spans="1:7">
      <c r="A490" s="15" t="s">
        <v>692</v>
      </c>
      <c r="B490" s="5">
        <v>7</v>
      </c>
      <c r="C490" s="16">
        <v>73.5</v>
      </c>
      <c r="D490" s="16">
        <v>90.7</v>
      </c>
      <c r="E490" s="21">
        <v>1814</v>
      </c>
      <c r="G490" s="14"/>
    </row>
    <row r="491" spans="1:7">
      <c r="A491" s="15" t="s">
        <v>692</v>
      </c>
      <c r="B491" s="5">
        <v>8</v>
      </c>
      <c r="C491" s="16">
        <v>73.099999999999994</v>
      </c>
      <c r="D491" s="16">
        <v>90.2</v>
      </c>
      <c r="E491" s="21">
        <v>1717</v>
      </c>
      <c r="G491" s="13"/>
    </row>
    <row r="492" spans="1:7">
      <c r="A492" s="15" t="s">
        <v>692</v>
      </c>
      <c r="B492" s="5">
        <v>9</v>
      </c>
      <c r="C492" s="16">
        <v>70.099999999999994</v>
      </c>
      <c r="D492" s="16">
        <v>86.8</v>
      </c>
      <c r="E492" s="21">
        <v>1514</v>
      </c>
      <c r="G492" s="13"/>
    </row>
    <row r="493" spans="1:7">
      <c r="A493" s="15" t="s">
        <v>692</v>
      </c>
      <c r="B493" s="5">
        <v>10</v>
      </c>
      <c r="C493" s="16">
        <v>59</v>
      </c>
      <c r="D493" s="16">
        <v>79.400000000000006</v>
      </c>
      <c r="E493" s="21">
        <v>1335</v>
      </c>
      <c r="G493" s="13"/>
    </row>
    <row r="494" spans="1:7">
      <c r="A494" s="15" t="s">
        <v>692</v>
      </c>
      <c r="B494" s="5">
        <v>11</v>
      </c>
      <c r="C494" s="16">
        <v>49.9</v>
      </c>
      <c r="D494" s="16">
        <v>70.099999999999994</v>
      </c>
      <c r="E494" s="21">
        <v>973</v>
      </c>
      <c r="G494" s="13"/>
    </row>
    <row r="495" spans="1:7">
      <c r="A495" s="15" t="s">
        <v>692</v>
      </c>
      <c r="B495" s="5">
        <v>12</v>
      </c>
      <c r="C495" s="16">
        <v>44.8</v>
      </c>
      <c r="D495" s="16">
        <v>64.400000000000006</v>
      </c>
      <c r="E495" s="21">
        <v>779</v>
      </c>
      <c r="G495" s="13"/>
    </row>
    <row r="496" spans="1:7">
      <c r="A496" s="15" t="s">
        <v>692</v>
      </c>
      <c r="B496" s="5" t="s">
        <v>650</v>
      </c>
      <c r="C496" s="20">
        <f>AVERAGE(C484:C495)</f>
        <v>58.733333333333327</v>
      </c>
      <c r="D496" s="20">
        <f>AVERAGE(D484:D495)</f>
        <v>77.649999999999991</v>
      </c>
      <c r="E496" s="19">
        <f>AVERAGE(E484:E495)</f>
        <v>1437.1666666666667</v>
      </c>
      <c r="G496" s="13"/>
    </row>
    <row r="497" spans="1:7">
      <c r="A497" s="6" t="s">
        <v>682</v>
      </c>
      <c r="B497" s="5">
        <v>1</v>
      </c>
      <c r="C497" s="25">
        <v>26.1</v>
      </c>
      <c r="D497" s="25">
        <v>37.4</v>
      </c>
      <c r="E497" s="26">
        <v>548</v>
      </c>
      <c r="G497" s="13"/>
    </row>
    <row r="498" spans="1:7">
      <c r="A498" s="6" t="s">
        <v>682</v>
      </c>
      <c r="B498" s="5">
        <v>2</v>
      </c>
      <c r="C498" s="25">
        <v>27.3</v>
      </c>
      <c r="D498" s="25">
        <v>39.200000000000003</v>
      </c>
      <c r="E498" s="26">
        <v>795</v>
      </c>
      <c r="G498" s="13"/>
    </row>
    <row r="499" spans="1:7">
      <c r="A499" s="6" t="s">
        <v>682</v>
      </c>
      <c r="B499" s="5">
        <v>3</v>
      </c>
      <c r="C499" s="25">
        <v>34.6</v>
      </c>
      <c r="D499" s="25">
        <v>47.3</v>
      </c>
      <c r="E499" s="26">
        <v>1118</v>
      </c>
      <c r="G499" s="13"/>
    </row>
    <row r="500" spans="1:7">
      <c r="A500" s="6" t="s">
        <v>682</v>
      </c>
      <c r="B500" s="5">
        <v>4</v>
      </c>
      <c r="C500" s="25">
        <v>44.2</v>
      </c>
      <c r="D500" s="25">
        <v>59.6</v>
      </c>
      <c r="E500" s="26">
        <v>1457</v>
      </c>
      <c r="G500" s="13"/>
    </row>
    <row r="501" spans="1:7">
      <c r="A501" s="6" t="s">
        <v>682</v>
      </c>
      <c r="B501" s="5">
        <v>5</v>
      </c>
      <c r="C501" s="25">
        <v>53.7</v>
      </c>
      <c r="D501" s="25">
        <v>69.7</v>
      </c>
      <c r="E501" s="26">
        <v>1690</v>
      </c>
      <c r="G501" s="13"/>
    </row>
    <row r="502" spans="1:7">
      <c r="A502" s="6" t="s">
        <v>682</v>
      </c>
      <c r="B502" s="5">
        <v>6</v>
      </c>
      <c r="C502" s="25">
        <v>63.2</v>
      </c>
      <c r="D502" s="25">
        <v>78.7</v>
      </c>
      <c r="E502" s="26">
        <v>1802</v>
      </c>
      <c r="G502" s="13"/>
    </row>
    <row r="503" spans="1:7">
      <c r="A503" s="6" t="s">
        <v>682</v>
      </c>
      <c r="B503" s="5">
        <v>7</v>
      </c>
      <c r="C503" s="25">
        <v>68.900000000000006</v>
      </c>
      <c r="D503" s="25">
        <v>83.9</v>
      </c>
      <c r="E503" s="26">
        <v>1784</v>
      </c>
      <c r="G503" s="13"/>
    </row>
    <row r="504" spans="1:7">
      <c r="A504" s="6" t="s">
        <v>682</v>
      </c>
      <c r="B504" s="5">
        <v>8</v>
      </c>
      <c r="C504" s="25">
        <v>68.2</v>
      </c>
      <c r="D504" s="25">
        <v>82.3</v>
      </c>
      <c r="E504" s="26">
        <v>1583</v>
      </c>
      <c r="G504" s="14"/>
    </row>
    <row r="505" spans="1:7">
      <c r="A505" s="6" t="s">
        <v>682</v>
      </c>
      <c r="B505" s="5">
        <v>9</v>
      </c>
      <c r="C505" s="25">
        <v>61.2</v>
      </c>
      <c r="D505" s="25">
        <v>75.2</v>
      </c>
      <c r="E505" s="26">
        <v>1280</v>
      </c>
      <c r="G505" s="14"/>
    </row>
    <row r="506" spans="1:7">
      <c r="A506" s="6" t="s">
        <v>682</v>
      </c>
      <c r="B506" s="5">
        <v>10</v>
      </c>
      <c r="C506" s="25">
        <v>50.5</v>
      </c>
      <c r="D506" s="25">
        <v>64.5</v>
      </c>
      <c r="E506" s="26">
        <v>951</v>
      </c>
      <c r="G506" s="14"/>
    </row>
    <row r="507" spans="1:7">
      <c r="A507" s="6" t="s">
        <v>682</v>
      </c>
      <c r="B507" s="5">
        <v>11</v>
      </c>
      <c r="C507" s="25">
        <v>41.2</v>
      </c>
      <c r="D507" s="25">
        <v>52.9</v>
      </c>
      <c r="E507" s="26">
        <v>593</v>
      </c>
      <c r="G507" s="14"/>
    </row>
    <row r="508" spans="1:7">
      <c r="A508" s="6" t="s">
        <v>682</v>
      </c>
      <c r="B508" s="5">
        <v>12</v>
      </c>
      <c r="C508" s="25">
        <v>30.8</v>
      </c>
      <c r="D508" s="25">
        <v>41.5</v>
      </c>
      <c r="E508" s="26">
        <v>457</v>
      </c>
      <c r="G508" s="14"/>
    </row>
    <row r="509" spans="1:7">
      <c r="A509" s="6" t="s">
        <v>682</v>
      </c>
      <c r="B509" s="5" t="s">
        <v>650</v>
      </c>
      <c r="C509" s="20">
        <f>AVERAGE(C497:C508)</f>
        <v>47.491666666666667</v>
      </c>
      <c r="D509" s="20">
        <f>AVERAGE(D497:D508)</f>
        <v>61.016666666666659</v>
      </c>
      <c r="E509" s="19">
        <f>AVERAGE(E497:E508)</f>
        <v>1171.5</v>
      </c>
      <c r="G509" s="14"/>
    </row>
    <row r="510" spans="1:7" ht="15">
      <c r="A510" s="24" t="s">
        <v>685</v>
      </c>
      <c r="B510" s="5">
        <v>1</v>
      </c>
      <c r="C510" s="25">
        <v>24.2</v>
      </c>
      <c r="D510" s="25">
        <v>38.200000000000003</v>
      </c>
      <c r="E510" s="26">
        <v>552</v>
      </c>
      <c r="G510" s="14"/>
    </row>
    <row r="511" spans="1:7" ht="15">
      <c r="A511" s="24" t="s">
        <v>685</v>
      </c>
      <c r="B511" s="5">
        <v>2</v>
      </c>
      <c r="C511" s="25">
        <v>25.3</v>
      </c>
      <c r="D511" s="25">
        <v>40.299999999999997</v>
      </c>
      <c r="E511" s="26">
        <v>793</v>
      </c>
      <c r="G511" s="14"/>
    </row>
    <row r="512" spans="1:7" ht="15">
      <c r="A512" s="24" t="s">
        <v>685</v>
      </c>
      <c r="B512" s="5">
        <v>3</v>
      </c>
      <c r="C512" s="25">
        <v>33.299999999999997</v>
      </c>
      <c r="D512" s="25">
        <v>49.1</v>
      </c>
      <c r="E512" s="26">
        <v>1109</v>
      </c>
      <c r="G512" s="14"/>
    </row>
    <row r="513" spans="1:7" ht="15">
      <c r="A513" s="24" t="s">
        <v>685</v>
      </c>
      <c r="B513" s="5">
        <v>4</v>
      </c>
      <c r="C513" s="25">
        <v>42.9</v>
      </c>
      <c r="D513" s="25">
        <v>61.3</v>
      </c>
      <c r="E513" s="26">
        <v>1449</v>
      </c>
      <c r="G513" s="14"/>
    </row>
    <row r="514" spans="1:7" ht="15">
      <c r="A514" s="24" t="s">
        <v>685</v>
      </c>
      <c r="B514" s="5">
        <v>5</v>
      </c>
      <c r="C514" s="25">
        <v>53</v>
      </c>
      <c r="D514" s="25">
        <v>71.599999999999994</v>
      </c>
      <c r="E514" s="26">
        <v>1687</v>
      </c>
      <c r="G514" s="14"/>
    </row>
    <row r="515" spans="1:7" ht="15">
      <c r="A515" s="24" t="s">
        <v>685</v>
      </c>
      <c r="B515" s="5">
        <v>6</v>
      </c>
      <c r="C515" s="25">
        <v>62.4</v>
      </c>
      <c r="D515" s="25">
        <v>80.599999999999994</v>
      </c>
      <c r="E515" s="26">
        <v>1795</v>
      </c>
      <c r="G515" s="14"/>
    </row>
    <row r="516" spans="1:7" ht="15">
      <c r="A516" s="24" t="s">
        <v>685</v>
      </c>
      <c r="B516" s="5">
        <v>7</v>
      </c>
      <c r="C516" s="25">
        <v>67.900000000000006</v>
      </c>
      <c r="D516" s="25">
        <v>85.6</v>
      </c>
      <c r="E516" s="26">
        <v>1760</v>
      </c>
      <c r="G516" s="14"/>
    </row>
    <row r="517" spans="1:7" ht="15">
      <c r="A517" s="24" t="s">
        <v>685</v>
      </c>
      <c r="B517" s="5">
        <v>8</v>
      </c>
      <c r="C517" s="25">
        <v>67</v>
      </c>
      <c r="D517" s="25">
        <v>84</v>
      </c>
      <c r="E517" s="26">
        <v>1565</v>
      </c>
      <c r="G517" s="14"/>
    </row>
    <row r="518" spans="1:7" ht="15">
      <c r="A518" s="24" t="s">
        <v>685</v>
      </c>
      <c r="B518" s="5">
        <v>9</v>
      </c>
      <c r="C518" s="25">
        <v>59.4</v>
      </c>
      <c r="D518" s="25">
        <v>76.900000000000006</v>
      </c>
      <c r="E518" s="26">
        <v>1273</v>
      </c>
      <c r="G518" s="14"/>
    </row>
    <row r="519" spans="1:7" ht="15">
      <c r="A519" s="24" t="s">
        <v>685</v>
      </c>
      <c r="B519" s="5">
        <v>10</v>
      </c>
      <c r="C519" s="25">
        <v>48.3</v>
      </c>
      <c r="D519" s="25">
        <v>66</v>
      </c>
      <c r="E519" s="26">
        <v>951</v>
      </c>
      <c r="G519" s="14"/>
    </row>
    <row r="520" spans="1:7" ht="15">
      <c r="A520" s="24" t="s">
        <v>685</v>
      </c>
      <c r="B520" s="5">
        <v>11</v>
      </c>
      <c r="C520" s="25">
        <v>39</v>
      </c>
      <c r="D520" s="25">
        <v>54</v>
      </c>
      <c r="E520" s="26">
        <v>596</v>
      </c>
      <c r="G520" s="14"/>
    </row>
    <row r="521" spans="1:7" ht="15">
      <c r="A521" s="24" t="s">
        <v>685</v>
      </c>
      <c r="B521" s="5">
        <v>12</v>
      </c>
      <c r="C521" s="25">
        <v>28.6</v>
      </c>
      <c r="D521" s="25">
        <v>42.3</v>
      </c>
      <c r="E521" s="26">
        <v>454</v>
      </c>
      <c r="G521" s="14"/>
    </row>
    <row r="522" spans="1:7" ht="15">
      <c r="A522" s="24" t="s">
        <v>685</v>
      </c>
      <c r="B522" s="5" t="s">
        <v>650</v>
      </c>
      <c r="C522" s="20">
        <f>AVERAGE(C510:C521)</f>
        <v>45.94166666666667</v>
      </c>
      <c r="D522" s="20">
        <f>AVERAGE(D510:D521)</f>
        <v>62.491666666666667</v>
      </c>
      <c r="E522" s="19">
        <f>AVERAGE(E510:E521)</f>
        <v>1165.3333333333333</v>
      </c>
      <c r="G522" s="14"/>
    </row>
    <row r="523" spans="1:7" ht="15">
      <c r="A523" s="24" t="s">
        <v>678</v>
      </c>
      <c r="B523" s="5">
        <v>1</v>
      </c>
      <c r="C523" s="25">
        <v>25.2</v>
      </c>
      <c r="D523" s="25">
        <v>46.6</v>
      </c>
      <c r="E523" s="26">
        <v>801</v>
      </c>
      <c r="G523" s="14"/>
    </row>
    <row r="524" spans="1:7" ht="15">
      <c r="A524" s="24" t="s">
        <v>678</v>
      </c>
      <c r="B524" s="5">
        <v>2</v>
      </c>
      <c r="C524" s="25">
        <v>29.4</v>
      </c>
      <c r="D524" s="25">
        <v>52.2</v>
      </c>
      <c r="E524" s="26">
        <v>1055</v>
      </c>
      <c r="G524" s="14"/>
    </row>
    <row r="525" spans="1:7" ht="15">
      <c r="A525" s="24" t="s">
        <v>678</v>
      </c>
      <c r="B525" s="5">
        <v>3</v>
      </c>
      <c r="C525" s="25">
        <v>37.1</v>
      </c>
      <c r="D525" s="25">
        <v>61</v>
      </c>
      <c r="E525" s="26">
        <v>1400</v>
      </c>
      <c r="G525" s="14"/>
    </row>
    <row r="526" spans="1:7" ht="15">
      <c r="A526" s="24" t="s">
        <v>678</v>
      </c>
      <c r="B526" s="5">
        <v>4</v>
      </c>
      <c r="C526" s="25">
        <v>48.6</v>
      </c>
      <c r="D526" s="25">
        <v>71.7</v>
      </c>
      <c r="E526" s="26">
        <v>1725</v>
      </c>
      <c r="G526" s="14"/>
    </row>
    <row r="527" spans="1:7" ht="15">
      <c r="A527" s="24" t="s">
        <v>678</v>
      </c>
      <c r="B527" s="5">
        <v>5</v>
      </c>
      <c r="C527" s="25">
        <v>57.7</v>
      </c>
      <c r="D527" s="25">
        <v>79</v>
      </c>
      <c r="E527" s="26">
        <v>1918</v>
      </c>
      <c r="G527" s="14"/>
    </row>
    <row r="528" spans="1:7" ht="15">
      <c r="A528" s="24" t="s">
        <v>678</v>
      </c>
      <c r="B528" s="5">
        <v>6</v>
      </c>
      <c r="C528" s="25">
        <v>66.3</v>
      </c>
      <c r="D528" s="25">
        <v>87.6</v>
      </c>
      <c r="E528" s="26">
        <v>2144</v>
      </c>
      <c r="G528" s="14"/>
    </row>
    <row r="529" spans="1:7" ht="15">
      <c r="A529" s="24" t="s">
        <v>678</v>
      </c>
      <c r="B529" s="5">
        <v>7</v>
      </c>
      <c r="C529" s="25">
        <v>70.599999999999994</v>
      </c>
      <c r="D529" s="25">
        <v>93.5</v>
      </c>
      <c r="E529" s="26">
        <v>2128</v>
      </c>
      <c r="G529" s="14"/>
    </row>
    <row r="530" spans="1:7" ht="15">
      <c r="A530" s="24" t="s">
        <v>678</v>
      </c>
      <c r="B530" s="5">
        <v>8</v>
      </c>
      <c r="C530" s="25">
        <v>69.400000000000006</v>
      </c>
      <c r="D530" s="25">
        <v>92.8</v>
      </c>
      <c r="E530" s="26">
        <v>1950</v>
      </c>
      <c r="G530" s="14"/>
    </row>
    <row r="531" spans="1:7" ht="15">
      <c r="A531" s="24" t="s">
        <v>678</v>
      </c>
      <c r="B531" s="5">
        <v>9</v>
      </c>
      <c r="C531" s="25">
        <v>61.9</v>
      </c>
      <c r="D531" s="25">
        <v>84.7</v>
      </c>
      <c r="E531" s="26">
        <v>1554</v>
      </c>
      <c r="G531" s="14"/>
    </row>
    <row r="532" spans="1:7" ht="15">
      <c r="A532" s="24" t="s">
        <v>678</v>
      </c>
      <c r="B532" s="5">
        <v>10</v>
      </c>
      <c r="C532" s="25">
        <v>50.2</v>
      </c>
      <c r="D532" s="25">
        <v>74.3</v>
      </c>
      <c r="E532" s="26">
        <v>1233</v>
      </c>
      <c r="G532" s="14"/>
    </row>
    <row r="533" spans="1:7" ht="15">
      <c r="A533" s="24" t="s">
        <v>678</v>
      </c>
      <c r="B533" s="5">
        <v>11</v>
      </c>
      <c r="C533" s="25">
        <v>37.6</v>
      </c>
      <c r="D533" s="25">
        <v>59.9</v>
      </c>
      <c r="E533" s="26">
        <v>901</v>
      </c>
      <c r="G533" s="14"/>
    </row>
    <row r="534" spans="1:7" ht="15">
      <c r="A534" s="24" t="s">
        <v>678</v>
      </c>
      <c r="B534" s="5">
        <v>12</v>
      </c>
      <c r="C534" s="25">
        <v>29.1</v>
      </c>
      <c r="D534" s="25">
        <v>50.7</v>
      </c>
      <c r="E534" s="26">
        <v>725</v>
      </c>
      <c r="G534" s="14"/>
    </row>
    <row r="535" spans="1:7" ht="15">
      <c r="A535" s="24" t="s">
        <v>678</v>
      </c>
      <c r="B535" s="5" t="s">
        <v>650</v>
      </c>
      <c r="C535" s="20">
        <f>AVERAGE(C523:C534)</f>
        <v>48.591666666666669</v>
      </c>
      <c r="D535" s="20">
        <f>AVERAGE(D523:D534)</f>
        <v>71.166666666666671</v>
      </c>
      <c r="E535" s="19">
        <f>AVERAGE(E523:E534)</f>
        <v>1461.1666666666667</v>
      </c>
      <c r="G535" s="14"/>
    </row>
    <row r="536" spans="1:7">
      <c r="A536" s="15" t="s">
        <v>674</v>
      </c>
      <c r="B536" s="5">
        <v>1</v>
      </c>
      <c r="C536" s="16">
        <v>23.8</v>
      </c>
      <c r="D536" s="16">
        <v>38.6</v>
      </c>
      <c r="E536" s="21">
        <v>555</v>
      </c>
      <c r="G536" s="14"/>
    </row>
    <row r="537" spans="1:7">
      <c r="A537" s="15" t="s">
        <v>674</v>
      </c>
      <c r="B537" s="5">
        <v>2</v>
      </c>
      <c r="C537" s="16">
        <v>25</v>
      </c>
      <c r="D537" s="16">
        <v>41.1</v>
      </c>
      <c r="E537" s="21">
        <v>795</v>
      </c>
      <c r="G537" s="14"/>
    </row>
    <row r="538" spans="1:7">
      <c r="A538" s="15" t="s">
        <v>674</v>
      </c>
      <c r="B538" s="5">
        <v>3</v>
      </c>
      <c r="C538" s="16">
        <v>33.1</v>
      </c>
      <c r="D538" s="16">
        <v>50.5</v>
      </c>
      <c r="E538" s="21">
        <v>1108</v>
      </c>
      <c r="G538" s="14"/>
    </row>
    <row r="539" spans="1:7">
      <c r="A539" s="15" t="s">
        <v>674</v>
      </c>
      <c r="B539" s="5">
        <v>4</v>
      </c>
      <c r="C539" s="16">
        <v>42.6</v>
      </c>
      <c r="D539" s="16">
        <v>63.2</v>
      </c>
      <c r="E539" s="21">
        <v>1434</v>
      </c>
      <c r="G539" s="14"/>
    </row>
    <row r="540" spans="1:7">
      <c r="A540" s="15" t="s">
        <v>674</v>
      </c>
      <c r="B540" s="5">
        <v>5</v>
      </c>
      <c r="C540" s="16">
        <v>52.5</v>
      </c>
      <c r="D540" s="16">
        <v>73</v>
      </c>
      <c r="E540" s="21">
        <v>1660</v>
      </c>
      <c r="G540" s="14"/>
    </row>
    <row r="541" spans="1:7">
      <c r="A541" s="15" t="s">
        <v>674</v>
      </c>
      <c r="B541" s="5">
        <v>6</v>
      </c>
      <c r="C541" s="16">
        <v>61.5</v>
      </c>
      <c r="D541" s="16">
        <v>81.7</v>
      </c>
      <c r="E541" s="21">
        <v>1811</v>
      </c>
      <c r="G541" s="14"/>
    </row>
    <row r="542" spans="1:7">
      <c r="A542" s="15" t="s">
        <v>674</v>
      </c>
      <c r="B542" s="5">
        <v>7</v>
      </c>
      <c r="C542" s="16">
        <v>66.8</v>
      </c>
      <c r="D542" s="16">
        <v>86.1</v>
      </c>
      <c r="E542" s="21">
        <v>1758</v>
      </c>
      <c r="G542" s="14"/>
    </row>
    <row r="543" spans="1:7">
      <c r="A543" s="15" t="s">
        <v>674</v>
      </c>
      <c r="B543" s="5">
        <v>8</v>
      </c>
      <c r="C543" s="16">
        <v>66</v>
      </c>
      <c r="D543" s="16">
        <v>84.6</v>
      </c>
      <c r="E543" s="21">
        <v>1575</v>
      </c>
      <c r="G543" s="14"/>
    </row>
    <row r="544" spans="1:7">
      <c r="A544" s="15" t="s">
        <v>674</v>
      </c>
      <c r="B544" s="5">
        <v>9</v>
      </c>
      <c r="C544" s="16">
        <v>58.6</v>
      </c>
      <c r="D544" s="16">
        <v>77.8</v>
      </c>
      <c r="E544" s="21">
        <v>1281</v>
      </c>
      <c r="G544" s="14"/>
    </row>
    <row r="545" spans="1:7">
      <c r="A545" s="15" t="s">
        <v>674</v>
      </c>
      <c r="B545" s="5">
        <v>10</v>
      </c>
      <c r="C545" s="16">
        <v>46.5</v>
      </c>
      <c r="D545" s="16">
        <v>66.5</v>
      </c>
      <c r="E545" s="21">
        <v>959</v>
      </c>
      <c r="G545" s="14"/>
    </row>
    <row r="546" spans="1:7">
      <c r="A546" s="15" t="s">
        <v>674</v>
      </c>
      <c r="B546" s="5">
        <v>11</v>
      </c>
      <c r="C546" s="16">
        <v>37.1</v>
      </c>
      <c r="D546" s="16">
        <v>54.5</v>
      </c>
      <c r="E546" s="21">
        <v>619</v>
      </c>
      <c r="G546" s="14"/>
    </row>
    <row r="547" spans="1:7">
      <c r="A547" s="15" t="s">
        <v>674</v>
      </c>
      <c r="B547" s="5">
        <v>12</v>
      </c>
      <c r="C547" s="16">
        <v>28</v>
      </c>
      <c r="D547" s="16">
        <v>43</v>
      </c>
      <c r="E547" s="21">
        <v>470</v>
      </c>
      <c r="G547" s="14"/>
    </row>
    <row r="548" spans="1:7">
      <c r="A548" s="15" t="s">
        <v>674</v>
      </c>
      <c r="B548" s="5" t="s">
        <v>650</v>
      </c>
      <c r="C548" s="20">
        <f>AVERAGE(C536:C547)</f>
        <v>45.125</v>
      </c>
      <c r="D548" s="20">
        <f>AVERAGE(D536:D547)</f>
        <v>63.383333333333326</v>
      </c>
      <c r="E548" s="19">
        <f>AVERAGE(E536:E547)</f>
        <v>1168.75</v>
      </c>
      <c r="G548" s="14"/>
    </row>
    <row r="549" spans="1:7" ht="15">
      <c r="A549" s="24" t="s">
        <v>715</v>
      </c>
      <c r="B549" s="5">
        <v>1</v>
      </c>
      <c r="C549" s="25">
        <v>39.4</v>
      </c>
      <c r="D549" s="25">
        <v>65.2</v>
      </c>
      <c r="E549" s="26">
        <v>1021</v>
      </c>
      <c r="G549" s="14"/>
    </row>
    <row r="550" spans="1:7" ht="15">
      <c r="A550" s="24" t="s">
        <v>715</v>
      </c>
      <c r="B550" s="5">
        <v>2</v>
      </c>
      <c r="C550" s="25">
        <v>42.5</v>
      </c>
      <c r="D550" s="25">
        <v>69.7</v>
      </c>
      <c r="E550" s="26">
        <v>1374</v>
      </c>
      <c r="G550" s="14"/>
    </row>
    <row r="551" spans="1:7" ht="15">
      <c r="A551" s="24" t="s">
        <v>715</v>
      </c>
      <c r="B551" s="5">
        <v>3</v>
      </c>
      <c r="C551" s="25">
        <v>46.7</v>
      </c>
      <c r="D551" s="25">
        <v>74.5</v>
      </c>
      <c r="E551" s="26">
        <v>1814</v>
      </c>
      <c r="G551" s="14"/>
    </row>
    <row r="552" spans="1:7" ht="15">
      <c r="A552" s="24" t="s">
        <v>715</v>
      </c>
      <c r="B552" s="5">
        <v>4</v>
      </c>
      <c r="C552" s="25">
        <v>53</v>
      </c>
      <c r="D552" s="25">
        <v>83.1</v>
      </c>
      <c r="E552" s="26">
        <v>2355</v>
      </c>
      <c r="G552" s="14"/>
    </row>
    <row r="553" spans="1:7" ht="15">
      <c r="A553" s="24" t="s">
        <v>715</v>
      </c>
      <c r="B553" s="5">
        <v>5</v>
      </c>
      <c r="C553" s="25">
        <v>61.5</v>
      </c>
      <c r="D553" s="25">
        <v>92.4</v>
      </c>
      <c r="E553" s="26">
        <v>2677</v>
      </c>
      <c r="G553" s="14"/>
    </row>
    <row r="554" spans="1:7" ht="15">
      <c r="A554" s="24" t="s">
        <v>715</v>
      </c>
      <c r="B554" s="5">
        <v>6</v>
      </c>
      <c r="C554" s="25">
        <v>70.599999999999994</v>
      </c>
      <c r="D554" s="25">
        <v>102.3</v>
      </c>
      <c r="E554" s="26">
        <v>2739</v>
      </c>
      <c r="G554" s="14"/>
    </row>
    <row r="555" spans="1:7" ht="15">
      <c r="A555" s="24" t="s">
        <v>715</v>
      </c>
      <c r="B555" s="5">
        <v>7</v>
      </c>
      <c r="C555" s="25">
        <v>79.5</v>
      </c>
      <c r="D555" s="25">
        <v>105</v>
      </c>
      <c r="E555" s="26">
        <v>2487</v>
      </c>
      <c r="G555" s="14"/>
    </row>
    <row r="556" spans="1:7" ht="15">
      <c r="A556" s="24" t="s">
        <v>715</v>
      </c>
      <c r="B556" s="5">
        <v>8</v>
      </c>
      <c r="C556" s="25">
        <v>77.5</v>
      </c>
      <c r="D556" s="25">
        <v>102.3</v>
      </c>
      <c r="E556" s="26">
        <v>2293</v>
      </c>
      <c r="G556" s="14"/>
    </row>
    <row r="557" spans="1:7" ht="15">
      <c r="A557" s="24" t="s">
        <v>715</v>
      </c>
      <c r="B557" s="5">
        <v>9</v>
      </c>
      <c r="C557" s="25">
        <v>70.900000000000006</v>
      </c>
      <c r="D557" s="25">
        <v>98.2</v>
      </c>
      <c r="E557" s="26">
        <v>2015</v>
      </c>
      <c r="G557" s="14"/>
    </row>
    <row r="558" spans="1:7" ht="15">
      <c r="A558" s="24" t="s">
        <v>715</v>
      </c>
      <c r="B558" s="5">
        <v>10</v>
      </c>
      <c r="C558" s="25">
        <v>59.1</v>
      </c>
      <c r="D558" s="25">
        <v>87.7</v>
      </c>
      <c r="E558" s="26">
        <v>1577</v>
      </c>
      <c r="G558" s="14"/>
    </row>
    <row r="559" spans="1:7" ht="15">
      <c r="A559" s="24" t="s">
        <v>715</v>
      </c>
      <c r="B559" s="5">
        <v>11</v>
      </c>
      <c r="C559" s="25">
        <v>46.9</v>
      </c>
      <c r="D559" s="25">
        <v>74.3</v>
      </c>
      <c r="E559" s="26">
        <v>1151</v>
      </c>
      <c r="G559" s="14"/>
    </row>
    <row r="560" spans="1:7" ht="15">
      <c r="A560" s="24" t="s">
        <v>715</v>
      </c>
      <c r="B560" s="5">
        <v>12</v>
      </c>
      <c r="C560" s="25">
        <v>40.200000000000003</v>
      </c>
      <c r="D560" s="25">
        <v>66.400000000000006</v>
      </c>
      <c r="E560" s="26">
        <v>932</v>
      </c>
      <c r="G560" s="14"/>
    </row>
    <row r="561" spans="1:7" ht="15">
      <c r="A561" s="24" t="s">
        <v>715</v>
      </c>
      <c r="B561" s="5" t="s">
        <v>650</v>
      </c>
      <c r="C561" s="18">
        <f>AVERAGE(C549:C560)</f>
        <v>57.31666666666667</v>
      </c>
      <c r="D561" s="18">
        <f>AVERAGE(D549:D560)</f>
        <v>85.091666666666669</v>
      </c>
      <c r="E561" s="27">
        <f>AVERAGE(E549:E560)</f>
        <v>1869.5833333333333</v>
      </c>
      <c r="G561" s="14"/>
    </row>
    <row r="562" spans="1:7">
      <c r="A562" s="15" t="s">
        <v>673</v>
      </c>
      <c r="B562" s="5">
        <v>1</v>
      </c>
      <c r="C562" s="16">
        <v>19.2</v>
      </c>
      <c r="D562" s="16">
        <v>34.1</v>
      </c>
      <c r="E562" s="21">
        <v>424</v>
      </c>
      <c r="G562" s="14"/>
    </row>
    <row r="563" spans="1:7">
      <c r="A563" s="15" t="s">
        <v>673</v>
      </c>
      <c r="B563" s="5">
        <v>2</v>
      </c>
      <c r="C563" s="16">
        <v>20.7</v>
      </c>
      <c r="D563" s="16">
        <v>36.799999999999997</v>
      </c>
      <c r="E563" s="21">
        <v>625</v>
      </c>
      <c r="G563" s="14"/>
    </row>
    <row r="564" spans="1:7">
      <c r="A564" s="15" t="s">
        <v>673</v>
      </c>
      <c r="B564" s="5">
        <v>3</v>
      </c>
      <c r="C564" s="16">
        <v>29.4</v>
      </c>
      <c r="D564" s="16">
        <v>47.6</v>
      </c>
      <c r="E564" s="21">
        <v>943</v>
      </c>
      <c r="G564" s="14"/>
    </row>
    <row r="565" spans="1:7">
      <c r="A565" s="15" t="s">
        <v>673</v>
      </c>
      <c r="B565" s="5">
        <v>4</v>
      </c>
      <c r="C565" s="16">
        <v>39.4</v>
      </c>
      <c r="D565" s="16">
        <v>60.7</v>
      </c>
      <c r="E565" s="21">
        <v>1317</v>
      </c>
      <c r="G565" s="14"/>
    </row>
    <row r="566" spans="1:7">
      <c r="A566" s="15" t="s">
        <v>673</v>
      </c>
      <c r="B566" s="5">
        <v>5</v>
      </c>
      <c r="C566" s="16">
        <v>48.5</v>
      </c>
      <c r="D566" s="16">
        <v>70.8</v>
      </c>
      <c r="E566" s="21">
        <v>1602</v>
      </c>
      <c r="G566" s="14"/>
    </row>
    <row r="567" spans="1:7">
      <c r="A567" s="15" t="s">
        <v>673</v>
      </c>
      <c r="B567" s="5">
        <v>6</v>
      </c>
      <c r="C567" s="16">
        <v>57.1</v>
      </c>
      <c r="D567" s="16">
        <v>79.099999999999994</v>
      </c>
      <c r="E567" s="21">
        <v>1762</v>
      </c>
      <c r="G567" s="14"/>
    </row>
    <row r="568" spans="1:7">
      <c r="A568" s="15" t="s">
        <v>673</v>
      </c>
      <c r="B568" s="5">
        <v>7</v>
      </c>
      <c r="C568" s="16">
        <v>61.3</v>
      </c>
      <c r="D568" s="16">
        <v>82.7</v>
      </c>
      <c r="E568" s="21">
        <v>1689</v>
      </c>
      <c r="G568" s="14"/>
    </row>
    <row r="569" spans="1:7">
      <c r="A569" s="15" t="s">
        <v>673</v>
      </c>
      <c r="B569" s="5">
        <v>8</v>
      </c>
      <c r="C569" s="16">
        <v>60.1</v>
      </c>
      <c r="D569" s="16">
        <v>81.099999999999994</v>
      </c>
      <c r="E569" s="21">
        <v>1510</v>
      </c>
      <c r="G569" s="13"/>
    </row>
    <row r="570" spans="1:7">
      <c r="A570" s="15" t="s">
        <v>673</v>
      </c>
      <c r="B570" s="5">
        <v>9</v>
      </c>
      <c r="C570" s="16">
        <v>53.3</v>
      </c>
      <c r="D570" s="16">
        <v>74.8</v>
      </c>
      <c r="E570" s="21">
        <v>1209</v>
      </c>
      <c r="G570" s="13"/>
    </row>
    <row r="571" spans="1:7">
      <c r="A571" s="15" t="s">
        <v>673</v>
      </c>
      <c r="B571" s="5">
        <v>10</v>
      </c>
      <c r="C571" s="16">
        <v>42.1</v>
      </c>
      <c r="D571" s="16">
        <v>62.9</v>
      </c>
      <c r="E571" s="21">
        <v>895</v>
      </c>
      <c r="G571" s="13"/>
    </row>
    <row r="572" spans="1:7">
      <c r="A572" s="15" t="s">
        <v>673</v>
      </c>
      <c r="B572" s="5">
        <v>11</v>
      </c>
      <c r="C572" s="16">
        <v>33.299999999999997</v>
      </c>
      <c r="D572" s="16">
        <v>49.8</v>
      </c>
      <c r="E572" s="21">
        <v>505</v>
      </c>
      <c r="G572" s="13"/>
    </row>
    <row r="573" spans="1:7">
      <c r="A573" s="15" t="s">
        <v>673</v>
      </c>
      <c r="B573" s="5">
        <v>12</v>
      </c>
      <c r="C573" s="16">
        <v>24.3</v>
      </c>
      <c r="D573" s="16">
        <v>38.4</v>
      </c>
      <c r="E573" s="21">
        <v>347</v>
      </c>
      <c r="G573" s="13"/>
    </row>
    <row r="574" spans="1:7">
      <c r="A574" s="15" t="s">
        <v>673</v>
      </c>
      <c r="B574" s="5" t="s">
        <v>650</v>
      </c>
      <c r="C574" s="20">
        <f>AVERAGE(C562:C573)</f>
        <v>40.725000000000001</v>
      </c>
      <c r="D574" s="20">
        <f>AVERAGE(D562:D573)</f>
        <v>59.899999999999984</v>
      </c>
      <c r="E574" s="19">
        <f>AVERAGE(E562:E573)</f>
        <v>1069</v>
      </c>
      <c r="G574" s="13"/>
    </row>
    <row r="575" spans="1:7" ht="15">
      <c r="A575" s="24" t="s">
        <v>675</v>
      </c>
      <c r="B575" s="5">
        <v>1</v>
      </c>
      <c r="C575" s="25">
        <v>33.5</v>
      </c>
      <c r="D575" s="25">
        <v>44.3</v>
      </c>
      <c r="E575" s="26">
        <v>310</v>
      </c>
      <c r="G575" s="13"/>
    </row>
    <row r="576" spans="1:7" ht="15">
      <c r="A576" s="24" t="s">
        <v>675</v>
      </c>
      <c r="B576" s="5">
        <v>2</v>
      </c>
      <c r="C576" s="25">
        <v>36</v>
      </c>
      <c r="D576" s="25">
        <v>50.4</v>
      </c>
      <c r="E576" s="26">
        <v>554</v>
      </c>
      <c r="G576" s="13"/>
    </row>
    <row r="577" spans="1:7" ht="15">
      <c r="A577" s="24" t="s">
        <v>675</v>
      </c>
      <c r="B577" s="5">
        <v>3</v>
      </c>
      <c r="C577" s="25">
        <v>37.4</v>
      </c>
      <c r="D577" s="25">
        <v>54.5</v>
      </c>
      <c r="E577" s="26">
        <v>895</v>
      </c>
      <c r="G577" s="13"/>
    </row>
    <row r="578" spans="1:7" ht="15">
      <c r="A578" s="24" t="s">
        <v>675</v>
      </c>
      <c r="B578" s="5">
        <v>4</v>
      </c>
      <c r="C578" s="25">
        <v>40.6</v>
      </c>
      <c r="D578" s="25">
        <v>60.2</v>
      </c>
      <c r="E578" s="26">
        <v>1308</v>
      </c>
      <c r="G578" s="13"/>
    </row>
    <row r="579" spans="1:7" ht="15">
      <c r="A579" s="24" t="s">
        <v>675</v>
      </c>
      <c r="B579" s="5">
        <v>5</v>
      </c>
      <c r="C579" s="25">
        <v>46.4</v>
      </c>
      <c r="D579" s="25">
        <v>66.900000000000006</v>
      </c>
      <c r="E579" s="26">
        <v>1663</v>
      </c>
      <c r="G579" s="13"/>
    </row>
    <row r="580" spans="1:7" ht="15">
      <c r="A580" s="24" t="s">
        <v>675</v>
      </c>
      <c r="B580" s="5">
        <v>6</v>
      </c>
      <c r="C580" s="25">
        <v>52.2</v>
      </c>
      <c r="D580" s="25">
        <v>72.7</v>
      </c>
      <c r="E580" s="26">
        <v>1773</v>
      </c>
      <c r="G580" s="13"/>
    </row>
    <row r="581" spans="1:7" ht="15">
      <c r="A581" s="24" t="s">
        <v>675</v>
      </c>
      <c r="B581" s="5">
        <v>7</v>
      </c>
      <c r="C581" s="25">
        <v>55.8</v>
      </c>
      <c r="D581" s="25">
        <v>79.5</v>
      </c>
      <c r="E581" s="26">
        <v>2037</v>
      </c>
      <c r="G581" s="13"/>
    </row>
    <row r="582" spans="1:7" ht="15">
      <c r="A582" s="24" t="s">
        <v>675</v>
      </c>
      <c r="B582" s="5">
        <v>8</v>
      </c>
      <c r="C582" s="25">
        <v>55.8</v>
      </c>
      <c r="D582" s="25">
        <v>78.599999999999994</v>
      </c>
      <c r="E582" s="26">
        <v>1674</v>
      </c>
      <c r="G582" s="14"/>
    </row>
    <row r="583" spans="1:7" ht="15">
      <c r="A583" s="24" t="s">
        <v>675</v>
      </c>
      <c r="B583" s="5">
        <v>9</v>
      </c>
      <c r="C583" s="25">
        <v>51.1</v>
      </c>
      <c r="D583" s="25">
        <v>74.2</v>
      </c>
      <c r="E583" s="26">
        <v>1217</v>
      </c>
      <c r="G583" s="14"/>
    </row>
    <row r="584" spans="1:7" ht="15">
      <c r="A584" s="24" t="s">
        <v>675</v>
      </c>
      <c r="B584" s="5">
        <v>10</v>
      </c>
      <c r="C584" s="25">
        <v>44.6</v>
      </c>
      <c r="D584" s="25">
        <v>63.9</v>
      </c>
      <c r="E584" s="26">
        <v>724</v>
      </c>
      <c r="G584" s="14"/>
    </row>
    <row r="585" spans="1:7" ht="15">
      <c r="A585" s="24" t="s">
        <v>675</v>
      </c>
      <c r="B585" s="5">
        <v>11</v>
      </c>
      <c r="C585" s="25">
        <v>38.6</v>
      </c>
      <c r="D585" s="25">
        <v>52.3</v>
      </c>
      <c r="E585" s="26">
        <v>388</v>
      </c>
      <c r="G585" s="14"/>
    </row>
    <row r="586" spans="1:7" ht="15">
      <c r="A586" s="24" t="s">
        <v>675</v>
      </c>
      <c r="B586" s="5">
        <v>12</v>
      </c>
      <c r="C586" s="25">
        <v>35.4</v>
      </c>
      <c r="D586" s="25">
        <v>46.4</v>
      </c>
      <c r="E586" s="26">
        <v>260</v>
      </c>
      <c r="G586" s="14"/>
    </row>
    <row r="587" spans="1:7" ht="15">
      <c r="A587" s="24" t="s">
        <v>675</v>
      </c>
      <c r="B587" s="5" t="s">
        <v>650</v>
      </c>
      <c r="C587" s="20">
        <f>AVERAGE(C575:C586)</f>
        <v>43.95000000000001</v>
      </c>
      <c r="D587" s="20">
        <f>AVERAGE(D575:D586)</f>
        <v>61.991666666666653</v>
      </c>
      <c r="E587" s="19">
        <f>AVERAGE(E575:E586)</f>
        <v>1066.9166666666667</v>
      </c>
      <c r="G587" s="14"/>
    </row>
    <row r="588" spans="1:7" ht="15">
      <c r="A588" s="24" t="s">
        <v>672</v>
      </c>
      <c r="B588" s="5">
        <v>1</v>
      </c>
      <c r="C588" s="25">
        <v>20</v>
      </c>
      <c r="D588" s="25">
        <v>36.4</v>
      </c>
      <c r="E588" s="26">
        <v>506</v>
      </c>
      <c r="G588" s="14"/>
    </row>
    <row r="589" spans="1:7" ht="15">
      <c r="A589" s="24" t="s">
        <v>672</v>
      </c>
      <c r="B589" s="5">
        <v>2</v>
      </c>
      <c r="C589" s="25">
        <v>20.9</v>
      </c>
      <c r="D589" s="25">
        <v>37.700000000000003</v>
      </c>
      <c r="E589" s="26">
        <v>739</v>
      </c>
      <c r="G589" s="14"/>
    </row>
    <row r="590" spans="1:7" ht="15">
      <c r="A590" s="24" t="s">
        <v>672</v>
      </c>
      <c r="B590" s="5">
        <v>3</v>
      </c>
      <c r="C590" s="25">
        <v>29.2</v>
      </c>
      <c r="D590" s="25">
        <v>45.5</v>
      </c>
      <c r="E590" s="26">
        <v>1032</v>
      </c>
      <c r="G590" s="14"/>
    </row>
    <row r="591" spans="1:7" ht="15">
      <c r="A591" s="24" t="s">
        <v>672</v>
      </c>
      <c r="B591" s="5">
        <v>4</v>
      </c>
      <c r="C591" s="25">
        <v>38.299999999999997</v>
      </c>
      <c r="D591" s="25">
        <v>57.5</v>
      </c>
      <c r="E591" s="26">
        <v>1374</v>
      </c>
      <c r="G591" s="14"/>
    </row>
    <row r="592" spans="1:7" ht="15">
      <c r="A592" s="24" t="s">
        <v>672</v>
      </c>
      <c r="B592" s="5">
        <v>5</v>
      </c>
      <c r="C592" s="25">
        <v>47.6</v>
      </c>
      <c r="D592" s="25">
        <v>67.599999999999994</v>
      </c>
      <c r="E592" s="26">
        <v>1655</v>
      </c>
      <c r="G592" s="14"/>
    </row>
    <row r="593" spans="1:7" ht="15">
      <c r="A593" s="24" t="s">
        <v>672</v>
      </c>
      <c r="B593" s="5">
        <v>6</v>
      </c>
      <c r="C593" s="25">
        <v>57</v>
      </c>
      <c r="D593" s="25">
        <v>76.599999999999994</v>
      </c>
      <c r="E593" s="26">
        <v>1776</v>
      </c>
      <c r="G593" s="14"/>
    </row>
    <row r="594" spans="1:7" ht="15">
      <c r="A594" s="24" t="s">
        <v>672</v>
      </c>
      <c r="B594" s="5">
        <v>7</v>
      </c>
      <c r="C594" s="25">
        <v>63.3</v>
      </c>
      <c r="D594" s="25">
        <v>81.7</v>
      </c>
      <c r="E594" s="26">
        <v>1695</v>
      </c>
      <c r="G594" s="14"/>
    </row>
    <row r="595" spans="1:7" ht="15">
      <c r="A595" s="24" t="s">
        <v>672</v>
      </c>
      <c r="B595" s="5">
        <v>8</v>
      </c>
      <c r="C595" s="25">
        <v>61.9</v>
      </c>
      <c r="D595" s="25">
        <v>80.3</v>
      </c>
      <c r="E595" s="26">
        <v>1499</v>
      </c>
      <c r="G595" s="14"/>
    </row>
    <row r="596" spans="1:7" ht="15">
      <c r="A596" s="24" t="s">
        <v>672</v>
      </c>
      <c r="B596" s="5">
        <v>9</v>
      </c>
      <c r="C596" s="25">
        <v>53.8</v>
      </c>
      <c r="D596" s="25">
        <v>73.099999999999994</v>
      </c>
      <c r="E596" s="26">
        <v>1209</v>
      </c>
      <c r="G596" s="14"/>
    </row>
    <row r="597" spans="1:7" ht="15">
      <c r="A597" s="24" t="s">
        <v>672</v>
      </c>
      <c r="B597" s="5">
        <v>10</v>
      </c>
      <c r="C597" s="25">
        <v>43.1</v>
      </c>
      <c r="D597" s="25">
        <v>63.2</v>
      </c>
      <c r="E597" s="26">
        <v>907</v>
      </c>
      <c r="G597" s="14"/>
    </row>
    <row r="598" spans="1:7" ht="15">
      <c r="A598" s="24" t="s">
        <v>672</v>
      </c>
      <c r="B598" s="5">
        <v>11</v>
      </c>
      <c r="C598" s="25">
        <v>34.799999999999997</v>
      </c>
      <c r="D598" s="25">
        <v>51.9</v>
      </c>
      <c r="E598" s="26">
        <v>538</v>
      </c>
      <c r="G598" s="14"/>
    </row>
    <row r="599" spans="1:7" ht="15">
      <c r="A599" s="24" t="s">
        <v>672</v>
      </c>
      <c r="B599" s="5">
        <v>12</v>
      </c>
      <c r="C599" s="25">
        <v>24.1</v>
      </c>
      <c r="D599" s="25">
        <v>40.5</v>
      </c>
      <c r="E599" s="26">
        <v>419</v>
      </c>
      <c r="G599" s="14"/>
    </row>
    <row r="600" spans="1:7" ht="15">
      <c r="A600" s="24" t="s">
        <v>672</v>
      </c>
      <c r="B600" s="5" t="s">
        <v>650</v>
      </c>
      <c r="C600" s="20">
        <f>AVERAGE(C588:C599)</f>
        <v>41.166666666666671</v>
      </c>
      <c r="D600" s="20">
        <f>AVERAGE(D588:D599)</f>
        <v>59.333333333333336</v>
      </c>
      <c r="E600" s="19">
        <f>AVERAGE(E588:E599)</f>
        <v>1112.4166666666667</v>
      </c>
      <c r="G600" s="14"/>
    </row>
    <row r="601" spans="1:7">
      <c r="A601" s="15" t="s">
        <v>663</v>
      </c>
      <c r="B601" s="5">
        <v>1</v>
      </c>
      <c r="C601" s="16">
        <v>26.5</v>
      </c>
      <c r="D601" s="16">
        <v>46.7</v>
      </c>
      <c r="E601" s="21">
        <v>632</v>
      </c>
      <c r="G601" s="14"/>
    </row>
    <row r="602" spans="1:7">
      <c r="A602" s="15" t="s">
        <v>663</v>
      </c>
      <c r="B602" s="5">
        <v>2</v>
      </c>
      <c r="C602" s="16">
        <v>28.1</v>
      </c>
      <c r="D602" s="16">
        <v>49.6</v>
      </c>
      <c r="E602" s="21">
        <v>877</v>
      </c>
      <c r="G602" s="14"/>
    </row>
    <row r="603" spans="1:7">
      <c r="A603" s="15" t="s">
        <v>663</v>
      </c>
      <c r="B603" s="5">
        <v>3</v>
      </c>
      <c r="C603" s="16">
        <v>35.799999999999997</v>
      </c>
      <c r="D603" s="16">
        <v>58.5</v>
      </c>
      <c r="E603" s="21">
        <v>1210</v>
      </c>
      <c r="G603" s="14"/>
    </row>
    <row r="604" spans="1:7">
      <c r="A604" s="15" t="s">
        <v>663</v>
      </c>
      <c r="B604" s="5">
        <v>4</v>
      </c>
      <c r="C604" s="16">
        <v>45.1</v>
      </c>
      <c r="D604" s="16">
        <v>70.599999999999994</v>
      </c>
      <c r="E604" s="21">
        <v>1566</v>
      </c>
      <c r="G604" s="14"/>
    </row>
    <row r="605" spans="1:7">
      <c r="A605" s="15" t="s">
        <v>663</v>
      </c>
      <c r="B605" s="5">
        <v>5</v>
      </c>
      <c r="C605" s="16">
        <v>54.2</v>
      </c>
      <c r="D605" s="16">
        <v>77.900000000000006</v>
      </c>
      <c r="E605" s="21">
        <v>1762</v>
      </c>
      <c r="G605" s="14"/>
    </row>
    <row r="606" spans="1:7">
      <c r="A606" s="15" t="s">
        <v>663</v>
      </c>
      <c r="B606" s="5">
        <v>6</v>
      </c>
      <c r="C606" s="16">
        <v>62.2</v>
      </c>
      <c r="D606" s="16">
        <v>84.8</v>
      </c>
      <c r="E606" s="21">
        <v>1872</v>
      </c>
      <c r="G606" s="14"/>
    </row>
    <row r="607" spans="1:7">
      <c r="A607" s="15" t="s">
        <v>663</v>
      </c>
      <c r="B607" s="5">
        <v>7</v>
      </c>
      <c r="C607" s="16">
        <v>67.2</v>
      </c>
      <c r="D607" s="16">
        <v>88.4</v>
      </c>
      <c r="E607" s="21">
        <v>1774</v>
      </c>
      <c r="G607" s="14"/>
    </row>
    <row r="608" spans="1:7">
      <c r="A608" s="15" t="s">
        <v>663</v>
      </c>
      <c r="B608" s="5">
        <v>8</v>
      </c>
      <c r="C608" s="16">
        <v>66.400000000000006</v>
      </c>
      <c r="D608" s="16">
        <v>87.1</v>
      </c>
      <c r="E608" s="21">
        <v>1601</v>
      </c>
      <c r="G608" s="14"/>
    </row>
    <row r="609" spans="1:7">
      <c r="A609" s="15" t="s">
        <v>663</v>
      </c>
      <c r="B609" s="5">
        <v>9</v>
      </c>
      <c r="C609" s="16">
        <v>59.3</v>
      </c>
      <c r="D609" s="16">
        <v>81</v>
      </c>
      <c r="E609" s="21">
        <v>1348</v>
      </c>
      <c r="G609" s="14"/>
    </row>
    <row r="610" spans="1:7">
      <c r="A610" s="15" t="s">
        <v>663</v>
      </c>
      <c r="B610" s="5">
        <v>10</v>
      </c>
      <c r="C610" s="16">
        <v>46.7</v>
      </c>
      <c r="D610" s="16">
        <v>70.5</v>
      </c>
      <c r="E610" s="21">
        <v>1033</v>
      </c>
      <c r="G610" s="14"/>
    </row>
    <row r="611" spans="1:7">
      <c r="A611" s="15" t="s">
        <v>663</v>
      </c>
      <c r="B611" s="5">
        <v>11</v>
      </c>
      <c r="C611" s="16">
        <v>37.299999999999997</v>
      </c>
      <c r="D611" s="16">
        <v>60.5</v>
      </c>
      <c r="E611" s="21">
        <v>733</v>
      </c>
      <c r="G611" s="14"/>
    </row>
    <row r="612" spans="1:7">
      <c r="A612" s="15" t="s">
        <v>663</v>
      </c>
      <c r="B612" s="5">
        <v>12</v>
      </c>
      <c r="C612" s="16">
        <v>29.6</v>
      </c>
      <c r="D612" s="16">
        <v>50.2</v>
      </c>
      <c r="E612" s="21">
        <v>567</v>
      </c>
      <c r="G612" s="14"/>
    </row>
    <row r="613" spans="1:7">
      <c r="A613" s="15" t="s">
        <v>663</v>
      </c>
      <c r="B613" s="5" t="s">
        <v>650</v>
      </c>
      <c r="C613" s="20">
        <f>AVERAGE(C601:C612)</f>
        <v>46.533333333333331</v>
      </c>
      <c r="D613" s="20">
        <f>AVERAGE(D601:D612)</f>
        <v>68.816666666666677</v>
      </c>
      <c r="E613" s="19">
        <f>AVERAGE(E601:E612)</f>
        <v>1247.9166666666667</v>
      </c>
      <c r="G613" s="14"/>
    </row>
    <row r="614" spans="1:7" ht="15">
      <c r="A614" s="24" t="s">
        <v>684</v>
      </c>
      <c r="B614" s="5">
        <v>1</v>
      </c>
      <c r="C614" s="25">
        <v>27.4</v>
      </c>
      <c r="D614" s="25">
        <v>55.4</v>
      </c>
      <c r="E614" s="26">
        <v>1047</v>
      </c>
      <c r="G614" s="14"/>
    </row>
    <row r="615" spans="1:7" ht="15">
      <c r="A615" s="24" t="s">
        <v>684</v>
      </c>
      <c r="B615" s="5">
        <v>2</v>
      </c>
      <c r="C615" s="25">
        <v>31.4</v>
      </c>
      <c r="D615" s="25">
        <v>60.4</v>
      </c>
      <c r="E615" s="26">
        <v>1373</v>
      </c>
      <c r="G615" s="14"/>
    </row>
    <row r="616" spans="1:7" ht="15">
      <c r="A616" s="24" t="s">
        <v>684</v>
      </c>
      <c r="B616" s="5">
        <v>3</v>
      </c>
      <c r="C616" s="25">
        <v>37.9</v>
      </c>
      <c r="D616" s="25">
        <v>67.7</v>
      </c>
      <c r="E616" s="26">
        <v>1807</v>
      </c>
      <c r="G616" s="14"/>
    </row>
    <row r="617" spans="1:7" ht="15">
      <c r="A617" s="24" t="s">
        <v>684</v>
      </c>
      <c r="B617" s="5">
        <v>4</v>
      </c>
      <c r="C617" s="25">
        <v>46.8</v>
      </c>
      <c r="D617" s="25">
        <v>76.900000000000006</v>
      </c>
      <c r="E617" s="26">
        <v>2218</v>
      </c>
      <c r="G617" s="14"/>
    </row>
    <row r="618" spans="1:7" ht="15">
      <c r="A618" s="24" t="s">
        <v>684</v>
      </c>
      <c r="B618" s="5">
        <v>5</v>
      </c>
      <c r="C618" s="25">
        <v>55.6</v>
      </c>
      <c r="D618" s="25">
        <v>85</v>
      </c>
      <c r="E618" s="26">
        <v>2459</v>
      </c>
      <c r="G618" s="14"/>
    </row>
    <row r="619" spans="1:7" ht="15">
      <c r="A619" s="24" t="s">
        <v>684</v>
      </c>
      <c r="B619" s="5">
        <v>6</v>
      </c>
      <c r="C619" s="25">
        <v>64.8</v>
      </c>
      <c r="D619" s="25">
        <v>93.1</v>
      </c>
      <c r="E619" s="26">
        <v>2610</v>
      </c>
      <c r="G619" s="14"/>
    </row>
    <row r="620" spans="1:7" ht="15">
      <c r="A620" s="24" t="s">
        <v>684</v>
      </c>
      <c r="B620" s="5">
        <v>7</v>
      </c>
      <c r="C620" s="25">
        <v>69</v>
      </c>
      <c r="D620" s="25">
        <v>93.7</v>
      </c>
      <c r="E620" s="26">
        <v>2441</v>
      </c>
      <c r="G620" s="14"/>
    </row>
    <row r="621" spans="1:7" ht="15">
      <c r="A621" s="24" t="s">
        <v>684</v>
      </c>
      <c r="B621" s="5">
        <v>8</v>
      </c>
      <c r="C621" s="25">
        <v>67</v>
      </c>
      <c r="D621" s="25">
        <v>91.3</v>
      </c>
      <c r="E621" s="26">
        <v>2242</v>
      </c>
      <c r="G621" s="14"/>
    </row>
    <row r="622" spans="1:7" ht="15">
      <c r="A622" s="24" t="s">
        <v>684</v>
      </c>
      <c r="B622" s="5">
        <v>9</v>
      </c>
      <c r="C622" s="25">
        <v>59.6</v>
      </c>
      <c r="D622" s="25">
        <v>84.9</v>
      </c>
      <c r="E622" s="26">
        <v>1913</v>
      </c>
      <c r="G622" s="14"/>
    </row>
    <row r="623" spans="1:7" ht="15">
      <c r="A623" s="24" t="s">
        <v>684</v>
      </c>
      <c r="B623" s="5">
        <v>10</v>
      </c>
      <c r="C623" s="25">
        <v>47.5</v>
      </c>
      <c r="D623" s="25">
        <v>75.8</v>
      </c>
      <c r="E623" s="26">
        <v>1527</v>
      </c>
      <c r="G623" s="14"/>
    </row>
    <row r="624" spans="1:7" ht="15">
      <c r="A624" s="24" t="s">
        <v>684</v>
      </c>
      <c r="B624" s="5">
        <v>11</v>
      </c>
      <c r="C624" s="25">
        <v>35</v>
      </c>
      <c r="D624" s="25">
        <v>63.1</v>
      </c>
      <c r="E624" s="26">
        <v>1131</v>
      </c>
      <c r="G624" s="14"/>
    </row>
    <row r="625" spans="1:7" ht="15">
      <c r="A625" s="24" t="s">
        <v>684</v>
      </c>
      <c r="B625" s="5">
        <v>12</v>
      </c>
      <c r="C625" s="25">
        <v>28.2</v>
      </c>
      <c r="D625" s="25">
        <v>56.7</v>
      </c>
      <c r="E625" s="26">
        <v>952</v>
      </c>
      <c r="G625" s="14"/>
    </row>
    <row r="626" spans="1:7" ht="15">
      <c r="A626" s="24" t="s">
        <v>684</v>
      </c>
      <c r="B626" s="5" t="s">
        <v>650</v>
      </c>
      <c r="C626" s="20">
        <f>AVERAGE(C614:C625)</f>
        <v>47.516666666666673</v>
      </c>
      <c r="D626" s="20">
        <f>AVERAGE(D614:D625)</f>
        <v>75.333333333333329</v>
      </c>
      <c r="E626" s="19">
        <f>AVERAGE(E614:E625)</f>
        <v>1810</v>
      </c>
      <c r="G626" s="14"/>
    </row>
    <row r="627" spans="1:7" ht="15">
      <c r="A627" s="24" t="s">
        <v>708</v>
      </c>
      <c r="B627" s="5">
        <v>1</v>
      </c>
      <c r="C627" s="25">
        <v>37.9</v>
      </c>
      <c r="D627" s="25">
        <v>52.6</v>
      </c>
      <c r="E627" s="26">
        <v>597</v>
      </c>
      <c r="G627" s="14"/>
    </row>
    <row r="628" spans="1:7" ht="15">
      <c r="A628" s="24" t="s">
        <v>708</v>
      </c>
      <c r="B628" s="5">
        <v>2</v>
      </c>
      <c r="C628" s="25">
        <v>41.2</v>
      </c>
      <c r="D628" s="25">
        <v>59.4</v>
      </c>
      <c r="E628" s="26">
        <v>939</v>
      </c>
      <c r="G628" s="14"/>
    </row>
    <row r="629" spans="1:7" ht="15">
      <c r="A629" s="24" t="s">
        <v>708</v>
      </c>
      <c r="B629" s="5">
        <v>3</v>
      </c>
      <c r="C629" s="25">
        <v>42.4</v>
      </c>
      <c r="D629" s="25">
        <v>64.099999999999994</v>
      </c>
      <c r="E629" s="26">
        <v>1458</v>
      </c>
      <c r="G629" s="14"/>
    </row>
    <row r="630" spans="1:7" ht="15">
      <c r="A630" s="24" t="s">
        <v>708</v>
      </c>
      <c r="B630" s="5">
        <v>4</v>
      </c>
      <c r="C630" s="25">
        <v>45.3</v>
      </c>
      <c r="D630" s="25">
        <v>71</v>
      </c>
      <c r="E630" s="26">
        <v>2004</v>
      </c>
      <c r="G630" s="14"/>
    </row>
    <row r="631" spans="1:7" ht="15">
      <c r="A631" s="24" t="s">
        <v>708</v>
      </c>
      <c r="B631" s="5">
        <v>5</v>
      </c>
      <c r="C631" s="25">
        <v>50.1</v>
      </c>
      <c r="D631" s="25">
        <v>79.7</v>
      </c>
      <c r="E631" s="26">
        <v>2435</v>
      </c>
      <c r="G631" s="14"/>
    </row>
    <row r="632" spans="1:7" ht="15">
      <c r="A632" s="24" t="s">
        <v>708</v>
      </c>
      <c r="B632" s="5">
        <v>6</v>
      </c>
      <c r="C632" s="25">
        <v>55.1</v>
      </c>
      <c r="D632" s="25">
        <v>87.4</v>
      </c>
      <c r="E632" s="26">
        <v>2684</v>
      </c>
      <c r="G632" s="14"/>
    </row>
    <row r="633" spans="1:7" ht="15">
      <c r="A633" s="24" t="s">
        <v>708</v>
      </c>
      <c r="B633" s="5">
        <v>7</v>
      </c>
      <c r="C633" s="25">
        <v>57.9</v>
      </c>
      <c r="D633" s="25">
        <v>93.3</v>
      </c>
      <c r="E633" s="26">
        <v>2688</v>
      </c>
      <c r="G633" s="14"/>
    </row>
    <row r="634" spans="1:7" ht="15">
      <c r="A634" s="24" t="s">
        <v>708</v>
      </c>
      <c r="B634" s="5">
        <v>8</v>
      </c>
      <c r="C634" s="25">
        <v>57.6</v>
      </c>
      <c r="D634" s="25">
        <v>91.7</v>
      </c>
      <c r="E634" s="26">
        <v>2368</v>
      </c>
      <c r="G634" s="14"/>
    </row>
    <row r="635" spans="1:7" ht="15">
      <c r="A635" s="24" t="s">
        <v>708</v>
      </c>
      <c r="B635" s="5">
        <v>9</v>
      </c>
      <c r="C635" s="25">
        <v>55.8</v>
      </c>
      <c r="D635" s="25">
        <v>87.6</v>
      </c>
      <c r="E635" s="26">
        <v>1907</v>
      </c>
      <c r="G635" s="14"/>
    </row>
    <row r="636" spans="1:7" ht="15">
      <c r="A636" s="24" t="s">
        <v>708</v>
      </c>
      <c r="B636" s="5">
        <v>10</v>
      </c>
      <c r="C636" s="25">
        <v>50</v>
      </c>
      <c r="D636" s="25">
        <v>77.7</v>
      </c>
      <c r="E636" s="26">
        <v>1315</v>
      </c>
      <c r="G636" s="14"/>
    </row>
    <row r="637" spans="1:7" ht="15">
      <c r="A637" s="24" t="s">
        <v>708</v>
      </c>
      <c r="B637" s="5">
        <v>11</v>
      </c>
      <c r="C637" s="25">
        <v>42.8</v>
      </c>
      <c r="D637" s="25">
        <v>63.2</v>
      </c>
      <c r="E637" s="26">
        <v>782</v>
      </c>
      <c r="G637" s="14"/>
    </row>
    <row r="638" spans="1:7" ht="15">
      <c r="A638" s="24" t="s">
        <v>708</v>
      </c>
      <c r="B638" s="5">
        <v>12</v>
      </c>
      <c r="C638" s="25">
        <v>37.9</v>
      </c>
      <c r="D638" s="25">
        <v>53.2</v>
      </c>
      <c r="E638" s="26">
        <v>538</v>
      </c>
      <c r="G638" s="14"/>
    </row>
    <row r="639" spans="1:7" ht="15">
      <c r="A639" s="24" t="s">
        <v>708</v>
      </c>
      <c r="B639" s="5" t="s">
        <v>650</v>
      </c>
      <c r="C639" s="18">
        <f>AVERAGE(C627:C638)</f>
        <v>47.833333333333336</v>
      </c>
      <c r="D639" s="18">
        <f>AVERAGE(D627:D638)</f>
        <v>73.408333333333346</v>
      </c>
      <c r="E639" s="27">
        <f>AVERAGE(E627:E638)</f>
        <v>1642.9166666666667</v>
      </c>
      <c r="G639" s="14"/>
    </row>
    <row r="640" spans="1:7">
      <c r="A640" s="15" t="s">
        <v>664</v>
      </c>
      <c r="B640" s="5">
        <v>1</v>
      </c>
      <c r="C640" s="16">
        <v>19.7</v>
      </c>
      <c r="D640" s="16">
        <v>37.4</v>
      </c>
      <c r="E640" s="21">
        <v>639</v>
      </c>
      <c r="G640" s="14"/>
    </row>
    <row r="641" spans="1:7">
      <c r="A641" s="15" t="s">
        <v>664</v>
      </c>
      <c r="B641" s="5">
        <v>2</v>
      </c>
      <c r="C641" s="16">
        <v>24.4</v>
      </c>
      <c r="D641" s="16">
        <v>43.7</v>
      </c>
      <c r="E641" s="21">
        <v>989</v>
      </c>
      <c r="G641" s="14"/>
    </row>
    <row r="642" spans="1:7">
      <c r="A642" s="15" t="s">
        <v>664</v>
      </c>
      <c r="B642" s="5">
        <v>3</v>
      </c>
      <c r="C642" s="16">
        <v>29.9</v>
      </c>
      <c r="D642" s="16">
        <v>51.5</v>
      </c>
      <c r="E642" s="21">
        <v>1454</v>
      </c>
      <c r="G642" s="14"/>
    </row>
    <row r="643" spans="1:7">
      <c r="A643" s="15" t="s">
        <v>664</v>
      </c>
      <c r="B643" s="5">
        <v>4</v>
      </c>
      <c r="C643" s="16">
        <v>37.200000000000003</v>
      </c>
      <c r="D643" s="16">
        <v>61.1</v>
      </c>
      <c r="E643" s="21">
        <v>1894</v>
      </c>
      <c r="G643" s="14"/>
    </row>
    <row r="644" spans="1:7">
      <c r="A644" s="15" t="s">
        <v>664</v>
      </c>
      <c r="B644" s="5">
        <v>5</v>
      </c>
      <c r="C644" s="16">
        <v>45.2</v>
      </c>
      <c r="D644" s="16">
        <v>72.400000000000006</v>
      </c>
      <c r="E644" s="21">
        <v>2362</v>
      </c>
      <c r="G644" s="14"/>
    </row>
    <row r="645" spans="1:7">
      <c r="A645" s="15" t="s">
        <v>664</v>
      </c>
      <c r="B645" s="5">
        <v>6</v>
      </c>
      <c r="C645" s="16">
        <v>53.3</v>
      </c>
      <c r="D645" s="16">
        <v>83.3</v>
      </c>
      <c r="E645" s="21">
        <v>2561</v>
      </c>
      <c r="G645" s="14"/>
    </row>
    <row r="646" spans="1:7">
      <c r="A646" s="15" t="s">
        <v>664</v>
      </c>
      <c r="B646" s="5">
        <v>7</v>
      </c>
      <c r="C646" s="16">
        <v>61.8</v>
      </c>
      <c r="D646" s="16">
        <v>93.2</v>
      </c>
      <c r="E646" s="21">
        <v>2590</v>
      </c>
      <c r="G646" s="14"/>
    </row>
    <row r="647" spans="1:7">
      <c r="A647" s="15" t="s">
        <v>664</v>
      </c>
      <c r="B647" s="5">
        <v>8</v>
      </c>
      <c r="C647" s="16">
        <v>59.7</v>
      </c>
      <c r="D647" s="16">
        <v>90</v>
      </c>
      <c r="E647" s="21">
        <v>2254</v>
      </c>
      <c r="G647" s="14"/>
    </row>
    <row r="648" spans="1:7">
      <c r="A648" s="15" t="s">
        <v>664</v>
      </c>
      <c r="B648" s="5">
        <v>9</v>
      </c>
      <c r="C648" s="16">
        <v>50</v>
      </c>
      <c r="D648" s="16">
        <v>80</v>
      </c>
      <c r="E648" s="21">
        <v>1843</v>
      </c>
      <c r="G648" s="14"/>
    </row>
    <row r="649" spans="1:7">
      <c r="A649" s="15" t="s">
        <v>664</v>
      </c>
      <c r="B649" s="5">
        <v>10</v>
      </c>
      <c r="C649" s="16">
        <v>39.299999999999997</v>
      </c>
      <c r="D649" s="16">
        <v>66.7</v>
      </c>
      <c r="E649" s="21">
        <v>1293</v>
      </c>
      <c r="G649" s="14"/>
    </row>
    <row r="650" spans="1:7">
      <c r="A650" s="15" t="s">
        <v>664</v>
      </c>
      <c r="B650" s="5">
        <v>11</v>
      </c>
      <c r="C650" s="16">
        <v>29.2</v>
      </c>
      <c r="D650" s="16">
        <v>50.2</v>
      </c>
      <c r="E650" s="21">
        <v>788</v>
      </c>
      <c r="G650" s="14"/>
    </row>
    <row r="651" spans="1:7">
      <c r="A651" s="15" t="s">
        <v>664</v>
      </c>
      <c r="B651" s="5">
        <v>12</v>
      </c>
      <c r="C651" s="16">
        <v>21.6</v>
      </c>
      <c r="D651" s="16">
        <v>38.9</v>
      </c>
      <c r="E651" s="21">
        <v>570</v>
      </c>
      <c r="G651" s="14"/>
    </row>
    <row r="652" spans="1:7">
      <c r="A652" s="15" t="s">
        <v>664</v>
      </c>
      <c r="B652" s="5" t="s">
        <v>650</v>
      </c>
      <c r="C652" s="20">
        <f>AVERAGE(C640:C651)</f>
        <v>39.274999999999999</v>
      </c>
      <c r="D652" s="20">
        <f>AVERAGE(D640:D651)</f>
        <v>64.033333333333346</v>
      </c>
      <c r="E652" s="19">
        <f>AVERAGE(E640:E651)</f>
        <v>1603.0833333333333</v>
      </c>
      <c r="G652" s="14"/>
    </row>
    <row r="653" spans="1:7" ht="15">
      <c r="A653" s="24" t="s">
        <v>707</v>
      </c>
      <c r="B653" s="5">
        <v>1</v>
      </c>
      <c r="C653" s="25">
        <v>41.5</v>
      </c>
      <c r="D653" s="25">
        <v>55.5</v>
      </c>
      <c r="E653" s="26">
        <v>708</v>
      </c>
      <c r="G653" s="14"/>
    </row>
    <row r="654" spans="1:7" ht="15">
      <c r="A654" s="24" t="s">
        <v>707</v>
      </c>
      <c r="B654" s="5">
        <v>2</v>
      </c>
      <c r="C654" s="25">
        <v>44.1</v>
      </c>
      <c r="D654" s="25">
        <v>59</v>
      </c>
      <c r="E654" s="26">
        <v>1009</v>
      </c>
      <c r="G654" s="14"/>
    </row>
    <row r="655" spans="1:7" ht="15">
      <c r="A655" s="24" t="s">
        <v>707</v>
      </c>
      <c r="B655" s="5">
        <v>3</v>
      </c>
      <c r="C655" s="25">
        <v>44.9</v>
      </c>
      <c r="D655" s="25">
        <v>60.6</v>
      </c>
      <c r="E655" s="26">
        <v>1455</v>
      </c>
      <c r="G655" s="14"/>
    </row>
    <row r="656" spans="1:7" ht="15">
      <c r="A656" s="24" t="s">
        <v>707</v>
      </c>
      <c r="B656" s="5">
        <v>4</v>
      </c>
      <c r="C656" s="25">
        <v>46.6</v>
      </c>
      <c r="D656" s="25">
        <v>63</v>
      </c>
      <c r="E656" s="26">
        <v>1920</v>
      </c>
      <c r="G656" s="14"/>
    </row>
    <row r="657" spans="1:7" ht="15">
      <c r="A657" s="24" t="s">
        <v>707</v>
      </c>
      <c r="B657" s="5">
        <v>5</v>
      </c>
      <c r="C657" s="25">
        <v>49.3</v>
      </c>
      <c r="D657" s="25">
        <v>66.3</v>
      </c>
      <c r="E657" s="26">
        <v>2226</v>
      </c>
      <c r="G657" s="14"/>
    </row>
    <row r="658" spans="1:7" ht="15">
      <c r="A658" s="24" t="s">
        <v>707</v>
      </c>
      <c r="B658" s="5">
        <v>6</v>
      </c>
      <c r="C658" s="25">
        <v>52</v>
      </c>
      <c r="D658" s="25">
        <v>69.599999999999994</v>
      </c>
      <c r="E658" s="26">
        <v>2377</v>
      </c>
      <c r="G658" s="14"/>
    </row>
    <row r="659" spans="1:7" ht="15">
      <c r="A659" s="24" t="s">
        <v>707</v>
      </c>
      <c r="B659" s="5">
        <v>7</v>
      </c>
      <c r="C659" s="25">
        <v>53.3</v>
      </c>
      <c r="D659" s="25">
        <v>71</v>
      </c>
      <c r="E659" s="26">
        <v>2392</v>
      </c>
      <c r="G659" s="14"/>
    </row>
    <row r="660" spans="1:7" ht="15">
      <c r="A660" s="24" t="s">
        <v>707</v>
      </c>
      <c r="B660" s="5">
        <v>8</v>
      </c>
      <c r="C660" s="25">
        <v>54.2</v>
      </c>
      <c r="D660" s="25">
        <v>71.8</v>
      </c>
      <c r="E660" s="26">
        <v>2117</v>
      </c>
      <c r="G660" s="14"/>
    </row>
    <row r="661" spans="1:7" ht="15">
      <c r="A661" s="24" t="s">
        <v>707</v>
      </c>
      <c r="B661" s="5">
        <v>9</v>
      </c>
      <c r="C661" s="25">
        <v>54.3</v>
      </c>
      <c r="D661" s="25">
        <v>73.400000000000006</v>
      </c>
      <c r="E661" s="26">
        <v>1742</v>
      </c>
      <c r="G661" s="14"/>
    </row>
    <row r="662" spans="1:7" ht="15">
      <c r="A662" s="24" t="s">
        <v>707</v>
      </c>
      <c r="B662" s="5">
        <v>10</v>
      </c>
      <c r="C662" s="25">
        <v>51.2</v>
      </c>
      <c r="D662" s="25">
        <v>70</v>
      </c>
      <c r="E662" s="26">
        <v>1226</v>
      </c>
      <c r="G662" s="14"/>
    </row>
    <row r="663" spans="1:7" ht="15">
      <c r="A663" s="24" t="s">
        <v>707</v>
      </c>
      <c r="B663" s="5">
        <v>11</v>
      </c>
      <c r="C663" s="25">
        <v>46.3</v>
      </c>
      <c r="D663" s="25">
        <v>62.7</v>
      </c>
      <c r="E663" s="26">
        <v>821</v>
      </c>
      <c r="G663" s="14"/>
    </row>
    <row r="664" spans="1:7" ht="15">
      <c r="A664" s="24" t="s">
        <v>707</v>
      </c>
      <c r="B664" s="5">
        <v>12</v>
      </c>
      <c r="C664" s="25">
        <v>42.2</v>
      </c>
      <c r="D664" s="25">
        <v>56.3</v>
      </c>
      <c r="E664" s="26">
        <v>642</v>
      </c>
      <c r="G664" s="14"/>
    </row>
    <row r="665" spans="1:7" ht="15">
      <c r="A665" s="24" t="s">
        <v>707</v>
      </c>
      <c r="B665" s="5" t="s">
        <v>650</v>
      </c>
      <c r="C665" s="18">
        <f>AVERAGE(C653:C664)</f>
        <v>48.324999999999996</v>
      </c>
      <c r="D665" s="18">
        <f>AVERAGE(D653:D664)</f>
        <v>64.933333333333323</v>
      </c>
      <c r="E665" s="27">
        <f>AVERAGE(E653:E664)</f>
        <v>1552.9166666666667</v>
      </c>
      <c r="G665" s="14"/>
    </row>
    <row r="666" spans="1:7" ht="15">
      <c r="A666" s="24" t="s">
        <v>706</v>
      </c>
      <c r="B666" s="5">
        <v>1</v>
      </c>
      <c r="C666" s="25">
        <v>38.799999999999997</v>
      </c>
      <c r="D666" s="25">
        <v>62.8</v>
      </c>
      <c r="E666" s="26">
        <v>854</v>
      </c>
      <c r="G666" s="14"/>
    </row>
    <row r="667" spans="1:7" ht="15">
      <c r="A667" s="24" t="s">
        <v>706</v>
      </c>
      <c r="B667" s="5">
        <v>2</v>
      </c>
      <c r="C667" s="25">
        <v>40.299999999999997</v>
      </c>
      <c r="D667" s="25">
        <v>64.2</v>
      </c>
      <c r="E667" s="26">
        <v>1141</v>
      </c>
      <c r="G667" s="14"/>
    </row>
    <row r="668" spans="1:7" ht="15">
      <c r="A668" s="24" t="s">
        <v>706</v>
      </c>
      <c r="B668" s="5">
        <v>3</v>
      </c>
      <c r="C668" s="25">
        <v>40.9</v>
      </c>
      <c r="D668" s="25">
        <v>63.9</v>
      </c>
      <c r="E668" s="26">
        <v>1582</v>
      </c>
      <c r="G668" s="14"/>
    </row>
    <row r="669" spans="1:7" ht="15">
      <c r="A669" s="24" t="s">
        <v>706</v>
      </c>
      <c r="B669" s="5">
        <v>4</v>
      </c>
      <c r="C669" s="25">
        <v>42.7</v>
      </c>
      <c r="D669" s="25">
        <v>65.599999999999994</v>
      </c>
      <c r="E669" s="26">
        <v>1921</v>
      </c>
      <c r="G669" s="14"/>
    </row>
    <row r="670" spans="1:7" ht="15">
      <c r="A670" s="24" t="s">
        <v>706</v>
      </c>
      <c r="B670" s="5">
        <v>5</v>
      </c>
      <c r="C670" s="25">
        <v>46.2</v>
      </c>
      <c r="D670" s="25">
        <v>67.3</v>
      </c>
      <c r="E670" s="26">
        <v>2141</v>
      </c>
      <c r="G670" s="14"/>
    </row>
    <row r="671" spans="1:7" ht="15">
      <c r="A671" s="24" t="s">
        <v>706</v>
      </c>
      <c r="B671" s="5">
        <v>6</v>
      </c>
      <c r="C671" s="25">
        <v>49.6</v>
      </c>
      <c r="D671" s="25">
        <v>69.900000000000006</v>
      </c>
      <c r="E671" s="26">
        <v>2349</v>
      </c>
      <c r="G671" s="14"/>
    </row>
    <row r="672" spans="1:7" ht="15">
      <c r="A672" s="24" t="s">
        <v>706</v>
      </c>
      <c r="B672" s="5">
        <v>7</v>
      </c>
      <c r="C672" s="25">
        <v>52.4</v>
      </c>
      <c r="D672" s="25">
        <v>72.099999999999994</v>
      </c>
      <c r="E672" s="26">
        <v>2341</v>
      </c>
      <c r="G672" s="14"/>
    </row>
    <row r="673" spans="1:7" ht="15">
      <c r="A673" s="24" t="s">
        <v>706</v>
      </c>
      <c r="B673" s="5">
        <v>8</v>
      </c>
      <c r="C673" s="25">
        <v>53.2</v>
      </c>
      <c r="D673" s="25">
        <v>72.8</v>
      </c>
      <c r="E673" s="26">
        <v>2106</v>
      </c>
      <c r="G673" s="14"/>
    </row>
    <row r="674" spans="1:7" ht="15">
      <c r="A674" s="24" t="s">
        <v>706</v>
      </c>
      <c r="B674" s="5">
        <v>9</v>
      </c>
      <c r="C674" s="25">
        <v>51.8</v>
      </c>
      <c r="D674" s="25">
        <v>74.2</v>
      </c>
      <c r="E674" s="26">
        <v>1730</v>
      </c>
      <c r="G674" s="14"/>
    </row>
    <row r="675" spans="1:7" ht="15">
      <c r="A675" s="24" t="s">
        <v>706</v>
      </c>
      <c r="B675" s="5">
        <v>10</v>
      </c>
      <c r="C675" s="25">
        <v>47.6</v>
      </c>
      <c r="D675" s="25">
        <v>73.3</v>
      </c>
      <c r="E675" s="26">
        <v>1353</v>
      </c>
      <c r="G675" s="14"/>
    </row>
    <row r="676" spans="1:7" ht="15">
      <c r="A676" s="24" t="s">
        <v>706</v>
      </c>
      <c r="B676" s="5">
        <v>11</v>
      </c>
      <c r="C676" s="25">
        <v>42.1</v>
      </c>
      <c r="D676" s="25">
        <v>68.900000000000006</v>
      </c>
      <c r="E676" s="26">
        <v>974</v>
      </c>
      <c r="G676" s="14"/>
    </row>
    <row r="677" spans="1:7" ht="15">
      <c r="A677" s="24" t="s">
        <v>706</v>
      </c>
      <c r="B677" s="5">
        <v>12</v>
      </c>
      <c r="C677" s="25">
        <v>38.299999999999997</v>
      </c>
      <c r="D677" s="25">
        <v>64.599999999999994</v>
      </c>
      <c r="E677" s="26">
        <v>804</v>
      </c>
      <c r="G677" s="14"/>
    </row>
    <row r="678" spans="1:7" ht="15">
      <c r="A678" s="24" t="s">
        <v>706</v>
      </c>
      <c r="B678" s="5" t="s">
        <v>650</v>
      </c>
      <c r="C678" s="18">
        <f>AVERAGE(C666:C677)</f>
        <v>45.324999999999996</v>
      </c>
      <c r="D678" s="18">
        <f>AVERAGE(D666:D677)</f>
        <v>68.3</v>
      </c>
      <c r="E678" s="27">
        <f>AVERAGE(E666:E677)</f>
        <v>1608</v>
      </c>
      <c r="G678" s="14"/>
    </row>
    <row r="679" spans="1:7" ht="15">
      <c r="A679" s="24" t="s">
        <v>701</v>
      </c>
      <c r="B679" s="5">
        <v>1</v>
      </c>
      <c r="C679" s="25">
        <v>37.9</v>
      </c>
      <c r="D679" s="25">
        <v>60.3</v>
      </c>
      <c r="E679" s="26">
        <v>795</v>
      </c>
      <c r="G679" s="14"/>
    </row>
    <row r="680" spans="1:7" ht="15">
      <c r="A680" s="24" t="s">
        <v>701</v>
      </c>
      <c r="B680" s="5">
        <v>2</v>
      </c>
      <c r="C680" s="25">
        <v>40</v>
      </c>
      <c r="D680" s="25">
        <v>63.1</v>
      </c>
      <c r="E680" s="26">
        <v>1044</v>
      </c>
      <c r="G680" s="14"/>
    </row>
    <row r="681" spans="1:7" ht="15">
      <c r="A681" s="24" t="s">
        <v>701</v>
      </c>
      <c r="B681" s="5">
        <v>3</v>
      </c>
      <c r="C681" s="25">
        <v>46.8</v>
      </c>
      <c r="D681" s="25">
        <v>69.900000000000006</v>
      </c>
      <c r="E681" s="26">
        <v>1399</v>
      </c>
      <c r="G681" s="14"/>
    </row>
    <row r="682" spans="1:7" ht="15">
      <c r="A682" s="24" t="s">
        <v>701</v>
      </c>
      <c r="B682" s="5">
        <v>4</v>
      </c>
      <c r="C682" s="25">
        <v>54.1</v>
      </c>
      <c r="D682" s="25">
        <v>77.8</v>
      </c>
      <c r="E682" s="26">
        <v>1761</v>
      </c>
      <c r="G682" s="14"/>
    </row>
    <row r="683" spans="1:7" ht="15">
      <c r="A683" s="24" t="s">
        <v>701</v>
      </c>
      <c r="B683" s="5">
        <v>5</v>
      </c>
      <c r="C683" s="25">
        <v>62.3</v>
      </c>
      <c r="D683" s="25">
        <v>84.2</v>
      </c>
      <c r="E683" s="26">
        <v>1852</v>
      </c>
      <c r="G683" s="14"/>
    </row>
    <row r="684" spans="1:7" ht="15">
      <c r="A684" s="24" t="s">
        <v>701</v>
      </c>
      <c r="B684" s="5">
        <v>6</v>
      </c>
      <c r="C684" s="25">
        <v>68.5</v>
      </c>
      <c r="D684" s="25">
        <v>88.6</v>
      </c>
      <c r="E684" s="26">
        <v>1844</v>
      </c>
      <c r="G684" s="14"/>
    </row>
    <row r="685" spans="1:7" ht="15">
      <c r="A685" s="24" t="s">
        <v>701</v>
      </c>
      <c r="B685" s="5">
        <v>7</v>
      </c>
      <c r="C685" s="25">
        <v>71.5</v>
      </c>
      <c r="D685" s="25">
        <v>90.8</v>
      </c>
      <c r="E685" s="26">
        <v>1784</v>
      </c>
      <c r="G685" s="14"/>
    </row>
    <row r="686" spans="1:7" ht="15">
      <c r="A686" s="24" t="s">
        <v>701</v>
      </c>
      <c r="B686" s="5">
        <v>8</v>
      </c>
      <c r="C686" s="25">
        <v>71.400000000000006</v>
      </c>
      <c r="D686" s="25">
        <v>90.1</v>
      </c>
      <c r="E686" s="26">
        <v>1621</v>
      </c>
      <c r="G686" s="14"/>
    </row>
    <row r="687" spans="1:7" ht="15">
      <c r="A687" s="24" t="s">
        <v>701</v>
      </c>
      <c r="B687" s="5">
        <v>9</v>
      </c>
      <c r="C687" s="25">
        <v>67.599999999999994</v>
      </c>
      <c r="D687" s="25">
        <v>85.6</v>
      </c>
      <c r="E687" s="26">
        <v>1364</v>
      </c>
      <c r="G687" s="14"/>
    </row>
    <row r="688" spans="1:7" ht="15">
      <c r="A688" s="24" t="s">
        <v>701</v>
      </c>
      <c r="B688" s="5">
        <v>10</v>
      </c>
      <c r="C688" s="25">
        <v>55.9</v>
      </c>
      <c r="D688" s="25">
        <v>77.8</v>
      </c>
      <c r="E688" s="26">
        <v>1217</v>
      </c>
      <c r="G688" s="14"/>
    </row>
    <row r="689" spans="1:7" ht="15">
      <c r="A689" s="24" t="s">
        <v>701</v>
      </c>
      <c r="B689" s="5">
        <v>11</v>
      </c>
      <c r="C689" s="25">
        <v>45.5</v>
      </c>
      <c r="D689" s="25">
        <v>69.5</v>
      </c>
      <c r="E689" s="26">
        <v>941</v>
      </c>
      <c r="G689" s="14"/>
    </row>
    <row r="690" spans="1:7" ht="15">
      <c r="A690" s="24" t="s">
        <v>701</v>
      </c>
      <c r="B690" s="5">
        <v>12</v>
      </c>
      <c r="C690" s="25">
        <v>39.4</v>
      </c>
      <c r="D690" s="25">
        <v>62.5</v>
      </c>
      <c r="E690" s="26">
        <v>754</v>
      </c>
      <c r="G690" s="14"/>
    </row>
    <row r="691" spans="1:7" ht="15">
      <c r="A691" s="24" t="s">
        <v>701</v>
      </c>
      <c r="B691" s="5" t="s">
        <v>650</v>
      </c>
      <c r="C691" s="18">
        <f>AVERAGE(C679:C690)</f>
        <v>55.074999999999996</v>
      </c>
      <c r="D691" s="18">
        <f>AVERAGE(D679:D690)</f>
        <v>76.683333333333323</v>
      </c>
      <c r="E691" s="27">
        <f>AVERAGE(E679:E690)</f>
        <v>1364.6666666666667</v>
      </c>
      <c r="G691" s="14"/>
    </row>
    <row r="692" spans="1:7">
      <c r="A692" s="15" t="s">
        <v>662</v>
      </c>
      <c r="B692" s="5">
        <v>1</v>
      </c>
      <c r="C692" s="16">
        <v>34.299999999999997</v>
      </c>
      <c r="D692" s="16">
        <v>43.9</v>
      </c>
      <c r="E692" s="21">
        <v>262</v>
      </c>
      <c r="G692" s="14"/>
    </row>
    <row r="693" spans="1:7">
      <c r="A693" s="15" t="s">
        <v>662</v>
      </c>
      <c r="B693" s="5">
        <v>2</v>
      </c>
      <c r="C693" s="16">
        <v>36.799999999999997</v>
      </c>
      <c r="D693" s="16">
        <v>48.8</v>
      </c>
      <c r="E693" s="21">
        <v>495</v>
      </c>
      <c r="G693" s="14"/>
    </row>
    <row r="694" spans="1:7">
      <c r="A694" s="15" t="s">
        <v>662</v>
      </c>
      <c r="B694" s="5">
        <v>3</v>
      </c>
      <c r="C694" s="16">
        <v>37.200000000000003</v>
      </c>
      <c r="D694" s="16">
        <v>51.1</v>
      </c>
      <c r="E694" s="21">
        <v>849</v>
      </c>
      <c r="G694" s="14"/>
    </row>
    <row r="695" spans="1:7">
      <c r="A695" s="15" t="s">
        <v>662</v>
      </c>
      <c r="B695" s="5">
        <v>4</v>
      </c>
      <c r="C695" s="16">
        <v>40.5</v>
      </c>
      <c r="D695" s="16">
        <v>56.8</v>
      </c>
      <c r="E695" s="21">
        <v>1294</v>
      </c>
      <c r="G695" s="14"/>
    </row>
    <row r="696" spans="1:7">
      <c r="A696" s="15" t="s">
        <v>662</v>
      </c>
      <c r="B696" s="5">
        <v>5</v>
      </c>
      <c r="C696" s="16">
        <v>46</v>
      </c>
      <c r="D696" s="16">
        <v>64</v>
      </c>
      <c r="E696" s="21">
        <v>1714</v>
      </c>
      <c r="G696" s="14"/>
    </row>
    <row r="697" spans="1:7">
      <c r="A697" s="15" t="s">
        <v>662</v>
      </c>
      <c r="B697" s="5">
        <v>6</v>
      </c>
      <c r="C697" s="16">
        <v>51.1</v>
      </c>
      <c r="D697" s="16">
        <v>69.2</v>
      </c>
      <c r="E697" s="21">
        <v>1802</v>
      </c>
      <c r="G697" s="14"/>
    </row>
    <row r="698" spans="1:7">
      <c r="A698" s="15" t="s">
        <v>662</v>
      </c>
      <c r="B698" s="5">
        <v>7</v>
      </c>
      <c r="C698" s="16">
        <v>54.3</v>
      </c>
      <c r="D698" s="16">
        <v>75.2</v>
      </c>
      <c r="E698" s="21">
        <v>2248</v>
      </c>
      <c r="G698" s="14"/>
    </row>
    <row r="699" spans="1:7">
      <c r="A699" s="15" t="s">
        <v>662</v>
      </c>
      <c r="B699" s="5">
        <v>8</v>
      </c>
      <c r="C699" s="16">
        <v>54.3</v>
      </c>
      <c r="D699" s="16">
        <v>73.900000000000006</v>
      </c>
      <c r="E699" s="21">
        <v>1616</v>
      </c>
      <c r="G699" s="14"/>
    </row>
    <row r="700" spans="1:7">
      <c r="A700" s="15" t="s">
        <v>662</v>
      </c>
      <c r="B700" s="5">
        <v>9</v>
      </c>
      <c r="C700" s="16">
        <v>51.2</v>
      </c>
      <c r="D700" s="16">
        <v>68.7</v>
      </c>
      <c r="E700" s="21">
        <v>1148</v>
      </c>
      <c r="G700" s="14"/>
    </row>
    <row r="701" spans="1:7">
      <c r="A701" s="15" t="s">
        <v>662</v>
      </c>
      <c r="B701" s="5">
        <v>10</v>
      </c>
      <c r="C701" s="16">
        <v>45.3</v>
      </c>
      <c r="D701" s="16">
        <v>59.5</v>
      </c>
      <c r="E701" s="21">
        <v>656</v>
      </c>
      <c r="G701" s="14"/>
    </row>
    <row r="702" spans="1:7">
      <c r="A702" s="15" t="s">
        <v>662</v>
      </c>
      <c r="B702" s="5">
        <v>11</v>
      </c>
      <c r="C702" s="16">
        <v>39.299999999999997</v>
      </c>
      <c r="D702" s="16">
        <v>50.3</v>
      </c>
      <c r="E702" s="21">
        <v>337</v>
      </c>
      <c r="G702" s="14"/>
    </row>
    <row r="703" spans="1:7">
      <c r="A703" s="15" t="s">
        <v>662</v>
      </c>
      <c r="B703" s="5">
        <v>12</v>
      </c>
      <c r="C703" s="16">
        <v>36.299999999999997</v>
      </c>
      <c r="D703" s="16">
        <v>45.6</v>
      </c>
      <c r="E703" s="21">
        <v>211</v>
      </c>
      <c r="G703" s="14"/>
    </row>
    <row r="704" spans="1:7">
      <c r="A704" s="15" t="s">
        <v>662</v>
      </c>
      <c r="B704" s="5" t="s">
        <v>650</v>
      </c>
      <c r="C704" s="20">
        <f>AVERAGE(C692:C703)</f>
        <v>43.883333333333333</v>
      </c>
      <c r="D704" s="20">
        <f>AVERAGE(D692:D703)</f>
        <v>58.916666666666664</v>
      </c>
      <c r="E704" s="19">
        <f>AVERAGE(E692:E703)</f>
        <v>1052.6666666666667</v>
      </c>
      <c r="G704" s="14"/>
    </row>
    <row r="705" spans="1:7" ht="15">
      <c r="A705" s="24" t="s">
        <v>670</v>
      </c>
      <c r="B705" s="5">
        <v>1</v>
      </c>
      <c r="C705" s="25">
        <v>1.9</v>
      </c>
      <c r="D705" s="25">
        <v>22.9</v>
      </c>
      <c r="E705" s="26">
        <v>533</v>
      </c>
      <c r="G705" s="14"/>
    </row>
    <row r="706" spans="1:7" ht="15">
      <c r="A706" s="24" t="s">
        <v>670</v>
      </c>
      <c r="B706" s="5">
        <v>2</v>
      </c>
      <c r="C706" s="25">
        <v>8.9</v>
      </c>
      <c r="D706" s="25">
        <v>29.3</v>
      </c>
      <c r="E706" s="26">
        <v>802</v>
      </c>
      <c r="G706" s="14"/>
    </row>
    <row r="707" spans="1:7" ht="15">
      <c r="A707" s="24" t="s">
        <v>670</v>
      </c>
      <c r="B707" s="5">
        <v>3</v>
      </c>
      <c r="C707" s="25">
        <v>20.6</v>
      </c>
      <c r="D707" s="25">
        <v>40.1</v>
      </c>
      <c r="E707" s="26">
        <v>1152</v>
      </c>
      <c r="G707" s="14"/>
    </row>
    <row r="708" spans="1:7" ht="15">
      <c r="A708" s="24" t="s">
        <v>670</v>
      </c>
      <c r="B708" s="5">
        <v>4</v>
      </c>
      <c r="C708" s="25">
        <v>34.6</v>
      </c>
      <c r="D708" s="25">
        <v>58.1</v>
      </c>
      <c r="E708" s="26">
        <v>1543</v>
      </c>
      <c r="G708" s="14"/>
    </row>
    <row r="709" spans="1:7" ht="15">
      <c r="A709" s="24" t="s">
        <v>670</v>
      </c>
      <c r="B709" s="5">
        <v>5</v>
      </c>
      <c r="C709" s="25">
        <v>45.7</v>
      </c>
      <c r="D709" s="25">
        <v>70.5</v>
      </c>
      <c r="E709" s="26">
        <v>1894</v>
      </c>
      <c r="G709" s="14"/>
    </row>
    <row r="710" spans="1:7" ht="15">
      <c r="A710" s="24" t="s">
        <v>670</v>
      </c>
      <c r="B710" s="5">
        <v>6</v>
      </c>
      <c r="C710" s="25">
        <v>56.3</v>
      </c>
      <c r="D710" s="25">
        <v>80.3</v>
      </c>
      <c r="E710" s="26">
        <v>2100</v>
      </c>
      <c r="G710" s="14"/>
    </row>
    <row r="711" spans="1:7" ht="15">
      <c r="A711" s="24" t="s">
        <v>670</v>
      </c>
      <c r="B711" s="5">
        <v>7</v>
      </c>
      <c r="C711" s="25">
        <v>61.8</v>
      </c>
      <c r="D711" s="25">
        <v>86.2</v>
      </c>
      <c r="E711" s="26">
        <v>2150</v>
      </c>
      <c r="G711" s="14"/>
    </row>
    <row r="712" spans="1:7" ht="15">
      <c r="A712" s="24" t="s">
        <v>670</v>
      </c>
      <c r="B712" s="5">
        <v>8</v>
      </c>
      <c r="C712" s="25">
        <v>59.7</v>
      </c>
      <c r="D712" s="25">
        <v>83.9</v>
      </c>
      <c r="E712" s="26">
        <v>1845</v>
      </c>
      <c r="G712" s="14"/>
    </row>
    <row r="713" spans="1:7" ht="15">
      <c r="A713" s="24" t="s">
        <v>670</v>
      </c>
      <c r="B713" s="5">
        <v>9</v>
      </c>
      <c r="C713" s="25">
        <v>48.5</v>
      </c>
      <c r="D713" s="25">
        <v>73.5</v>
      </c>
      <c r="E713" s="26">
        <v>1410</v>
      </c>
      <c r="G713" s="14"/>
    </row>
    <row r="714" spans="1:7" ht="15">
      <c r="A714" s="24" t="s">
        <v>670</v>
      </c>
      <c r="B714" s="5">
        <v>10</v>
      </c>
      <c r="C714" s="25">
        <v>36.700000000000003</v>
      </c>
      <c r="D714" s="25">
        <v>62.1</v>
      </c>
      <c r="E714" s="26">
        <v>1005</v>
      </c>
      <c r="G714" s="14"/>
    </row>
    <row r="715" spans="1:7" ht="15">
      <c r="A715" s="24" t="s">
        <v>670</v>
      </c>
      <c r="B715" s="5">
        <v>11</v>
      </c>
      <c r="C715" s="25">
        <v>22.3</v>
      </c>
      <c r="D715" s="25">
        <v>43.7</v>
      </c>
      <c r="E715" s="26">
        <v>608</v>
      </c>
      <c r="G715" s="14"/>
    </row>
    <row r="716" spans="1:7" ht="15">
      <c r="A716" s="24" t="s">
        <v>670</v>
      </c>
      <c r="B716" s="5">
        <v>12</v>
      </c>
      <c r="C716" s="25">
        <v>10.1</v>
      </c>
      <c r="D716" s="25">
        <v>29.3</v>
      </c>
      <c r="E716" s="26">
        <v>441</v>
      </c>
      <c r="G716" s="14"/>
    </row>
    <row r="717" spans="1:7" ht="15">
      <c r="A717" s="24" t="s">
        <v>670</v>
      </c>
      <c r="B717" s="5" t="s">
        <v>650</v>
      </c>
      <c r="C717" s="20">
        <f>AVERAGE(C705:C716)</f>
        <v>33.925000000000004</v>
      </c>
      <c r="D717" s="20">
        <f>AVERAGE(D705:D716)</f>
        <v>56.658333333333331</v>
      </c>
      <c r="E717" s="19">
        <f>AVERAGE(E705:E716)</f>
        <v>1290.25</v>
      </c>
      <c r="G717" s="14"/>
    </row>
    <row r="718" spans="1:7" ht="15">
      <c r="A718" s="24" t="s">
        <v>698</v>
      </c>
      <c r="B718" s="5">
        <v>1</v>
      </c>
      <c r="C718" s="25">
        <v>16.3</v>
      </c>
      <c r="D718" s="25">
        <v>32.799999999999997</v>
      </c>
      <c r="E718" s="26">
        <v>585</v>
      </c>
      <c r="G718" s="14"/>
    </row>
    <row r="719" spans="1:7" ht="15">
      <c r="A719" s="24" t="s">
        <v>698</v>
      </c>
      <c r="B719" s="5">
        <v>2</v>
      </c>
      <c r="C719" s="25">
        <v>20.9</v>
      </c>
      <c r="D719" s="25">
        <v>38</v>
      </c>
      <c r="E719" s="26">
        <v>861</v>
      </c>
      <c r="G719" s="14"/>
    </row>
    <row r="720" spans="1:7" ht="15">
      <c r="A720" s="24" t="s">
        <v>698</v>
      </c>
      <c r="B720" s="5">
        <v>3</v>
      </c>
      <c r="C720" s="25">
        <v>30.3</v>
      </c>
      <c r="D720" s="25">
        <v>48.9</v>
      </c>
      <c r="E720" s="26">
        <v>1143</v>
      </c>
      <c r="G720" s="14"/>
    </row>
    <row r="721" spans="1:7" ht="15">
      <c r="A721" s="24" t="s">
        <v>698</v>
      </c>
      <c r="B721" s="5">
        <v>4</v>
      </c>
      <c r="C721" s="25">
        <v>42.6</v>
      </c>
      <c r="D721" s="25">
        <v>64</v>
      </c>
      <c r="E721" s="26">
        <v>1515</v>
      </c>
      <c r="G721" s="14"/>
    </row>
    <row r="722" spans="1:7" ht="15">
      <c r="A722" s="24" t="s">
        <v>698</v>
      </c>
      <c r="B722" s="5">
        <v>5</v>
      </c>
      <c r="C722" s="25">
        <v>52.5</v>
      </c>
      <c r="D722" s="25">
        <v>74.599999999999994</v>
      </c>
      <c r="E722" s="26">
        <v>1866</v>
      </c>
      <c r="G722" s="14"/>
    </row>
    <row r="723" spans="1:7" ht="15">
      <c r="A723" s="24" t="s">
        <v>698</v>
      </c>
      <c r="B723" s="5">
        <v>6</v>
      </c>
      <c r="C723" s="25">
        <v>62</v>
      </c>
      <c r="D723" s="25">
        <v>84.1</v>
      </c>
      <c r="E723" s="26">
        <v>2097</v>
      </c>
      <c r="G723" s="14"/>
    </row>
    <row r="724" spans="1:7" ht="15">
      <c r="A724" s="24" t="s">
        <v>698</v>
      </c>
      <c r="B724" s="5">
        <v>7</v>
      </c>
      <c r="C724" s="25">
        <v>65.900000000000006</v>
      </c>
      <c r="D724" s="25">
        <v>87.1</v>
      </c>
      <c r="E724" s="26">
        <v>2058</v>
      </c>
      <c r="G724" s="14"/>
    </row>
    <row r="725" spans="1:7" ht="15">
      <c r="A725" s="24" t="s">
        <v>698</v>
      </c>
      <c r="B725" s="5">
        <v>8</v>
      </c>
      <c r="C725" s="25">
        <v>63.7</v>
      </c>
      <c r="D725" s="25">
        <v>84.7</v>
      </c>
      <c r="E725" s="26">
        <v>1806</v>
      </c>
      <c r="G725" s="14"/>
    </row>
    <row r="726" spans="1:7" ht="15">
      <c r="A726" s="24" t="s">
        <v>698</v>
      </c>
      <c r="B726" s="5">
        <v>9</v>
      </c>
      <c r="C726" s="25">
        <v>55.8</v>
      </c>
      <c r="D726" s="25">
        <v>79.3</v>
      </c>
      <c r="E726" s="26">
        <v>1454</v>
      </c>
      <c r="G726" s="14"/>
    </row>
    <row r="727" spans="1:7" ht="15">
      <c r="A727" s="24" t="s">
        <v>698</v>
      </c>
      <c r="B727" s="5">
        <v>10</v>
      </c>
      <c r="C727" s="25">
        <v>44.4</v>
      </c>
      <c r="D727" s="25">
        <v>67.5</v>
      </c>
      <c r="E727" s="26">
        <v>1068</v>
      </c>
      <c r="G727" s="14"/>
    </row>
    <row r="728" spans="1:7" ht="15">
      <c r="A728" s="24" t="s">
        <v>698</v>
      </c>
      <c r="B728" s="5">
        <v>11</v>
      </c>
      <c r="C728" s="25">
        <v>32.9</v>
      </c>
      <c r="D728" s="25">
        <v>51.2</v>
      </c>
      <c r="E728" s="26">
        <v>677</v>
      </c>
      <c r="G728" s="14"/>
    </row>
    <row r="729" spans="1:7" ht="15">
      <c r="A729" s="24" t="s">
        <v>698</v>
      </c>
      <c r="B729" s="5">
        <v>12</v>
      </c>
      <c r="C729" s="25">
        <v>23</v>
      </c>
      <c r="D729" s="25">
        <v>38.4</v>
      </c>
      <c r="E729" s="26">
        <v>490</v>
      </c>
      <c r="G729" s="14"/>
    </row>
    <row r="730" spans="1:7" ht="15">
      <c r="A730" s="24" t="s">
        <v>698</v>
      </c>
      <c r="B730" s="5" t="s">
        <v>650</v>
      </c>
      <c r="C730" s="18">
        <f>AVERAGE(C718:C729)</f>
        <v>42.524999999999999</v>
      </c>
      <c r="D730" s="18">
        <f>AVERAGE(D718:D729)</f>
        <v>62.550000000000004</v>
      </c>
      <c r="E730" s="27">
        <f>AVERAGE(E718:E729)</f>
        <v>1301.6666666666667</v>
      </c>
      <c r="G730" s="14"/>
    </row>
    <row r="731" spans="1:7">
      <c r="A731" s="15" t="s">
        <v>679</v>
      </c>
      <c r="B731" s="5">
        <v>1</v>
      </c>
      <c r="C731" s="16">
        <v>15.5</v>
      </c>
      <c r="D731" s="16">
        <v>30.7</v>
      </c>
      <c r="E731" s="21">
        <v>435</v>
      </c>
      <c r="G731" s="14"/>
    </row>
    <row r="732" spans="1:7">
      <c r="A732" s="15" t="s">
        <v>679</v>
      </c>
      <c r="B732" s="5">
        <v>2</v>
      </c>
      <c r="C732" s="16">
        <v>17.5</v>
      </c>
      <c r="D732" s="16">
        <v>34</v>
      </c>
      <c r="E732" s="21">
        <v>680</v>
      </c>
      <c r="G732" s="14"/>
    </row>
    <row r="733" spans="1:7">
      <c r="A733" s="15" t="s">
        <v>679</v>
      </c>
      <c r="B733" s="5">
        <v>3</v>
      </c>
      <c r="C733" s="16">
        <v>26.1</v>
      </c>
      <c r="D733" s="16">
        <v>44.6</v>
      </c>
      <c r="E733" s="21">
        <v>997</v>
      </c>
      <c r="G733" s="14"/>
    </row>
    <row r="734" spans="1:7">
      <c r="A734" s="15" t="s">
        <v>679</v>
      </c>
      <c r="B734" s="5">
        <v>4</v>
      </c>
      <c r="C734" s="16">
        <v>36.5</v>
      </c>
      <c r="D734" s="16">
        <v>59.1</v>
      </c>
      <c r="E734" s="21">
        <v>1384</v>
      </c>
      <c r="G734" s="14"/>
    </row>
    <row r="735" spans="1:7">
      <c r="A735" s="15" t="s">
        <v>679</v>
      </c>
      <c r="B735" s="5">
        <v>5</v>
      </c>
      <c r="C735" s="16">
        <v>46.6</v>
      </c>
      <c r="D735" s="16">
        <v>70.5</v>
      </c>
      <c r="E735" s="21">
        <v>1717</v>
      </c>
      <c r="G735" s="14"/>
    </row>
    <row r="736" spans="1:7">
      <c r="A736" s="15" t="s">
        <v>679</v>
      </c>
      <c r="B736" s="5">
        <v>6</v>
      </c>
      <c r="C736" s="16">
        <v>56</v>
      </c>
      <c r="D736" s="16">
        <v>79.900000000000006</v>
      </c>
      <c r="E736" s="21">
        <v>1878</v>
      </c>
      <c r="G736" s="14"/>
    </row>
    <row r="737" spans="1:7">
      <c r="A737" s="15" t="s">
        <v>679</v>
      </c>
      <c r="B737" s="5">
        <v>7</v>
      </c>
      <c r="C737" s="16">
        <v>60.2</v>
      </c>
      <c r="D737" s="16">
        <v>83.4</v>
      </c>
      <c r="E737" s="21">
        <v>1849</v>
      </c>
      <c r="G737" s="14"/>
    </row>
    <row r="738" spans="1:7">
      <c r="A738" s="15" t="s">
        <v>679</v>
      </c>
      <c r="B738" s="5">
        <v>8</v>
      </c>
      <c r="C738" s="16">
        <v>58.4</v>
      </c>
      <c r="D738" s="16">
        <v>81.8</v>
      </c>
      <c r="E738" s="21">
        <v>1616</v>
      </c>
      <c r="G738" s="14"/>
    </row>
    <row r="739" spans="1:7">
      <c r="A739" s="15" t="s">
        <v>679</v>
      </c>
      <c r="B739" s="5">
        <v>9</v>
      </c>
      <c r="C739" s="16">
        <v>51.2</v>
      </c>
      <c r="D739" s="16">
        <v>75.099999999999994</v>
      </c>
      <c r="E739" s="21">
        <v>1276</v>
      </c>
      <c r="G739" s="14"/>
    </row>
    <row r="740" spans="1:7">
      <c r="A740" s="15" t="s">
        <v>679</v>
      </c>
      <c r="B740" s="5">
        <v>10</v>
      </c>
      <c r="C740" s="16">
        <v>40.1</v>
      </c>
      <c r="D740" s="16">
        <v>63.3</v>
      </c>
      <c r="E740" s="21">
        <v>911</v>
      </c>
      <c r="G740" s="14"/>
    </row>
    <row r="741" spans="1:7">
      <c r="A741" s="15" t="s">
        <v>679</v>
      </c>
      <c r="B741" s="5">
        <v>11</v>
      </c>
      <c r="C741" s="16">
        <v>30.6</v>
      </c>
      <c r="D741" s="16">
        <v>47.9</v>
      </c>
      <c r="E741" s="21">
        <v>498</v>
      </c>
      <c r="G741" s="14"/>
    </row>
    <row r="742" spans="1:7">
      <c r="A742" s="15" t="s">
        <v>679</v>
      </c>
      <c r="B742" s="5">
        <v>12</v>
      </c>
      <c r="C742" s="16">
        <v>20.6</v>
      </c>
      <c r="D742" s="16">
        <v>35.5</v>
      </c>
      <c r="E742" s="21">
        <v>355</v>
      </c>
      <c r="G742" s="14"/>
    </row>
    <row r="743" spans="1:7">
      <c r="A743" s="15" t="s">
        <v>679</v>
      </c>
      <c r="B743" s="5" t="s">
        <v>650</v>
      </c>
      <c r="C743" s="20">
        <f>AVERAGE(C731:C742)</f>
        <v>38.274999999999999</v>
      </c>
      <c r="D743" s="20">
        <f>AVERAGE(D731:D742)</f>
        <v>58.816666666666663</v>
      </c>
      <c r="E743" s="19">
        <f>AVERAGE(E731:E742)</f>
        <v>1133</v>
      </c>
      <c r="G743" s="14"/>
    </row>
    <row r="744" spans="1:7" ht="15">
      <c r="A744" s="24" t="s">
        <v>714</v>
      </c>
      <c r="B744" s="5">
        <v>1</v>
      </c>
      <c r="C744" s="25">
        <v>38.1</v>
      </c>
      <c r="D744" s="25">
        <v>64.099999999999994</v>
      </c>
      <c r="E744" s="26">
        <v>1099</v>
      </c>
      <c r="G744" s="14"/>
    </row>
    <row r="745" spans="1:7" ht="15">
      <c r="A745" s="24" t="s">
        <v>714</v>
      </c>
      <c r="B745" s="5">
        <v>2</v>
      </c>
      <c r="C745" s="25">
        <v>40</v>
      </c>
      <c r="D745" s="25">
        <v>67.400000000000006</v>
      </c>
      <c r="E745" s="26">
        <v>1432</v>
      </c>
      <c r="G745" s="14"/>
    </row>
    <row r="746" spans="1:7" ht="15">
      <c r="A746" s="24" t="s">
        <v>714</v>
      </c>
      <c r="B746" s="5">
        <v>3</v>
      </c>
      <c r="C746" s="25">
        <v>43.8</v>
      </c>
      <c r="D746" s="25">
        <v>71.8</v>
      </c>
      <c r="E746" s="26">
        <v>1864</v>
      </c>
      <c r="G746" s="14"/>
    </row>
    <row r="747" spans="1:7" ht="15">
      <c r="A747" s="24" t="s">
        <v>714</v>
      </c>
      <c r="B747" s="5">
        <v>4</v>
      </c>
      <c r="C747" s="25">
        <v>49.7</v>
      </c>
      <c r="D747" s="25">
        <v>80.099999999999994</v>
      </c>
      <c r="E747" s="26">
        <v>2363</v>
      </c>
      <c r="G747" s="14"/>
    </row>
    <row r="748" spans="1:7" ht="15">
      <c r="A748" s="24" t="s">
        <v>714</v>
      </c>
      <c r="B748" s="5">
        <v>5</v>
      </c>
      <c r="C748" s="25">
        <v>57.5</v>
      </c>
      <c r="D748" s="25">
        <v>88.8</v>
      </c>
      <c r="E748" s="26">
        <v>2671</v>
      </c>
      <c r="G748" s="14"/>
    </row>
    <row r="749" spans="1:7" ht="15">
      <c r="A749" s="24" t="s">
        <v>714</v>
      </c>
      <c r="B749" s="5">
        <v>6</v>
      </c>
      <c r="C749" s="25">
        <v>67.400000000000006</v>
      </c>
      <c r="D749" s="25">
        <v>98.5</v>
      </c>
      <c r="E749" s="26">
        <v>2730</v>
      </c>
      <c r="G749" s="14"/>
    </row>
    <row r="750" spans="1:7" ht="15">
      <c r="A750" s="24" t="s">
        <v>714</v>
      </c>
      <c r="B750" s="5">
        <v>7</v>
      </c>
      <c r="C750" s="25">
        <v>73.8</v>
      </c>
      <c r="D750" s="25">
        <v>98.5</v>
      </c>
      <c r="E750" s="26">
        <v>2341</v>
      </c>
      <c r="G750" s="14"/>
    </row>
    <row r="751" spans="1:7" ht="15">
      <c r="A751" s="24" t="s">
        <v>714</v>
      </c>
      <c r="B751" s="5">
        <v>8</v>
      </c>
      <c r="C751" s="25">
        <v>72</v>
      </c>
      <c r="D751" s="25">
        <v>95.9</v>
      </c>
      <c r="E751" s="26">
        <v>2183</v>
      </c>
      <c r="G751" s="14"/>
    </row>
    <row r="752" spans="1:7" ht="15">
      <c r="A752" s="24" t="s">
        <v>714</v>
      </c>
      <c r="B752" s="5">
        <v>9</v>
      </c>
      <c r="C752" s="25">
        <v>67.3</v>
      </c>
      <c r="D752" s="25">
        <v>93.5</v>
      </c>
      <c r="E752" s="26">
        <v>1979</v>
      </c>
      <c r="G752" s="14"/>
    </row>
    <row r="753" spans="1:7" ht="15">
      <c r="A753" s="24" t="s">
        <v>714</v>
      </c>
      <c r="B753" s="5">
        <v>10</v>
      </c>
      <c r="C753" s="25">
        <v>56.7</v>
      </c>
      <c r="D753" s="25">
        <v>84.1</v>
      </c>
      <c r="E753" s="26">
        <v>1602</v>
      </c>
      <c r="G753" s="14"/>
    </row>
    <row r="754" spans="1:7" ht="15">
      <c r="A754" s="24" t="s">
        <v>714</v>
      </c>
      <c r="B754" s="5">
        <v>11</v>
      </c>
      <c r="C754" s="25">
        <v>45.2</v>
      </c>
      <c r="D754" s="25">
        <v>72.2</v>
      </c>
      <c r="E754" s="26">
        <v>1208</v>
      </c>
      <c r="G754" s="14"/>
    </row>
    <row r="755" spans="1:7" ht="15">
      <c r="A755" s="24" t="s">
        <v>714</v>
      </c>
      <c r="B755" s="5">
        <v>12</v>
      </c>
      <c r="C755" s="25">
        <v>39</v>
      </c>
      <c r="D755" s="25">
        <v>65</v>
      </c>
      <c r="E755" s="26">
        <v>996</v>
      </c>
      <c r="G755" s="14"/>
    </row>
    <row r="756" spans="1:7" ht="15">
      <c r="A756" s="24" t="s">
        <v>714</v>
      </c>
      <c r="B756" s="5" t="s">
        <v>650</v>
      </c>
      <c r="C756" s="18">
        <f>AVERAGE(C744:C755)</f>
        <v>54.208333333333343</v>
      </c>
      <c r="D756" s="18">
        <f>AVERAGE(D744:D755)</f>
        <v>81.658333333333346</v>
      </c>
      <c r="E756" s="27">
        <f>AVERAGE(E744:E755)</f>
        <v>1872.3333333333333</v>
      </c>
      <c r="G756" s="14"/>
    </row>
    <row r="757" spans="1:7" ht="15">
      <c r="A757" s="24" t="s">
        <v>677</v>
      </c>
      <c r="B757" s="5">
        <v>1</v>
      </c>
      <c r="C757" s="25">
        <v>24.8</v>
      </c>
      <c r="D757" s="25">
        <v>45.6</v>
      </c>
      <c r="E757" s="26">
        <v>732</v>
      </c>
      <c r="G757" s="14"/>
    </row>
    <row r="758" spans="1:7" ht="15">
      <c r="A758" s="24" t="s">
        <v>677</v>
      </c>
      <c r="B758" s="5">
        <v>2</v>
      </c>
      <c r="C758" s="25">
        <v>29.5</v>
      </c>
      <c r="D758" s="25">
        <v>51.9</v>
      </c>
      <c r="E758" s="26">
        <v>978</v>
      </c>
      <c r="G758" s="14"/>
    </row>
    <row r="759" spans="1:7" ht="15">
      <c r="A759" s="24" t="s">
        <v>677</v>
      </c>
      <c r="B759" s="5">
        <v>3</v>
      </c>
      <c r="C759" s="25">
        <v>37.700000000000003</v>
      </c>
      <c r="D759" s="25">
        <v>60.8</v>
      </c>
      <c r="E759" s="26">
        <v>1306</v>
      </c>
      <c r="G759" s="14"/>
    </row>
    <row r="760" spans="1:7" ht="15">
      <c r="A760" s="24" t="s">
        <v>677</v>
      </c>
      <c r="B760" s="5">
        <v>4</v>
      </c>
      <c r="C760" s="25">
        <v>49.5</v>
      </c>
      <c r="D760" s="25">
        <v>72.400000000000006</v>
      </c>
      <c r="E760" s="26">
        <v>1603</v>
      </c>
      <c r="G760" s="14"/>
    </row>
    <row r="761" spans="1:7" ht="15">
      <c r="A761" s="24" t="s">
        <v>677</v>
      </c>
      <c r="B761" s="5">
        <v>5</v>
      </c>
      <c r="C761" s="25">
        <v>58.5</v>
      </c>
      <c r="D761" s="25">
        <v>79.7</v>
      </c>
      <c r="E761" s="26">
        <v>1822</v>
      </c>
      <c r="G761" s="14"/>
    </row>
    <row r="762" spans="1:7" ht="15">
      <c r="A762" s="24" t="s">
        <v>677</v>
      </c>
      <c r="B762" s="5">
        <v>6</v>
      </c>
      <c r="C762" s="25">
        <v>67.5</v>
      </c>
      <c r="D762" s="25">
        <v>87.9</v>
      </c>
      <c r="E762" s="26">
        <v>2021</v>
      </c>
      <c r="G762" s="14"/>
    </row>
    <row r="763" spans="1:7" ht="15">
      <c r="A763" s="24" t="s">
        <v>677</v>
      </c>
      <c r="B763" s="5">
        <v>7</v>
      </c>
      <c r="C763" s="25">
        <v>72.400000000000006</v>
      </c>
      <c r="D763" s="25">
        <v>93.9</v>
      </c>
      <c r="E763" s="26">
        <v>2031</v>
      </c>
      <c r="G763" s="14"/>
    </row>
    <row r="764" spans="1:7" ht="15">
      <c r="A764" s="24" t="s">
        <v>677</v>
      </c>
      <c r="B764" s="5">
        <v>8</v>
      </c>
      <c r="C764" s="25">
        <v>70.3</v>
      </c>
      <c r="D764" s="25">
        <v>93</v>
      </c>
      <c r="E764" s="26">
        <v>1865</v>
      </c>
      <c r="G764" s="13"/>
    </row>
    <row r="765" spans="1:7" ht="15">
      <c r="A765" s="24" t="s">
        <v>677</v>
      </c>
      <c r="B765" s="5">
        <v>9</v>
      </c>
      <c r="C765" s="25">
        <v>62.5</v>
      </c>
      <c r="D765" s="25">
        <v>85</v>
      </c>
      <c r="E765" s="26">
        <v>1473</v>
      </c>
      <c r="G765" s="13"/>
    </row>
    <row r="766" spans="1:7" ht="15">
      <c r="A766" s="24" t="s">
        <v>677</v>
      </c>
      <c r="B766" s="5">
        <v>10</v>
      </c>
      <c r="C766" s="25">
        <v>50.3</v>
      </c>
      <c r="D766" s="25">
        <v>74.900000000000006</v>
      </c>
      <c r="E766" s="26">
        <v>1164</v>
      </c>
      <c r="G766" s="13"/>
    </row>
    <row r="767" spans="1:7" ht="15">
      <c r="A767" s="24" t="s">
        <v>677</v>
      </c>
      <c r="B767" s="5">
        <v>11</v>
      </c>
      <c r="C767" s="25">
        <v>38.1</v>
      </c>
      <c r="D767" s="25">
        <v>60.2</v>
      </c>
      <c r="E767" s="26">
        <v>827</v>
      </c>
      <c r="G767" s="13"/>
    </row>
    <row r="768" spans="1:7" ht="15">
      <c r="A768" s="24" t="s">
        <v>677</v>
      </c>
      <c r="B768" s="5">
        <v>12</v>
      </c>
      <c r="C768" s="25">
        <v>29.3</v>
      </c>
      <c r="D768" s="25">
        <v>50.3</v>
      </c>
      <c r="E768" s="26">
        <v>659</v>
      </c>
      <c r="G768" s="13"/>
    </row>
    <row r="769" spans="1:7" ht="15">
      <c r="A769" s="24" t="s">
        <v>677</v>
      </c>
      <c r="B769" s="5" t="s">
        <v>650</v>
      </c>
      <c r="C769" s="20">
        <f>AVERAGE(C757:C768)</f>
        <v>49.199999999999996</v>
      </c>
      <c r="D769" s="20">
        <f>AVERAGE(D757:D768)</f>
        <v>71.3</v>
      </c>
      <c r="E769" s="19">
        <f>AVERAGE(E757:E768)</f>
        <v>1373.4166666666667</v>
      </c>
      <c r="G769" s="13"/>
    </row>
    <row r="770" spans="1:7" ht="15">
      <c r="A770" s="24" t="s">
        <v>696</v>
      </c>
      <c r="B770" s="5">
        <v>1</v>
      </c>
      <c r="C770" s="25">
        <v>19.399999999999999</v>
      </c>
      <c r="D770" s="25">
        <v>39.799999999999997</v>
      </c>
      <c r="E770" s="26">
        <v>784</v>
      </c>
      <c r="G770" s="13"/>
    </row>
    <row r="771" spans="1:7" ht="15">
      <c r="A771" s="24" t="s">
        <v>696</v>
      </c>
      <c r="B771" s="5">
        <v>2</v>
      </c>
      <c r="C771" s="25">
        <v>24.1</v>
      </c>
      <c r="D771" s="25">
        <v>46.1</v>
      </c>
      <c r="E771" s="26">
        <v>1058</v>
      </c>
      <c r="G771" s="13"/>
    </row>
    <row r="772" spans="1:7" ht="15">
      <c r="A772" s="24" t="s">
        <v>696</v>
      </c>
      <c r="B772" s="5">
        <v>3</v>
      </c>
      <c r="C772" s="25">
        <v>32.4</v>
      </c>
      <c r="D772" s="25">
        <v>55.8</v>
      </c>
      <c r="E772" s="26">
        <v>1406</v>
      </c>
      <c r="G772" s="13"/>
    </row>
    <row r="773" spans="1:7" ht="15">
      <c r="A773" s="24" t="s">
        <v>696</v>
      </c>
      <c r="B773" s="5">
        <v>4</v>
      </c>
      <c r="C773" s="25">
        <v>44.5</v>
      </c>
      <c r="D773" s="25">
        <v>68.099999999999994</v>
      </c>
      <c r="E773" s="26">
        <v>1783</v>
      </c>
      <c r="G773" s="13"/>
    </row>
    <row r="774" spans="1:7" ht="15">
      <c r="A774" s="24" t="s">
        <v>696</v>
      </c>
      <c r="B774" s="5">
        <v>5</v>
      </c>
      <c r="C774" s="25">
        <v>54.6</v>
      </c>
      <c r="D774" s="25">
        <v>77.099999999999994</v>
      </c>
      <c r="E774" s="26">
        <v>2036</v>
      </c>
      <c r="G774" s="14"/>
    </row>
    <row r="775" spans="1:7" ht="15">
      <c r="A775" s="24" t="s">
        <v>696</v>
      </c>
      <c r="B775" s="5">
        <v>6</v>
      </c>
      <c r="C775" s="25">
        <v>64.7</v>
      </c>
      <c r="D775" s="25">
        <v>87.4</v>
      </c>
      <c r="E775" s="26">
        <v>2264</v>
      </c>
      <c r="G775" s="14"/>
    </row>
    <row r="776" spans="1:7" ht="15">
      <c r="A776" s="24" t="s">
        <v>696</v>
      </c>
      <c r="B776" s="5">
        <v>7</v>
      </c>
      <c r="C776" s="25">
        <v>69.8</v>
      </c>
      <c r="D776" s="25">
        <v>92.9</v>
      </c>
      <c r="E776" s="26">
        <v>2239</v>
      </c>
      <c r="G776" s="14"/>
    </row>
    <row r="777" spans="1:7" ht="15">
      <c r="A777" s="24" t="s">
        <v>696</v>
      </c>
      <c r="B777" s="5">
        <v>8</v>
      </c>
      <c r="C777" s="25">
        <v>67.900000000000006</v>
      </c>
      <c r="D777" s="25">
        <v>91.5</v>
      </c>
      <c r="E777" s="26">
        <v>2032</v>
      </c>
      <c r="G777" s="14"/>
    </row>
    <row r="778" spans="1:7" ht="15">
      <c r="A778" s="24" t="s">
        <v>696</v>
      </c>
      <c r="B778" s="5">
        <v>9</v>
      </c>
      <c r="C778" s="25">
        <v>59.2</v>
      </c>
      <c r="D778" s="25">
        <v>82</v>
      </c>
      <c r="E778" s="26">
        <v>1616</v>
      </c>
      <c r="G778" s="14"/>
    </row>
    <row r="779" spans="1:7" ht="15">
      <c r="A779" s="24" t="s">
        <v>696</v>
      </c>
      <c r="B779" s="5">
        <v>10</v>
      </c>
      <c r="C779" s="25">
        <v>46.9</v>
      </c>
      <c r="D779" s="25">
        <v>71.2</v>
      </c>
      <c r="E779" s="26">
        <v>1250</v>
      </c>
      <c r="G779" s="14"/>
    </row>
    <row r="780" spans="1:7" ht="15">
      <c r="A780" s="24" t="s">
        <v>696</v>
      </c>
      <c r="B780" s="5">
        <v>11</v>
      </c>
      <c r="C780" s="25">
        <v>33.5</v>
      </c>
      <c r="D780" s="25">
        <v>55.1</v>
      </c>
      <c r="E780" s="26">
        <v>871</v>
      </c>
      <c r="G780" s="14"/>
    </row>
    <row r="781" spans="1:7" ht="15">
      <c r="A781" s="24" t="s">
        <v>696</v>
      </c>
      <c r="B781" s="5">
        <v>12</v>
      </c>
      <c r="C781" s="25">
        <v>24.2</v>
      </c>
      <c r="D781" s="25">
        <v>44.6</v>
      </c>
      <c r="E781" s="26">
        <v>690</v>
      </c>
      <c r="G781" s="14"/>
    </row>
    <row r="782" spans="1:7" ht="15">
      <c r="A782" s="24" t="s">
        <v>696</v>
      </c>
      <c r="B782" s="5" t="s">
        <v>650</v>
      </c>
      <c r="C782" s="18">
        <f>AVERAGE(C770:C781)</f>
        <v>45.1</v>
      </c>
      <c r="D782" s="18">
        <f>AVERAGE(D770:D781)</f>
        <v>67.63333333333334</v>
      </c>
      <c r="E782" s="27">
        <f>AVERAGE(E770:E781)</f>
        <v>1502.4166666666667</v>
      </c>
      <c r="G782" s="14"/>
    </row>
    <row r="783" spans="1:7" ht="15">
      <c r="A783" s="24" t="s">
        <v>703</v>
      </c>
      <c r="B783" s="5">
        <v>1</v>
      </c>
      <c r="C783" s="25">
        <v>23.2</v>
      </c>
      <c r="D783" s="25">
        <v>39.200000000000003</v>
      </c>
      <c r="E783" s="26">
        <v>571</v>
      </c>
      <c r="G783" s="14"/>
    </row>
    <row r="784" spans="1:7" ht="15">
      <c r="A784" s="24" t="s">
        <v>703</v>
      </c>
      <c r="B784" s="5">
        <v>2</v>
      </c>
      <c r="C784" s="25">
        <v>24.6</v>
      </c>
      <c r="D784" s="25">
        <v>41.8</v>
      </c>
      <c r="E784" s="26">
        <v>827</v>
      </c>
      <c r="G784" s="14"/>
    </row>
    <row r="785" spans="1:7" ht="15">
      <c r="A785" s="24" t="s">
        <v>703</v>
      </c>
      <c r="B785" s="5">
        <v>3</v>
      </c>
      <c r="C785" s="25">
        <v>32.6</v>
      </c>
      <c r="D785" s="25">
        <v>50.9</v>
      </c>
      <c r="E785" s="26">
        <v>1149</v>
      </c>
      <c r="G785" s="14"/>
    </row>
    <row r="786" spans="1:7" ht="15">
      <c r="A786" s="24" t="s">
        <v>703</v>
      </c>
      <c r="B786" s="5">
        <v>4</v>
      </c>
      <c r="C786" s="25">
        <v>41.8</v>
      </c>
      <c r="D786" s="25">
        <v>63</v>
      </c>
      <c r="E786" s="26">
        <v>1480</v>
      </c>
      <c r="G786" s="14"/>
    </row>
    <row r="787" spans="1:7" ht="15">
      <c r="A787" s="24" t="s">
        <v>703</v>
      </c>
      <c r="B787" s="5">
        <v>5</v>
      </c>
      <c r="C787" s="25">
        <v>51.7</v>
      </c>
      <c r="D787" s="25">
        <v>72.7</v>
      </c>
      <c r="E787" s="26">
        <v>1710</v>
      </c>
      <c r="G787" s="14"/>
    </row>
    <row r="788" spans="1:7" ht="15">
      <c r="A788" s="24" t="s">
        <v>703</v>
      </c>
      <c r="B788" s="5">
        <v>6</v>
      </c>
      <c r="C788" s="25">
        <v>61.2</v>
      </c>
      <c r="D788" s="25">
        <v>81.2</v>
      </c>
      <c r="E788" s="26">
        <v>1883</v>
      </c>
      <c r="G788" s="14"/>
    </row>
    <row r="789" spans="1:7" ht="15">
      <c r="A789" s="24" t="s">
        <v>703</v>
      </c>
      <c r="B789" s="5">
        <v>7</v>
      </c>
      <c r="C789" s="25">
        <v>66.3</v>
      </c>
      <c r="D789" s="25">
        <v>85.6</v>
      </c>
      <c r="E789" s="26">
        <v>1823</v>
      </c>
      <c r="G789" s="14"/>
    </row>
    <row r="790" spans="1:7" ht="15">
      <c r="A790" s="24" t="s">
        <v>703</v>
      </c>
      <c r="B790" s="5">
        <v>8</v>
      </c>
      <c r="C790" s="25">
        <v>65.400000000000006</v>
      </c>
      <c r="D790" s="25">
        <v>84.1</v>
      </c>
      <c r="E790" s="26">
        <v>1615</v>
      </c>
      <c r="G790" s="14"/>
    </row>
    <row r="791" spans="1:7" ht="15">
      <c r="A791" s="24" t="s">
        <v>703</v>
      </c>
      <c r="B791" s="5">
        <v>9</v>
      </c>
      <c r="C791" s="25">
        <v>58</v>
      </c>
      <c r="D791" s="25">
        <v>77.8</v>
      </c>
      <c r="E791" s="26">
        <v>1318</v>
      </c>
      <c r="G791" s="14"/>
    </row>
    <row r="792" spans="1:7" ht="15">
      <c r="A792" s="24" t="s">
        <v>703</v>
      </c>
      <c r="B792" s="5">
        <v>10</v>
      </c>
      <c r="C792" s="25">
        <v>45.9</v>
      </c>
      <c r="D792" s="25">
        <v>66.7</v>
      </c>
      <c r="E792" s="26">
        <v>984</v>
      </c>
      <c r="G792" s="14"/>
    </row>
    <row r="793" spans="1:7" ht="15">
      <c r="A793" s="24" t="s">
        <v>703</v>
      </c>
      <c r="B793" s="5">
        <v>11</v>
      </c>
      <c r="C793" s="25">
        <v>36.4</v>
      </c>
      <c r="D793" s="25">
        <v>54.8</v>
      </c>
      <c r="E793" s="26">
        <v>645</v>
      </c>
      <c r="G793" s="14"/>
    </row>
    <row r="794" spans="1:7" ht="15">
      <c r="A794" s="24" t="s">
        <v>703</v>
      </c>
      <c r="B794" s="5">
        <v>12</v>
      </c>
      <c r="C794" s="25">
        <v>27.3</v>
      </c>
      <c r="D794" s="25">
        <v>43.6</v>
      </c>
      <c r="E794" s="26">
        <v>489</v>
      </c>
      <c r="G794" s="14"/>
    </row>
    <row r="795" spans="1:7" ht="15">
      <c r="A795" s="24" t="s">
        <v>703</v>
      </c>
      <c r="B795" s="5" t="s">
        <v>650</v>
      </c>
      <c r="C795" s="18">
        <f>AVERAGE(C783:C794)</f>
        <v>44.533333333333331</v>
      </c>
      <c r="D795" s="18">
        <f>AVERAGE(D783:D794)</f>
        <v>63.449999999999996</v>
      </c>
      <c r="E795" s="27">
        <f>AVERAGE(E783:E794)</f>
        <v>1207.8333333333333</v>
      </c>
      <c r="G795" s="14"/>
    </row>
    <row r="796" spans="1:7">
      <c r="A796" s="13"/>
      <c r="B796" s="13"/>
      <c r="C796" s="13"/>
      <c r="D796" s="13"/>
      <c r="E796" s="13"/>
      <c r="G796" s="14"/>
    </row>
    <row r="797" spans="1:7">
      <c r="G797" s="14"/>
    </row>
    <row r="798" spans="1:7">
      <c r="G798" s="14"/>
    </row>
    <row r="799" spans="1:7">
      <c r="G799" s="14"/>
    </row>
    <row r="800" spans="1:7">
      <c r="G800" s="14"/>
    </row>
    <row r="801" spans="6:23">
      <c r="G801" s="14"/>
    </row>
    <row r="802" spans="6:23">
      <c r="G802" s="14"/>
    </row>
    <row r="803" spans="6:23">
      <c r="G803" s="14"/>
    </row>
    <row r="804" spans="6:23">
      <c r="G804" s="14"/>
    </row>
    <row r="805" spans="6:23">
      <c r="G805" s="14"/>
    </row>
    <row r="806" spans="6:23">
      <c r="G806" s="14"/>
    </row>
    <row r="807" spans="6:23">
      <c r="G807" s="14"/>
    </row>
    <row r="808" spans="6:23">
      <c r="G808" s="14"/>
    </row>
    <row r="809" spans="6:23">
      <c r="G809" s="14"/>
    </row>
    <row r="810" spans="6:23">
      <c r="G810" s="14"/>
    </row>
    <row r="811" spans="6:23">
      <c r="G811" s="14"/>
    </row>
    <row r="812" spans="6:23">
      <c r="G812" s="14"/>
    </row>
    <row r="813" spans="6:23">
      <c r="G813" s="14"/>
    </row>
    <row r="814" spans="6:23">
      <c r="G814" s="14"/>
    </row>
    <row r="815" spans="6:23">
      <c r="G815" s="14"/>
    </row>
    <row r="816" spans="6:23"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</row>
  </sheetData>
  <autoFilter ref="A1:E735" xr:uid="{5A0BE91F-21BA-E943-9610-AC35B6416B36}"/>
  <printOptions horizontalCentered="1"/>
  <pageMargins left="0.5" right="0.5" top="0.5" bottom="0.5" header="0.3" footer="0.3"/>
  <pageSetup scale="65" fitToHeight="0" orientation="landscape" r:id="rId1"/>
  <headerFooter>
    <oddFooter>&amp;L&amp;F&amp;CPage &amp;P of &amp;N&amp;R&amp;8&amp;D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C1700-5D0A-B74A-8096-C6A90CD26016}">
  <dimension ref="A1:C19"/>
  <sheetViews>
    <sheetView workbookViewId="0">
      <selection activeCell="B15" sqref="B15"/>
    </sheetView>
  </sheetViews>
  <sheetFormatPr baseColWidth="10" defaultRowHeight="16"/>
  <cols>
    <col min="1" max="1" width="31.6640625" customWidth="1"/>
    <col min="2" max="2" width="24.33203125" customWidth="1"/>
    <col min="3" max="3" width="22" customWidth="1"/>
  </cols>
  <sheetData>
    <row r="1" spans="1:3" ht="45">
      <c r="A1" s="7" t="s">
        <v>733</v>
      </c>
      <c r="B1" s="11" t="s">
        <v>732</v>
      </c>
      <c r="C1" s="11" t="s">
        <v>731</v>
      </c>
    </row>
    <row r="2" spans="1:3">
      <c r="A2" s="7">
        <v>1</v>
      </c>
      <c r="B2" s="11">
        <v>2</v>
      </c>
      <c r="C2" s="11">
        <v>3</v>
      </c>
    </row>
    <row r="3" spans="1:3">
      <c r="A3" s="6" t="s">
        <v>730</v>
      </c>
      <c r="B3" s="9">
        <v>0.39</v>
      </c>
      <c r="C3" s="9">
        <v>0.49</v>
      </c>
    </row>
    <row r="4" spans="1:3">
      <c r="A4" s="6" t="s">
        <v>729</v>
      </c>
      <c r="B4" s="9">
        <v>0.6</v>
      </c>
      <c r="C4" s="9">
        <v>0.68</v>
      </c>
    </row>
    <row r="5" spans="1:3">
      <c r="A5" s="6" t="s">
        <v>728</v>
      </c>
      <c r="B5" s="9">
        <v>0.1</v>
      </c>
      <c r="C5" s="9">
        <v>0.15</v>
      </c>
    </row>
    <row r="6" spans="1:3">
      <c r="A6" s="6" t="s">
        <v>727</v>
      </c>
      <c r="B6" s="9">
        <v>0.35</v>
      </c>
      <c r="C6" s="9">
        <v>0.49</v>
      </c>
    </row>
    <row r="7" spans="1:3">
      <c r="A7" s="6" t="s">
        <v>726</v>
      </c>
      <c r="B7" s="9">
        <v>0.97</v>
      </c>
      <c r="C7" s="9">
        <v>0.97</v>
      </c>
    </row>
    <row r="8" spans="1:3">
      <c r="A8" s="6" t="s">
        <v>725</v>
      </c>
      <c r="B8" s="9">
        <v>0.57999999999999996</v>
      </c>
      <c r="C8" s="9">
        <v>0.67</v>
      </c>
    </row>
    <row r="9" spans="1:3">
      <c r="A9" s="6" t="s">
        <v>724</v>
      </c>
      <c r="B9" s="9">
        <v>0.54</v>
      </c>
      <c r="C9" s="9">
        <v>0.63</v>
      </c>
    </row>
    <row r="10" spans="1:3">
      <c r="A10" s="6" t="s">
        <v>723</v>
      </c>
      <c r="B10" s="9">
        <v>0.68</v>
      </c>
      <c r="C10" s="9">
        <v>0.74</v>
      </c>
    </row>
    <row r="11" spans="1:3">
      <c r="A11" s="6" t="s">
        <v>722</v>
      </c>
      <c r="B11" s="9">
        <v>0.89</v>
      </c>
      <c r="C11" s="9">
        <v>0.91</v>
      </c>
    </row>
    <row r="12" spans="1:3">
      <c r="A12" s="6" t="s">
        <v>721</v>
      </c>
      <c r="B12" s="9">
        <v>0.89</v>
      </c>
      <c r="C12" s="9">
        <v>0.91</v>
      </c>
    </row>
    <row r="13" spans="1:3">
      <c r="A13" s="6" t="s">
        <v>720</v>
      </c>
      <c r="B13" s="9">
        <v>0.38</v>
      </c>
      <c r="C13" s="9">
        <v>0.5</v>
      </c>
    </row>
    <row r="14" spans="1:3">
      <c r="A14" s="6" t="s">
        <v>719</v>
      </c>
      <c r="B14" s="9">
        <v>0.43</v>
      </c>
      <c r="C14" s="9">
        <v>0.55000000000000004</v>
      </c>
    </row>
    <row r="15" spans="1:3">
      <c r="A15" s="6" t="s">
        <v>654</v>
      </c>
      <c r="B15" s="9">
        <v>0.17</v>
      </c>
      <c r="C15" s="9">
        <v>0.34</v>
      </c>
    </row>
    <row r="19" spans="1:1">
      <c r="A19" s="6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B6D3C-84D4-8F44-B02F-98A989686A58}">
  <sheetPr>
    <pageSetUpPr fitToPage="1"/>
  </sheetPr>
  <dimension ref="A1:S368"/>
  <sheetViews>
    <sheetView workbookViewId="0">
      <pane ySplit="1" topLeftCell="A2" activePane="bottomLeft" state="frozen"/>
      <selection activeCell="G14" sqref="G14"/>
      <selection pane="bottomLeft" activeCell="G14" sqref="G14"/>
    </sheetView>
  </sheetViews>
  <sheetFormatPr baseColWidth="10" defaultColWidth="7.83203125" defaultRowHeight="14"/>
  <cols>
    <col min="1" max="1" width="29" style="28" customWidth="1"/>
    <col min="2" max="2" width="11" style="28" bestFit="1" customWidth="1"/>
    <col min="3" max="3" width="17.83203125" style="28" customWidth="1"/>
    <col min="4" max="4" width="12.33203125" style="28" customWidth="1"/>
    <col min="5" max="5" width="8.5" style="37" customWidth="1"/>
    <col min="6" max="6" width="12.5" style="37" customWidth="1"/>
    <col min="7" max="7" width="6.83203125" style="37" customWidth="1"/>
    <col min="8" max="8" width="10.1640625" style="37" customWidth="1"/>
    <col min="9" max="11" width="12.1640625" style="37" customWidth="1"/>
    <col min="12" max="12" width="14.1640625" style="37" customWidth="1"/>
    <col min="13" max="13" width="14.1640625" style="28" customWidth="1"/>
    <col min="14" max="14" width="37.6640625" style="37" customWidth="1"/>
    <col min="15" max="17" width="11.5" style="28" customWidth="1"/>
    <col min="18" max="18" width="11" style="28" customWidth="1"/>
    <col min="19" max="19" width="16.83203125" style="28" customWidth="1"/>
    <col min="20" max="16384" width="7.83203125" style="28"/>
  </cols>
  <sheetData>
    <row r="1" spans="1:19" ht="90.75" customHeight="1">
      <c r="A1" s="29" t="s">
        <v>649</v>
      </c>
      <c r="B1" s="30" t="s">
        <v>126</v>
      </c>
      <c r="C1" s="31" t="s">
        <v>125</v>
      </c>
      <c r="D1" s="29" t="s">
        <v>734</v>
      </c>
      <c r="E1" s="32" t="s">
        <v>735</v>
      </c>
      <c r="F1" s="29" t="s">
        <v>124</v>
      </c>
      <c r="G1" s="29" t="s">
        <v>123</v>
      </c>
      <c r="H1" s="33" t="s">
        <v>122</v>
      </c>
      <c r="I1" s="34" t="s">
        <v>736</v>
      </c>
      <c r="J1" s="34" t="s">
        <v>737</v>
      </c>
      <c r="K1" s="34" t="s">
        <v>738</v>
      </c>
      <c r="L1" s="29" t="s">
        <v>739</v>
      </c>
      <c r="M1" s="29" t="s">
        <v>740</v>
      </c>
      <c r="N1" s="29" t="s">
        <v>121</v>
      </c>
      <c r="O1" s="35" t="s">
        <v>120</v>
      </c>
      <c r="P1" s="35" t="s">
        <v>119</v>
      </c>
      <c r="Q1" s="35" t="s">
        <v>118</v>
      </c>
      <c r="R1" s="36" t="s">
        <v>741</v>
      </c>
      <c r="S1" s="36" t="s">
        <v>742</v>
      </c>
    </row>
    <row r="2" spans="1:19">
      <c r="A2" s="58">
        <v>1</v>
      </c>
      <c r="B2" s="58">
        <v>2</v>
      </c>
      <c r="C2" s="58">
        <v>3</v>
      </c>
      <c r="D2" s="58">
        <v>4</v>
      </c>
      <c r="E2" s="58">
        <v>5</v>
      </c>
      <c r="F2" s="58">
        <v>6</v>
      </c>
      <c r="G2" s="58">
        <v>7</v>
      </c>
      <c r="H2" s="58">
        <v>8</v>
      </c>
      <c r="I2" s="58">
        <v>9</v>
      </c>
      <c r="J2" s="58">
        <v>10</v>
      </c>
      <c r="K2" s="58">
        <v>11</v>
      </c>
      <c r="L2" s="58">
        <v>12</v>
      </c>
      <c r="M2" s="58">
        <v>13</v>
      </c>
      <c r="N2" s="58">
        <v>14</v>
      </c>
      <c r="O2" s="58">
        <v>15</v>
      </c>
      <c r="P2" s="58">
        <v>16</v>
      </c>
      <c r="Q2" s="58">
        <v>17</v>
      </c>
      <c r="R2" s="58">
        <v>18</v>
      </c>
      <c r="S2" s="58">
        <v>19</v>
      </c>
    </row>
    <row r="3" spans="1:19" ht="14.25" customHeight="1">
      <c r="A3" s="38" t="s">
        <v>648</v>
      </c>
      <c r="B3" s="38" t="s">
        <v>167</v>
      </c>
      <c r="C3" s="39" t="s">
        <v>166</v>
      </c>
      <c r="D3" s="40">
        <v>133.41999999999999</v>
      </c>
      <c r="E3" s="40">
        <v>11.215999999999999</v>
      </c>
      <c r="F3" s="38" t="s">
        <v>117</v>
      </c>
      <c r="G3" s="40"/>
      <c r="H3" s="41"/>
      <c r="I3" s="41">
        <v>8.6430000000000007</v>
      </c>
      <c r="J3" s="41">
        <v>2136.6</v>
      </c>
      <c r="K3" s="41">
        <v>302.8</v>
      </c>
      <c r="L3" s="41">
        <v>481.67</v>
      </c>
      <c r="M3" s="41">
        <v>521.67000000000007</v>
      </c>
      <c r="N3" s="41" t="s">
        <v>127</v>
      </c>
      <c r="O3" s="42">
        <f t="shared" ref="O3:O66" si="0">IF($F3="RVP", (12.82-0.9672*LN($G3)), IF($F3 = "RVP+S", 15.64-(1.854*($H3^0.5))-(0.8742-(0.328*($H3^0.5)))*LN($G3), I3))</f>
        <v>8.6430000000000007</v>
      </c>
      <c r="P3" s="42">
        <f t="shared" ref="P3:P66" si="1">IF($F3="RVP", (7261-1216*LN($G3)), IF($F3 = "RVP+S", 8742-(1042*($H3^0.5))-(1049-(179.4*($H3^0.5)))*LN($G3), J3))</f>
        <v>2136.6</v>
      </c>
      <c r="Q3" s="42">
        <f t="shared" ref="Q3:Q66" si="2">IF($F3="RVP", 0, IF($F3 = "RVP+S", 0, K3))</f>
        <v>302.8</v>
      </c>
      <c r="R3" s="43">
        <f t="shared" ref="R3:R66" si="3">IF($F3="RVP",0.4,1)</f>
        <v>1</v>
      </c>
      <c r="S3" s="43">
        <f t="shared" ref="S3:S66" si="4">IF($F3="RVP",0.75,1)</f>
        <v>1</v>
      </c>
    </row>
    <row r="4" spans="1:19" ht="15">
      <c r="A4" s="44" t="s">
        <v>647</v>
      </c>
      <c r="B4" s="38" t="s">
        <v>646</v>
      </c>
      <c r="C4" s="39" t="s">
        <v>128</v>
      </c>
      <c r="D4" s="40">
        <v>181.45</v>
      </c>
      <c r="E4" s="40">
        <f>1.454*8.3454</f>
        <v>12.134211599999999</v>
      </c>
      <c r="F4" s="40" t="s">
        <v>117</v>
      </c>
      <c r="G4" s="40"/>
      <c r="H4" s="41"/>
      <c r="I4" s="41">
        <v>7.3724999999999996</v>
      </c>
      <c r="J4" s="41">
        <v>2021.9164000000001</v>
      </c>
      <c r="K4" s="41">
        <v>236.596</v>
      </c>
      <c r="L4" s="41">
        <v>636.91200000000003</v>
      </c>
      <c r="M4" s="41">
        <v>934.27199999999993</v>
      </c>
      <c r="N4" s="41" t="s">
        <v>142</v>
      </c>
      <c r="O4" s="42">
        <f t="shared" si="0"/>
        <v>7.3724999999999996</v>
      </c>
      <c r="P4" s="42">
        <f t="shared" si="1"/>
        <v>2021.9164000000001</v>
      </c>
      <c r="Q4" s="42">
        <f t="shared" si="2"/>
        <v>236.596</v>
      </c>
      <c r="R4" s="43">
        <f t="shared" si="3"/>
        <v>1</v>
      </c>
      <c r="S4" s="43">
        <f t="shared" si="4"/>
        <v>1</v>
      </c>
    </row>
    <row r="5" spans="1:19" ht="14.25" customHeight="1">
      <c r="A5" s="38" t="s">
        <v>645</v>
      </c>
      <c r="B5" s="38" t="s">
        <v>644</v>
      </c>
      <c r="C5" s="39" t="s">
        <v>128</v>
      </c>
      <c r="D5" s="40">
        <v>236.33</v>
      </c>
      <c r="E5" s="40">
        <f>2.05*8.3454</f>
        <v>17.108069999999998</v>
      </c>
      <c r="F5" s="40" t="s">
        <v>150</v>
      </c>
      <c r="G5" s="40"/>
      <c r="H5" s="41"/>
      <c r="I5" s="45"/>
      <c r="J5" s="45"/>
      <c r="K5" s="45"/>
      <c r="L5" s="45"/>
      <c r="M5" s="45"/>
      <c r="N5" s="41" t="s">
        <v>171</v>
      </c>
      <c r="O5" s="42">
        <f t="shared" si="0"/>
        <v>0</v>
      </c>
      <c r="P5" s="42">
        <f t="shared" si="1"/>
        <v>0</v>
      </c>
      <c r="Q5" s="42">
        <f t="shared" si="2"/>
        <v>0</v>
      </c>
      <c r="R5" s="43">
        <f t="shared" si="3"/>
        <v>1</v>
      </c>
      <c r="S5" s="43">
        <f t="shared" si="4"/>
        <v>1</v>
      </c>
    </row>
    <row r="6" spans="1:19" ht="14.25" customHeight="1">
      <c r="A6" s="38" t="s">
        <v>643</v>
      </c>
      <c r="B6" s="38" t="s">
        <v>642</v>
      </c>
      <c r="C6" s="39" t="s">
        <v>128</v>
      </c>
      <c r="D6" s="40">
        <v>184.24</v>
      </c>
      <c r="E6" s="40">
        <f>1.158*8.3454</f>
        <v>9.6639731999999992</v>
      </c>
      <c r="F6" s="40" t="s">
        <v>150</v>
      </c>
      <c r="G6" s="40"/>
      <c r="H6" s="41"/>
      <c r="I6" s="41"/>
      <c r="J6" s="41"/>
      <c r="K6" s="41"/>
      <c r="L6" s="41"/>
      <c r="M6" s="41"/>
      <c r="N6" s="41" t="s">
        <v>149</v>
      </c>
      <c r="O6" s="42">
        <f t="shared" si="0"/>
        <v>0</v>
      </c>
      <c r="P6" s="42">
        <f t="shared" si="1"/>
        <v>0</v>
      </c>
      <c r="Q6" s="42">
        <f t="shared" si="2"/>
        <v>0</v>
      </c>
      <c r="R6" s="43">
        <f t="shared" si="3"/>
        <v>1</v>
      </c>
      <c r="S6" s="43">
        <f t="shared" si="4"/>
        <v>1</v>
      </c>
    </row>
    <row r="7" spans="1:19" ht="14.25" customHeight="1">
      <c r="A7" s="38" t="s">
        <v>641</v>
      </c>
      <c r="B7" s="38" t="s">
        <v>640</v>
      </c>
      <c r="C7" s="39" t="s">
        <v>128</v>
      </c>
      <c r="D7" s="40">
        <v>72.105720000000005</v>
      </c>
      <c r="E7" s="40">
        <f>0.829*8.3454</f>
        <v>6.9183365999999991</v>
      </c>
      <c r="F7" s="40" t="s">
        <v>117</v>
      </c>
      <c r="G7" s="40"/>
      <c r="H7" s="41"/>
      <c r="I7" s="41">
        <v>7.9807199999999998</v>
      </c>
      <c r="J7" s="41">
        <v>2041.8562999999999</v>
      </c>
      <c r="K7" s="41">
        <v>337.02100000000002</v>
      </c>
      <c r="L7" s="41">
        <v>411.53399999999999</v>
      </c>
      <c r="M7" s="41">
        <v>650.89800000000002</v>
      </c>
      <c r="N7" s="41" t="s">
        <v>142</v>
      </c>
      <c r="O7" s="42">
        <f t="shared" si="0"/>
        <v>7.9807199999999998</v>
      </c>
      <c r="P7" s="42">
        <f t="shared" si="1"/>
        <v>2041.8562999999999</v>
      </c>
      <c r="Q7" s="42">
        <f t="shared" si="2"/>
        <v>337.02100000000002</v>
      </c>
      <c r="R7" s="43">
        <f t="shared" si="3"/>
        <v>1</v>
      </c>
      <c r="S7" s="43">
        <f t="shared" si="4"/>
        <v>1</v>
      </c>
    </row>
    <row r="8" spans="1:19" ht="14.25" customHeight="1">
      <c r="A8" s="38" t="s">
        <v>639</v>
      </c>
      <c r="B8" s="38" t="s">
        <v>638</v>
      </c>
      <c r="C8" s="39" t="s">
        <v>128</v>
      </c>
      <c r="D8" s="40">
        <v>57.09</v>
      </c>
      <c r="E8" s="40">
        <f>1.4125*8.3454</f>
        <v>11.7878775</v>
      </c>
      <c r="F8" s="40" t="s">
        <v>150</v>
      </c>
      <c r="G8" s="40"/>
      <c r="H8" s="41"/>
      <c r="I8" s="45"/>
      <c r="J8" s="45"/>
      <c r="K8" s="45"/>
      <c r="L8" s="45"/>
      <c r="M8" s="45"/>
      <c r="N8" s="41" t="s">
        <v>171</v>
      </c>
      <c r="O8" s="42">
        <f t="shared" si="0"/>
        <v>0</v>
      </c>
      <c r="P8" s="42">
        <f t="shared" si="1"/>
        <v>0</v>
      </c>
      <c r="Q8" s="42">
        <f t="shared" si="2"/>
        <v>0</v>
      </c>
      <c r="R8" s="43">
        <f t="shared" si="3"/>
        <v>1</v>
      </c>
      <c r="S8" s="43">
        <f t="shared" si="4"/>
        <v>1</v>
      </c>
    </row>
    <row r="9" spans="1:19" ht="14.25" customHeight="1">
      <c r="A9" s="38" t="s">
        <v>637</v>
      </c>
      <c r="B9" s="38" t="s">
        <v>636</v>
      </c>
      <c r="C9" s="39" t="s">
        <v>128</v>
      </c>
      <c r="D9" s="40">
        <v>110.97</v>
      </c>
      <c r="E9" s="40">
        <f>1.2*8.3454</f>
        <v>10.014479999999999</v>
      </c>
      <c r="F9" s="40" t="s">
        <v>117</v>
      </c>
      <c r="G9" s="40"/>
      <c r="H9" s="41"/>
      <c r="I9" s="41">
        <v>7.5261199999999997</v>
      </c>
      <c r="J9" s="41">
        <v>1550.2762</v>
      </c>
      <c r="K9" s="41">
        <v>226.179</v>
      </c>
      <c r="L9" s="41">
        <v>512.13599999999997</v>
      </c>
      <c r="M9" s="41">
        <v>726.89400000000001</v>
      </c>
      <c r="N9" s="41" t="s">
        <v>142</v>
      </c>
      <c r="O9" s="42">
        <f t="shared" si="0"/>
        <v>7.5261199999999997</v>
      </c>
      <c r="P9" s="42">
        <f t="shared" si="1"/>
        <v>1550.2762</v>
      </c>
      <c r="Q9" s="42">
        <f t="shared" si="2"/>
        <v>226.179</v>
      </c>
      <c r="R9" s="43">
        <f t="shared" si="3"/>
        <v>1</v>
      </c>
      <c r="S9" s="43">
        <f t="shared" si="4"/>
        <v>1</v>
      </c>
    </row>
    <row r="10" spans="1:19" ht="14.25" customHeight="1">
      <c r="A10" s="38" t="s">
        <v>635</v>
      </c>
      <c r="B10" s="38" t="s">
        <v>634</v>
      </c>
      <c r="C10" s="39" t="s">
        <v>128</v>
      </c>
      <c r="D10" s="40">
        <v>122.14</v>
      </c>
      <c r="E10" s="40">
        <f>1.392*8.3454</f>
        <v>11.616796799999999</v>
      </c>
      <c r="F10" s="40" t="s">
        <v>150</v>
      </c>
      <c r="G10" s="40"/>
      <c r="H10" s="41"/>
      <c r="I10" s="45"/>
      <c r="J10" s="45"/>
      <c r="K10" s="45"/>
      <c r="L10" s="45"/>
      <c r="M10" s="45"/>
      <c r="N10" s="41" t="s">
        <v>587</v>
      </c>
      <c r="O10" s="42">
        <f t="shared" si="0"/>
        <v>0</v>
      </c>
      <c r="P10" s="42">
        <f t="shared" si="1"/>
        <v>0</v>
      </c>
      <c r="Q10" s="42">
        <f t="shared" si="2"/>
        <v>0</v>
      </c>
      <c r="R10" s="43">
        <f t="shared" si="3"/>
        <v>1</v>
      </c>
      <c r="S10" s="43">
        <f t="shared" si="4"/>
        <v>1</v>
      </c>
    </row>
    <row r="11" spans="1:19" ht="14.25" customHeight="1">
      <c r="A11" s="38" t="s">
        <v>633</v>
      </c>
      <c r="B11" s="38" t="s">
        <v>632</v>
      </c>
      <c r="C11" s="39" t="s">
        <v>128</v>
      </c>
      <c r="D11" s="40">
        <v>147.00200000000001</v>
      </c>
      <c r="E11" s="40">
        <f>1.25*8.34</f>
        <v>10.425000000000001</v>
      </c>
      <c r="F11" s="38" t="s">
        <v>117</v>
      </c>
      <c r="G11" s="40"/>
      <c r="H11" s="41"/>
      <c r="I11" s="41">
        <f>4.123 -LOG10(1.01325/760)</f>
        <v>6.9980969798670607</v>
      </c>
      <c r="J11" s="41">
        <v>1575.11</v>
      </c>
      <c r="K11" s="41">
        <f>-64.637+273.15</f>
        <v>208.51299999999998</v>
      </c>
      <c r="L11" s="41">
        <v>614.01599999999996</v>
      </c>
      <c r="M11" s="41">
        <v>804.97799999999995</v>
      </c>
      <c r="N11" s="41" t="s">
        <v>208</v>
      </c>
      <c r="O11" s="42">
        <f t="shared" si="0"/>
        <v>6.9980969798670607</v>
      </c>
      <c r="P11" s="42">
        <f t="shared" si="1"/>
        <v>1575.11</v>
      </c>
      <c r="Q11" s="42">
        <f t="shared" si="2"/>
        <v>208.51299999999998</v>
      </c>
      <c r="R11" s="43">
        <f t="shared" si="3"/>
        <v>1</v>
      </c>
      <c r="S11" s="43">
        <f t="shared" si="4"/>
        <v>1</v>
      </c>
    </row>
    <row r="12" spans="1:19" ht="14.25" customHeight="1">
      <c r="A12" s="38" t="s">
        <v>631</v>
      </c>
      <c r="B12" s="38" t="s">
        <v>630</v>
      </c>
      <c r="C12" s="39" t="s">
        <v>128</v>
      </c>
      <c r="D12" s="40">
        <v>114.23</v>
      </c>
      <c r="E12" s="40">
        <f>0.692*8.3454</f>
        <v>5.7750167999999995</v>
      </c>
      <c r="F12" s="40" t="s">
        <v>117</v>
      </c>
      <c r="G12" s="40"/>
      <c r="H12" s="41"/>
      <c r="I12" s="41">
        <v>6.9902100000000003</v>
      </c>
      <c r="J12" s="41">
        <v>1358.7529</v>
      </c>
      <c r="K12" s="41">
        <v>231.405</v>
      </c>
      <c r="L12" s="41">
        <v>483.42600000000004</v>
      </c>
      <c r="M12" s="41">
        <v>717.35400000000004</v>
      </c>
      <c r="N12" s="41" t="s">
        <v>142</v>
      </c>
      <c r="O12" s="42">
        <f t="shared" si="0"/>
        <v>6.9902100000000003</v>
      </c>
      <c r="P12" s="42">
        <f t="shared" si="1"/>
        <v>1358.7529</v>
      </c>
      <c r="Q12" s="42">
        <f t="shared" si="2"/>
        <v>231.405</v>
      </c>
      <c r="R12" s="43">
        <f t="shared" si="3"/>
        <v>1</v>
      </c>
      <c r="S12" s="43">
        <f t="shared" si="4"/>
        <v>1</v>
      </c>
    </row>
    <row r="13" spans="1:19" ht="14.25" customHeight="1">
      <c r="A13" s="38" t="s">
        <v>629</v>
      </c>
      <c r="B13" s="38" t="s">
        <v>628</v>
      </c>
      <c r="C13" s="39" t="s">
        <v>128</v>
      </c>
      <c r="D13" s="40">
        <v>321.97000000000003</v>
      </c>
      <c r="E13" s="40">
        <f>1.643*8.3454</f>
        <v>13.7114922</v>
      </c>
      <c r="F13" s="40" t="s">
        <v>150</v>
      </c>
      <c r="G13" s="40"/>
      <c r="H13" s="41"/>
      <c r="I13" s="41"/>
      <c r="J13" s="41"/>
      <c r="K13" s="41"/>
      <c r="L13" s="41"/>
      <c r="M13" s="41"/>
      <c r="N13" s="41" t="s">
        <v>149</v>
      </c>
      <c r="O13" s="42">
        <f t="shared" si="0"/>
        <v>0</v>
      </c>
      <c r="P13" s="42">
        <f t="shared" si="1"/>
        <v>0</v>
      </c>
      <c r="Q13" s="42">
        <f t="shared" si="2"/>
        <v>0</v>
      </c>
      <c r="R13" s="43">
        <f t="shared" si="3"/>
        <v>1</v>
      </c>
      <c r="S13" s="43">
        <f t="shared" si="4"/>
        <v>1</v>
      </c>
    </row>
    <row r="14" spans="1:19" ht="14.25" customHeight="1">
      <c r="A14" s="38" t="s">
        <v>627</v>
      </c>
      <c r="B14" s="38" t="s">
        <v>626</v>
      </c>
      <c r="C14" s="39" t="s">
        <v>128</v>
      </c>
      <c r="D14" s="40">
        <v>197.45</v>
      </c>
      <c r="E14" s="40">
        <f>1.678*8.3454</f>
        <v>14.003581199999999</v>
      </c>
      <c r="F14" s="40" t="s">
        <v>117</v>
      </c>
      <c r="G14" s="40"/>
      <c r="H14" s="41"/>
      <c r="I14" s="41">
        <v>6.80185</v>
      </c>
      <c r="J14" s="41">
        <v>2042.1112000000001</v>
      </c>
      <c r="K14" s="41">
        <v>237.476</v>
      </c>
      <c r="L14" s="41">
        <v>621</v>
      </c>
      <c r="M14" s="41">
        <v>1079.6220000000001</v>
      </c>
      <c r="N14" s="41" t="s">
        <v>142</v>
      </c>
      <c r="O14" s="42">
        <f t="shared" si="0"/>
        <v>6.80185</v>
      </c>
      <c r="P14" s="42">
        <f t="shared" si="1"/>
        <v>2042.1112000000001</v>
      </c>
      <c r="Q14" s="42">
        <f t="shared" si="2"/>
        <v>237.476</v>
      </c>
      <c r="R14" s="43">
        <f t="shared" si="3"/>
        <v>1</v>
      </c>
      <c r="S14" s="43">
        <f t="shared" si="4"/>
        <v>1</v>
      </c>
    </row>
    <row r="15" spans="1:19" ht="14.25" customHeight="1">
      <c r="A15" s="38" t="s">
        <v>625</v>
      </c>
      <c r="B15" s="38" t="s">
        <v>624</v>
      </c>
      <c r="C15" s="39" t="s">
        <v>128</v>
      </c>
      <c r="D15" s="40">
        <v>197.45</v>
      </c>
      <c r="E15" s="40">
        <f>1.49*8.3454</f>
        <v>12.434645999999999</v>
      </c>
      <c r="F15" s="40" t="s">
        <v>117</v>
      </c>
      <c r="G15" s="40"/>
      <c r="H15" s="41"/>
      <c r="I15" s="41">
        <v>7.0119199999999999</v>
      </c>
      <c r="J15" s="41">
        <v>2157.0077999999999</v>
      </c>
      <c r="K15" s="41">
        <v>238.804</v>
      </c>
      <c r="L15" s="41">
        <v>620.91</v>
      </c>
      <c r="M15" s="41">
        <v>1075.5360000000001</v>
      </c>
      <c r="N15" s="41" t="s">
        <v>142</v>
      </c>
      <c r="O15" s="42">
        <f t="shared" si="0"/>
        <v>7.0119199999999999</v>
      </c>
      <c r="P15" s="42">
        <f t="shared" si="1"/>
        <v>2157.0077999999999</v>
      </c>
      <c r="Q15" s="42">
        <f t="shared" si="2"/>
        <v>238.804</v>
      </c>
      <c r="R15" s="43">
        <f t="shared" si="3"/>
        <v>1</v>
      </c>
      <c r="S15" s="43">
        <f t="shared" si="4"/>
        <v>1</v>
      </c>
    </row>
    <row r="16" spans="1:19" ht="14.25" customHeight="1">
      <c r="A16" s="38" t="s">
        <v>623</v>
      </c>
      <c r="B16" s="38" t="s">
        <v>622</v>
      </c>
      <c r="C16" s="39" t="s">
        <v>128</v>
      </c>
      <c r="D16" s="40">
        <v>221.04</v>
      </c>
      <c r="E16" s="40">
        <f>1.563*8.3454</f>
        <v>13.043860199999999</v>
      </c>
      <c r="F16" s="40" t="s">
        <v>150</v>
      </c>
      <c r="G16" s="40"/>
      <c r="H16" s="41"/>
      <c r="I16" s="41"/>
      <c r="J16" s="41"/>
      <c r="K16" s="41"/>
      <c r="L16" s="41"/>
      <c r="M16" s="41"/>
      <c r="N16" s="41" t="s">
        <v>621</v>
      </c>
      <c r="O16" s="42">
        <f t="shared" si="0"/>
        <v>0</v>
      </c>
      <c r="P16" s="42">
        <f t="shared" si="1"/>
        <v>0</v>
      </c>
      <c r="Q16" s="42">
        <f t="shared" si="2"/>
        <v>0</v>
      </c>
      <c r="R16" s="43">
        <f t="shared" si="3"/>
        <v>1</v>
      </c>
      <c r="S16" s="43">
        <f t="shared" si="4"/>
        <v>1</v>
      </c>
    </row>
    <row r="17" spans="1:19" ht="14.25" customHeight="1">
      <c r="A17" s="38" t="s">
        <v>620</v>
      </c>
      <c r="B17" s="38" t="s">
        <v>619</v>
      </c>
      <c r="C17" s="39" t="s">
        <v>128</v>
      </c>
      <c r="D17" s="40">
        <v>184.11</v>
      </c>
      <c r="E17" s="40">
        <f>1.683*8.3454</f>
        <v>14.045308199999999</v>
      </c>
      <c r="F17" s="40" t="s">
        <v>150</v>
      </c>
      <c r="G17" s="40"/>
      <c r="H17" s="41"/>
      <c r="I17" s="45"/>
      <c r="J17" s="45"/>
      <c r="K17" s="45"/>
      <c r="L17" s="45"/>
      <c r="M17" s="45"/>
      <c r="N17" s="41" t="s">
        <v>149</v>
      </c>
      <c r="O17" s="42">
        <f t="shared" si="0"/>
        <v>0</v>
      </c>
      <c r="P17" s="42">
        <f t="shared" si="1"/>
        <v>0</v>
      </c>
      <c r="Q17" s="42">
        <f t="shared" si="2"/>
        <v>0</v>
      </c>
      <c r="R17" s="43">
        <f t="shared" si="3"/>
        <v>1</v>
      </c>
      <c r="S17" s="43">
        <f t="shared" si="4"/>
        <v>1</v>
      </c>
    </row>
    <row r="18" spans="1:19" ht="14.25" customHeight="1">
      <c r="A18" s="38" t="s">
        <v>618</v>
      </c>
      <c r="B18" s="38" t="s">
        <v>617</v>
      </c>
      <c r="C18" s="39" t="s">
        <v>128</v>
      </c>
      <c r="D18" s="40">
        <v>182.13</v>
      </c>
      <c r="E18" s="40">
        <f>1.521*8.3454</f>
        <v>12.693353399999999</v>
      </c>
      <c r="F18" s="40" t="s">
        <v>117</v>
      </c>
      <c r="G18" s="40"/>
      <c r="H18" s="41"/>
      <c r="I18" s="41">
        <v>8.6192200000000003</v>
      </c>
      <c r="J18" s="41">
        <v>3718.3472000000002</v>
      </c>
      <c r="K18" s="41">
        <v>326.53100000000001</v>
      </c>
      <c r="L18" s="41">
        <v>782.35200000000009</v>
      </c>
      <c r="M18" s="41">
        <v>1134.846</v>
      </c>
      <c r="N18" s="41" t="s">
        <v>142</v>
      </c>
      <c r="O18" s="42">
        <f t="shared" si="0"/>
        <v>8.6192200000000003</v>
      </c>
      <c r="P18" s="42">
        <f t="shared" si="1"/>
        <v>3718.3472000000002</v>
      </c>
      <c r="Q18" s="42">
        <f t="shared" si="2"/>
        <v>326.53100000000001</v>
      </c>
      <c r="R18" s="43">
        <f t="shared" si="3"/>
        <v>1</v>
      </c>
      <c r="S18" s="43">
        <f t="shared" si="4"/>
        <v>1</v>
      </c>
    </row>
    <row r="19" spans="1:19" ht="14.25" customHeight="1">
      <c r="A19" s="63" t="s">
        <v>616</v>
      </c>
      <c r="B19" s="38" t="s">
        <v>615</v>
      </c>
      <c r="C19" s="39" t="s">
        <v>128</v>
      </c>
      <c r="D19" s="40">
        <v>122.17</v>
      </c>
      <c r="E19" s="40">
        <f>1.26*8.3454</f>
        <v>10.515203999999999</v>
      </c>
      <c r="F19" s="40" t="s">
        <v>117</v>
      </c>
      <c r="G19" s="40"/>
      <c r="H19" s="41"/>
      <c r="I19" s="41">
        <f>5.79003 -LOG10(1.01325/760)</f>
        <v>8.6651269798670612</v>
      </c>
      <c r="J19" s="41">
        <v>3021.79</v>
      </c>
      <c r="K19" s="41">
        <f>-30.879+273.15</f>
        <v>242.27099999999999</v>
      </c>
      <c r="L19" s="41">
        <v>683.46</v>
      </c>
      <c r="M19" s="41">
        <v>995.4</v>
      </c>
      <c r="N19" s="41" t="s">
        <v>208</v>
      </c>
      <c r="O19" s="42">
        <f t="shared" si="0"/>
        <v>8.6651269798670612</v>
      </c>
      <c r="P19" s="42">
        <f t="shared" si="1"/>
        <v>3021.79</v>
      </c>
      <c r="Q19" s="42">
        <f t="shared" si="2"/>
        <v>242.27099999999999</v>
      </c>
      <c r="R19" s="43">
        <f t="shared" si="3"/>
        <v>1</v>
      </c>
      <c r="S19" s="43">
        <f t="shared" si="4"/>
        <v>1</v>
      </c>
    </row>
    <row r="20" spans="1:19" ht="14.25" customHeight="1">
      <c r="A20" s="38" t="s">
        <v>614</v>
      </c>
      <c r="B20" s="38" t="s">
        <v>613</v>
      </c>
      <c r="C20" s="39" t="s">
        <v>128</v>
      </c>
      <c r="D20" s="40">
        <v>174.16</v>
      </c>
      <c r="E20" s="40">
        <f>1.225*8.3454</f>
        <v>10.223115</v>
      </c>
      <c r="F20" s="40" t="s">
        <v>150</v>
      </c>
      <c r="G20" s="40"/>
      <c r="H20" s="41"/>
      <c r="I20" s="41"/>
      <c r="J20" s="41"/>
      <c r="K20" s="41"/>
      <c r="L20" s="41"/>
      <c r="M20" s="41"/>
      <c r="N20" s="41" t="s">
        <v>244</v>
      </c>
      <c r="O20" s="42">
        <f t="shared" si="0"/>
        <v>0</v>
      </c>
      <c r="P20" s="42">
        <f t="shared" si="1"/>
        <v>0</v>
      </c>
      <c r="Q20" s="42">
        <f t="shared" si="2"/>
        <v>0</v>
      </c>
      <c r="R20" s="43">
        <f t="shared" si="3"/>
        <v>1</v>
      </c>
      <c r="S20" s="43">
        <f t="shared" si="4"/>
        <v>1</v>
      </c>
    </row>
    <row r="21" spans="1:19" ht="14.25" customHeight="1">
      <c r="A21" s="38" t="s">
        <v>612</v>
      </c>
      <c r="B21" s="38" t="s">
        <v>611</v>
      </c>
      <c r="C21" s="39" t="s">
        <v>128</v>
      </c>
      <c r="D21" s="40">
        <v>223.27</v>
      </c>
      <c r="E21" s="40">
        <f>1.0707*8.3454</f>
        <v>8.9354197800000001</v>
      </c>
      <c r="F21" s="40" t="s">
        <v>150</v>
      </c>
      <c r="G21" s="40"/>
      <c r="H21" s="41"/>
      <c r="I21" s="41"/>
      <c r="J21" s="41"/>
      <c r="K21" s="41"/>
      <c r="L21" s="41"/>
      <c r="M21" s="41"/>
      <c r="N21" s="41" t="s">
        <v>149</v>
      </c>
      <c r="O21" s="42">
        <f t="shared" si="0"/>
        <v>0</v>
      </c>
      <c r="P21" s="42">
        <f t="shared" si="1"/>
        <v>0</v>
      </c>
      <c r="Q21" s="42">
        <f t="shared" si="2"/>
        <v>0</v>
      </c>
      <c r="R21" s="43">
        <f t="shared" si="3"/>
        <v>1</v>
      </c>
      <c r="S21" s="43">
        <f t="shared" si="4"/>
        <v>1</v>
      </c>
    </row>
    <row r="22" spans="1:19" ht="14.25" customHeight="1">
      <c r="A22" s="38" t="s">
        <v>610</v>
      </c>
      <c r="B22" s="46" t="s">
        <v>609</v>
      </c>
      <c r="C22" s="39" t="s">
        <v>159</v>
      </c>
      <c r="D22" s="40">
        <v>347.22</v>
      </c>
      <c r="E22" s="40">
        <v>7.7895600000000007</v>
      </c>
      <c r="F22" s="38" t="s">
        <v>150</v>
      </c>
      <c r="G22" s="40"/>
      <c r="H22" s="41"/>
      <c r="I22" s="41"/>
      <c r="J22" s="47"/>
      <c r="K22" s="47"/>
      <c r="L22" s="41"/>
      <c r="M22" s="41"/>
      <c r="N22" s="48" t="s">
        <v>608</v>
      </c>
      <c r="O22" s="42">
        <f t="shared" si="0"/>
        <v>0</v>
      </c>
      <c r="P22" s="42">
        <f t="shared" si="1"/>
        <v>0</v>
      </c>
      <c r="Q22" s="42">
        <f t="shared" si="2"/>
        <v>0</v>
      </c>
      <c r="R22" s="43">
        <f t="shared" si="3"/>
        <v>1</v>
      </c>
      <c r="S22" s="43">
        <f t="shared" si="4"/>
        <v>1</v>
      </c>
    </row>
    <row r="23" spans="1:19" ht="14.25" customHeight="1">
      <c r="A23" s="38" t="s">
        <v>607</v>
      </c>
      <c r="B23" s="38" t="s">
        <v>606</v>
      </c>
      <c r="C23" s="39" t="s">
        <v>128</v>
      </c>
      <c r="D23" s="40">
        <v>154.59</v>
      </c>
      <c r="E23" s="40">
        <f>1.324*8.3454</f>
        <v>11.049309600000001</v>
      </c>
      <c r="F23" s="40" t="s">
        <v>150</v>
      </c>
      <c r="G23" s="40"/>
      <c r="H23" s="41"/>
      <c r="I23" s="45"/>
      <c r="J23" s="45"/>
      <c r="K23" s="45"/>
      <c r="L23" s="45"/>
      <c r="M23" s="45"/>
      <c r="N23" s="41" t="s">
        <v>137</v>
      </c>
      <c r="O23" s="42">
        <f t="shared" si="0"/>
        <v>0</v>
      </c>
      <c r="P23" s="42">
        <f t="shared" si="1"/>
        <v>0</v>
      </c>
      <c r="Q23" s="42">
        <f t="shared" si="2"/>
        <v>0</v>
      </c>
      <c r="R23" s="43">
        <f t="shared" si="3"/>
        <v>1</v>
      </c>
      <c r="S23" s="43">
        <f t="shared" si="4"/>
        <v>1</v>
      </c>
    </row>
    <row r="24" spans="1:19" ht="14.25" customHeight="1">
      <c r="A24" s="44" t="s">
        <v>605</v>
      </c>
      <c r="B24" s="38" t="s">
        <v>604</v>
      </c>
      <c r="C24" s="39" t="s">
        <v>128</v>
      </c>
      <c r="D24" s="40">
        <v>89.09</v>
      </c>
      <c r="E24" s="40">
        <f>0.992*8.3454</f>
        <v>8.2786367999999992</v>
      </c>
      <c r="F24" s="40" t="s">
        <v>117</v>
      </c>
      <c r="G24" s="40"/>
      <c r="H24" s="41"/>
      <c r="I24" s="41">
        <v>7.4872100000000001</v>
      </c>
      <c r="J24" s="41">
        <v>1670.1398999999999</v>
      </c>
      <c r="K24" s="41">
        <v>242.22</v>
      </c>
      <c r="L24" s="41">
        <v>519.08400000000006</v>
      </c>
      <c r="M24" s="41">
        <v>753.93000000000006</v>
      </c>
      <c r="N24" s="41" t="s">
        <v>142</v>
      </c>
      <c r="O24" s="42">
        <f t="shared" si="0"/>
        <v>7.4872100000000001</v>
      </c>
      <c r="P24" s="42">
        <f t="shared" si="1"/>
        <v>1670.1398999999999</v>
      </c>
      <c r="Q24" s="42">
        <f t="shared" si="2"/>
        <v>242.22</v>
      </c>
      <c r="R24" s="43">
        <f t="shared" si="3"/>
        <v>1</v>
      </c>
      <c r="S24" s="43">
        <f t="shared" si="4"/>
        <v>1</v>
      </c>
    </row>
    <row r="25" spans="1:19" ht="14.25" customHeight="1">
      <c r="A25" s="38" t="s">
        <v>603</v>
      </c>
      <c r="B25" s="38" t="s">
        <v>602</v>
      </c>
      <c r="C25" s="39" t="s">
        <v>128</v>
      </c>
      <c r="D25" s="40">
        <v>253.13</v>
      </c>
      <c r="E25" s="40">
        <f>1.3171*8.3454</f>
        <v>10.99172634</v>
      </c>
      <c r="F25" s="40" t="s">
        <v>150</v>
      </c>
      <c r="G25" s="40"/>
      <c r="H25" s="41"/>
      <c r="I25" s="41"/>
      <c r="J25" s="41"/>
      <c r="K25" s="41"/>
      <c r="L25" s="41"/>
      <c r="M25" s="41"/>
      <c r="N25" s="41" t="s">
        <v>244</v>
      </c>
      <c r="O25" s="42">
        <f t="shared" si="0"/>
        <v>0</v>
      </c>
      <c r="P25" s="42">
        <f t="shared" si="1"/>
        <v>0</v>
      </c>
      <c r="Q25" s="42">
        <f t="shared" si="2"/>
        <v>0</v>
      </c>
      <c r="R25" s="43">
        <f t="shared" si="3"/>
        <v>1</v>
      </c>
      <c r="S25" s="43">
        <f t="shared" si="4"/>
        <v>1</v>
      </c>
    </row>
    <row r="26" spans="1:19" ht="14.25" customHeight="1">
      <c r="A26" s="38" t="s">
        <v>601</v>
      </c>
      <c r="B26" s="38" t="s">
        <v>600</v>
      </c>
      <c r="C26" s="39" t="s">
        <v>128</v>
      </c>
      <c r="D26" s="40">
        <v>244.29</v>
      </c>
      <c r="E26" s="40">
        <f>1.1079*8.3454</f>
        <v>9.2458686600000011</v>
      </c>
      <c r="F26" s="40" t="s">
        <v>150</v>
      </c>
      <c r="G26" s="40"/>
      <c r="H26" s="41"/>
      <c r="I26" s="41"/>
      <c r="J26" s="41"/>
      <c r="K26" s="41"/>
      <c r="L26" s="41"/>
      <c r="M26" s="41"/>
      <c r="N26" s="41" t="s">
        <v>244</v>
      </c>
      <c r="O26" s="42">
        <f t="shared" si="0"/>
        <v>0</v>
      </c>
      <c r="P26" s="42">
        <f t="shared" si="1"/>
        <v>0</v>
      </c>
      <c r="Q26" s="42">
        <f t="shared" si="2"/>
        <v>0</v>
      </c>
      <c r="R26" s="43">
        <f t="shared" si="3"/>
        <v>1</v>
      </c>
      <c r="S26" s="43">
        <f t="shared" si="4"/>
        <v>1</v>
      </c>
    </row>
    <row r="27" spans="1:19" ht="14.25" customHeight="1">
      <c r="A27" s="38" t="s">
        <v>599</v>
      </c>
      <c r="B27" s="38" t="s">
        <v>598</v>
      </c>
      <c r="C27" s="39" t="s">
        <v>128</v>
      </c>
      <c r="D27" s="40">
        <v>212.29</v>
      </c>
      <c r="E27" s="40">
        <f>0.9678*8.3454</f>
        <v>8.0766781200000004</v>
      </c>
      <c r="F27" s="40" t="s">
        <v>150</v>
      </c>
      <c r="G27" s="40"/>
      <c r="H27" s="41"/>
      <c r="I27" s="41"/>
      <c r="J27" s="41"/>
      <c r="K27" s="41"/>
      <c r="L27" s="41"/>
      <c r="M27" s="41"/>
      <c r="N27" s="41" t="s">
        <v>244</v>
      </c>
      <c r="O27" s="42">
        <f t="shared" si="0"/>
        <v>0</v>
      </c>
      <c r="P27" s="42">
        <f t="shared" si="1"/>
        <v>0</v>
      </c>
      <c r="Q27" s="42">
        <f t="shared" si="2"/>
        <v>0</v>
      </c>
      <c r="R27" s="43">
        <f t="shared" si="3"/>
        <v>1</v>
      </c>
      <c r="S27" s="43">
        <f t="shared" si="4"/>
        <v>1</v>
      </c>
    </row>
    <row r="28" spans="1:19" ht="14.25" customHeight="1">
      <c r="A28" s="38" t="s">
        <v>597</v>
      </c>
      <c r="B28" s="38" t="s">
        <v>596</v>
      </c>
      <c r="C28" s="39" t="s">
        <v>128</v>
      </c>
      <c r="D28" s="40">
        <v>267.14999999999998</v>
      </c>
      <c r="E28" s="40">
        <f>1.44*8.3454</f>
        <v>12.017375999999999</v>
      </c>
      <c r="F28" s="40" t="s">
        <v>150</v>
      </c>
      <c r="G28" s="40"/>
      <c r="H28" s="41"/>
      <c r="I28" s="41"/>
      <c r="J28" s="41"/>
      <c r="K28" s="41"/>
      <c r="L28" s="41"/>
      <c r="M28" s="41"/>
      <c r="N28" s="41" t="s">
        <v>137</v>
      </c>
      <c r="O28" s="42">
        <f t="shared" si="0"/>
        <v>0</v>
      </c>
      <c r="P28" s="42">
        <f t="shared" si="1"/>
        <v>0</v>
      </c>
      <c r="Q28" s="42">
        <f t="shared" si="2"/>
        <v>0</v>
      </c>
      <c r="R28" s="43">
        <f t="shared" si="3"/>
        <v>1</v>
      </c>
      <c r="S28" s="43">
        <f t="shared" si="4"/>
        <v>1</v>
      </c>
    </row>
    <row r="29" spans="1:19" ht="14.25" customHeight="1">
      <c r="A29" s="38" t="s">
        <v>595</v>
      </c>
      <c r="B29" s="38" t="s">
        <v>594</v>
      </c>
      <c r="C29" s="39" t="s">
        <v>128</v>
      </c>
      <c r="D29" s="40">
        <v>198.26</v>
      </c>
      <c r="E29" s="40">
        <f>1.15*8.3454</f>
        <v>9.5972099999999987</v>
      </c>
      <c r="F29" s="40" t="s">
        <v>150</v>
      </c>
      <c r="G29" s="40"/>
      <c r="H29" s="41"/>
      <c r="I29" s="41"/>
      <c r="J29" s="41"/>
      <c r="K29" s="41"/>
      <c r="L29" s="41"/>
      <c r="M29" s="41"/>
      <c r="N29" s="41" t="s">
        <v>137</v>
      </c>
      <c r="O29" s="42">
        <f t="shared" si="0"/>
        <v>0</v>
      </c>
      <c r="P29" s="42">
        <f t="shared" si="1"/>
        <v>0</v>
      </c>
      <c r="Q29" s="42">
        <f t="shared" si="2"/>
        <v>0</v>
      </c>
      <c r="R29" s="43">
        <f t="shared" si="3"/>
        <v>1</v>
      </c>
      <c r="S29" s="43">
        <f t="shared" si="4"/>
        <v>1</v>
      </c>
    </row>
    <row r="30" spans="1:19" ht="14.25" customHeight="1">
      <c r="A30" s="38" t="s">
        <v>593</v>
      </c>
      <c r="B30" s="38" t="s">
        <v>592</v>
      </c>
      <c r="C30" s="39" t="s">
        <v>128</v>
      </c>
      <c r="D30" s="40">
        <v>198.13</v>
      </c>
      <c r="E30" s="40">
        <f>1.5928*8.3454</f>
        <v>13.292553119999999</v>
      </c>
      <c r="F30" s="40" t="s">
        <v>150</v>
      </c>
      <c r="G30" s="40"/>
      <c r="H30" s="41"/>
      <c r="I30" s="41"/>
      <c r="J30" s="41"/>
      <c r="K30" s="41"/>
      <c r="L30" s="41"/>
      <c r="M30" s="41"/>
      <c r="N30" s="41" t="s">
        <v>137</v>
      </c>
      <c r="O30" s="42">
        <f t="shared" si="0"/>
        <v>0</v>
      </c>
      <c r="P30" s="42">
        <f t="shared" si="1"/>
        <v>0</v>
      </c>
      <c r="Q30" s="42">
        <f t="shared" si="2"/>
        <v>0</v>
      </c>
      <c r="R30" s="43">
        <f t="shared" si="3"/>
        <v>1</v>
      </c>
      <c r="S30" s="43">
        <f t="shared" si="4"/>
        <v>1</v>
      </c>
    </row>
    <row r="31" spans="1:19" ht="14.25" customHeight="1">
      <c r="A31" s="38" t="s">
        <v>591</v>
      </c>
      <c r="B31" s="38" t="s">
        <v>590</v>
      </c>
      <c r="C31" s="39" t="s">
        <v>128</v>
      </c>
      <c r="D31" s="40">
        <v>169.22</v>
      </c>
      <c r="E31" s="40">
        <f>1.16*8.3454</f>
        <v>9.6806639999999984</v>
      </c>
      <c r="F31" s="40" t="s">
        <v>150</v>
      </c>
      <c r="G31" s="40"/>
      <c r="H31" s="41"/>
      <c r="I31" s="45"/>
      <c r="J31" s="45"/>
      <c r="K31" s="45"/>
      <c r="L31" s="45"/>
      <c r="M31" s="45"/>
      <c r="N31" s="41" t="s">
        <v>149</v>
      </c>
      <c r="O31" s="42">
        <f t="shared" si="0"/>
        <v>0</v>
      </c>
      <c r="P31" s="42">
        <f t="shared" si="1"/>
        <v>0</v>
      </c>
      <c r="Q31" s="42">
        <f t="shared" si="2"/>
        <v>0</v>
      </c>
      <c r="R31" s="43">
        <f t="shared" si="3"/>
        <v>1</v>
      </c>
      <c r="S31" s="43">
        <f t="shared" si="4"/>
        <v>1</v>
      </c>
    </row>
    <row r="32" spans="1:19" ht="14.25" customHeight="1">
      <c r="A32" s="38" t="s">
        <v>589</v>
      </c>
      <c r="B32" s="38" t="s">
        <v>588</v>
      </c>
      <c r="C32" s="39" t="s">
        <v>128</v>
      </c>
      <c r="D32" s="40">
        <v>199.21</v>
      </c>
      <c r="E32" s="40">
        <f>1.1919*8.3454</f>
        <v>9.9468822599999989</v>
      </c>
      <c r="F32" s="40" t="s">
        <v>150</v>
      </c>
      <c r="G32" s="40"/>
      <c r="H32" s="41"/>
      <c r="I32" s="45"/>
      <c r="J32" s="45"/>
      <c r="K32" s="45"/>
      <c r="L32" s="45"/>
      <c r="M32" s="45"/>
      <c r="N32" s="41" t="s">
        <v>587</v>
      </c>
      <c r="O32" s="42">
        <f t="shared" si="0"/>
        <v>0</v>
      </c>
      <c r="P32" s="42">
        <f t="shared" si="1"/>
        <v>0</v>
      </c>
      <c r="Q32" s="42">
        <f t="shared" si="2"/>
        <v>0</v>
      </c>
      <c r="R32" s="43">
        <f t="shared" si="3"/>
        <v>1</v>
      </c>
      <c r="S32" s="43">
        <f t="shared" si="4"/>
        <v>1</v>
      </c>
    </row>
    <row r="33" spans="1:19" ht="14.25" customHeight="1">
      <c r="A33" s="38" t="s">
        <v>586</v>
      </c>
      <c r="B33" s="38" t="s">
        <v>585</v>
      </c>
      <c r="C33" s="39" t="s">
        <v>128</v>
      </c>
      <c r="D33" s="40">
        <v>139.11000000000001</v>
      </c>
      <c r="E33" s="40">
        <f>1.27*8.3454</f>
        <v>10.598658</v>
      </c>
      <c r="F33" s="40" t="s">
        <v>150</v>
      </c>
      <c r="G33" s="40"/>
      <c r="H33" s="41"/>
      <c r="I33" s="41"/>
      <c r="J33" s="41"/>
      <c r="K33" s="41"/>
      <c r="L33" s="41"/>
      <c r="M33" s="41"/>
      <c r="N33" s="41" t="s">
        <v>137</v>
      </c>
      <c r="O33" s="42">
        <f t="shared" si="0"/>
        <v>0</v>
      </c>
      <c r="P33" s="42">
        <f t="shared" si="1"/>
        <v>0</v>
      </c>
      <c r="Q33" s="42">
        <f t="shared" si="2"/>
        <v>0</v>
      </c>
      <c r="R33" s="43">
        <f t="shared" si="3"/>
        <v>1</v>
      </c>
      <c r="S33" s="43">
        <f t="shared" si="4"/>
        <v>1</v>
      </c>
    </row>
    <row r="34" spans="1:19" ht="14.25" customHeight="1">
      <c r="A34" s="38" t="s">
        <v>584</v>
      </c>
      <c r="B34" s="38" t="s">
        <v>583</v>
      </c>
      <c r="C34" s="39" t="s">
        <v>128</v>
      </c>
      <c r="D34" s="40">
        <v>44.05256</v>
      </c>
      <c r="E34" s="40">
        <v>6.5427970000000002</v>
      </c>
      <c r="F34" s="38" t="s">
        <v>117</v>
      </c>
      <c r="G34" s="40"/>
      <c r="H34" s="41"/>
      <c r="I34" s="41">
        <v>8.0050000000000008</v>
      </c>
      <c r="J34" s="41">
        <v>1600.0170000000001</v>
      </c>
      <c r="K34" s="41">
        <v>291.80900000000003</v>
      </c>
      <c r="L34" s="41">
        <v>491.67</v>
      </c>
      <c r="M34" s="41">
        <v>553.67000000000007</v>
      </c>
      <c r="N34" s="41" t="s">
        <v>127</v>
      </c>
      <c r="O34" s="42">
        <f t="shared" si="0"/>
        <v>8.0050000000000008</v>
      </c>
      <c r="P34" s="42">
        <f t="shared" si="1"/>
        <v>1600.0170000000001</v>
      </c>
      <c r="Q34" s="42">
        <f t="shared" si="2"/>
        <v>291.80900000000003</v>
      </c>
      <c r="R34" s="43">
        <f t="shared" si="3"/>
        <v>1</v>
      </c>
      <c r="S34" s="43">
        <f t="shared" si="4"/>
        <v>1</v>
      </c>
    </row>
    <row r="35" spans="1:19" ht="14.25" customHeight="1">
      <c r="A35" s="38" t="s">
        <v>582</v>
      </c>
      <c r="B35" s="38" t="s">
        <v>581</v>
      </c>
      <c r="C35" s="39" t="s">
        <v>128</v>
      </c>
      <c r="D35" s="40">
        <v>59.07</v>
      </c>
      <c r="E35" s="40">
        <f>1.159*8.3454</f>
        <v>9.6723186000000005</v>
      </c>
      <c r="F35" s="40" t="s">
        <v>117</v>
      </c>
      <c r="G35" s="40"/>
      <c r="H35" s="41"/>
      <c r="I35" s="41">
        <v>7.4060600000000001</v>
      </c>
      <c r="J35" s="41">
        <v>1807.15</v>
      </c>
      <c r="K35" s="41">
        <v>178.09800000000001</v>
      </c>
      <c r="L35" s="41">
        <v>637.47</v>
      </c>
      <c r="M35" s="41">
        <v>941.14799999999991</v>
      </c>
      <c r="N35" s="41" t="s">
        <v>142</v>
      </c>
      <c r="O35" s="42">
        <f t="shared" si="0"/>
        <v>7.4060600000000001</v>
      </c>
      <c r="P35" s="42">
        <f t="shared" si="1"/>
        <v>1807.15</v>
      </c>
      <c r="Q35" s="42">
        <f t="shared" si="2"/>
        <v>178.09800000000001</v>
      </c>
      <c r="R35" s="43">
        <f t="shared" si="3"/>
        <v>1</v>
      </c>
      <c r="S35" s="43">
        <f t="shared" si="4"/>
        <v>1</v>
      </c>
    </row>
    <row r="36" spans="1:19" ht="14.25" customHeight="1">
      <c r="A36" s="38" t="s">
        <v>580</v>
      </c>
      <c r="B36" s="38" t="s">
        <v>579</v>
      </c>
      <c r="C36" s="39" t="s">
        <v>155</v>
      </c>
      <c r="D36" s="40">
        <v>60.051960000000001</v>
      </c>
      <c r="E36" s="40">
        <v>8.7543290000000002</v>
      </c>
      <c r="F36" s="38" t="s">
        <v>117</v>
      </c>
      <c r="G36" s="40"/>
      <c r="H36" s="41"/>
      <c r="I36" s="41">
        <v>7.3869999999999996</v>
      </c>
      <c r="J36" s="41">
        <v>1533.3130000000001</v>
      </c>
      <c r="K36" s="41">
        <v>222.309</v>
      </c>
      <c r="L36" s="41">
        <v>522.67000000000007</v>
      </c>
      <c r="M36" s="41">
        <v>703.67000000000007</v>
      </c>
      <c r="N36" s="41" t="s">
        <v>127</v>
      </c>
      <c r="O36" s="42">
        <f t="shared" si="0"/>
        <v>7.3869999999999996</v>
      </c>
      <c r="P36" s="42">
        <f t="shared" si="1"/>
        <v>1533.3130000000001</v>
      </c>
      <c r="Q36" s="42">
        <f t="shared" si="2"/>
        <v>222.309</v>
      </c>
      <c r="R36" s="43">
        <f t="shared" si="3"/>
        <v>1</v>
      </c>
      <c r="S36" s="43">
        <f t="shared" si="4"/>
        <v>1</v>
      </c>
    </row>
    <row r="37" spans="1:19" ht="14.25" customHeight="1">
      <c r="A37" s="38" t="s">
        <v>578</v>
      </c>
      <c r="B37" s="38" t="s">
        <v>577</v>
      </c>
      <c r="C37" s="39" t="s">
        <v>155</v>
      </c>
      <c r="D37" s="40">
        <v>102.09</v>
      </c>
      <c r="E37" s="40">
        <v>9.0130370000000006</v>
      </c>
      <c r="F37" s="38" t="s">
        <v>117</v>
      </c>
      <c r="G37" s="40"/>
      <c r="H37" s="41"/>
      <c r="I37" s="41">
        <v>7.149</v>
      </c>
      <c r="J37" s="41">
        <v>1444.7180000000001</v>
      </c>
      <c r="K37" s="41">
        <v>199.81700000000001</v>
      </c>
      <c r="L37" s="41">
        <v>604.67000000000007</v>
      </c>
      <c r="M37" s="41">
        <v>742.67000000000007</v>
      </c>
      <c r="N37" s="41" t="s">
        <v>127</v>
      </c>
      <c r="O37" s="42">
        <f t="shared" si="0"/>
        <v>7.149</v>
      </c>
      <c r="P37" s="42">
        <f t="shared" si="1"/>
        <v>1444.7180000000001</v>
      </c>
      <c r="Q37" s="42">
        <f t="shared" si="2"/>
        <v>199.81700000000001</v>
      </c>
      <c r="R37" s="43">
        <f t="shared" si="3"/>
        <v>1</v>
      </c>
      <c r="S37" s="43">
        <f t="shared" si="4"/>
        <v>1</v>
      </c>
    </row>
    <row r="38" spans="1:19" ht="14.25" customHeight="1">
      <c r="A38" s="38" t="s">
        <v>576</v>
      </c>
      <c r="B38" s="38" t="s">
        <v>575</v>
      </c>
      <c r="C38" s="39" t="s">
        <v>159</v>
      </c>
      <c r="D38" s="40">
        <v>58.08</v>
      </c>
      <c r="E38" s="40">
        <v>6.6280000000000001</v>
      </c>
      <c r="F38" s="38" t="s">
        <v>117</v>
      </c>
      <c r="G38" s="40"/>
      <c r="H38" s="41"/>
      <c r="I38" s="41">
        <v>7.117</v>
      </c>
      <c r="J38" s="41">
        <v>1210.595</v>
      </c>
      <c r="K38" s="41">
        <v>229.66399999999999</v>
      </c>
      <c r="L38" s="41">
        <v>466.67</v>
      </c>
      <c r="M38" s="41">
        <v>913.67000000000007</v>
      </c>
      <c r="N38" s="41" t="s">
        <v>127</v>
      </c>
      <c r="O38" s="42">
        <f t="shared" si="0"/>
        <v>7.117</v>
      </c>
      <c r="P38" s="42">
        <f t="shared" si="1"/>
        <v>1210.595</v>
      </c>
      <c r="Q38" s="42">
        <f t="shared" si="2"/>
        <v>229.66399999999999</v>
      </c>
      <c r="R38" s="43">
        <f t="shared" si="3"/>
        <v>1</v>
      </c>
      <c r="S38" s="43">
        <f t="shared" si="4"/>
        <v>1</v>
      </c>
    </row>
    <row r="39" spans="1:19" ht="14.25" customHeight="1">
      <c r="A39" s="38" t="s">
        <v>574</v>
      </c>
      <c r="B39" s="38" t="s">
        <v>573</v>
      </c>
      <c r="C39" s="39" t="s">
        <v>128</v>
      </c>
      <c r="D39" s="40">
        <v>41.05</v>
      </c>
      <c r="E39" s="40">
        <v>6.5579999999999998</v>
      </c>
      <c r="F39" s="38" t="s">
        <v>117</v>
      </c>
      <c r="G39" s="40"/>
      <c r="H39" s="41"/>
      <c r="I39" s="41">
        <v>7.1189999999999998</v>
      </c>
      <c r="J39" s="41">
        <v>1314.4</v>
      </c>
      <c r="K39" s="41">
        <v>230</v>
      </c>
      <c r="L39" s="41">
        <v>518.67000000000007</v>
      </c>
      <c r="M39" s="41">
        <v>651.67000000000007</v>
      </c>
      <c r="N39" s="41" t="s">
        <v>127</v>
      </c>
      <c r="O39" s="42">
        <f t="shared" si="0"/>
        <v>7.1189999999999998</v>
      </c>
      <c r="P39" s="42">
        <f t="shared" si="1"/>
        <v>1314.4</v>
      </c>
      <c r="Q39" s="42">
        <f t="shared" si="2"/>
        <v>230</v>
      </c>
      <c r="R39" s="43">
        <f t="shared" si="3"/>
        <v>1</v>
      </c>
      <c r="S39" s="43">
        <f t="shared" si="4"/>
        <v>1</v>
      </c>
    </row>
    <row r="40" spans="1:19" ht="14.25" customHeight="1">
      <c r="A40" s="38" t="s">
        <v>572</v>
      </c>
      <c r="B40" s="38" t="s">
        <v>571</v>
      </c>
      <c r="C40" s="39" t="s">
        <v>128</v>
      </c>
      <c r="D40" s="40">
        <v>120.148</v>
      </c>
      <c r="E40" s="40">
        <v>9.0305520000000001</v>
      </c>
      <c r="F40" s="40" t="s">
        <v>117</v>
      </c>
      <c r="G40" s="40"/>
      <c r="H40" s="41"/>
      <c r="I40" s="41">
        <v>7.3987800000000004</v>
      </c>
      <c r="J40" s="41">
        <v>1901.1925000000001</v>
      </c>
      <c r="K40" s="41">
        <v>218.697</v>
      </c>
      <c r="L40" s="41">
        <v>632.82600000000002</v>
      </c>
      <c r="M40" s="41">
        <v>909.54</v>
      </c>
      <c r="N40" s="41" t="s">
        <v>142</v>
      </c>
      <c r="O40" s="42">
        <f t="shared" si="0"/>
        <v>7.3987800000000004</v>
      </c>
      <c r="P40" s="42">
        <f t="shared" si="1"/>
        <v>1901.1925000000001</v>
      </c>
      <c r="Q40" s="42">
        <f t="shared" si="2"/>
        <v>218.697</v>
      </c>
      <c r="R40" s="43">
        <f t="shared" si="3"/>
        <v>1</v>
      </c>
      <c r="S40" s="43">
        <f t="shared" si="4"/>
        <v>1</v>
      </c>
    </row>
    <row r="41" spans="1:19" ht="14.25" customHeight="1">
      <c r="A41" s="38" t="s">
        <v>570</v>
      </c>
      <c r="B41" s="38" t="s">
        <v>569</v>
      </c>
      <c r="C41" s="39" t="s">
        <v>128</v>
      </c>
      <c r="D41" s="40">
        <v>56.06</v>
      </c>
      <c r="E41" s="40">
        <f>0.839*8.3454</f>
        <v>7.0017905999999996</v>
      </c>
      <c r="F41" s="40" t="s">
        <v>117</v>
      </c>
      <c r="G41" s="40"/>
      <c r="H41" s="41"/>
      <c r="I41" s="41">
        <v>7.1773499999999997</v>
      </c>
      <c r="J41" s="41">
        <v>1300.7837</v>
      </c>
      <c r="K41" s="41">
        <v>245.90199999999999</v>
      </c>
      <c r="L41" s="41">
        <v>428.07600000000002</v>
      </c>
      <c r="M41" s="41">
        <v>635.05799999999999</v>
      </c>
      <c r="N41" s="41" t="s">
        <v>142</v>
      </c>
      <c r="O41" s="42">
        <f t="shared" si="0"/>
        <v>7.1773499999999997</v>
      </c>
      <c r="P41" s="42">
        <f t="shared" si="1"/>
        <v>1300.7837</v>
      </c>
      <c r="Q41" s="42">
        <f t="shared" si="2"/>
        <v>245.90199999999999</v>
      </c>
      <c r="R41" s="43">
        <f t="shared" si="3"/>
        <v>1</v>
      </c>
      <c r="S41" s="43">
        <f t="shared" si="4"/>
        <v>1</v>
      </c>
    </row>
    <row r="42" spans="1:19" ht="14.25" customHeight="1">
      <c r="A42" s="38" t="s">
        <v>568</v>
      </c>
      <c r="B42" s="38" t="s">
        <v>567</v>
      </c>
      <c r="C42" s="39" t="s">
        <v>128</v>
      </c>
      <c r="D42" s="40">
        <v>71.08</v>
      </c>
      <c r="E42" s="40">
        <v>9.4303070000000009</v>
      </c>
      <c r="F42" s="38" t="s">
        <v>117</v>
      </c>
      <c r="G42" s="40"/>
      <c r="H42" s="41"/>
      <c r="I42" s="41">
        <v>11.293200000000001</v>
      </c>
      <c r="J42" s="41">
        <v>3939.877</v>
      </c>
      <c r="K42" s="41">
        <v>273.16000000000003</v>
      </c>
      <c r="L42" s="41"/>
      <c r="M42" s="41"/>
      <c r="N42" s="41" t="s">
        <v>158</v>
      </c>
      <c r="O42" s="42">
        <f t="shared" si="0"/>
        <v>11.293200000000001</v>
      </c>
      <c r="P42" s="42">
        <f t="shared" si="1"/>
        <v>3939.877</v>
      </c>
      <c r="Q42" s="42">
        <f t="shared" si="2"/>
        <v>273.16000000000003</v>
      </c>
      <c r="R42" s="43">
        <f t="shared" si="3"/>
        <v>1</v>
      </c>
      <c r="S42" s="43">
        <f t="shared" si="4"/>
        <v>1</v>
      </c>
    </row>
    <row r="43" spans="1:19" ht="14.25" customHeight="1">
      <c r="A43" s="38" t="s">
        <v>566</v>
      </c>
      <c r="B43" s="38" t="s">
        <v>565</v>
      </c>
      <c r="C43" s="39" t="s">
        <v>128</v>
      </c>
      <c r="D43" s="40">
        <v>72.06</v>
      </c>
      <c r="E43" s="40">
        <v>8.77102</v>
      </c>
      <c r="F43" s="38" t="s">
        <v>117</v>
      </c>
      <c r="G43" s="40"/>
      <c r="H43" s="41"/>
      <c r="I43" s="41">
        <v>5.6520000000000001</v>
      </c>
      <c r="J43" s="41">
        <v>648.62900000000002</v>
      </c>
      <c r="K43" s="41">
        <v>154.68299999999999</v>
      </c>
      <c r="L43" s="41">
        <v>527.67000000000007</v>
      </c>
      <c r="M43" s="41">
        <v>617.67000000000007</v>
      </c>
      <c r="N43" s="41" t="s">
        <v>127</v>
      </c>
      <c r="O43" s="42">
        <f t="shared" si="0"/>
        <v>5.6520000000000001</v>
      </c>
      <c r="P43" s="42">
        <f t="shared" si="1"/>
        <v>648.62900000000002</v>
      </c>
      <c r="Q43" s="42">
        <f t="shared" si="2"/>
        <v>154.68299999999999</v>
      </c>
      <c r="R43" s="43">
        <f t="shared" si="3"/>
        <v>1</v>
      </c>
      <c r="S43" s="43">
        <f t="shared" si="4"/>
        <v>1</v>
      </c>
    </row>
    <row r="44" spans="1:19" ht="14.25" customHeight="1">
      <c r="A44" s="38" t="s">
        <v>564</v>
      </c>
      <c r="B44" s="38" t="s">
        <v>563</v>
      </c>
      <c r="C44" s="39" t="s">
        <v>128</v>
      </c>
      <c r="D44" s="40">
        <v>53.06</v>
      </c>
      <c r="E44" s="40">
        <v>6.758</v>
      </c>
      <c r="F44" s="38" t="s">
        <v>117</v>
      </c>
      <c r="G44" s="40"/>
      <c r="H44" s="41"/>
      <c r="I44" s="41">
        <v>7.0380000000000003</v>
      </c>
      <c r="J44" s="41">
        <v>1232.53</v>
      </c>
      <c r="K44" s="41">
        <v>222.47</v>
      </c>
      <c r="L44" s="41">
        <v>399.67</v>
      </c>
      <c r="M44" s="41">
        <v>631.67000000000007</v>
      </c>
      <c r="N44" s="41" t="s">
        <v>127</v>
      </c>
      <c r="O44" s="42">
        <f t="shared" si="0"/>
        <v>7.0380000000000003</v>
      </c>
      <c r="P44" s="42">
        <f t="shared" si="1"/>
        <v>1232.53</v>
      </c>
      <c r="Q44" s="42">
        <f t="shared" si="2"/>
        <v>222.47</v>
      </c>
      <c r="R44" s="43">
        <f t="shared" si="3"/>
        <v>1</v>
      </c>
      <c r="S44" s="43">
        <f t="shared" si="4"/>
        <v>1</v>
      </c>
    </row>
    <row r="45" spans="1:19" ht="14.25" customHeight="1">
      <c r="A45" s="38" t="s">
        <v>562</v>
      </c>
      <c r="B45" s="38" t="s">
        <v>561</v>
      </c>
      <c r="C45" s="39" t="s">
        <v>128</v>
      </c>
      <c r="D45" s="40">
        <v>76.52</v>
      </c>
      <c r="E45" s="40">
        <f>0.939*8.3454</f>
        <v>7.8363305999999993</v>
      </c>
      <c r="F45" s="40" t="s">
        <v>117</v>
      </c>
      <c r="G45" s="40"/>
      <c r="H45" s="41"/>
      <c r="I45" s="41">
        <f>2.24083 -LOG10(1.01325/760)</f>
        <v>5.1159269798670604</v>
      </c>
      <c r="J45" s="41">
        <v>365.12099999999998</v>
      </c>
      <c r="K45" s="41">
        <f>-154.919+273.15</f>
        <v>118.23099999999997</v>
      </c>
      <c r="L45" s="41">
        <v>515.52</v>
      </c>
      <c r="M45" s="41">
        <v>667.98</v>
      </c>
      <c r="N45" s="41" t="s">
        <v>208</v>
      </c>
      <c r="O45" s="42">
        <f t="shared" si="0"/>
        <v>5.1159269798670604</v>
      </c>
      <c r="P45" s="42">
        <f t="shared" si="1"/>
        <v>365.12099999999998</v>
      </c>
      <c r="Q45" s="42">
        <f t="shared" si="2"/>
        <v>118.23099999999997</v>
      </c>
      <c r="R45" s="43">
        <f t="shared" si="3"/>
        <v>1</v>
      </c>
      <c r="S45" s="43">
        <f t="shared" si="4"/>
        <v>1</v>
      </c>
    </row>
    <row r="46" spans="1:19" ht="14.25" customHeight="1">
      <c r="A46" s="38" t="s">
        <v>560</v>
      </c>
      <c r="B46" s="38" t="s">
        <v>541</v>
      </c>
      <c r="C46" s="39" t="s">
        <v>540</v>
      </c>
      <c r="D46" s="40">
        <v>35.04</v>
      </c>
      <c r="E46" s="49">
        <f t="shared" ref="E46:E64" si="5">0.8974*8.34</f>
        <v>7.4843159999999997</v>
      </c>
      <c r="F46" s="38" t="s">
        <v>117</v>
      </c>
      <c r="G46" s="40"/>
      <c r="H46" s="41"/>
      <c r="I46" s="41">
        <v>6.4952288014876878</v>
      </c>
      <c r="J46" s="41">
        <v>927.20444359168846</v>
      </c>
      <c r="K46" s="41">
        <v>191.1816034194899</v>
      </c>
      <c r="L46" s="41">
        <v>491.67</v>
      </c>
      <c r="M46" s="41">
        <v>709.67000000000007</v>
      </c>
      <c r="N46" s="41" t="s">
        <v>338</v>
      </c>
      <c r="O46" s="42">
        <f t="shared" si="0"/>
        <v>6.4952288014876878</v>
      </c>
      <c r="P46" s="42">
        <f t="shared" si="1"/>
        <v>927.20444359168846</v>
      </c>
      <c r="Q46" s="42">
        <f t="shared" si="2"/>
        <v>191.1816034194899</v>
      </c>
      <c r="R46" s="43">
        <f t="shared" si="3"/>
        <v>1</v>
      </c>
      <c r="S46" s="43">
        <f t="shared" si="4"/>
        <v>1</v>
      </c>
    </row>
    <row r="47" spans="1:19" ht="14.25" customHeight="1">
      <c r="A47" s="38" t="s">
        <v>559</v>
      </c>
      <c r="B47" s="38" t="s">
        <v>541</v>
      </c>
      <c r="C47" s="39" t="s">
        <v>540</v>
      </c>
      <c r="D47" s="40">
        <v>35.04</v>
      </c>
      <c r="E47" s="49">
        <f t="shared" si="5"/>
        <v>7.4843159999999997</v>
      </c>
      <c r="F47" s="38" t="s">
        <v>117</v>
      </c>
      <c r="G47" s="40"/>
      <c r="H47" s="41"/>
      <c r="I47" s="41">
        <v>6.248460356442834</v>
      </c>
      <c r="J47" s="41">
        <v>754.26751723079883</v>
      </c>
      <c r="K47" s="41">
        <v>172.65607018561451</v>
      </c>
      <c r="L47" s="41">
        <v>491.67</v>
      </c>
      <c r="M47" s="41">
        <v>709.67000000000007</v>
      </c>
      <c r="N47" s="41" t="s">
        <v>338</v>
      </c>
      <c r="O47" s="42">
        <f t="shared" si="0"/>
        <v>6.248460356442834</v>
      </c>
      <c r="P47" s="42">
        <f t="shared" si="1"/>
        <v>754.26751723079883</v>
      </c>
      <c r="Q47" s="42">
        <f t="shared" si="2"/>
        <v>172.65607018561451</v>
      </c>
      <c r="R47" s="43">
        <f t="shared" si="3"/>
        <v>1</v>
      </c>
      <c r="S47" s="43">
        <f t="shared" si="4"/>
        <v>1</v>
      </c>
    </row>
    <row r="48" spans="1:19" ht="14.25" customHeight="1">
      <c r="A48" s="38" t="s">
        <v>558</v>
      </c>
      <c r="B48" s="38" t="s">
        <v>541</v>
      </c>
      <c r="C48" s="39" t="s">
        <v>540</v>
      </c>
      <c r="D48" s="40">
        <v>35.04</v>
      </c>
      <c r="E48" s="49">
        <f t="shared" si="5"/>
        <v>7.4843159999999997</v>
      </c>
      <c r="F48" s="38" t="s">
        <v>117</v>
      </c>
      <c r="G48" s="40"/>
      <c r="H48" s="41"/>
      <c r="I48" s="41">
        <v>7.190040707219282</v>
      </c>
      <c r="J48" s="41">
        <v>1149.3833620436722</v>
      </c>
      <c r="K48" s="41">
        <v>226.76066274442448</v>
      </c>
      <c r="L48" s="41">
        <v>491.67</v>
      </c>
      <c r="M48" s="41">
        <v>709.67000000000007</v>
      </c>
      <c r="N48" s="41" t="s">
        <v>338</v>
      </c>
      <c r="O48" s="42">
        <f t="shared" si="0"/>
        <v>7.190040707219282</v>
      </c>
      <c r="P48" s="42">
        <f t="shared" si="1"/>
        <v>1149.3833620436722</v>
      </c>
      <c r="Q48" s="42">
        <f t="shared" si="2"/>
        <v>226.76066274442448</v>
      </c>
      <c r="R48" s="43">
        <f t="shared" si="3"/>
        <v>1</v>
      </c>
      <c r="S48" s="43">
        <f t="shared" si="4"/>
        <v>1</v>
      </c>
    </row>
    <row r="49" spans="1:19" ht="14.25" customHeight="1">
      <c r="A49" s="38" t="s">
        <v>557</v>
      </c>
      <c r="B49" s="38" t="s">
        <v>541</v>
      </c>
      <c r="C49" s="39" t="s">
        <v>540</v>
      </c>
      <c r="D49" s="40">
        <v>35.04</v>
      </c>
      <c r="E49" s="49">
        <f t="shared" si="5"/>
        <v>7.4843159999999997</v>
      </c>
      <c r="F49" s="38" t="s">
        <v>117</v>
      </c>
      <c r="G49" s="40"/>
      <c r="H49" s="41"/>
      <c r="I49" s="41">
        <v>7.0725632007030459</v>
      </c>
      <c r="J49" s="41">
        <v>1022.2316867594707</v>
      </c>
      <c r="K49" s="41">
        <v>215.28681983860355</v>
      </c>
      <c r="L49" s="41">
        <v>491.67</v>
      </c>
      <c r="M49" s="41">
        <v>709.67000000000007</v>
      </c>
      <c r="N49" s="41" t="s">
        <v>338</v>
      </c>
      <c r="O49" s="42">
        <f t="shared" si="0"/>
        <v>7.0725632007030459</v>
      </c>
      <c r="P49" s="42">
        <f t="shared" si="1"/>
        <v>1022.2316867594707</v>
      </c>
      <c r="Q49" s="42">
        <f t="shared" si="2"/>
        <v>215.28681983860355</v>
      </c>
      <c r="R49" s="43">
        <f t="shared" si="3"/>
        <v>1</v>
      </c>
      <c r="S49" s="43">
        <f t="shared" si="4"/>
        <v>1</v>
      </c>
    </row>
    <row r="50" spans="1:19" ht="14.25" customHeight="1">
      <c r="A50" s="38" t="s">
        <v>556</v>
      </c>
      <c r="B50" s="38" t="s">
        <v>541</v>
      </c>
      <c r="C50" s="39" t="s">
        <v>540</v>
      </c>
      <c r="D50" s="40">
        <v>35.04</v>
      </c>
      <c r="E50" s="49">
        <f t="shared" si="5"/>
        <v>7.4843159999999997</v>
      </c>
      <c r="F50" s="38" t="s">
        <v>117</v>
      </c>
      <c r="G50" s="40"/>
      <c r="H50" s="41"/>
      <c r="I50" s="41">
        <v>7.3066347381236465</v>
      </c>
      <c r="J50" s="41">
        <v>1103.1417193157652</v>
      </c>
      <c r="K50" s="41">
        <v>230.7505880148274</v>
      </c>
      <c r="L50" s="41">
        <v>491.67</v>
      </c>
      <c r="M50" s="41">
        <v>709.67000000000007</v>
      </c>
      <c r="N50" s="41" t="s">
        <v>338</v>
      </c>
      <c r="O50" s="42">
        <f t="shared" si="0"/>
        <v>7.3066347381236465</v>
      </c>
      <c r="P50" s="42">
        <f t="shared" si="1"/>
        <v>1103.1417193157652</v>
      </c>
      <c r="Q50" s="42">
        <f t="shared" si="2"/>
        <v>230.7505880148274</v>
      </c>
      <c r="R50" s="43">
        <f t="shared" si="3"/>
        <v>1</v>
      </c>
      <c r="S50" s="43">
        <f t="shared" si="4"/>
        <v>1</v>
      </c>
    </row>
    <row r="51" spans="1:19" ht="14.25" customHeight="1">
      <c r="A51" s="38" t="s">
        <v>555</v>
      </c>
      <c r="B51" s="38" t="s">
        <v>541</v>
      </c>
      <c r="C51" s="39" t="s">
        <v>540</v>
      </c>
      <c r="D51" s="40">
        <v>35.04</v>
      </c>
      <c r="E51" s="49">
        <f t="shared" si="5"/>
        <v>7.4843159999999997</v>
      </c>
      <c r="F51" s="38" t="s">
        <v>117</v>
      </c>
      <c r="G51" s="40"/>
      <c r="H51" s="41"/>
      <c r="I51" s="41">
        <v>7.3789088391118796</v>
      </c>
      <c r="J51" s="41">
        <v>1099.5655204357154</v>
      </c>
      <c r="K51" s="41">
        <v>235.30243372235745</v>
      </c>
      <c r="L51" s="41">
        <v>491.67</v>
      </c>
      <c r="M51" s="41">
        <v>709.67000000000007</v>
      </c>
      <c r="N51" s="41" t="s">
        <v>338</v>
      </c>
      <c r="O51" s="42">
        <f t="shared" si="0"/>
        <v>7.3789088391118796</v>
      </c>
      <c r="P51" s="42">
        <f t="shared" si="1"/>
        <v>1099.5655204357154</v>
      </c>
      <c r="Q51" s="42">
        <f t="shared" si="2"/>
        <v>235.30243372235745</v>
      </c>
      <c r="R51" s="43">
        <f t="shared" si="3"/>
        <v>1</v>
      </c>
      <c r="S51" s="43">
        <f t="shared" si="4"/>
        <v>1</v>
      </c>
    </row>
    <row r="52" spans="1:19" ht="14.25" customHeight="1">
      <c r="A52" s="38" t="s">
        <v>554</v>
      </c>
      <c r="B52" s="38" t="s">
        <v>541</v>
      </c>
      <c r="C52" s="39" t="s">
        <v>540</v>
      </c>
      <c r="D52" s="40">
        <v>35.04</v>
      </c>
      <c r="E52" s="49">
        <f t="shared" si="5"/>
        <v>7.4843159999999997</v>
      </c>
      <c r="F52" s="38" t="s">
        <v>117</v>
      </c>
      <c r="G52" s="40"/>
      <c r="H52" s="41"/>
      <c r="I52" s="41">
        <v>4.4679001932545903</v>
      </c>
      <c r="J52" s="41">
        <v>339.55368549723141</v>
      </c>
      <c r="K52" s="41">
        <v>99.283364711313737</v>
      </c>
      <c r="L52" s="41">
        <v>491.67</v>
      </c>
      <c r="M52" s="41">
        <v>709.67000000000007</v>
      </c>
      <c r="N52" s="41" t="s">
        <v>338</v>
      </c>
      <c r="O52" s="42">
        <f t="shared" si="0"/>
        <v>4.4679001932545903</v>
      </c>
      <c r="P52" s="42">
        <f t="shared" si="1"/>
        <v>339.55368549723141</v>
      </c>
      <c r="Q52" s="42">
        <f t="shared" si="2"/>
        <v>99.283364711313737</v>
      </c>
      <c r="R52" s="43">
        <f t="shared" si="3"/>
        <v>1</v>
      </c>
      <c r="S52" s="43">
        <f t="shared" si="4"/>
        <v>1</v>
      </c>
    </row>
    <row r="53" spans="1:19" ht="14.25" customHeight="1">
      <c r="A53" s="38" t="s">
        <v>553</v>
      </c>
      <c r="B53" s="38" t="s">
        <v>541</v>
      </c>
      <c r="C53" s="39" t="s">
        <v>540</v>
      </c>
      <c r="D53" s="40">
        <v>35.04</v>
      </c>
      <c r="E53" s="49">
        <f t="shared" si="5"/>
        <v>7.4843159999999997</v>
      </c>
      <c r="F53" s="38" t="s">
        <v>117</v>
      </c>
      <c r="G53" s="40"/>
      <c r="H53" s="41"/>
      <c r="I53" s="41">
        <v>7.3758927903111484</v>
      </c>
      <c r="J53" s="41">
        <v>1059.3825001715695</v>
      </c>
      <c r="K53" s="41">
        <v>234.73271287655021</v>
      </c>
      <c r="L53" s="41">
        <v>491.67</v>
      </c>
      <c r="M53" s="41">
        <v>709.67000000000007</v>
      </c>
      <c r="N53" s="41" t="s">
        <v>338</v>
      </c>
      <c r="O53" s="42">
        <f t="shared" si="0"/>
        <v>7.3758927903111484</v>
      </c>
      <c r="P53" s="42">
        <f t="shared" si="1"/>
        <v>1059.3825001715695</v>
      </c>
      <c r="Q53" s="42">
        <f t="shared" si="2"/>
        <v>234.73271287655021</v>
      </c>
      <c r="R53" s="43">
        <f t="shared" si="3"/>
        <v>1</v>
      </c>
      <c r="S53" s="43">
        <f t="shared" si="4"/>
        <v>1</v>
      </c>
    </row>
    <row r="54" spans="1:19" ht="14.25" customHeight="1">
      <c r="A54" s="38" t="s">
        <v>552</v>
      </c>
      <c r="B54" s="38" t="s">
        <v>541</v>
      </c>
      <c r="C54" s="39" t="s">
        <v>540</v>
      </c>
      <c r="D54" s="40">
        <v>35.04</v>
      </c>
      <c r="E54" s="49">
        <f t="shared" si="5"/>
        <v>7.4843159999999997</v>
      </c>
      <c r="F54" s="38" t="s">
        <v>117</v>
      </c>
      <c r="G54" s="40"/>
      <c r="H54" s="41"/>
      <c r="I54" s="41">
        <v>7.4278195547441683</v>
      </c>
      <c r="J54" s="41">
        <v>1056.8149611578428</v>
      </c>
      <c r="K54" s="41">
        <v>238.67799540325763</v>
      </c>
      <c r="L54" s="41">
        <v>491.67</v>
      </c>
      <c r="M54" s="41">
        <v>699.67000000000007</v>
      </c>
      <c r="N54" s="41" t="s">
        <v>338</v>
      </c>
      <c r="O54" s="42">
        <f t="shared" si="0"/>
        <v>7.4278195547441683</v>
      </c>
      <c r="P54" s="42">
        <f t="shared" si="1"/>
        <v>1056.8149611578428</v>
      </c>
      <c r="Q54" s="42">
        <f t="shared" si="2"/>
        <v>238.67799540325763</v>
      </c>
      <c r="R54" s="43">
        <f t="shared" si="3"/>
        <v>1</v>
      </c>
      <c r="S54" s="43">
        <f t="shared" si="4"/>
        <v>1</v>
      </c>
    </row>
    <row r="55" spans="1:19" ht="14.25" customHeight="1">
      <c r="A55" s="38" t="s">
        <v>551</v>
      </c>
      <c r="B55" s="38" t="s">
        <v>541</v>
      </c>
      <c r="C55" s="39" t="s">
        <v>540</v>
      </c>
      <c r="D55" s="40">
        <v>35.04</v>
      </c>
      <c r="E55" s="49">
        <f t="shared" si="5"/>
        <v>7.4843159999999997</v>
      </c>
      <c r="F55" s="38" t="s">
        <v>117</v>
      </c>
      <c r="G55" s="40"/>
      <c r="H55" s="41"/>
      <c r="I55" s="41">
        <v>7.4673901941717027</v>
      </c>
      <c r="J55" s="41">
        <v>1053.8824387992743</v>
      </c>
      <c r="K55" s="41">
        <v>242.14552396566779</v>
      </c>
      <c r="L55" s="41">
        <v>491.67</v>
      </c>
      <c r="M55" s="41">
        <v>679.67000000000007</v>
      </c>
      <c r="N55" s="41" t="s">
        <v>338</v>
      </c>
      <c r="O55" s="42">
        <f t="shared" si="0"/>
        <v>7.4673901941717027</v>
      </c>
      <c r="P55" s="42">
        <f t="shared" si="1"/>
        <v>1053.8824387992743</v>
      </c>
      <c r="Q55" s="42">
        <f t="shared" si="2"/>
        <v>242.14552396566779</v>
      </c>
      <c r="R55" s="43">
        <f t="shared" si="3"/>
        <v>1</v>
      </c>
      <c r="S55" s="43">
        <f t="shared" si="4"/>
        <v>1</v>
      </c>
    </row>
    <row r="56" spans="1:19" ht="14.25" customHeight="1">
      <c r="A56" s="38" t="s">
        <v>550</v>
      </c>
      <c r="B56" s="38" t="s">
        <v>541</v>
      </c>
      <c r="C56" s="39" t="s">
        <v>540</v>
      </c>
      <c r="D56" s="40">
        <v>35.04</v>
      </c>
      <c r="E56" s="49">
        <f t="shared" si="5"/>
        <v>7.4843159999999997</v>
      </c>
      <c r="F56" s="38" t="s">
        <v>117</v>
      </c>
      <c r="G56" s="40"/>
      <c r="H56" s="41"/>
      <c r="I56" s="41">
        <v>6.3473294435242984</v>
      </c>
      <c r="J56" s="41">
        <v>514.13393530957831</v>
      </c>
      <c r="K56" s="41">
        <v>163.14894426578513</v>
      </c>
      <c r="L56" s="41">
        <v>491.67</v>
      </c>
      <c r="M56" s="41">
        <v>669.67000000000007</v>
      </c>
      <c r="N56" s="41" t="s">
        <v>338</v>
      </c>
      <c r="O56" s="42">
        <f t="shared" si="0"/>
        <v>6.3473294435242984</v>
      </c>
      <c r="P56" s="42">
        <f t="shared" si="1"/>
        <v>514.13393530957831</v>
      </c>
      <c r="Q56" s="42">
        <f t="shared" si="2"/>
        <v>163.14894426578513</v>
      </c>
      <c r="R56" s="43">
        <f t="shared" si="3"/>
        <v>1</v>
      </c>
      <c r="S56" s="43">
        <f t="shared" si="4"/>
        <v>1</v>
      </c>
    </row>
    <row r="57" spans="1:19" ht="14.25" customHeight="1">
      <c r="A57" s="38" t="s">
        <v>549</v>
      </c>
      <c r="B57" s="38" t="s">
        <v>541</v>
      </c>
      <c r="C57" s="39" t="s">
        <v>540</v>
      </c>
      <c r="D57" s="40">
        <v>35.04</v>
      </c>
      <c r="E57" s="49">
        <f t="shared" si="5"/>
        <v>7.4843159999999997</v>
      </c>
      <c r="F57" s="38" t="s">
        <v>117</v>
      </c>
      <c r="G57" s="40"/>
      <c r="H57" s="41"/>
      <c r="I57" s="41">
        <v>7.5149954879456722</v>
      </c>
      <c r="J57" s="41">
        <v>1041.4744895199076</v>
      </c>
      <c r="K57" s="41">
        <v>245.85024263516181</v>
      </c>
      <c r="L57" s="41">
        <v>491.67</v>
      </c>
      <c r="M57" s="41">
        <v>659.67000000000007</v>
      </c>
      <c r="N57" s="41" t="s">
        <v>338</v>
      </c>
      <c r="O57" s="42">
        <f t="shared" si="0"/>
        <v>7.5149954879456722</v>
      </c>
      <c r="P57" s="42">
        <f t="shared" si="1"/>
        <v>1041.4744895199076</v>
      </c>
      <c r="Q57" s="42">
        <f t="shared" si="2"/>
        <v>245.85024263516181</v>
      </c>
      <c r="R57" s="43">
        <f t="shared" si="3"/>
        <v>1</v>
      </c>
      <c r="S57" s="43">
        <f t="shared" si="4"/>
        <v>1</v>
      </c>
    </row>
    <row r="58" spans="1:19" ht="14.25" customHeight="1">
      <c r="A58" s="38" t="s">
        <v>548</v>
      </c>
      <c r="B58" s="38" t="s">
        <v>541</v>
      </c>
      <c r="C58" s="39" t="s">
        <v>540</v>
      </c>
      <c r="D58" s="40">
        <v>35.04</v>
      </c>
      <c r="E58" s="49">
        <f t="shared" si="5"/>
        <v>7.4843159999999997</v>
      </c>
      <c r="F58" s="38" t="s">
        <v>117</v>
      </c>
      <c r="G58" s="40"/>
      <c r="H58" s="41"/>
      <c r="I58" s="41">
        <v>7.573705240498807</v>
      </c>
      <c r="J58" s="41">
        <v>1062.4837365134797</v>
      </c>
      <c r="K58" s="41">
        <v>250.66778529171248</v>
      </c>
      <c r="L58" s="41">
        <v>491.67</v>
      </c>
      <c r="M58" s="41">
        <v>649.67000000000007</v>
      </c>
      <c r="N58" s="41" t="s">
        <v>338</v>
      </c>
      <c r="O58" s="42">
        <f t="shared" si="0"/>
        <v>7.573705240498807</v>
      </c>
      <c r="P58" s="42">
        <f t="shared" si="1"/>
        <v>1062.4837365134797</v>
      </c>
      <c r="Q58" s="42">
        <f t="shared" si="2"/>
        <v>250.66778529171248</v>
      </c>
      <c r="R58" s="43">
        <f t="shared" si="3"/>
        <v>1</v>
      </c>
      <c r="S58" s="43">
        <f t="shared" si="4"/>
        <v>1</v>
      </c>
    </row>
    <row r="59" spans="1:19" ht="14.25" customHeight="1">
      <c r="A59" s="38" t="s">
        <v>547</v>
      </c>
      <c r="B59" s="38" t="s">
        <v>541</v>
      </c>
      <c r="C59" s="39" t="s">
        <v>540</v>
      </c>
      <c r="D59" s="40">
        <v>35.04</v>
      </c>
      <c r="E59" s="49">
        <f t="shared" si="5"/>
        <v>7.4843159999999997</v>
      </c>
      <c r="F59" s="38" t="s">
        <v>117</v>
      </c>
      <c r="G59" s="40"/>
      <c r="H59" s="41"/>
      <c r="I59" s="41">
        <v>7.5730338310205596</v>
      </c>
      <c r="J59" s="41">
        <v>1052.1569087452451</v>
      </c>
      <c r="K59" s="41">
        <v>250.6901330030675</v>
      </c>
      <c r="L59" s="41">
        <v>491.67</v>
      </c>
      <c r="M59" s="41">
        <v>639.67000000000007</v>
      </c>
      <c r="N59" s="41" t="s">
        <v>338</v>
      </c>
      <c r="O59" s="42">
        <f t="shared" si="0"/>
        <v>7.5730338310205596</v>
      </c>
      <c r="P59" s="42">
        <f t="shared" si="1"/>
        <v>1052.1569087452451</v>
      </c>
      <c r="Q59" s="42">
        <f t="shared" si="2"/>
        <v>250.6901330030675</v>
      </c>
      <c r="R59" s="43">
        <f t="shared" si="3"/>
        <v>1</v>
      </c>
      <c r="S59" s="43">
        <f t="shared" si="4"/>
        <v>1</v>
      </c>
    </row>
    <row r="60" spans="1:19" ht="14.25" customHeight="1">
      <c r="A60" s="38" t="s">
        <v>546</v>
      </c>
      <c r="B60" s="38" t="s">
        <v>541</v>
      </c>
      <c r="C60" s="39" t="s">
        <v>540</v>
      </c>
      <c r="D60" s="40">
        <v>35.04</v>
      </c>
      <c r="E60" s="49">
        <f t="shared" si="5"/>
        <v>7.4843159999999997</v>
      </c>
      <c r="F60" s="38" t="s">
        <v>117</v>
      </c>
      <c r="G60" s="40"/>
      <c r="H60" s="41"/>
      <c r="I60" s="41">
        <v>7.5654306031770417</v>
      </c>
      <c r="J60" s="41">
        <v>1039.9041818591561</v>
      </c>
      <c r="K60" s="41">
        <v>250.04415509911843</v>
      </c>
      <c r="L60" s="41">
        <v>491.67</v>
      </c>
      <c r="M60" s="41">
        <v>639.67000000000007</v>
      </c>
      <c r="N60" s="41" t="s">
        <v>338</v>
      </c>
      <c r="O60" s="42">
        <f t="shared" si="0"/>
        <v>7.5654306031770417</v>
      </c>
      <c r="P60" s="42">
        <f t="shared" si="1"/>
        <v>1039.9041818591561</v>
      </c>
      <c r="Q60" s="42">
        <f t="shared" si="2"/>
        <v>250.04415509911843</v>
      </c>
      <c r="R60" s="43">
        <f t="shared" si="3"/>
        <v>1</v>
      </c>
      <c r="S60" s="43">
        <f t="shared" si="4"/>
        <v>1</v>
      </c>
    </row>
    <row r="61" spans="1:19" ht="14.25" customHeight="1">
      <c r="A61" s="38" t="s">
        <v>545</v>
      </c>
      <c r="B61" s="38" t="s">
        <v>541</v>
      </c>
      <c r="C61" s="39" t="s">
        <v>540</v>
      </c>
      <c r="D61" s="40">
        <v>35.04</v>
      </c>
      <c r="E61" s="49">
        <f t="shared" si="5"/>
        <v>7.4843159999999997</v>
      </c>
      <c r="F61" s="38" t="s">
        <v>117</v>
      </c>
      <c r="G61" s="40"/>
      <c r="H61" s="41"/>
      <c r="I61" s="41">
        <v>7.5847353896831535</v>
      </c>
      <c r="J61" s="41">
        <v>1044.6976600580747</v>
      </c>
      <c r="K61" s="41">
        <v>251.50415210868925</v>
      </c>
      <c r="L61" s="41">
        <v>491.67</v>
      </c>
      <c r="M61" s="41">
        <v>639.67000000000007</v>
      </c>
      <c r="N61" s="41" t="s">
        <v>338</v>
      </c>
      <c r="O61" s="42">
        <f t="shared" si="0"/>
        <v>7.5847353896831535</v>
      </c>
      <c r="P61" s="42">
        <f t="shared" si="1"/>
        <v>1044.6976600580747</v>
      </c>
      <c r="Q61" s="42">
        <f t="shared" si="2"/>
        <v>251.50415210868925</v>
      </c>
      <c r="R61" s="43">
        <f t="shared" si="3"/>
        <v>1</v>
      </c>
      <c r="S61" s="43">
        <f t="shared" si="4"/>
        <v>1</v>
      </c>
    </row>
    <row r="62" spans="1:19" ht="14.25" customHeight="1">
      <c r="A62" s="38" t="s">
        <v>544</v>
      </c>
      <c r="B62" s="38" t="s">
        <v>541</v>
      </c>
      <c r="C62" s="39" t="s">
        <v>540</v>
      </c>
      <c r="D62" s="40">
        <v>35.04</v>
      </c>
      <c r="E62" s="49">
        <f t="shared" si="5"/>
        <v>7.4843159999999997</v>
      </c>
      <c r="F62" s="38" t="s">
        <v>117</v>
      </c>
      <c r="G62" s="40"/>
      <c r="H62" s="41"/>
      <c r="I62" s="41">
        <v>7.5756936512271977</v>
      </c>
      <c r="J62" s="41">
        <v>1034.3659240199765</v>
      </c>
      <c r="K62" s="41">
        <v>250.91891877824747</v>
      </c>
      <c r="L62" s="41">
        <v>491.67</v>
      </c>
      <c r="M62" s="41">
        <v>629.67000000000007</v>
      </c>
      <c r="N62" s="41" t="s">
        <v>338</v>
      </c>
      <c r="O62" s="42">
        <f t="shared" si="0"/>
        <v>7.5756936512271977</v>
      </c>
      <c r="P62" s="42">
        <f t="shared" si="1"/>
        <v>1034.3659240199765</v>
      </c>
      <c r="Q62" s="42">
        <f t="shared" si="2"/>
        <v>250.91891877824747</v>
      </c>
      <c r="R62" s="43">
        <f t="shared" si="3"/>
        <v>1</v>
      </c>
      <c r="S62" s="43">
        <f t="shared" si="4"/>
        <v>1</v>
      </c>
    </row>
    <row r="63" spans="1:19" ht="14.25" customHeight="1">
      <c r="A63" s="38" t="s">
        <v>543</v>
      </c>
      <c r="B63" s="38" t="s">
        <v>541</v>
      </c>
      <c r="C63" s="39" t="s">
        <v>540</v>
      </c>
      <c r="D63" s="40">
        <v>35.04</v>
      </c>
      <c r="E63" s="49">
        <f t="shared" si="5"/>
        <v>7.4843159999999997</v>
      </c>
      <c r="F63" s="38" t="s">
        <v>117</v>
      </c>
      <c r="G63" s="40"/>
      <c r="H63" s="41"/>
      <c r="I63" s="41">
        <v>7.1649654677520562</v>
      </c>
      <c r="J63" s="41">
        <v>1409.4600724632171</v>
      </c>
      <c r="K63" s="41">
        <v>246.85814496622589</v>
      </c>
      <c r="L63" s="41">
        <v>491.67</v>
      </c>
      <c r="M63" s="41">
        <v>709.67000000000007</v>
      </c>
      <c r="N63" s="41" t="s">
        <v>338</v>
      </c>
      <c r="O63" s="42">
        <f t="shared" si="0"/>
        <v>7.1649654677520562</v>
      </c>
      <c r="P63" s="42">
        <f t="shared" si="1"/>
        <v>1409.4600724632171</v>
      </c>
      <c r="Q63" s="42">
        <f t="shared" si="2"/>
        <v>246.85814496622589</v>
      </c>
      <c r="R63" s="43">
        <f t="shared" si="3"/>
        <v>1</v>
      </c>
      <c r="S63" s="43">
        <f t="shared" si="4"/>
        <v>1</v>
      </c>
    </row>
    <row r="64" spans="1:19" ht="14.25" customHeight="1">
      <c r="A64" s="38" t="s">
        <v>542</v>
      </c>
      <c r="B64" s="38" t="s">
        <v>541</v>
      </c>
      <c r="C64" s="39" t="s">
        <v>540</v>
      </c>
      <c r="D64" s="40">
        <v>35.04</v>
      </c>
      <c r="E64" s="49">
        <f t="shared" si="5"/>
        <v>7.4843159999999997</v>
      </c>
      <c r="F64" s="38" t="s">
        <v>117</v>
      </c>
      <c r="G64" s="40"/>
      <c r="H64" s="41"/>
      <c r="I64" s="41">
        <v>7.5174188635616872</v>
      </c>
      <c r="J64" s="41">
        <v>995.73426006400894</v>
      </c>
      <c r="K64" s="41">
        <v>246.40769634727752</v>
      </c>
      <c r="L64" s="41">
        <v>491.67</v>
      </c>
      <c r="M64" s="41">
        <v>629.67000000000007</v>
      </c>
      <c r="N64" s="41" t="s">
        <v>338</v>
      </c>
      <c r="O64" s="42">
        <f t="shared" si="0"/>
        <v>7.5174188635616872</v>
      </c>
      <c r="P64" s="42">
        <f t="shared" si="1"/>
        <v>995.73426006400894</v>
      </c>
      <c r="Q64" s="42">
        <f t="shared" si="2"/>
        <v>246.40769634727752</v>
      </c>
      <c r="R64" s="43">
        <f t="shared" si="3"/>
        <v>1</v>
      </c>
      <c r="S64" s="43">
        <f t="shared" si="4"/>
        <v>1</v>
      </c>
    </row>
    <row r="65" spans="1:19" ht="14.25" customHeight="1">
      <c r="A65" s="38" t="s">
        <v>539</v>
      </c>
      <c r="B65" s="38" t="s">
        <v>538</v>
      </c>
      <c r="C65" s="39" t="s">
        <v>159</v>
      </c>
      <c r="D65" s="40">
        <v>96.09</v>
      </c>
      <c r="E65" s="40">
        <f>1.5*8.34</f>
        <v>12.51</v>
      </c>
      <c r="F65" s="40" t="s">
        <v>150</v>
      </c>
      <c r="G65" s="40"/>
      <c r="H65" s="41"/>
      <c r="I65" s="45"/>
      <c r="J65" s="45"/>
      <c r="K65" s="45"/>
      <c r="L65" s="45"/>
      <c r="M65" s="45"/>
      <c r="N65" s="41" t="s">
        <v>447</v>
      </c>
      <c r="O65" s="42">
        <f t="shared" si="0"/>
        <v>0</v>
      </c>
      <c r="P65" s="42">
        <f t="shared" si="1"/>
        <v>0</v>
      </c>
      <c r="Q65" s="42">
        <f t="shared" si="2"/>
        <v>0</v>
      </c>
      <c r="R65" s="43">
        <f t="shared" si="3"/>
        <v>1</v>
      </c>
      <c r="S65" s="43">
        <f t="shared" si="4"/>
        <v>1</v>
      </c>
    </row>
    <row r="66" spans="1:19" ht="14.25" customHeight="1">
      <c r="A66" s="38" t="s">
        <v>537</v>
      </c>
      <c r="B66" s="38" t="s">
        <v>536</v>
      </c>
      <c r="C66" s="39" t="s">
        <v>128</v>
      </c>
      <c r="D66" s="40">
        <v>93.13</v>
      </c>
      <c r="E66" s="40">
        <v>8.5123130000000007</v>
      </c>
      <c r="F66" s="38" t="s">
        <v>117</v>
      </c>
      <c r="G66" s="40"/>
      <c r="H66" s="41"/>
      <c r="I66" s="41">
        <v>7.32</v>
      </c>
      <c r="J66" s="41">
        <v>1731.5150000000001</v>
      </c>
      <c r="K66" s="41">
        <v>206.04900000000001</v>
      </c>
      <c r="L66" s="41">
        <v>547.67000000000007</v>
      </c>
      <c r="M66" s="41">
        <v>822.67000000000007</v>
      </c>
      <c r="N66" s="41" t="s">
        <v>127</v>
      </c>
      <c r="O66" s="42">
        <f t="shared" si="0"/>
        <v>7.32</v>
      </c>
      <c r="P66" s="42">
        <f t="shared" si="1"/>
        <v>1731.5150000000001</v>
      </c>
      <c r="Q66" s="42">
        <f t="shared" si="2"/>
        <v>206.04900000000001</v>
      </c>
      <c r="R66" s="43">
        <f t="shared" si="3"/>
        <v>1</v>
      </c>
      <c r="S66" s="43">
        <f t="shared" si="4"/>
        <v>1</v>
      </c>
    </row>
    <row r="67" spans="1:19" ht="14.25" customHeight="1">
      <c r="A67" s="38" t="s">
        <v>535</v>
      </c>
      <c r="B67" s="38" t="s">
        <v>534</v>
      </c>
      <c r="C67" s="39" t="s">
        <v>228</v>
      </c>
      <c r="D67" s="40">
        <v>277.11236000000002</v>
      </c>
      <c r="E67" s="40">
        <f>2.6*8.3454</f>
        <v>21.698039999999999</v>
      </c>
      <c r="F67" s="40" t="s">
        <v>150</v>
      </c>
      <c r="G67" s="40"/>
      <c r="H67" s="41"/>
      <c r="I67" s="41"/>
      <c r="J67" s="41"/>
      <c r="K67" s="41"/>
      <c r="L67" s="41"/>
      <c r="M67" s="41"/>
      <c r="N67" s="41" t="s">
        <v>137</v>
      </c>
      <c r="O67" s="42">
        <f t="shared" ref="O67:O130" si="6">IF($F67="RVP", (12.82-0.9672*LN($G67)), IF($F67 = "RVP+S", 15.64-(1.854*($H67^0.5))-(0.8742-(0.328*($H67^0.5)))*LN($G67), I67))</f>
        <v>0</v>
      </c>
      <c r="P67" s="42">
        <f t="shared" ref="P67:P130" si="7">IF($F67="RVP", (7261-1216*LN($G67)), IF($F67 = "RVP+S", 8742-(1042*($H67^0.5))-(1049-(179.4*($H67^0.5)))*LN($G67), J67))</f>
        <v>0</v>
      </c>
      <c r="Q67" s="42">
        <f t="shared" ref="Q67:Q130" si="8">IF($F67="RVP", 0, IF($F67 = "RVP+S", 0, K67))</f>
        <v>0</v>
      </c>
      <c r="R67" s="43">
        <f t="shared" ref="R67:R130" si="9">IF($F67="RVP",0.4,1)</f>
        <v>1</v>
      </c>
      <c r="S67" s="43">
        <f t="shared" ref="S67:S130" si="10">IF($F67="RVP",0.75,1)</f>
        <v>1</v>
      </c>
    </row>
    <row r="68" spans="1:19" s="57" customFormat="1" ht="14.25" customHeight="1">
      <c r="A68" s="52" t="s">
        <v>533</v>
      </c>
      <c r="B68" s="52" t="s">
        <v>532</v>
      </c>
      <c r="C68" s="53" t="s">
        <v>128</v>
      </c>
      <c r="D68" s="54">
        <v>78.11</v>
      </c>
      <c r="E68" s="54">
        <v>7.3650000000000002</v>
      </c>
      <c r="F68" s="52" t="s">
        <v>117</v>
      </c>
      <c r="G68" s="54"/>
      <c r="H68" s="45"/>
      <c r="I68" s="45">
        <v>6.9050000000000002</v>
      </c>
      <c r="J68" s="45">
        <v>1211.0329999999999</v>
      </c>
      <c r="K68" s="45">
        <v>220.79</v>
      </c>
      <c r="L68" s="45">
        <v>505.67</v>
      </c>
      <c r="M68" s="45">
        <v>676.67000000000007</v>
      </c>
      <c r="N68" s="45" t="s">
        <v>127</v>
      </c>
      <c r="O68" s="55">
        <f t="shared" si="6"/>
        <v>6.9050000000000002</v>
      </c>
      <c r="P68" s="55">
        <f t="shared" si="7"/>
        <v>1211.0329999999999</v>
      </c>
      <c r="Q68" s="55">
        <f t="shared" si="8"/>
        <v>220.79</v>
      </c>
      <c r="R68" s="56">
        <f t="shared" si="9"/>
        <v>1</v>
      </c>
      <c r="S68" s="56">
        <f t="shared" si="10"/>
        <v>1</v>
      </c>
    </row>
    <row r="69" spans="1:19" ht="14.25" customHeight="1">
      <c r="A69" s="38" t="s">
        <v>531</v>
      </c>
      <c r="B69" s="38" t="s">
        <v>530</v>
      </c>
      <c r="C69" s="39" t="s">
        <v>128</v>
      </c>
      <c r="D69" s="40">
        <v>184.24</v>
      </c>
      <c r="E69" s="40">
        <f>1.25*8.3454</f>
        <v>10.431749999999999</v>
      </c>
      <c r="F69" s="40" t="s">
        <v>150</v>
      </c>
      <c r="G69" s="40"/>
      <c r="H69" s="41"/>
      <c r="I69" s="41"/>
      <c r="J69" s="41"/>
      <c r="K69" s="41"/>
      <c r="L69" s="41"/>
      <c r="M69" s="41"/>
      <c r="N69" s="41" t="s">
        <v>244</v>
      </c>
      <c r="O69" s="42">
        <f t="shared" si="6"/>
        <v>0</v>
      </c>
      <c r="P69" s="42">
        <f t="shared" si="7"/>
        <v>0</v>
      </c>
      <c r="Q69" s="42">
        <f t="shared" si="8"/>
        <v>0</v>
      </c>
      <c r="R69" s="43">
        <f t="shared" si="9"/>
        <v>1</v>
      </c>
      <c r="S69" s="43">
        <f t="shared" si="10"/>
        <v>1</v>
      </c>
    </row>
    <row r="70" spans="1:19" ht="14.25" customHeight="1">
      <c r="A70" s="38" t="s">
        <v>529</v>
      </c>
      <c r="B70" s="38" t="s">
        <v>528</v>
      </c>
      <c r="C70" s="39" t="s">
        <v>128</v>
      </c>
      <c r="D70" s="40">
        <v>195.47</v>
      </c>
      <c r="E70" s="40">
        <f>1.38*8.3454</f>
        <v>11.516651999999999</v>
      </c>
      <c r="F70" s="40" t="s">
        <v>117</v>
      </c>
      <c r="G70" s="40"/>
      <c r="H70" s="41"/>
      <c r="I70" s="41">
        <v>6.3831499999999997</v>
      </c>
      <c r="J70" s="41">
        <v>1495.8777</v>
      </c>
      <c r="K70" s="41">
        <v>196.71100000000001</v>
      </c>
      <c r="L70" s="41">
        <v>637.77600000000007</v>
      </c>
      <c r="M70" s="41">
        <v>978.67800000000011</v>
      </c>
      <c r="N70" s="41" t="s">
        <v>142</v>
      </c>
      <c r="O70" s="42">
        <f t="shared" si="6"/>
        <v>6.3831499999999997</v>
      </c>
      <c r="P70" s="42">
        <f t="shared" si="7"/>
        <v>1495.8777</v>
      </c>
      <c r="Q70" s="42">
        <f t="shared" si="8"/>
        <v>196.71100000000001</v>
      </c>
      <c r="R70" s="43">
        <f t="shared" si="9"/>
        <v>1</v>
      </c>
      <c r="S70" s="43">
        <f t="shared" si="10"/>
        <v>1</v>
      </c>
    </row>
    <row r="71" spans="1:19" ht="14.25" customHeight="1">
      <c r="A71" s="38" t="s">
        <v>527</v>
      </c>
      <c r="B71" s="38" t="s">
        <v>526</v>
      </c>
      <c r="C71" s="39" t="s">
        <v>128</v>
      </c>
      <c r="D71" s="40">
        <v>126.58</v>
      </c>
      <c r="E71" s="40">
        <f>1.1*8.3454</f>
        <v>9.1799400000000002</v>
      </c>
      <c r="F71" s="40" t="s">
        <v>117</v>
      </c>
      <c r="G71" s="40"/>
      <c r="H71" s="41"/>
      <c r="I71" s="41">
        <v>7.0369299999999999</v>
      </c>
      <c r="J71" s="41">
        <v>1600.277</v>
      </c>
      <c r="K71" s="41">
        <v>206.191</v>
      </c>
      <c r="L71" s="41">
        <v>597.67200000000003</v>
      </c>
      <c r="M71" s="41">
        <v>867.726</v>
      </c>
      <c r="N71" s="41" t="s">
        <v>142</v>
      </c>
      <c r="O71" s="42">
        <f t="shared" si="6"/>
        <v>7.0369299999999999</v>
      </c>
      <c r="P71" s="42">
        <f t="shared" si="7"/>
        <v>1600.277</v>
      </c>
      <c r="Q71" s="42">
        <f t="shared" si="8"/>
        <v>206.191</v>
      </c>
      <c r="R71" s="43">
        <f t="shared" si="9"/>
        <v>1</v>
      </c>
      <c r="S71" s="43">
        <f t="shared" si="10"/>
        <v>1</v>
      </c>
    </row>
    <row r="72" spans="1:19" ht="14.25" customHeight="1">
      <c r="A72" s="44" t="s">
        <v>525</v>
      </c>
      <c r="B72" s="38" t="s">
        <v>524</v>
      </c>
      <c r="C72" s="39" t="s">
        <v>128</v>
      </c>
      <c r="D72" s="40">
        <v>72.06</v>
      </c>
      <c r="E72" s="40">
        <f>1.146*8.3454</f>
        <v>9.5638283999999985</v>
      </c>
      <c r="F72" s="40" t="s">
        <v>117</v>
      </c>
      <c r="G72" s="40"/>
      <c r="H72" s="41"/>
      <c r="I72" s="41">
        <v>6.8451899999999997</v>
      </c>
      <c r="J72" s="41">
        <v>1579.3476000000001</v>
      </c>
      <c r="K72" s="41">
        <v>218.33500000000001</v>
      </c>
      <c r="L72" s="41">
        <v>585.01800000000003</v>
      </c>
      <c r="M72" s="41">
        <v>874.69200000000001</v>
      </c>
      <c r="N72" s="41" t="s">
        <v>142</v>
      </c>
      <c r="O72" s="42">
        <f t="shared" si="6"/>
        <v>6.8451899999999997</v>
      </c>
      <c r="P72" s="42">
        <f t="shared" si="7"/>
        <v>1579.3476000000001</v>
      </c>
      <c r="Q72" s="42">
        <f t="shared" si="8"/>
        <v>218.33500000000001</v>
      </c>
      <c r="R72" s="43">
        <f t="shared" si="9"/>
        <v>1</v>
      </c>
      <c r="S72" s="43">
        <f t="shared" si="10"/>
        <v>1</v>
      </c>
    </row>
    <row r="73" spans="1:19" ht="14.25" customHeight="1">
      <c r="A73" s="38" t="s">
        <v>523</v>
      </c>
      <c r="B73" s="38" t="s">
        <v>522</v>
      </c>
      <c r="C73" s="39" t="s">
        <v>128</v>
      </c>
      <c r="D73" s="40">
        <v>154.21</v>
      </c>
      <c r="E73" s="40">
        <f>0.992*8.3454</f>
        <v>8.2786367999999992</v>
      </c>
      <c r="F73" s="40" t="s">
        <v>117</v>
      </c>
      <c r="G73" s="40"/>
      <c r="H73" s="41"/>
      <c r="I73" s="41">
        <f>4.35685 -LOG10(1.01325/760)</f>
        <v>7.231946979867061</v>
      </c>
      <c r="J73" s="41">
        <v>1987.623</v>
      </c>
      <c r="K73" s="41">
        <f>-71.556+273.15</f>
        <v>201.59399999999999</v>
      </c>
      <c r="L73" s="41">
        <v>616.14</v>
      </c>
      <c r="M73" s="41">
        <v>979.74</v>
      </c>
      <c r="N73" s="41" t="s">
        <v>208</v>
      </c>
      <c r="O73" s="42">
        <f t="shared" si="6"/>
        <v>7.231946979867061</v>
      </c>
      <c r="P73" s="42">
        <f t="shared" si="7"/>
        <v>1987.623</v>
      </c>
      <c r="Q73" s="42">
        <f t="shared" si="8"/>
        <v>201.59399999999999</v>
      </c>
      <c r="R73" s="43">
        <f t="shared" si="9"/>
        <v>1</v>
      </c>
      <c r="S73" s="43">
        <f t="shared" si="10"/>
        <v>1</v>
      </c>
    </row>
    <row r="74" spans="1:19" ht="14.25" customHeight="1">
      <c r="A74" s="38" t="s">
        <v>521</v>
      </c>
      <c r="B74" s="38" t="s">
        <v>520</v>
      </c>
      <c r="C74" s="39" t="s">
        <v>128</v>
      </c>
      <c r="D74" s="40">
        <v>390.56</v>
      </c>
      <c r="E74" s="40">
        <f>0.985*8.3454</f>
        <v>8.2202190000000002</v>
      </c>
      <c r="F74" s="40" t="s">
        <v>150</v>
      </c>
      <c r="G74" s="40"/>
      <c r="H74" s="41"/>
      <c r="I74" s="41"/>
      <c r="J74" s="41"/>
      <c r="K74" s="41"/>
      <c r="L74" s="41"/>
      <c r="M74" s="41"/>
      <c r="N74" s="41" t="s">
        <v>137</v>
      </c>
      <c r="O74" s="42">
        <f t="shared" si="6"/>
        <v>0</v>
      </c>
      <c r="P74" s="42">
        <f t="shared" si="7"/>
        <v>0</v>
      </c>
      <c r="Q74" s="42">
        <f t="shared" si="8"/>
        <v>0</v>
      </c>
      <c r="R74" s="43">
        <f t="shared" si="9"/>
        <v>1</v>
      </c>
      <c r="S74" s="43">
        <f t="shared" si="10"/>
        <v>1</v>
      </c>
    </row>
    <row r="75" spans="1:19" ht="14.25" customHeight="1">
      <c r="A75" s="38" t="s">
        <v>519</v>
      </c>
      <c r="B75" s="38" t="s">
        <v>518</v>
      </c>
      <c r="C75" s="39" t="s">
        <v>128</v>
      </c>
      <c r="D75" s="40">
        <v>114.95856000000001</v>
      </c>
      <c r="E75" s="40">
        <f>1.267*8.3454</f>
        <v>10.573621799999998</v>
      </c>
      <c r="F75" s="40" t="s">
        <v>117</v>
      </c>
      <c r="G75" s="40"/>
      <c r="H75" s="41"/>
      <c r="I75" s="41">
        <v>7.2872500000000002</v>
      </c>
      <c r="J75" s="41">
        <v>1499.7134000000001</v>
      </c>
      <c r="K75" s="41">
        <v>224.94489999999999</v>
      </c>
      <c r="L75" s="41">
        <v>501.80399999999997</v>
      </c>
      <c r="M75" s="41">
        <v>724.30200000000002</v>
      </c>
      <c r="N75" s="41" t="s">
        <v>142</v>
      </c>
      <c r="O75" s="42">
        <f t="shared" si="6"/>
        <v>7.2872500000000002</v>
      </c>
      <c r="P75" s="42">
        <f t="shared" si="7"/>
        <v>1499.7134000000001</v>
      </c>
      <c r="Q75" s="42">
        <f t="shared" si="8"/>
        <v>224.94489999999999</v>
      </c>
      <c r="R75" s="43">
        <f t="shared" si="9"/>
        <v>1</v>
      </c>
      <c r="S75" s="43">
        <f t="shared" si="10"/>
        <v>1</v>
      </c>
    </row>
    <row r="76" spans="1:19" ht="14.25" customHeight="1">
      <c r="A76" s="38" t="s">
        <v>517</v>
      </c>
      <c r="B76" s="38" t="s">
        <v>516</v>
      </c>
      <c r="C76" s="39" t="s">
        <v>128</v>
      </c>
      <c r="D76" s="40">
        <v>252.73</v>
      </c>
      <c r="E76" s="40">
        <f>2.89*8.3454</f>
        <v>24.118206000000001</v>
      </c>
      <c r="F76" s="40" t="s">
        <v>117</v>
      </c>
      <c r="G76" s="40"/>
      <c r="H76" s="41"/>
      <c r="I76" s="41">
        <v>7.03871</v>
      </c>
      <c r="J76" s="41">
        <v>1512.0402999999999</v>
      </c>
      <c r="K76" s="41">
        <v>214.80500000000001</v>
      </c>
      <c r="L76" s="41">
        <v>506.16</v>
      </c>
      <c r="M76" s="41">
        <v>811.548</v>
      </c>
      <c r="N76" s="41" t="s">
        <v>142</v>
      </c>
      <c r="O76" s="42">
        <f t="shared" si="6"/>
        <v>7.03871</v>
      </c>
      <c r="P76" s="42">
        <f t="shared" si="7"/>
        <v>1512.0402999999999</v>
      </c>
      <c r="Q76" s="42">
        <f t="shared" si="8"/>
        <v>214.80500000000001</v>
      </c>
      <c r="R76" s="43">
        <f t="shared" si="9"/>
        <v>1</v>
      </c>
      <c r="S76" s="43">
        <f t="shared" si="10"/>
        <v>1</v>
      </c>
    </row>
    <row r="77" spans="1:19" ht="14.25" customHeight="1">
      <c r="A77" s="38" t="s">
        <v>515</v>
      </c>
      <c r="B77" s="38" t="s">
        <v>514</v>
      </c>
      <c r="C77" s="39" t="s">
        <v>155</v>
      </c>
      <c r="D77" s="40">
        <v>74.122</v>
      </c>
      <c r="E77" s="40">
        <v>6.6930139999999998</v>
      </c>
      <c r="F77" s="38" t="s">
        <v>117</v>
      </c>
      <c r="G77" s="40"/>
      <c r="H77" s="41"/>
      <c r="I77" s="41">
        <v>7.4743000000000004</v>
      </c>
      <c r="J77" s="41">
        <v>1314.19</v>
      </c>
      <c r="K77" s="41">
        <v>186.55</v>
      </c>
      <c r="L77" s="41">
        <v>635.67000000000007</v>
      </c>
      <c r="M77" s="41">
        <v>699.67000000000007</v>
      </c>
      <c r="N77" s="41" t="s">
        <v>127</v>
      </c>
      <c r="O77" s="42">
        <f t="shared" si="6"/>
        <v>7.4743000000000004</v>
      </c>
      <c r="P77" s="42">
        <f t="shared" si="7"/>
        <v>1314.19</v>
      </c>
      <c r="Q77" s="42">
        <f t="shared" si="8"/>
        <v>186.55</v>
      </c>
      <c r="R77" s="43">
        <f t="shared" si="9"/>
        <v>1</v>
      </c>
      <c r="S77" s="43">
        <f t="shared" si="10"/>
        <v>1</v>
      </c>
    </row>
    <row r="78" spans="1:19" ht="14.25" customHeight="1">
      <c r="A78" s="38" t="s">
        <v>513</v>
      </c>
      <c r="B78" s="38" t="s">
        <v>512</v>
      </c>
      <c r="C78" s="39" t="s">
        <v>155</v>
      </c>
      <c r="D78" s="40">
        <v>74.12</v>
      </c>
      <c r="E78" s="40">
        <v>6.7597779999999998</v>
      </c>
      <c r="F78" s="38" t="s">
        <v>117</v>
      </c>
      <c r="G78" s="40"/>
      <c r="H78" s="41"/>
      <c r="I78" s="41">
        <v>7.4767999999999999</v>
      </c>
      <c r="J78" s="41">
        <v>1362.39</v>
      </c>
      <c r="K78" s="41">
        <v>178.77</v>
      </c>
      <c r="L78" s="41">
        <v>532.67000000000007</v>
      </c>
      <c r="M78" s="41">
        <v>703.67000000000007</v>
      </c>
      <c r="N78" s="41" t="s">
        <v>127</v>
      </c>
      <c r="O78" s="42">
        <f t="shared" si="6"/>
        <v>7.4767999999999999</v>
      </c>
      <c r="P78" s="42">
        <f t="shared" si="7"/>
        <v>1362.39</v>
      </c>
      <c r="Q78" s="42">
        <f t="shared" si="8"/>
        <v>178.77</v>
      </c>
      <c r="R78" s="43">
        <f t="shared" si="9"/>
        <v>1</v>
      </c>
      <c r="S78" s="43">
        <f t="shared" si="10"/>
        <v>1</v>
      </c>
    </row>
    <row r="79" spans="1:19" ht="14.25" customHeight="1">
      <c r="A79" s="38" t="s">
        <v>511</v>
      </c>
      <c r="B79" s="38" t="s">
        <v>510</v>
      </c>
      <c r="C79" s="39" t="s">
        <v>128</v>
      </c>
      <c r="D79" s="40">
        <v>80.099999999999994</v>
      </c>
      <c r="E79" s="40">
        <f>2.29*8.3454</f>
        <v>19.110966000000001</v>
      </c>
      <c r="F79" s="40" t="s">
        <v>150</v>
      </c>
      <c r="G79" s="40"/>
      <c r="H79" s="41"/>
      <c r="I79" s="45"/>
      <c r="J79" s="45"/>
      <c r="K79" s="45"/>
      <c r="L79" s="45"/>
      <c r="M79" s="45"/>
      <c r="N79" s="41" t="s">
        <v>149</v>
      </c>
      <c r="O79" s="42">
        <f t="shared" si="6"/>
        <v>0</v>
      </c>
      <c r="P79" s="42">
        <f t="shared" si="7"/>
        <v>0</v>
      </c>
      <c r="Q79" s="42">
        <f t="shared" si="8"/>
        <v>0</v>
      </c>
      <c r="R79" s="43">
        <f t="shared" si="9"/>
        <v>1</v>
      </c>
      <c r="S79" s="43">
        <f t="shared" si="10"/>
        <v>1</v>
      </c>
    </row>
    <row r="80" spans="1:19" ht="14.25" customHeight="1">
      <c r="A80" s="38" t="s">
        <v>509</v>
      </c>
      <c r="B80" s="38" t="s">
        <v>508</v>
      </c>
      <c r="C80" s="39" t="s">
        <v>128</v>
      </c>
      <c r="D80" s="40">
        <v>113.16</v>
      </c>
      <c r="E80" s="40">
        <f>1.01*8.34</f>
        <v>8.4233999999999991</v>
      </c>
      <c r="F80" s="40" t="s">
        <v>150</v>
      </c>
      <c r="G80" s="40"/>
      <c r="H80" s="41"/>
      <c r="I80" s="41"/>
      <c r="J80" s="41"/>
      <c r="K80" s="41"/>
      <c r="L80" s="41"/>
      <c r="M80" s="41"/>
      <c r="N80" s="41" t="s">
        <v>137</v>
      </c>
      <c r="O80" s="42">
        <f t="shared" si="6"/>
        <v>0</v>
      </c>
      <c r="P80" s="42">
        <f t="shared" si="7"/>
        <v>0</v>
      </c>
      <c r="Q80" s="42">
        <f t="shared" si="8"/>
        <v>0</v>
      </c>
      <c r="R80" s="43">
        <f t="shared" si="9"/>
        <v>1</v>
      </c>
      <c r="S80" s="43">
        <f t="shared" si="10"/>
        <v>1</v>
      </c>
    </row>
    <row r="81" spans="1:19" ht="14.25" customHeight="1">
      <c r="A81" s="38" t="s">
        <v>507</v>
      </c>
      <c r="B81" s="38" t="s">
        <v>506</v>
      </c>
      <c r="C81" s="39" t="s">
        <v>128</v>
      </c>
      <c r="D81" s="40">
        <v>300.58999999999997</v>
      </c>
      <c r="E81" s="40">
        <f>1.74*8.3454</f>
        <v>14.520996</v>
      </c>
      <c r="F81" s="40" t="s">
        <v>150</v>
      </c>
      <c r="G81" s="40"/>
      <c r="H81" s="41"/>
      <c r="I81" s="41"/>
      <c r="J81" s="41"/>
      <c r="K81" s="41"/>
      <c r="L81" s="41"/>
      <c r="M81" s="41"/>
      <c r="N81" s="41" t="s">
        <v>149</v>
      </c>
      <c r="O81" s="42">
        <f t="shared" si="6"/>
        <v>0</v>
      </c>
      <c r="P81" s="42">
        <f t="shared" si="7"/>
        <v>0</v>
      </c>
      <c r="Q81" s="42">
        <f t="shared" si="8"/>
        <v>0</v>
      </c>
      <c r="R81" s="43">
        <f t="shared" si="9"/>
        <v>1</v>
      </c>
      <c r="S81" s="43">
        <f t="shared" si="10"/>
        <v>1</v>
      </c>
    </row>
    <row r="82" spans="1:19" ht="14.25" customHeight="1">
      <c r="A82" s="38" t="s">
        <v>505</v>
      </c>
      <c r="B82" s="38" t="s">
        <v>504</v>
      </c>
      <c r="C82" s="39" t="s">
        <v>128</v>
      </c>
      <c r="D82" s="40">
        <v>201.22</v>
      </c>
      <c r="E82" s="40">
        <f>1.232*8.3454</f>
        <v>10.281532799999999</v>
      </c>
      <c r="F82" s="40" t="s">
        <v>150</v>
      </c>
      <c r="G82" s="40"/>
      <c r="H82" s="41"/>
      <c r="I82" s="41"/>
      <c r="J82" s="41"/>
      <c r="K82" s="41"/>
      <c r="L82" s="41"/>
      <c r="M82" s="41"/>
      <c r="N82" s="41" t="s">
        <v>149</v>
      </c>
      <c r="O82" s="42">
        <f t="shared" si="6"/>
        <v>0</v>
      </c>
      <c r="P82" s="42">
        <f t="shared" si="7"/>
        <v>0</v>
      </c>
      <c r="Q82" s="42">
        <f t="shared" si="8"/>
        <v>0</v>
      </c>
      <c r="R82" s="43">
        <f t="shared" si="9"/>
        <v>1</v>
      </c>
      <c r="S82" s="43">
        <f t="shared" si="10"/>
        <v>1</v>
      </c>
    </row>
    <row r="83" spans="1:19" ht="14.25" customHeight="1">
      <c r="A83" s="38" t="s">
        <v>503</v>
      </c>
      <c r="B83" s="38" t="s">
        <v>502</v>
      </c>
      <c r="C83" s="39" t="s">
        <v>159</v>
      </c>
      <c r="D83" s="40">
        <v>44.01</v>
      </c>
      <c r="E83" s="40">
        <f>1.26*8.34</f>
        <v>10.5084</v>
      </c>
      <c r="F83" s="40" t="s">
        <v>117</v>
      </c>
      <c r="G83" s="40"/>
      <c r="H83" s="41"/>
      <c r="I83" s="41">
        <f>7.58828-LOG10(1.01325/760)</f>
        <v>10.463376979867061</v>
      </c>
      <c r="J83" s="41">
        <v>861.82</v>
      </c>
      <c r="K83" s="41">
        <f>271.883+273.15</f>
        <v>545.0329999999999</v>
      </c>
      <c r="L83" s="41">
        <v>389.84399999999999</v>
      </c>
      <c r="M83" s="41">
        <v>547.54200000000003</v>
      </c>
      <c r="N83" s="41" t="s">
        <v>497</v>
      </c>
      <c r="O83" s="42">
        <f t="shared" si="6"/>
        <v>10.463376979867061</v>
      </c>
      <c r="P83" s="42">
        <f t="shared" si="7"/>
        <v>861.82</v>
      </c>
      <c r="Q83" s="42">
        <f t="shared" si="8"/>
        <v>545.0329999999999</v>
      </c>
      <c r="R83" s="43">
        <f t="shared" si="9"/>
        <v>1</v>
      </c>
      <c r="S83" s="43">
        <f t="shared" si="10"/>
        <v>1</v>
      </c>
    </row>
    <row r="84" spans="1:19" ht="14.25" customHeight="1">
      <c r="A84" s="38" t="s">
        <v>501</v>
      </c>
      <c r="B84" s="38" t="s">
        <v>500</v>
      </c>
      <c r="C84" s="39" t="s">
        <v>128</v>
      </c>
      <c r="D84" s="40">
        <v>76.13</v>
      </c>
      <c r="E84" s="40">
        <v>10.587999999999999</v>
      </c>
      <c r="F84" s="38" t="s">
        <v>117</v>
      </c>
      <c r="G84" s="40"/>
      <c r="H84" s="41"/>
      <c r="I84" s="41">
        <v>6.9420000000000002</v>
      </c>
      <c r="J84" s="41">
        <v>1169.1099999999999</v>
      </c>
      <c r="K84" s="41">
        <v>241.59</v>
      </c>
      <c r="L84" s="41">
        <v>497.67</v>
      </c>
      <c r="M84" s="41">
        <v>635.67000000000007</v>
      </c>
      <c r="N84" s="41" t="s">
        <v>127</v>
      </c>
      <c r="O84" s="42">
        <f t="shared" si="6"/>
        <v>6.9420000000000002</v>
      </c>
      <c r="P84" s="42">
        <f t="shared" si="7"/>
        <v>1169.1099999999999</v>
      </c>
      <c r="Q84" s="42">
        <f t="shared" si="8"/>
        <v>241.59</v>
      </c>
      <c r="R84" s="43">
        <f t="shared" si="9"/>
        <v>1</v>
      </c>
      <c r="S84" s="43">
        <f t="shared" si="10"/>
        <v>1</v>
      </c>
    </row>
    <row r="85" spans="1:19" ht="14.25" customHeight="1">
      <c r="A85" s="38" t="s">
        <v>499</v>
      </c>
      <c r="B85" s="38" t="s">
        <v>498</v>
      </c>
      <c r="C85" s="39" t="s">
        <v>159</v>
      </c>
      <c r="D85" s="40">
        <v>28.01</v>
      </c>
      <c r="E85" s="40">
        <f>0.789*8.34</f>
        <v>6.58026</v>
      </c>
      <c r="F85" s="40" t="s">
        <v>117</v>
      </c>
      <c r="G85" s="40"/>
      <c r="H85" s="41"/>
      <c r="I85" s="41">
        <f>6.72527-LOG10(1.01325/760)</f>
        <v>9.6003669798670614</v>
      </c>
      <c r="J85" s="41">
        <v>295.22800000000001</v>
      </c>
      <c r="K85" s="41">
        <f>268.243+273.15</f>
        <v>541.39300000000003</v>
      </c>
      <c r="L85" s="41">
        <v>122.67</v>
      </c>
      <c r="M85" s="41">
        <v>239.256</v>
      </c>
      <c r="N85" s="41" t="s">
        <v>497</v>
      </c>
      <c r="O85" s="42">
        <f t="shared" si="6"/>
        <v>9.6003669798670614</v>
      </c>
      <c r="P85" s="42">
        <f t="shared" si="7"/>
        <v>295.22800000000001</v>
      </c>
      <c r="Q85" s="42">
        <f t="shared" si="8"/>
        <v>541.39300000000003</v>
      </c>
      <c r="R85" s="43">
        <f t="shared" si="9"/>
        <v>1</v>
      </c>
      <c r="S85" s="43">
        <f t="shared" si="10"/>
        <v>1</v>
      </c>
    </row>
    <row r="86" spans="1:19" ht="14.25" customHeight="1">
      <c r="A86" s="38" t="s">
        <v>496</v>
      </c>
      <c r="B86" s="38" t="s">
        <v>495</v>
      </c>
      <c r="C86" s="39" t="s">
        <v>128</v>
      </c>
      <c r="D86" s="40">
        <v>153.84</v>
      </c>
      <c r="E86" s="40">
        <v>13.366</v>
      </c>
      <c r="F86" s="38" t="s">
        <v>117</v>
      </c>
      <c r="G86" s="40"/>
      <c r="H86" s="41"/>
      <c r="I86" s="41">
        <v>6.9340000000000002</v>
      </c>
      <c r="J86" s="41">
        <v>1242.43</v>
      </c>
      <c r="K86" s="41">
        <v>230</v>
      </c>
      <c r="L86" s="41">
        <v>527.67000000000007</v>
      </c>
      <c r="M86" s="41">
        <v>631.67000000000007</v>
      </c>
      <c r="N86" s="41" t="s">
        <v>127</v>
      </c>
      <c r="O86" s="42">
        <f t="shared" si="6"/>
        <v>6.9340000000000002</v>
      </c>
      <c r="P86" s="42">
        <f t="shared" si="7"/>
        <v>1242.43</v>
      </c>
      <c r="Q86" s="42">
        <f t="shared" si="8"/>
        <v>230</v>
      </c>
      <c r="R86" s="43">
        <f t="shared" si="9"/>
        <v>1</v>
      </c>
      <c r="S86" s="43">
        <f t="shared" si="10"/>
        <v>1</v>
      </c>
    </row>
    <row r="87" spans="1:19" ht="14.25" customHeight="1">
      <c r="A87" s="38" t="s">
        <v>494</v>
      </c>
      <c r="B87" s="38" t="s">
        <v>493</v>
      </c>
      <c r="C87" s="39" t="s">
        <v>159</v>
      </c>
      <c r="D87" s="40">
        <v>62.024000000000001</v>
      </c>
      <c r="E87" s="40">
        <f>1.668*8.34</f>
        <v>13.911119999999999</v>
      </c>
      <c r="F87" s="40" t="s">
        <v>150</v>
      </c>
      <c r="G87" s="40"/>
      <c r="H87" s="41"/>
      <c r="I87" s="45"/>
      <c r="J87" s="45"/>
      <c r="K87" s="45"/>
      <c r="L87" s="45"/>
      <c r="M87" s="45"/>
      <c r="N87" s="41" t="s">
        <v>171</v>
      </c>
      <c r="O87" s="42">
        <f t="shared" si="6"/>
        <v>0</v>
      </c>
      <c r="P87" s="42">
        <f t="shared" si="7"/>
        <v>0</v>
      </c>
      <c r="Q87" s="42">
        <f t="shared" si="8"/>
        <v>0</v>
      </c>
      <c r="R87" s="43">
        <f t="shared" si="9"/>
        <v>1</v>
      </c>
      <c r="S87" s="43">
        <f t="shared" si="10"/>
        <v>1</v>
      </c>
    </row>
    <row r="88" spans="1:19" ht="14.25" customHeight="1">
      <c r="A88" s="38" t="s">
        <v>492</v>
      </c>
      <c r="B88" s="38" t="s">
        <v>491</v>
      </c>
      <c r="C88" s="39" t="s">
        <v>128</v>
      </c>
      <c r="D88" s="40">
        <v>60.08</v>
      </c>
      <c r="E88" s="40">
        <f>2.51*8.3454</f>
        <v>20.946953999999998</v>
      </c>
      <c r="F88" s="40" t="s">
        <v>117</v>
      </c>
      <c r="G88" s="40"/>
      <c r="H88" s="41"/>
      <c r="I88" s="41">
        <v>7.00732</v>
      </c>
      <c r="J88" s="41">
        <v>833.15779999999995</v>
      </c>
      <c r="K88" s="41">
        <v>252.06399999999999</v>
      </c>
      <c r="L88" s="41">
        <v>287.60400000000004</v>
      </c>
      <c r="M88" s="41">
        <v>681.78600000000006</v>
      </c>
      <c r="N88" s="41" t="s">
        <v>142</v>
      </c>
      <c r="O88" s="42">
        <f t="shared" si="6"/>
        <v>7.00732</v>
      </c>
      <c r="P88" s="42">
        <f t="shared" si="7"/>
        <v>833.15779999999995</v>
      </c>
      <c r="Q88" s="42">
        <f t="shared" si="8"/>
        <v>252.06399999999999</v>
      </c>
      <c r="R88" s="43">
        <f t="shared" si="9"/>
        <v>1</v>
      </c>
      <c r="S88" s="43">
        <f t="shared" si="10"/>
        <v>1</v>
      </c>
    </row>
    <row r="89" spans="1:19" ht="14.25" customHeight="1">
      <c r="A89" s="38" t="s">
        <v>490</v>
      </c>
      <c r="B89" s="38" t="s">
        <v>489</v>
      </c>
      <c r="C89" s="39" t="s">
        <v>128</v>
      </c>
      <c r="D89" s="40">
        <v>110.11</v>
      </c>
      <c r="E89" s="40">
        <f>1.344*8.3454</f>
        <v>11.2162176</v>
      </c>
      <c r="F89" s="40" t="s">
        <v>117</v>
      </c>
      <c r="G89" s="40"/>
      <c r="H89" s="41"/>
      <c r="I89" s="41">
        <f>5.5033 -LOG10(1.01325/760)</f>
        <v>8.3783969798670608</v>
      </c>
      <c r="J89" s="41">
        <v>2713.1529999999998</v>
      </c>
      <c r="K89" s="41">
        <f>-23.96+273.15</f>
        <v>249.18999999999997</v>
      </c>
      <c r="L89" s="41">
        <v>705.06</v>
      </c>
      <c r="M89" s="41">
        <v>933.66</v>
      </c>
      <c r="N89" s="41" t="s">
        <v>208</v>
      </c>
      <c r="O89" s="42">
        <f t="shared" si="6"/>
        <v>8.3783969798670608</v>
      </c>
      <c r="P89" s="42">
        <f t="shared" si="7"/>
        <v>2713.1529999999998</v>
      </c>
      <c r="Q89" s="42">
        <f t="shared" si="8"/>
        <v>249.18999999999997</v>
      </c>
      <c r="R89" s="43">
        <f t="shared" si="9"/>
        <v>1</v>
      </c>
      <c r="S89" s="43">
        <f t="shared" si="10"/>
        <v>1</v>
      </c>
    </row>
    <row r="90" spans="1:19" ht="14.25" customHeight="1">
      <c r="A90" s="38" t="s">
        <v>488</v>
      </c>
      <c r="B90" s="38" t="s">
        <v>487</v>
      </c>
      <c r="C90" s="39" t="s">
        <v>128</v>
      </c>
      <c r="D90" s="40">
        <v>206.03</v>
      </c>
      <c r="E90" s="40">
        <f>1.4062*8.3454</f>
        <v>11.735301479999999</v>
      </c>
      <c r="F90" s="40" t="s">
        <v>150</v>
      </c>
      <c r="G90" s="40"/>
      <c r="H90" s="41"/>
      <c r="I90" s="41"/>
      <c r="J90" s="41"/>
      <c r="K90" s="41"/>
      <c r="L90" s="41"/>
      <c r="M90" s="41"/>
      <c r="N90" s="41" t="s">
        <v>244</v>
      </c>
      <c r="O90" s="42">
        <f t="shared" si="6"/>
        <v>0</v>
      </c>
      <c r="P90" s="42">
        <f t="shared" si="7"/>
        <v>0</v>
      </c>
      <c r="Q90" s="42">
        <f t="shared" si="8"/>
        <v>0</v>
      </c>
      <c r="R90" s="43">
        <f t="shared" si="9"/>
        <v>1</v>
      </c>
      <c r="S90" s="43">
        <f t="shared" si="10"/>
        <v>1</v>
      </c>
    </row>
    <row r="91" spans="1:19" ht="14.25" customHeight="1">
      <c r="A91" s="38" t="s">
        <v>486</v>
      </c>
      <c r="B91" s="38" t="s">
        <v>485</v>
      </c>
      <c r="C91" s="39" t="s">
        <v>128</v>
      </c>
      <c r="D91" s="40">
        <v>409.78</v>
      </c>
      <c r="E91" s="40">
        <f>1.8*8.3454</f>
        <v>15.02172</v>
      </c>
      <c r="F91" s="40" t="s">
        <v>150</v>
      </c>
      <c r="G91" s="40"/>
      <c r="H91" s="41"/>
      <c r="I91" s="41"/>
      <c r="J91" s="41"/>
      <c r="K91" s="41"/>
      <c r="L91" s="41"/>
      <c r="M91" s="41"/>
      <c r="N91" s="41" t="s">
        <v>244</v>
      </c>
      <c r="O91" s="42">
        <f t="shared" si="6"/>
        <v>0</v>
      </c>
      <c r="P91" s="42">
        <f t="shared" si="7"/>
        <v>0</v>
      </c>
      <c r="Q91" s="42">
        <f t="shared" si="8"/>
        <v>0</v>
      </c>
      <c r="R91" s="43">
        <f t="shared" si="9"/>
        <v>1</v>
      </c>
      <c r="S91" s="43">
        <f t="shared" si="10"/>
        <v>1</v>
      </c>
    </row>
    <row r="92" spans="1:19" ht="14.25" customHeight="1">
      <c r="A92" s="38" t="s">
        <v>484</v>
      </c>
      <c r="B92" s="38" t="s">
        <v>483</v>
      </c>
      <c r="C92" s="39" t="s">
        <v>128</v>
      </c>
      <c r="D92" s="40">
        <v>70.91</v>
      </c>
      <c r="E92" s="40">
        <f>1.468*8.3454</f>
        <v>12.251047199999999</v>
      </c>
      <c r="F92" s="40" t="s">
        <v>117</v>
      </c>
      <c r="G92" s="40"/>
      <c r="H92" s="41"/>
      <c r="I92" s="41">
        <v>7.0630600000000001</v>
      </c>
      <c r="J92" s="41">
        <v>906.70309999999995</v>
      </c>
      <c r="K92" s="41">
        <v>250.83</v>
      </c>
      <c r="L92" s="41">
        <v>309.81600000000003</v>
      </c>
      <c r="M92" s="41">
        <v>750.87</v>
      </c>
      <c r="N92" s="41" t="s">
        <v>142</v>
      </c>
      <c r="O92" s="42">
        <f t="shared" si="6"/>
        <v>7.0630600000000001</v>
      </c>
      <c r="P92" s="42">
        <f t="shared" si="7"/>
        <v>906.70309999999995</v>
      </c>
      <c r="Q92" s="42">
        <f t="shared" si="8"/>
        <v>250.83</v>
      </c>
      <c r="R92" s="43">
        <f t="shared" si="9"/>
        <v>1</v>
      </c>
      <c r="S92" s="43">
        <f t="shared" si="10"/>
        <v>1</v>
      </c>
    </row>
    <row r="93" spans="1:19" ht="14.25" customHeight="1">
      <c r="A93" s="38" t="s">
        <v>482</v>
      </c>
      <c r="B93" s="38" t="s">
        <v>481</v>
      </c>
      <c r="C93" s="39" t="s">
        <v>128</v>
      </c>
      <c r="D93" s="40">
        <v>94.5</v>
      </c>
      <c r="E93" s="40">
        <f>1.58*8.3454</f>
        <v>13.185732</v>
      </c>
      <c r="F93" s="40" t="s">
        <v>117</v>
      </c>
      <c r="G93" s="40"/>
      <c r="H93" s="41"/>
      <c r="I93" s="41">
        <v>7.5424199999999999</v>
      </c>
      <c r="J93" s="41">
        <v>1714.4498000000001</v>
      </c>
      <c r="K93" s="41">
        <v>178.73099999999999</v>
      </c>
      <c r="L93" s="41">
        <v>632.79</v>
      </c>
      <c r="M93" s="41">
        <v>878.38200000000006</v>
      </c>
      <c r="N93" s="41" t="s">
        <v>142</v>
      </c>
      <c r="O93" s="42">
        <f t="shared" si="6"/>
        <v>7.5424199999999999</v>
      </c>
      <c r="P93" s="42">
        <f t="shared" si="7"/>
        <v>1714.4498000000001</v>
      </c>
      <c r="Q93" s="42">
        <f t="shared" si="8"/>
        <v>178.73099999999999</v>
      </c>
      <c r="R93" s="43">
        <f t="shared" si="9"/>
        <v>1</v>
      </c>
      <c r="S93" s="43">
        <f t="shared" si="10"/>
        <v>1</v>
      </c>
    </row>
    <row r="94" spans="1:19" ht="14.25" customHeight="1">
      <c r="A94" s="38" t="s">
        <v>480</v>
      </c>
      <c r="B94" s="38" t="s">
        <v>479</v>
      </c>
      <c r="C94" s="39" t="s">
        <v>128</v>
      </c>
      <c r="D94" s="40">
        <v>112.56</v>
      </c>
      <c r="E94" s="40">
        <v>9.2633989999999997</v>
      </c>
      <c r="F94" s="38" t="s">
        <v>117</v>
      </c>
      <c r="G94" s="40"/>
      <c r="H94" s="41"/>
      <c r="I94" s="41">
        <v>6.9779999999999998</v>
      </c>
      <c r="J94" s="41">
        <v>1431.05</v>
      </c>
      <c r="K94" s="41">
        <v>217.55</v>
      </c>
      <c r="L94" s="41">
        <v>603.67000000000007</v>
      </c>
      <c r="M94" s="41">
        <v>728.67000000000007</v>
      </c>
      <c r="N94" s="41" t="s">
        <v>127</v>
      </c>
      <c r="O94" s="42">
        <f t="shared" si="6"/>
        <v>6.9779999999999998</v>
      </c>
      <c r="P94" s="42">
        <f t="shared" si="7"/>
        <v>1431.05</v>
      </c>
      <c r="Q94" s="42">
        <f t="shared" si="8"/>
        <v>217.55</v>
      </c>
      <c r="R94" s="43">
        <f t="shared" si="9"/>
        <v>1</v>
      </c>
      <c r="S94" s="43">
        <f t="shared" si="10"/>
        <v>1</v>
      </c>
    </row>
    <row r="95" spans="1:19" ht="14.25" customHeight="1">
      <c r="A95" s="38" t="s">
        <v>478</v>
      </c>
      <c r="B95" s="38" t="s">
        <v>477</v>
      </c>
      <c r="C95" s="39" t="s">
        <v>128</v>
      </c>
      <c r="D95" s="40">
        <v>325.19</v>
      </c>
      <c r="E95" s="40">
        <f>1.332*8.3454</f>
        <v>11.1160728</v>
      </c>
      <c r="F95" s="40" t="s">
        <v>150</v>
      </c>
      <c r="G95" s="40"/>
      <c r="H95" s="41"/>
      <c r="I95" s="41"/>
      <c r="J95" s="41"/>
      <c r="K95" s="41"/>
      <c r="L95" s="41"/>
      <c r="M95" s="41"/>
      <c r="N95" s="41" t="s">
        <v>244</v>
      </c>
      <c r="O95" s="42">
        <f t="shared" si="6"/>
        <v>0</v>
      </c>
      <c r="P95" s="42">
        <f t="shared" si="7"/>
        <v>0</v>
      </c>
      <c r="Q95" s="42">
        <f t="shared" si="8"/>
        <v>0</v>
      </c>
      <c r="R95" s="43">
        <f t="shared" si="9"/>
        <v>1</v>
      </c>
      <c r="S95" s="43">
        <f t="shared" si="10"/>
        <v>1</v>
      </c>
    </row>
    <row r="96" spans="1:19" ht="14.25" customHeight="1">
      <c r="A96" s="38" t="s">
        <v>476</v>
      </c>
      <c r="B96" s="38" t="s">
        <v>475</v>
      </c>
      <c r="C96" s="39" t="s">
        <v>128</v>
      </c>
      <c r="D96" s="40">
        <v>119.39</v>
      </c>
      <c r="E96" s="40">
        <v>12.488</v>
      </c>
      <c r="F96" s="38" t="s">
        <v>117</v>
      </c>
      <c r="G96" s="40"/>
      <c r="H96" s="41"/>
      <c r="I96" s="41">
        <v>6.4930000000000003</v>
      </c>
      <c r="J96" s="41">
        <v>929.44</v>
      </c>
      <c r="K96" s="41">
        <v>196.03</v>
      </c>
      <c r="L96" s="41">
        <v>386.67</v>
      </c>
      <c r="M96" s="41">
        <v>601.67000000000007</v>
      </c>
      <c r="N96" s="41" t="s">
        <v>127</v>
      </c>
      <c r="O96" s="42">
        <f t="shared" si="6"/>
        <v>6.4930000000000003</v>
      </c>
      <c r="P96" s="42">
        <f t="shared" si="7"/>
        <v>929.44</v>
      </c>
      <c r="Q96" s="42">
        <f t="shared" si="8"/>
        <v>196.03</v>
      </c>
      <c r="R96" s="43">
        <f t="shared" si="9"/>
        <v>1</v>
      </c>
      <c r="S96" s="43">
        <f t="shared" si="10"/>
        <v>1</v>
      </c>
    </row>
    <row r="97" spans="1:19" ht="14.25" customHeight="1">
      <c r="A97" s="38" t="s">
        <v>474</v>
      </c>
      <c r="B97" s="38" t="s">
        <v>473</v>
      </c>
      <c r="C97" s="39" t="s">
        <v>128</v>
      </c>
      <c r="D97" s="40">
        <v>80.513499999999993</v>
      </c>
      <c r="E97" s="40">
        <f>1.0605*8.3454</f>
        <v>8.8502966999999995</v>
      </c>
      <c r="F97" s="40" t="s">
        <v>117</v>
      </c>
      <c r="G97" s="40"/>
      <c r="H97" s="41"/>
      <c r="I97" s="41">
        <v>7.35419</v>
      </c>
      <c r="J97" s="41">
        <v>1277.4295</v>
      </c>
      <c r="K97" s="41">
        <v>229.51300000000001</v>
      </c>
      <c r="L97" s="41">
        <v>440.40600000000001</v>
      </c>
      <c r="M97" s="41">
        <v>637.95600000000002</v>
      </c>
      <c r="N97" s="41" t="s">
        <v>142</v>
      </c>
      <c r="O97" s="42">
        <f t="shared" si="6"/>
        <v>7.35419</v>
      </c>
      <c r="P97" s="42">
        <f t="shared" si="7"/>
        <v>1277.4295</v>
      </c>
      <c r="Q97" s="42">
        <f t="shared" si="8"/>
        <v>229.51300000000001</v>
      </c>
      <c r="R97" s="43">
        <f t="shared" si="9"/>
        <v>1</v>
      </c>
      <c r="S97" s="43">
        <f t="shared" si="10"/>
        <v>1</v>
      </c>
    </row>
    <row r="98" spans="1:19" ht="14.25" customHeight="1">
      <c r="A98" s="38" t="s">
        <v>472</v>
      </c>
      <c r="B98" s="38" t="s">
        <v>471</v>
      </c>
      <c r="C98" s="39" t="s">
        <v>128</v>
      </c>
      <c r="D98" s="40">
        <v>88.54</v>
      </c>
      <c r="E98" s="40">
        <v>8.0459999999999994</v>
      </c>
      <c r="F98" s="38" t="s">
        <v>117</v>
      </c>
      <c r="G98" s="40"/>
      <c r="H98" s="41"/>
      <c r="I98" s="41">
        <v>6.1609999999999996</v>
      </c>
      <c r="J98" s="41">
        <v>783.45</v>
      </c>
      <c r="K98" s="41">
        <v>179.7</v>
      </c>
      <c r="L98" s="41">
        <v>527.67000000000007</v>
      </c>
      <c r="M98" s="41">
        <v>599.67000000000007</v>
      </c>
      <c r="N98" s="41" t="s">
        <v>127</v>
      </c>
      <c r="O98" s="42">
        <f t="shared" si="6"/>
        <v>6.1609999999999996</v>
      </c>
      <c r="P98" s="42">
        <f t="shared" si="7"/>
        <v>783.45</v>
      </c>
      <c r="Q98" s="42">
        <f t="shared" si="8"/>
        <v>179.7</v>
      </c>
      <c r="R98" s="43">
        <f t="shared" si="9"/>
        <v>1</v>
      </c>
      <c r="S98" s="43">
        <f t="shared" si="10"/>
        <v>1</v>
      </c>
    </row>
    <row r="99" spans="1:19" ht="14.25" customHeight="1">
      <c r="A99" s="38" t="s">
        <v>470</v>
      </c>
      <c r="B99" s="38" t="s">
        <v>469</v>
      </c>
      <c r="C99" s="39" t="s">
        <v>128</v>
      </c>
      <c r="D99" s="40">
        <v>108.14</v>
      </c>
      <c r="E99" s="40">
        <v>8.6291480000000007</v>
      </c>
      <c r="F99" s="38" t="s">
        <v>117</v>
      </c>
      <c r="G99" s="40"/>
      <c r="H99" s="41"/>
      <c r="I99" s="41">
        <v>7.508</v>
      </c>
      <c r="J99" s="41">
        <v>1856.36</v>
      </c>
      <c r="K99" s="41">
        <v>199.07</v>
      </c>
      <c r="L99" s="41">
        <v>760.67000000000007</v>
      </c>
      <c r="M99" s="41">
        <v>853.67000000000007</v>
      </c>
      <c r="N99" s="41" t="s">
        <v>127</v>
      </c>
      <c r="O99" s="42">
        <f t="shared" si="6"/>
        <v>7.508</v>
      </c>
      <c r="P99" s="42">
        <f t="shared" si="7"/>
        <v>1856.36</v>
      </c>
      <c r="Q99" s="42">
        <f t="shared" si="8"/>
        <v>199.07</v>
      </c>
      <c r="R99" s="43">
        <f t="shared" si="9"/>
        <v>1</v>
      </c>
      <c r="S99" s="43">
        <f t="shared" si="10"/>
        <v>1</v>
      </c>
    </row>
    <row r="100" spans="1:19" ht="14.25" customHeight="1">
      <c r="A100" s="38" t="s">
        <v>468</v>
      </c>
      <c r="B100" s="38" t="s">
        <v>467</v>
      </c>
      <c r="C100" s="39" t="s">
        <v>128</v>
      </c>
      <c r="D100" s="40">
        <v>108.14</v>
      </c>
      <c r="E100" s="40">
        <v>8.7626749999999998</v>
      </c>
      <c r="F100" s="38" t="s">
        <v>117</v>
      </c>
      <c r="G100" s="40"/>
      <c r="H100" s="41"/>
      <c r="I100" s="41">
        <v>6.9109999999999996</v>
      </c>
      <c r="J100" s="41">
        <v>1435.5</v>
      </c>
      <c r="K100" s="41">
        <v>165.16</v>
      </c>
      <c r="L100" s="41">
        <v>707.67000000000007</v>
      </c>
      <c r="M100" s="41">
        <v>835.67000000000007</v>
      </c>
      <c r="N100" s="41" t="s">
        <v>127</v>
      </c>
      <c r="O100" s="42">
        <f t="shared" si="6"/>
        <v>6.9109999999999996</v>
      </c>
      <c r="P100" s="42">
        <f t="shared" si="7"/>
        <v>1435.5</v>
      </c>
      <c r="Q100" s="42">
        <f t="shared" si="8"/>
        <v>165.16</v>
      </c>
      <c r="R100" s="43">
        <f t="shared" si="9"/>
        <v>1</v>
      </c>
      <c r="S100" s="43">
        <f t="shared" si="10"/>
        <v>1</v>
      </c>
    </row>
    <row r="101" spans="1:19" ht="14.25" customHeight="1">
      <c r="A101" s="38" t="s">
        <v>466</v>
      </c>
      <c r="B101" s="38" t="s">
        <v>465</v>
      </c>
      <c r="C101" s="39" t="s">
        <v>128</v>
      </c>
      <c r="D101" s="40">
        <v>108.14</v>
      </c>
      <c r="E101" s="40">
        <v>8.5957670000000004</v>
      </c>
      <c r="F101" s="38" t="s">
        <v>117</v>
      </c>
      <c r="G101" s="40"/>
      <c r="H101" s="41"/>
      <c r="I101" s="41">
        <v>7.0350000000000001</v>
      </c>
      <c r="J101" s="41">
        <v>1511.08</v>
      </c>
      <c r="K101" s="41">
        <v>161.85</v>
      </c>
      <c r="L101" s="41">
        <v>721.67000000000007</v>
      </c>
      <c r="M101" s="41">
        <v>854.67000000000007</v>
      </c>
      <c r="N101" s="41" t="s">
        <v>127</v>
      </c>
      <c r="O101" s="42">
        <f t="shared" si="6"/>
        <v>7.0350000000000001</v>
      </c>
      <c r="P101" s="42">
        <f t="shared" si="7"/>
        <v>1511.08</v>
      </c>
      <c r="Q101" s="42">
        <f t="shared" si="8"/>
        <v>161.85</v>
      </c>
      <c r="R101" s="43">
        <f t="shared" si="9"/>
        <v>1</v>
      </c>
      <c r="S101" s="43">
        <f t="shared" si="10"/>
        <v>1</v>
      </c>
    </row>
    <row r="102" spans="1:19" ht="14.25" customHeight="1">
      <c r="A102" s="38" t="s">
        <v>464</v>
      </c>
      <c r="B102" s="38" t="s">
        <v>463</v>
      </c>
      <c r="C102" s="39" t="s">
        <v>128</v>
      </c>
      <c r="D102" s="40">
        <v>108.13800000000001</v>
      </c>
      <c r="E102" s="40">
        <v>8.6235599999999994</v>
      </c>
      <c r="F102" s="40" t="s">
        <v>117</v>
      </c>
      <c r="G102" s="40"/>
      <c r="H102" s="41"/>
      <c r="I102" s="41">
        <f>4.14093 -LOG10(1.01325/760)</f>
        <v>7.0160269798670605</v>
      </c>
      <c r="J102" s="41">
        <v>1498.579</v>
      </c>
      <c r="K102" s="41">
        <f>-112.6+273.15</f>
        <v>160.54999999999998</v>
      </c>
      <c r="L102" s="41">
        <v>722.16</v>
      </c>
      <c r="M102" s="41">
        <v>855.05399999999997</v>
      </c>
      <c r="N102" s="41" t="s">
        <v>462</v>
      </c>
      <c r="O102" s="42">
        <f t="shared" si="6"/>
        <v>7.0160269798670605</v>
      </c>
      <c r="P102" s="42">
        <f t="shared" si="7"/>
        <v>1498.579</v>
      </c>
      <c r="Q102" s="42">
        <f t="shared" si="8"/>
        <v>160.54999999999998</v>
      </c>
      <c r="R102" s="43">
        <f t="shared" si="9"/>
        <v>1</v>
      </c>
      <c r="S102" s="43">
        <f t="shared" si="10"/>
        <v>1</v>
      </c>
    </row>
    <row r="103" spans="1:19" ht="14.25" customHeight="1">
      <c r="A103" s="38" t="s">
        <v>461</v>
      </c>
      <c r="B103" s="38" t="s">
        <v>196</v>
      </c>
      <c r="C103" s="39" t="s">
        <v>155</v>
      </c>
      <c r="D103" s="40">
        <v>50</v>
      </c>
      <c r="E103" s="40">
        <v>7.1</v>
      </c>
      <c r="F103" s="38" t="s">
        <v>460</v>
      </c>
      <c r="G103" s="40">
        <v>5</v>
      </c>
      <c r="H103" s="41"/>
      <c r="I103" s="41"/>
      <c r="J103" s="41"/>
      <c r="K103" s="41"/>
      <c r="L103" s="41"/>
      <c r="M103" s="41"/>
      <c r="N103" s="41" t="s">
        <v>362</v>
      </c>
      <c r="O103" s="42">
        <f t="shared" si="6"/>
        <v>11.263351651093739</v>
      </c>
      <c r="P103" s="42">
        <f t="shared" si="7"/>
        <v>5303.9234984801342</v>
      </c>
      <c r="Q103" s="42">
        <f t="shared" si="8"/>
        <v>0</v>
      </c>
      <c r="R103" s="43">
        <f t="shared" si="9"/>
        <v>0.4</v>
      </c>
      <c r="S103" s="43">
        <f t="shared" si="10"/>
        <v>0.75</v>
      </c>
    </row>
    <row r="104" spans="1:19" ht="14.25" customHeight="1">
      <c r="A104" s="38" t="s">
        <v>459</v>
      </c>
      <c r="B104" s="38" t="s">
        <v>458</v>
      </c>
      <c r="C104" s="39" t="s">
        <v>128</v>
      </c>
      <c r="D104" s="40">
        <v>120.2</v>
      </c>
      <c r="E104" s="40">
        <v>7.1937389999999999</v>
      </c>
      <c r="F104" s="38" t="s">
        <v>117</v>
      </c>
      <c r="G104" s="40"/>
      <c r="H104" s="41"/>
      <c r="I104" s="41">
        <v>6.9366599999999998</v>
      </c>
      <c r="J104" s="41">
        <v>1460.7929999999999</v>
      </c>
      <c r="K104" s="41">
        <v>207.78</v>
      </c>
      <c r="L104" s="41">
        <v>617.67000000000007</v>
      </c>
      <c r="M104" s="41">
        <v>767.67000000000007</v>
      </c>
      <c r="N104" s="41" t="s">
        <v>127</v>
      </c>
      <c r="O104" s="42">
        <f t="shared" si="6"/>
        <v>6.9366599999999998</v>
      </c>
      <c r="P104" s="42">
        <f t="shared" si="7"/>
        <v>1460.7929999999999</v>
      </c>
      <c r="Q104" s="42">
        <f t="shared" si="8"/>
        <v>207.78</v>
      </c>
      <c r="R104" s="43">
        <f t="shared" si="9"/>
        <v>1</v>
      </c>
      <c r="S104" s="43">
        <f t="shared" si="10"/>
        <v>1</v>
      </c>
    </row>
    <row r="105" spans="1:19" ht="14.25" customHeight="1">
      <c r="A105" s="38" t="s">
        <v>457</v>
      </c>
      <c r="B105" s="38" t="s">
        <v>456</v>
      </c>
      <c r="C105" s="39" t="s">
        <v>155</v>
      </c>
      <c r="D105" s="40">
        <v>84.16</v>
      </c>
      <c r="E105" s="40">
        <v>6.5220000000000002</v>
      </c>
      <c r="F105" s="38" t="s">
        <v>117</v>
      </c>
      <c r="G105" s="40"/>
      <c r="H105" s="41"/>
      <c r="I105" s="41">
        <v>6.8410000000000002</v>
      </c>
      <c r="J105" s="41">
        <v>1201.53</v>
      </c>
      <c r="K105" s="41">
        <v>222.65</v>
      </c>
      <c r="L105" s="41">
        <v>527.67000000000007</v>
      </c>
      <c r="M105" s="41">
        <v>638.67000000000007</v>
      </c>
      <c r="N105" s="41" t="s">
        <v>127</v>
      </c>
      <c r="O105" s="42">
        <f t="shared" si="6"/>
        <v>6.8410000000000002</v>
      </c>
      <c r="P105" s="42">
        <f t="shared" si="7"/>
        <v>1201.53</v>
      </c>
      <c r="Q105" s="42">
        <f t="shared" si="8"/>
        <v>222.65</v>
      </c>
      <c r="R105" s="43">
        <f t="shared" si="9"/>
        <v>1</v>
      </c>
      <c r="S105" s="43">
        <f t="shared" si="10"/>
        <v>1</v>
      </c>
    </row>
    <row r="106" spans="1:19" ht="14.25" customHeight="1">
      <c r="A106" s="38" t="s">
        <v>455</v>
      </c>
      <c r="B106" s="38" t="s">
        <v>454</v>
      </c>
      <c r="C106" s="39" t="s">
        <v>155</v>
      </c>
      <c r="D106" s="40">
        <v>100.158</v>
      </c>
      <c r="E106" s="40">
        <v>8.0316170000000007</v>
      </c>
      <c r="F106" s="38" t="s">
        <v>117</v>
      </c>
      <c r="G106" s="40"/>
      <c r="H106" s="41"/>
      <c r="I106" s="41">
        <v>6.2549999999999999</v>
      </c>
      <c r="J106" s="41">
        <v>912.87</v>
      </c>
      <c r="K106" s="41">
        <v>109.13</v>
      </c>
      <c r="L106" s="41">
        <v>660.67000000000007</v>
      </c>
      <c r="M106" s="41">
        <v>780.67000000000007</v>
      </c>
      <c r="N106" s="41" t="s">
        <v>127</v>
      </c>
      <c r="O106" s="42">
        <f t="shared" si="6"/>
        <v>6.2549999999999999</v>
      </c>
      <c r="P106" s="42">
        <f t="shared" si="7"/>
        <v>912.87</v>
      </c>
      <c r="Q106" s="42">
        <f t="shared" si="8"/>
        <v>109.13</v>
      </c>
      <c r="R106" s="43">
        <f t="shared" si="9"/>
        <v>1</v>
      </c>
      <c r="S106" s="43">
        <f t="shared" si="10"/>
        <v>1</v>
      </c>
    </row>
    <row r="107" spans="1:19" ht="14.25" customHeight="1">
      <c r="A107" s="38" t="s">
        <v>453</v>
      </c>
      <c r="B107" s="38" t="s">
        <v>452</v>
      </c>
      <c r="C107" s="39" t="s">
        <v>155</v>
      </c>
      <c r="D107" s="40">
        <v>98.15</v>
      </c>
      <c r="E107" s="40">
        <v>7.9097739999999996</v>
      </c>
      <c r="F107" s="38" t="s">
        <v>117</v>
      </c>
      <c r="G107" s="40"/>
      <c r="H107" s="41"/>
      <c r="I107" s="41">
        <v>7.8491999999999997</v>
      </c>
      <c r="J107" s="41">
        <v>2137.192</v>
      </c>
      <c r="K107" s="41">
        <v>273.16000000000003</v>
      </c>
      <c r="L107" s="41">
        <v>652.67000000000007</v>
      </c>
      <c r="M107" s="41">
        <v>789.67000000000007</v>
      </c>
      <c r="N107" s="41" t="s">
        <v>127</v>
      </c>
      <c r="O107" s="42">
        <f t="shared" si="6"/>
        <v>7.8491999999999997</v>
      </c>
      <c r="P107" s="42">
        <f t="shared" si="7"/>
        <v>2137.192</v>
      </c>
      <c r="Q107" s="42">
        <f t="shared" si="8"/>
        <v>273.16000000000003</v>
      </c>
      <c r="R107" s="43">
        <f t="shared" si="9"/>
        <v>1</v>
      </c>
      <c r="S107" s="43">
        <f t="shared" si="10"/>
        <v>1</v>
      </c>
    </row>
    <row r="108" spans="1:19" ht="14.25" customHeight="1">
      <c r="A108" s="38" t="s">
        <v>451</v>
      </c>
      <c r="B108" s="50" t="s">
        <v>450</v>
      </c>
      <c r="C108" s="39" t="s">
        <v>128</v>
      </c>
      <c r="D108" s="40">
        <v>251.15100000000001</v>
      </c>
      <c r="E108" s="40">
        <f>1.1117*8.3454</f>
        <v>9.2775811799999985</v>
      </c>
      <c r="F108" s="40" t="s">
        <v>150</v>
      </c>
      <c r="G108" s="40"/>
      <c r="H108" s="41"/>
      <c r="I108" s="45"/>
      <c r="J108" s="45"/>
      <c r="K108" s="45"/>
      <c r="L108" s="45"/>
      <c r="M108" s="45"/>
      <c r="N108" s="41" t="s">
        <v>137</v>
      </c>
      <c r="O108" s="42">
        <f t="shared" si="6"/>
        <v>0</v>
      </c>
      <c r="P108" s="42">
        <f t="shared" si="7"/>
        <v>0</v>
      </c>
      <c r="Q108" s="42">
        <f t="shared" si="8"/>
        <v>0</v>
      </c>
      <c r="R108" s="43">
        <f t="shared" si="9"/>
        <v>1</v>
      </c>
      <c r="S108" s="43">
        <f t="shared" si="10"/>
        <v>1</v>
      </c>
    </row>
    <row r="109" spans="1:19" ht="14.25" customHeight="1">
      <c r="A109" s="38" t="s">
        <v>449</v>
      </c>
      <c r="B109" s="38" t="s">
        <v>448</v>
      </c>
      <c r="C109" s="39" t="s">
        <v>128</v>
      </c>
      <c r="D109" s="40">
        <v>42.03998</v>
      </c>
      <c r="E109" s="40">
        <f>1.4*8.3454</f>
        <v>11.683559999999998</v>
      </c>
      <c r="F109" s="40" t="s">
        <v>150</v>
      </c>
      <c r="G109" s="40"/>
      <c r="H109" s="41"/>
      <c r="I109" s="45"/>
      <c r="J109" s="45"/>
      <c r="K109" s="45"/>
      <c r="L109" s="45"/>
      <c r="M109" s="45"/>
      <c r="N109" s="41" t="s">
        <v>447</v>
      </c>
      <c r="O109" s="42">
        <f t="shared" si="6"/>
        <v>0</v>
      </c>
      <c r="P109" s="42">
        <f t="shared" si="7"/>
        <v>0</v>
      </c>
      <c r="Q109" s="42">
        <f t="shared" si="8"/>
        <v>0</v>
      </c>
      <c r="R109" s="43">
        <f t="shared" si="9"/>
        <v>1</v>
      </c>
      <c r="S109" s="43">
        <f t="shared" si="10"/>
        <v>1</v>
      </c>
    </row>
    <row r="110" spans="1:19" ht="14.25" customHeight="1">
      <c r="A110" s="38" t="s">
        <v>446</v>
      </c>
      <c r="B110" s="38" t="s">
        <v>445</v>
      </c>
      <c r="C110" s="39" t="s">
        <v>128</v>
      </c>
      <c r="D110" s="40">
        <v>168.19</v>
      </c>
      <c r="E110" s="40">
        <f>1.3*8.3454</f>
        <v>10.849019999999999</v>
      </c>
      <c r="F110" s="40" t="s">
        <v>150</v>
      </c>
      <c r="G110" s="40"/>
      <c r="H110" s="41"/>
      <c r="I110" s="45"/>
      <c r="J110" s="45"/>
      <c r="K110" s="45"/>
      <c r="L110" s="45"/>
      <c r="M110" s="45"/>
      <c r="N110" s="41" t="s">
        <v>149</v>
      </c>
      <c r="O110" s="42">
        <f t="shared" si="6"/>
        <v>0</v>
      </c>
      <c r="P110" s="42">
        <f t="shared" si="7"/>
        <v>0</v>
      </c>
      <c r="Q110" s="42">
        <f t="shared" si="8"/>
        <v>0</v>
      </c>
      <c r="R110" s="43">
        <f t="shared" si="9"/>
        <v>1</v>
      </c>
      <c r="S110" s="43">
        <f t="shared" si="10"/>
        <v>1</v>
      </c>
    </row>
    <row r="111" spans="1:19" ht="14.25" customHeight="1">
      <c r="A111" s="38" t="s">
        <v>444</v>
      </c>
      <c r="B111" s="38" t="s">
        <v>443</v>
      </c>
      <c r="C111" s="39" t="s">
        <v>128</v>
      </c>
      <c r="D111" s="40">
        <v>278.34399999999999</v>
      </c>
      <c r="E111" s="40">
        <f>1.05*8.34</f>
        <v>8.7569999999999997</v>
      </c>
      <c r="F111" s="40" t="s">
        <v>150</v>
      </c>
      <c r="G111" s="40"/>
      <c r="H111" s="41"/>
      <c r="I111" s="41"/>
      <c r="J111" s="41"/>
      <c r="K111" s="41"/>
      <c r="L111" s="41"/>
      <c r="M111" s="41"/>
      <c r="N111" s="41" t="s">
        <v>244</v>
      </c>
      <c r="O111" s="42">
        <f t="shared" si="6"/>
        <v>0</v>
      </c>
      <c r="P111" s="42">
        <f t="shared" si="7"/>
        <v>0</v>
      </c>
      <c r="Q111" s="42">
        <f t="shared" si="8"/>
        <v>0</v>
      </c>
      <c r="R111" s="43">
        <f t="shared" si="9"/>
        <v>1</v>
      </c>
      <c r="S111" s="43">
        <f t="shared" si="10"/>
        <v>1</v>
      </c>
    </row>
    <row r="112" spans="1:19" ht="14.25" customHeight="1">
      <c r="A112" s="38" t="s">
        <v>442</v>
      </c>
      <c r="B112" s="38" t="s">
        <v>441</v>
      </c>
      <c r="C112" s="39" t="s">
        <v>128</v>
      </c>
      <c r="D112" s="40">
        <v>98.97</v>
      </c>
      <c r="E112" s="40">
        <v>10.5</v>
      </c>
      <c r="F112" s="38" t="s">
        <v>117</v>
      </c>
      <c r="G112" s="40"/>
      <c r="H112" s="41"/>
      <c r="I112" s="41">
        <v>7.0250000000000004</v>
      </c>
      <c r="J112" s="41">
        <v>1272.3</v>
      </c>
      <c r="K112" s="41">
        <v>222.9</v>
      </c>
      <c r="L112" s="41">
        <v>436.67</v>
      </c>
      <c r="M112" s="41">
        <v>670.67000000000007</v>
      </c>
      <c r="N112" s="41" t="s">
        <v>127</v>
      </c>
      <c r="O112" s="42">
        <f t="shared" si="6"/>
        <v>7.0250000000000004</v>
      </c>
      <c r="P112" s="42">
        <f t="shared" si="7"/>
        <v>1272.3</v>
      </c>
      <c r="Q112" s="42">
        <f t="shared" si="8"/>
        <v>222.9</v>
      </c>
      <c r="R112" s="43">
        <f t="shared" si="9"/>
        <v>1</v>
      </c>
      <c r="S112" s="43">
        <f t="shared" si="10"/>
        <v>1</v>
      </c>
    </row>
    <row r="113" spans="1:19" ht="14.25" customHeight="1">
      <c r="A113" s="38" t="s">
        <v>440</v>
      </c>
      <c r="B113" s="38" t="s">
        <v>439</v>
      </c>
      <c r="C113" s="39" t="s">
        <v>128</v>
      </c>
      <c r="D113" s="40">
        <v>143.01</v>
      </c>
      <c r="E113" s="40">
        <f>1.22*8.3454</f>
        <v>10.181388</v>
      </c>
      <c r="F113" s="40" t="s">
        <v>117</v>
      </c>
      <c r="G113" s="40"/>
      <c r="H113" s="41"/>
      <c r="I113" s="41">
        <f>4.81729 -LOG10(1.01325/760)</f>
        <v>7.6923869798670612</v>
      </c>
      <c r="J113" s="41">
        <v>1990.7550000000001</v>
      </c>
      <c r="K113" s="41">
        <f>-37.803+273.15</f>
        <v>235.34699999999998</v>
      </c>
      <c r="L113" s="41">
        <v>534.05999999999995</v>
      </c>
      <c r="M113" s="41">
        <v>813.06</v>
      </c>
      <c r="N113" s="41" t="s">
        <v>208</v>
      </c>
      <c r="O113" s="42">
        <f t="shared" si="6"/>
        <v>7.6923869798670612</v>
      </c>
      <c r="P113" s="42">
        <f t="shared" si="7"/>
        <v>1990.7550000000001</v>
      </c>
      <c r="Q113" s="42">
        <f t="shared" si="8"/>
        <v>235.34699999999998</v>
      </c>
      <c r="R113" s="43">
        <f t="shared" si="9"/>
        <v>1</v>
      </c>
      <c r="S113" s="43">
        <f t="shared" si="10"/>
        <v>1</v>
      </c>
    </row>
    <row r="114" spans="1:19" ht="14.25" customHeight="1">
      <c r="A114" s="38" t="s">
        <v>438</v>
      </c>
      <c r="B114" s="38" t="s">
        <v>437</v>
      </c>
      <c r="C114" s="39" t="s">
        <v>155</v>
      </c>
      <c r="D114" s="40">
        <v>96.95</v>
      </c>
      <c r="E114" s="40">
        <v>10.763</v>
      </c>
      <c r="F114" s="38" t="s">
        <v>117</v>
      </c>
      <c r="G114" s="40"/>
      <c r="H114" s="41"/>
      <c r="I114" s="41">
        <v>6.9649999999999999</v>
      </c>
      <c r="J114" s="41">
        <v>1141.9000000000001</v>
      </c>
      <c r="K114" s="41">
        <v>231.9</v>
      </c>
      <c r="L114" s="41">
        <v>491.67</v>
      </c>
      <c r="M114" s="41">
        <v>642.67000000000007</v>
      </c>
      <c r="N114" s="41" t="s">
        <v>127</v>
      </c>
      <c r="O114" s="42">
        <f t="shared" si="6"/>
        <v>6.9649999999999999</v>
      </c>
      <c r="P114" s="42">
        <f t="shared" si="7"/>
        <v>1141.9000000000001</v>
      </c>
      <c r="Q114" s="42">
        <f t="shared" si="8"/>
        <v>231.9</v>
      </c>
      <c r="R114" s="43">
        <f t="shared" si="9"/>
        <v>1</v>
      </c>
      <c r="S114" s="43">
        <f t="shared" si="10"/>
        <v>1</v>
      </c>
    </row>
    <row r="115" spans="1:19" ht="14.25" customHeight="1">
      <c r="A115" s="38" t="s">
        <v>436</v>
      </c>
      <c r="B115" s="38" t="s">
        <v>435</v>
      </c>
      <c r="C115" s="39" t="s">
        <v>128</v>
      </c>
      <c r="D115" s="40">
        <v>220.98</v>
      </c>
      <c r="E115" s="40">
        <f>1.415*8.3454</f>
        <v>11.808740999999999</v>
      </c>
      <c r="F115" s="40" t="s">
        <v>117</v>
      </c>
      <c r="G115" s="40"/>
      <c r="H115" s="41"/>
      <c r="I115" s="41">
        <v>10.2507</v>
      </c>
      <c r="J115" s="41">
        <v>3581.3</v>
      </c>
      <c r="K115" s="41">
        <v>274.35000000000002</v>
      </c>
      <c r="L115" s="41">
        <v>694.69200000000001</v>
      </c>
      <c r="M115" s="41">
        <v>909.774</v>
      </c>
      <c r="N115" s="41" t="s">
        <v>142</v>
      </c>
      <c r="O115" s="42">
        <f t="shared" si="6"/>
        <v>10.2507</v>
      </c>
      <c r="P115" s="42">
        <f t="shared" si="7"/>
        <v>3581.3</v>
      </c>
      <c r="Q115" s="42">
        <f t="shared" si="8"/>
        <v>274.35000000000002</v>
      </c>
      <c r="R115" s="43">
        <f t="shared" si="9"/>
        <v>1</v>
      </c>
      <c r="S115" s="43">
        <f t="shared" si="10"/>
        <v>1</v>
      </c>
    </row>
    <row r="116" spans="1:19" ht="14.25" customHeight="1">
      <c r="A116" s="38" t="s">
        <v>434</v>
      </c>
      <c r="B116" s="38" t="s">
        <v>433</v>
      </c>
      <c r="C116" s="39" t="s">
        <v>128</v>
      </c>
      <c r="D116" s="40">
        <v>105.1</v>
      </c>
      <c r="E116" s="40">
        <v>9.1</v>
      </c>
      <c r="F116" s="38" t="s">
        <v>117</v>
      </c>
      <c r="G116" s="40"/>
      <c r="H116" s="41"/>
      <c r="I116" s="41">
        <v>8.3861899999999991</v>
      </c>
      <c r="J116" s="41">
        <v>2515.6387</v>
      </c>
      <c r="K116" s="41">
        <v>188.55199999999999</v>
      </c>
      <c r="L116" s="41">
        <v>765.32400000000007</v>
      </c>
      <c r="M116" s="41">
        <v>1022.346</v>
      </c>
      <c r="N116" s="41" t="s">
        <v>142</v>
      </c>
      <c r="O116" s="42">
        <f t="shared" si="6"/>
        <v>8.3861899999999991</v>
      </c>
      <c r="P116" s="42">
        <f t="shared" si="7"/>
        <v>2515.6387</v>
      </c>
      <c r="Q116" s="42">
        <f t="shared" si="8"/>
        <v>188.55199999999999</v>
      </c>
      <c r="R116" s="43">
        <f t="shared" si="9"/>
        <v>1</v>
      </c>
      <c r="S116" s="43">
        <f t="shared" si="10"/>
        <v>1</v>
      </c>
    </row>
    <row r="117" spans="1:19" ht="14.25" customHeight="1">
      <c r="A117" s="38" t="s">
        <v>432</v>
      </c>
      <c r="B117" s="38" t="s">
        <v>431</v>
      </c>
      <c r="C117" s="39" t="s">
        <v>155</v>
      </c>
      <c r="D117" s="40">
        <v>149.24</v>
      </c>
      <c r="E117" s="40">
        <v>7.7612259999999997</v>
      </c>
      <c r="F117" s="38" t="s">
        <v>117</v>
      </c>
      <c r="G117" s="40"/>
      <c r="H117" s="41"/>
      <c r="I117" s="41">
        <v>7.4660000000000002</v>
      </c>
      <c r="J117" s="41">
        <v>1993.57</v>
      </c>
      <c r="K117" s="41">
        <v>218.5</v>
      </c>
      <c r="L117" s="41">
        <v>581.67000000000007</v>
      </c>
      <c r="M117" s="41">
        <v>884.67000000000007</v>
      </c>
      <c r="N117" s="41" t="s">
        <v>127</v>
      </c>
      <c r="O117" s="42">
        <f t="shared" si="6"/>
        <v>7.4660000000000002</v>
      </c>
      <c r="P117" s="42">
        <f t="shared" si="7"/>
        <v>1993.57</v>
      </c>
      <c r="Q117" s="42">
        <f t="shared" si="8"/>
        <v>218.5</v>
      </c>
      <c r="R117" s="43">
        <f t="shared" si="9"/>
        <v>1</v>
      </c>
      <c r="S117" s="43">
        <f t="shared" si="10"/>
        <v>1</v>
      </c>
    </row>
    <row r="118" spans="1:19" ht="14.25" customHeight="1">
      <c r="A118" s="38" t="s">
        <v>430</v>
      </c>
      <c r="B118" s="38" t="s">
        <v>429</v>
      </c>
      <c r="C118" s="39" t="s">
        <v>128</v>
      </c>
      <c r="D118" s="40">
        <v>154.18</v>
      </c>
      <c r="E118" s="40">
        <f>1.177*8.3454</f>
        <v>9.8225358000000007</v>
      </c>
      <c r="F118" s="40" t="s">
        <v>117</v>
      </c>
      <c r="G118" s="40"/>
      <c r="H118" s="41"/>
      <c r="I118" s="41">
        <v>7.1804199999999998</v>
      </c>
      <c r="J118" s="41">
        <v>1781.2973999999999</v>
      </c>
      <c r="K118" s="41">
        <v>204.905</v>
      </c>
      <c r="L118" s="41">
        <v>641.62800000000004</v>
      </c>
      <c r="M118" s="41">
        <v>924.71400000000006</v>
      </c>
      <c r="N118" s="41" t="s">
        <v>142</v>
      </c>
      <c r="O118" s="42">
        <f t="shared" si="6"/>
        <v>7.1804199999999998</v>
      </c>
      <c r="P118" s="42">
        <f t="shared" si="7"/>
        <v>1781.2973999999999</v>
      </c>
      <c r="Q118" s="42">
        <f t="shared" si="8"/>
        <v>204.905</v>
      </c>
      <c r="R118" s="43">
        <f t="shared" si="9"/>
        <v>1</v>
      </c>
      <c r="S118" s="43">
        <f t="shared" si="10"/>
        <v>1</v>
      </c>
    </row>
    <row r="119" spans="1:19" ht="14.25" customHeight="1">
      <c r="A119" s="38" t="s">
        <v>428</v>
      </c>
      <c r="B119" s="38" t="s">
        <v>427</v>
      </c>
      <c r="C119" s="39" t="s">
        <v>128</v>
      </c>
      <c r="D119" s="40">
        <v>225.29</v>
      </c>
      <c r="E119" s="40">
        <f>1.1303*8.3454</f>
        <v>9.4328056199999999</v>
      </c>
      <c r="F119" s="40" t="s">
        <v>150</v>
      </c>
      <c r="G119" s="40"/>
      <c r="H119" s="41"/>
      <c r="I119" s="41"/>
      <c r="J119" s="41"/>
      <c r="K119" s="41"/>
      <c r="L119" s="41"/>
      <c r="M119" s="41"/>
      <c r="N119" s="41" t="s">
        <v>244</v>
      </c>
      <c r="O119" s="42">
        <f t="shared" si="6"/>
        <v>0</v>
      </c>
      <c r="P119" s="42">
        <f t="shared" si="7"/>
        <v>0</v>
      </c>
      <c r="Q119" s="42">
        <f t="shared" si="8"/>
        <v>0</v>
      </c>
      <c r="R119" s="43">
        <f t="shared" si="9"/>
        <v>1</v>
      </c>
      <c r="S119" s="43">
        <f t="shared" si="10"/>
        <v>1</v>
      </c>
    </row>
    <row r="120" spans="1:19" ht="14.25" customHeight="1">
      <c r="A120" s="38" t="s">
        <v>426</v>
      </c>
      <c r="B120" s="38" t="s">
        <v>425</v>
      </c>
      <c r="C120" s="39" t="s">
        <v>128</v>
      </c>
      <c r="D120" s="40">
        <v>107.54</v>
      </c>
      <c r="E120" s="40">
        <f>1.68*8.3454</f>
        <v>14.020271999999999</v>
      </c>
      <c r="F120" s="40" t="s">
        <v>150</v>
      </c>
      <c r="G120" s="40"/>
      <c r="H120" s="41"/>
      <c r="I120" s="45"/>
      <c r="J120" s="45"/>
      <c r="K120" s="45"/>
      <c r="L120" s="45"/>
      <c r="M120" s="45"/>
      <c r="N120" s="41" t="s">
        <v>171</v>
      </c>
      <c r="O120" s="42">
        <f t="shared" si="6"/>
        <v>0</v>
      </c>
      <c r="P120" s="42">
        <f t="shared" si="7"/>
        <v>0</v>
      </c>
      <c r="Q120" s="42">
        <f t="shared" si="8"/>
        <v>0</v>
      </c>
      <c r="R120" s="43">
        <f t="shared" si="9"/>
        <v>1</v>
      </c>
      <c r="S120" s="43">
        <f t="shared" si="10"/>
        <v>1</v>
      </c>
    </row>
    <row r="121" spans="1:19" ht="14.25" customHeight="1">
      <c r="A121" s="38" t="s">
        <v>424</v>
      </c>
      <c r="B121" s="38" t="s">
        <v>423</v>
      </c>
      <c r="C121" s="39" t="s">
        <v>159</v>
      </c>
      <c r="D121" s="40">
        <v>90.078000000000003</v>
      </c>
      <c r="E121" s="40">
        <f>1.069*8.34</f>
        <v>8.9154599999999995</v>
      </c>
      <c r="F121" s="40" t="s">
        <v>117</v>
      </c>
      <c r="G121" s="40"/>
      <c r="H121" s="41"/>
      <c r="I121" s="41">
        <f>4.77616 -LOG10(1.01325/760)</f>
        <v>7.6512569798670604</v>
      </c>
      <c r="J121" s="41">
        <v>1721.904</v>
      </c>
      <c r="K121" s="41">
        <f>-37.959+273.15</f>
        <v>235.19099999999997</v>
      </c>
      <c r="L121" s="41">
        <v>473.58</v>
      </c>
      <c r="M121" s="41">
        <v>702</v>
      </c>
      <c r="N121" s="41" t="s">
        <v>208</v>
      </c>
      <c r="O121" s="42">
        <f t="shared" si="6"/>
        <v>7.6512569798670604</v>
      </c>
      <c r="P121" s="42">
        <f t="shared" si="7"/>
        <v>1721.904</v>
      </c>
      <c r="Q121" s="42">
        <f t="shared" si="8"/>
        <v>235.19099999999997</v>
      </c>
      <c r="R121" s="43">
        <f t="shared" si="9"/>
        <v>1</v>
      </c>
      <c r="S121" s="43">
        <f t="shared" si="10"/>
        <v>1</v>
      </c>
    </row>
    <row r="122" spans="1:19" ht="14.25" customHeight="1">
      <c r="A122" s="38" t="s">
        <v>422</v>
      </c>
      <c r="B122" s="38" t="s">
        <v>421</v>
      </c>
      <c r="C122" s="39" t="s">
        <v>128</v>
      </c>
      <c r="D122" s="40">
        <v>73.099999999999994</v>
      </c>
      <c r="E122" s="40">
        <v>7.9114430000000002</v>
      </c>
      <c r="F122" s="38" t="s">
        <v>117</v>
      </c>
      <c r="G122" s="40"/>
      <c r="H122" s="41"/>
      <c r="I122" s="41">
        <v>6.9279999999999999</v>
      </c>
      <c r="J122" s="41">
        <v>1400.87</v>
      </c>
      <c r="K122" s="41">
        <v>196.43</v>
      </c>
      <c r="L122" s="41">
        <v>545.67000000000007</v>
      </c>
      <c r="M122" s="41">
        <v>653.67000000000007</v>
      </c>
      <c r="N122" s="41" t="s">
        <v>127</v>
      </c>
      <c r="O122" s="42">
        <f t="shared" si="6"/>
        <v>6.9279999999999999</v>
      </c>
      <c r="P122" s="42">
        <f t="shared" si="7"/>
        <v>1400.87</v>
      </c>
      <c r="Q122" s="42">
        <f t="shared" si="8"/>
        <v>196.43</v>
      </c>
      <c r="R122" s="43">
        <f t="shared" si="9"/>
        <v>1</v>
      </c>
      <c r="S122" s="43">
        <f t="shared" si="10"/>
        <v>1</v>
      </c>
    </row>
    <row r="123" spans="1:19" ht="14.25" customHeight="1">
      <c r="A123" s="38" t="s">
        <v>420</v>
      </c>
      <c r="B123" s="38" t="s">
        <v>419</v>
      </c>
      <c r="C123" s="39" t="s">
        <v>128</v>
      </c>
      <c r="D123" s="40">
        <v>60.1</v>
      </c>
      <c r="E123" s="40">
        <v>6.60121</v>
      </c>
      <c r="F123" s="38" t="s">
        <v>117</v>
      </c>
      <c r="G123" s="40"/>
      <c r="H123" s="41"/>
      <c r="I123" s="41">
        <v>7.4080000000000004</v>
      </c>
      <c r="J123" s="41">
        <v>1305.9100000000001</v>
      </c>
      <c r="K123" s="41">
        <v>225.53</v>
      </c>
      <c r="L123" s="41">
        <v>427.67</v>
      </c>
      <c r="M123" s="41">
        <v>527.67000000000007</v>
      </c>
      <c r="N123" s="41" t="s">
        <v>127</v>
      </c>
      <c r="O123" s="42">
        <f t="shared" si="6"/>
        <v>7.4080000000000004</v>
      </c>
      <c r="P123" s="42">
        <f t="shared" si="7"/>
        <v>1305.9100000000001</v>
      </c>
      <c r="Q123" s="42">
        <f t="shared" si="8"/>
        <v>225.53</v>
      </c>
      <c r="R123" s="43">
        <f t="shared" si="9"/>
        <v>1</v>
      </c>
      <c r="S123" s="43">
        <f t="shared" si="10"/>
        <v>1</v>
      </c>
    </row>
    <row r="124" spans="1:19" ht="14.25" customHeight="1">
      <c r="A124" s="38" t="s">
        <v>418</v>
      </c>
      <c r="B124" s="38" t="s">
        <v>417</v>
      </c>
      <c r="C124" s="39" t="s">
        <v>128</v>
      </c>
      <c r="D124" s="40">
        <v>194.184</v>
      </c>
      <c r="E124" s="40">
        <v>9.9310310000000008</v>
      </c>
      <c r="F124" s="38" t="s">
        <v>117</v>
      </c>
      <c r="G124" s="40"/>
      <c r="H124" s="41"/>
      <c r="I124" s="41">
        <v>4.5220000000000002</v>
      </c>
      <c r="J124" s="41">
        <v>700.31</v>
      </c>
      <c r="K124" s="41">
        <v>51.42</v>
      </c>
      <c r="L124" s="41">
        <v>639.67000000000007</v>
      </c>
      <c r="M124" s="41">
        <v>763.67000000000007</v>
      </c>
      <c r="N124" s="41" t="s">
        <v>127</v>
      </c>
      <c r="O124" s="42">
        <f t="shared" si="6"/>
        <v>4.5220000000000002</v>
      </c>
      <c r="P124" s="42">
        <f t="shared" si="7"/>
        <v>700.31</v>
      </c>
      <c r="Q124" s="42">
        <f t="shared" si="8"/>
        <v>51.42</v>
      </c>
      <c r="R124" s="43">
        <f t="shared" si="9"/>
        <v>1</v>
      </c>
      <c r="S124" s="43">
        <f t="shared" si="10"/>
        <v>1</v>
      </c>
    </row>
    <row r="125" spans="1:19" ht="14.25" customHeight="1">
      <c r="A125" s="38" t="s">
        <v>416</v>
      </c>
      <c r="B125" s="38" t="s">
        <v>415</v>
      </c>
      <c r="C125" s="39" t="s">
        <v>128</v>
      </c>
      <c r="D125" s="40">
        <v>126.13</v>
      </c>
      <c r="E125" s="40">
        <f>1.333*8.3454</f>
        <v>11.124418199999999</v>
      </c>
      <c r="F125" s="40" t="s">
        <v>117</v>
      </c>
      <c r="G125" s="40"/>
      <c r="H125" s="41"/>
      <c r="I125" s="41">
        <v>6.5592899999999998</v>
      </c>
      <c r="J125" s="41">
        <v>1436.9444000000001</v>
      </c>
      <c r="K125" s="41">
        <v>193.786</v>
      </c>
      <c r="L125" s="41">
        <v>608.11200000000008</v>
      </c>
      <c r="M125" s="41">
        <v>908.67599999999993</v>
      </c>
      <c r="N125" s="41" t="s">
        <v>142</v>
      </c>
      <c r="O125" s="42">
        <f t="shared" si="6"/>
        <v>6.5592899999999998</v>
      </c>
      <c r="P125" s="42">
        <f t="shared" si="7"/>
        <v>1436.9444000000001</v>
      </c>
      <c r="Q125" s="42">
        <f t="shared" si="8"/>
        <v>193.786</v>
      </c>
      <c r="R125" s="43">
        <f t="shared" si="9"/>
        <v>1</v>
      </c>
      <c r="S125" s="43">
        <f t="shared" si="10"/>
        <v>1</v>
      </c>
    </row>
    <row r="126" spans="1:19" ht="14.25" customHeight="1">
      <c r="A126" s="38" t="s">
        <v>414</v>
      </c>
      <c r="B126" s="38" t="s">
        <v>413</v>
      </c>
      <c r="C126" s="39" t="s">
        <v>128</v>
      </c>
      <c r="D126" s="40">
        <v>88.11</v>
      </c>
      <c r="E126" s="40">
        <v>8.6208030000000004</v>
      </c>
      <c r="F126" s="38" t="s">
        <v>117</v>
      </c>
      <c r="G126" s="40"/>
      <c r="H126" s="41"/>
      <c r="I126" s="41">
        <v>7.431</v>
      </c>
      <c r="J126" s="41">
        <v>1554.68</v>
      </c>
      <c r="K126" s="41">
        <v>240.34</v>
      </c>
      <c r="L126" s="41">
        <v>527.67000000000007</v>
      </c>
      <c r="M126" s="41">
        <v>680.67000000000007</v>
      </c>
      <c r="N126" s="41" t="s">
        <v>127</v>
      </c>
      <c r="O126" s="42">
        <f t="shared" si="6"/>
        <v>7.431</v>
      </c>
      <c r="P126" s="42">
        <f t="shared" si="7"/>
        <v>1554.68</v>
      </c>
      <c r="Q126" s="42">
        <f t="shared" si="8"/>
        <v>240.34</v>
      </c>
      <c r="R126" s="43">
        <f t="shared" si="9"/>
        <v>1</v>
      </c>
      <c r="S126" s="43">
        <f t="shared" si="10"/>
        <v>1</v>
      </c>
    </row>
    <row r="127" spans="1:19" ht="14.25" customHeight="1">
      <c r="A127" s="38" t="s">
        <v>412</v>
      </c>
      <c r="B127" s="38" t="s">
        <v>411</v>
      </c>
      <c r="C127" s="39" t="s">
        <v>128</v>
      </c>
      <c r="D127" s="40">
        <v>92.52</v>
      </c>
      <c r="E127" s="40">
        <v>9.8575920000000004</v>
      </c>
      <c r="F127" s="38" t="s">
        <v>117</v>
      </c>
      <c r="G127" s="40"/>
      <c r="H127" s="41"/>
      <c r="I127" s="41">
        <v>8.2294</v>
      </c>
      <c r="J127" s="41">
        <v>2086.8159999999998</v>
      </c>
      <c r="K127" s="41">
        <v>273.16000000000003</v>
      </c>
      <c r="L127" s="41"/>
      <c r="M127" s="41"/>
      <c r="N127" s="41" t="s">
        <v>158</v>
      </c>
      <c r="O127" s="42">
        <f t="shared" si="6"/>
        <v>8.2294</v>
      </c>
      <c r="P127" s="42">
        <f t="shared" si="7"/>
        <v>2086.8159999999998</v>
      </c>
      <c r="Q127" s="42">
        <f t="shared" si="8"/>
        <v>273.16000000000003</v>
      </c>
      <c r="R127" s="43">
        <f t="shared" si="9"/>
        <v>1</v>
      </c>
      <c r="S127" s="43">
        <f t="shared" si="10"/>
        <v>1</v>
      </c>
    </row>
    <row r="128" spans="1:19" ht="14.25" customHeight="1">
      <c r="A128" s="38" t="s">
        <v>410</v>
      </c>
      <c r="B128" s="38" t="s">
        <v>409</v>
      </c>
      <c r="C128" s="39" t="s">
        <v>159</v>
      </c>
      <c r="D128" s="40">
        <v>30.068999999999999</v>
      </c>
      <c r="E128" s="40">
        <v>20.98</v>
      </c>
      <c r="F128" s="40" t="s">
        <v>117</v>
      </c>
      <c r="G128" s="40"/>
      <c r="H128" s="41"/>
      <c r="I128" s="41">
        <f>3.93835-LOG10(1.01325/760)</f>
        <v>6.8134469798670612</v>
      </c>
      <c r="J128" s="41">
        <v>659.73900000000003</v>
      </c>
      <c r="K128" s="41">
        <f>-16.719+ 273.15</f>
        <v>256.43099999999998</v>
      </c>
      <c r="L128" s="41">
        <v>244.33199999999999</v>
      </c>
      <c r="M128" s="41">
        <v>359.82</v>
      </c>
      <c r="N128" s="41" t="s">
        <v>208</v>
      </c>
      <c r="O128" s="42">
        <f t="shared" si="6"/>
        <v>6.8134469798670612</v>
      </c>
      <c r="P128" s="42">
        <f t="shared" si="7"/>
        <v>659.73900000000003</v>
      </c>
      <c r="Q128" s="42">
        <f t="shared" si="8"/>
        <v>256.43099999999998</v>
      </c>
      <c r="R128" s="43">
        <f t="shared" si="9"/>
        <v>1</v>
      </c>
      <c r="S128" s="43">
        <f t="shared" si="10"/>
        <v>1</v>
      </c>
    </row>
    <row r="129" spans="1:19" ht="14.25" customHeight="1">
      <c r="A129" s="38" t="s">
        <v>408</v>
      </c>
      <c r="B129" s="38" t="s">
        <v>407</v>
      </c>
      <c r="C129" s="39" t="s">
        <v>155</v>
      </c>
      <c r="D129" s="40">
        <v>46.07</v>
      </c>
      <c r="E129" s="40">
        <v>6.61</v>
      </c>
      <c r="F129" s="38" t="s">
        <v>117</v>
      </c>
      <c r="G129" s="40"/>
      <c r="H129" s="41"/>
      <c r="I129" s="41">
        <v>8.3209999999999997</v>
      </c>
      <c r="J129" s="41">
        <v>1718.21</v>
      </c>
      <c r="K129" s="41">
        <v>237.52</v>
      </c>
      <c r="L129" s="41">
        <v>491.67</v>
      </c>
      <c r="M129" s="41">
        <v>632.67000000000007</v>
      </c>
      <c r="N129" s="41" t="s">
        <v>127</v>
      </c>
      <c r="O129" s="42">
        <f t="shared" si="6"/>
        <v>8.3209999999999997</v>
      </c>
      <c r="P129" s="42">
        <f t="shared" si="7"/>
        <v>1718.21</v>
      </c>
      <c r="Q129" s="42">
        <f t="shared" si="8"/>
        <v>237.52</v>
      </c>
      <c r="R129" s="43">
        <f t="shared" si="9"/>
        <v>1</v>
      </c>
      <c r="S129" s="43">
        <f t="shared" si="10"/>
        <v>1</v>
      </c>
    </row>
    <row r="130" spans="1:19" ht="14.25" customHeight="1">
      <c r="A130" s="38" t="s">
        <v>406</v>
      </c>
      <c r="B130" s="38" t="s">
        <v>405</v>
      </c>
      <c r="C130" s="39" t="s">
        <v>155</v>
      </c>
      <c r="D130" s="40">
        <v>61.08</v>
      </c>
      <c r="E130" s="40">
        <v>8.4455489999999998</v>
      </c>
      <c r="F130" s="38" t="s">
        <v>117</v>
      </c>
      <c r="G130" s="40"/>
      <c r="H130" s="41"/>
      <c r="I130" s="41">
        <v>7.4560000000000004</v>
      </c>
      <c r="J130" s="41">
        <v>1577.67</v>
      </c>
      <c r="K130" s="41">
        <v>173.37</v>
      </c>
      <c r="L130" s="41">
        <v>609.67000000000007</v>
      </c>
      <c r="M130" s="41">
        <v>799.67000000000007</v>
      </c>
      <c r="N130" s="41" t="s">
        <v>127</v>
      </c>
      <c r="O130" s="42">
        <f t="shared" si="6"/>
        <v>7.4560000000000004</v>
      </c>
      <c r="P130" s="42">
        <f t="shared" si="7"/>
        <v>1577.67</v>
      </c>
      <c r="Q130" s="42">
        <f t="shared" si="8"/>
        <v>173.37</v>
      </c>
      <c r="R130" s="43">
        <f t="shared" si="9"/>
        <v>1</v>
      </c>
      <c r="S130" s="43">
        <f t="shared" si="10"/>
        <v>1</v>
      </c>
    </row>
    <row r="131" spans="1:19" ht="14.25" customHeight="1">
      <c r="A131" s="38" t="s">
        <v>404</v>
      </c>
      <c r="B131" s="38" t="s">
        <v>403</v>
      </c>
      <c r="C131" s="39" t="s">
        <v>155</v>
      </c>
      <c r="D131" s="40">
        <v>88.1</v>
      </c>
      <c r="E131" s="40">
        <v>7.5510000000000002</v>
      </c>
      <c r="F131" s="38" t="s">
        <v>117</v>
      </c>
      <c r="G131" s="40"/>
      <c r="H131" s="41"/>
      <c r="I131" s="41">
        <v>7.101</v>
      </c>
      <c r="J131" s="41">
        <v>1244.95</v>
      </c>
      <c r="K131" s="41">
        <v>217.88</v>
      </c>
      <c r="L131" s="41">
        <v>519.67000000000007</v>
      </c>
      <c r="M131" s="41">
        <v>627.67000000000007</v>
      </c>
      <c r="N131" s="41" t="s">
        <v>127</v>
      </c>
      <c r="O131" s="42">
        <f t="shared" ref="O131:O194" si="11">IF($F131="RVP", (12.82-0.9672*LN($G131)), IF($F131 = "RVP+S", 15.64-(1.854*($H131^0.5))-(0.8742-(0.328*($H131^0.5)))*LN($G131), I131))</f>
        <v>7.101</v>
      </c>
      <c r="P131" s="42">
        <f t="shared" ref="P131:P194" si="12">IF($F131="RVP", (7261-1216*LN($G131)), IF($F131 = "RVP+S", 8742-(1042*($H131^0.5))-(1049-(179.4*($H131^0.5)))*LN($G131), J131))</f>
        <v>1244.95</v>
      </c>
      <c r="Q131" s="42">
        <f t="shared" ref="Q131:Q194" si="13">IF($F131="RVP", 0, IF($F131 = "RVP+S", 0, K131))</f>
        <v>217.88</v>
      </c>
      <c r="R131" s="43">
        <f t="shared" ref="R131:R194" si="14">IF($F131="RVP",0.4,1)</f>
        <v>1</v>
      </c>
      <c r="S131" s="43">
        <f t="shared" ref="S131:S194" si="15">IF($F131="RVP",0.75,1)</f>
        <v>1</v>
      </c>
    </row>
    <row r="132" spans="1:19" ht="14.25" customHeight="1">
      <c r="A132" s="38" t="s">
        <v>402</v>
      </c>
      <c r="B132" s="38" t="s">
        <v>401</v>
      </c>
      <c r="C132" s="39" t="s">
        <v>128</v>
      </c>
      <c r="D132" s="40">
        <v>100.11</v>
      </c>
      <c r="E132" s="40">
        <v>7.75</v>
      </c>
      <c r="F132" s="38" t="s">
        <v>117</v>
      </c>
      <c r="G132" s="40"/>
      <c r="H132" s="41"/>
      <c r="I132" s="41">
        <v>7.9645000000000001</v>
      </c>
      <c r="J132" s="41">
        <v>1897.011</v>
      </c>
      <c r="K132" s="41">
        <v>273.16000000000003</v>
      </c>
      <c r="L132" s="41">
        <v>438.67</v>
      </c>
      <c r="M132" s="41">
        <v>670.67000000000007</v>
      </c>
      <c r="N132" s="41" t="s">
        <v>127</v>
      </c>
      <c r="O132" s="42">
        <f t="shared" si="11"/>
        <v>7.9645000000000001</v>
      </c>
      <c r="P132" s="42">
        <f t="shared" si="12"/>
        <v>1897.011</v>
      </c>
      <c r="Q132" s="42">
        <f t="shared" si="13"/>
        <v>273.16000000000003</v>
      </c>
      <c r="R132" s="43">
        <f t="shared" si="14"/>
        <v>1</v>
      </c>
      <c r="S132" s="43">
        <f t="shared" si="15"/>
        <v>1</v>
      </c>
    </row>
    <row r="133" spans="1:19" ht="14.25" customHeight="1">
      <c r="A133" s="38" t="s">
        <v>400</v>
      </c>
      <c r="B133" s="38" t="s">
        <v>399</v>
      </c>
      <c r="C133" s="39" t="s">
        <v>128</v>
      </c>
      <c r="D133" s="40">
        <v>106.17</v>
      </c>
      <c r="E133" s="40">
        <v>7.231293</v>
      </c>
      <c r="F133" s="38" t="s">
        <v>117</v>
      </c>
      <c r="G133" s="40"/>
      <c r="H133" s="41"/>
      <c r="I133" s="41">
        <v>6.9749999999999996</v>
      </c>
      <c r="J133" s="41">
        <v>1424.2550000000001</v>
      </c>
      <c r="K133" s="41">
        <v>213.21</v>
      </c>
      <c r="L133" s="41">
        <v>593.67000000000007</v>
      </c>
      <c r="M133" s="41">
        <v>738.67000000000007</v>
      </c>
      <c r="N133" s="41" t="s">
        <v>127</v>
      </c>
      <c r="O133" s="42">
        <f t="shared" si="11"/>
        <v>6.9749999999999996</v>
      </c>
      <c r="P133" s="42">
        <f t="shared" si="12"/>
        <v>1424.2550000000001</v>
      </c>
      <c r="Q133" s="42">
        <f t="shared" si="13"/>
        <v>213.21</v>
      </c>
      <c r="R133" s="43">
        <f t="shared" si="14"/>
        <v>1</v>
      </c>
      <c r="S133" s="43">
        <f t="shared" si="15"/>
        <v>1</v>
      </c>
    </row>
    <row r="134" spans="1:19" ht="14.25" customHeight="1">
      <c r="A134" s="38" t="s">
        <v>398</v>
      </c>
      <c r="B134" s="38" t="s">
        <v>397</v>
      </c>
      <c r="C134" s="39" t="s">
        <v>128</v>
      </c>
      <c r="D134" s="40">
        <v>89.09</v>
      </c>
      <c r="E134" s="40">
        <f>1.1*8.3454</f>
        <v>9.1799400000000002</v>
      </c>
      <c r="F134" s="40" t="s">
        <v>117</v>
      </c>
      <c r="G134" s="40"/>
      <c r="H134" s="41"/>
      <c r="I134" s="41">
        <f>5.48918 -LOG10(1.01325/760)</f>
        <v>8.3642769798670606</v>
      </c>
      <c r="J134" s="41">
        <v>2278.15</v>
      </c>
      <c r="K134" s="41">
        <f>-41.707+273.15</f>
        <v>231.44299999999998</v>
      </c>
      <c r="L134" s="41">
        <v>610.20000000000005</v>
      </c>
      <c r="M134" s="41">
        <v>822.6</v>
      </c>
      <c r="N134" s="41" t="s">
        <v>208</v>
      </c>
      <c r="O134" s="42">
        <f t="shared" si="11"/>
        <v>8.3642769798670606</v>
      </c>
      <c r="P134" s="42">
        <f t="shared" si="12"/>
        <v>2278.15</v>
      </c>
      <c r="Q134" s="42">
        <f t="shared" si="13"/>
        <v>231.44299999999998</v>
      </c>
      <c r="R134" s="43">
        <f t="shared" si="14"/>
        <v>1</v>
      </c>
      <c r="S134" s="43">
        <f t="shared" si="15"/>
        <v>1</v>
      </c>
    </row>
    <row r="135" spans="1:19" ht="14.25" customHeight="1">
      <c r="A135" s="38" t="s">
        <v>396</v>
      </c>
      <c r="B135" s="38" t="s">
        <v>395</v>
      </c>
      <c r="C135" s="39" t="s">
        <v>155</v>
      </c>
      <c r="D135" s="40">
        <v>64.510000000000005</v>
      </c>
      <c r="E135" s="40">
        <v>7.4257410000000004</v>
      </c>
      <c r="F135" s="38" t="s">
        <v>117</v>
      </c>
      <c r="G135" s="40"/>
      <c r="H135" s="41"/>
      <c r="I135" s="41">
        <v>6.9859999999999998</v>
      </c>
      <c r="J135" s="41">
        <v>1030.01</v>
      </c>
      <c r="K135" s="41">
        <v>238.61</v>
      </c>
      <c r="L135" s="41">
        <v>390.67</v>
      </c>
      <c r="M135" s="41">
        <v>514.67000000000007</v>
      </c>
      <c r="N135" s="41" t="s">
        <v>127</v>
      </c>
      <c r="O135" s="42">
        <f t="shared" si="11"/>
        <v>6.9859999999999998</v>
      </c>
      <c r="P135" s="42">
        <f t="shared" si="12"/>
        <v>1030.01</v>
      </c>
      <c r="Q135" s="42">
        <f t="shared" si="13"/>
        <v>238.61</v>
      </c>
      <c r="R135" s="43">
        <f t="shared" si="14"/>
        <v>1</v>
      </c>
      <c r="S135" s="43">
        <f t="shared" si="15"/>
        <v>1</v>
      </c>
    </row>
    <row r="136" spans="1:19" ht="14.25" customHeight="1">
      <c r="A136" s="38" t="s">
        <v>394</v>
      </c>
      <c r="B136" s="38" t="s">
        <v>393</v>
      </c>
      <c r="C136" s="39" t="s">
        <v>155</v>
      </c>
      <c r="D136" s="40">
        <v>74.12</v>
      </c>
      <c r="E136" s="40">
        <v>5.9536119999999997</v>
      </c>
      <c r="F136" s="38" t="s">
        <v>117</v>
      </c>
      <c r="G136" s="40"/>
      <c r="H136" s="41"/>
      <c r="I136" s="41">
        <v>6.92</v>
      </c>
      <c r="J136" s="41">
        <v>1064.07</v>
      </c>
      <c r="K136" s="41">
        <v>228.8</v>
      </c>
      <c r="L136" s="41">
        <v>449.67</v>
      </c>
      <c r="M136" s="41">
        <v>591.67000000000007</v>
      </c>
      <c r="N136" s="41" t="s">
        <v>127</v>
      </c>
      <c r="O136" s="42">
        <f t="shared" si="11"/>
        <v>6.92</v>
      </c>
      <c r="P136" s="42">
        <f t="shared" si="12"/>
        <v>1064.07</v>
      </c>
      <c r="Q136" s="42">
        <f t="shared" si="13"/>
        <v>228.8</v>
      </c>
      <c r="R136" s="43">
        <f t="shared" si="14"/>
        <v>1</v>
      </c>
      <c r="S136" s="43">
        <f t="shared" si="15"/>
        <v>1</v>
      </c>
    </row>
    <row r="137" spans="1:19" ht="14.25" customHeight="1">
      <c r="A137" s="38" t="s">
        <v>392</v>
      </c>
      <c r="B137" s="38" t="s">
        <v>391</v>
      </c>
      <c r="C137" s="39" t="s">
        <v>128</v>
      </c>
      <c r="D137" s="40">
        <v>187.86</v>
      </c>
      <c r="E137" s="40">
        <f>2.18*8.3454</f>
        <v>18.192972000000001</v>
      </c>
      <c r="F137" s="40" t="s">
        <v>117</v>
      </c>
      <c r="G137" s="40"/>
      <c r="H137" s="41"/>
      <c r="I137" s="41">
        <f>7.36914 -LOG10(1.01325/760)</f>
        <v>10.244236979867061</v>
      </c>
      <c r="J137" s="41">
        <v>4101.1459999999997</v>
      </c>
      <c r="K137" s="41">
        <f>153.034+273.15</f>
        <v>426.18399999999997</v>
      </c>
      <c r="L137" s="41">
        <v>442.8</v>
      </c>
      <c r="M137" s="41">
        <v>728.46</v>
      </c>
      <c r="N137" s="41" t="s">
        <v>208</v>
      </c>
      <c r="O137" s="42">
        <f t="shared" si="11"/>
        <v>10.244236979867061</v>
      </c>
      <c r="P137" s="42">
        <f t="shared" si="12"/>
        <v>4101.1459999999997</v>
      </c>
      <c r="Q137" s="42">
        <f t="shared" si="13"/>
        <v>426.18399999999997</v>
      </c>
      <c r="R137" s="43">
        <f t="shared" si="14"/>
        <v>1</v>
      </c>
      <c r="S137" s="43">
        <f t="shared" si="15"/>
        <v>1</v>
      </c>
    </row>
    <row r="138" spans="1:19" ht="14.25" customHeight="1">
      <c r="A138" s="44" t="s">
        <v>390</v>
      </c>
      <c r="B138" s="38" t="s">
        <v>389</v>
      </c>
      <c r="C138" s="39" t="s">
        <v>128</v>
      </c>
      <c r="D138" s="40">
        <v>62.1</v>
      </c>
      <c r="E138" s="40">
        <v>9.2574000000000005</v>
      </c>
      <c r="F138" s="38" t="s">
        <v>117</v>
      </c>
      <c r="G138" s="40"/>
      <c r="H138" s="41"/>
      <c r="I138" s="41">
        <v>9.6959900000000001</v>
      </c>
      <c r="J138" s="41">
        <v>3145.8595999999998</v>
      </c>
      <c r="K138" s="41">
        <v>264.24599999999998</v>
      </c>
      <c r="L138" s="41">
        <v>667.18799999999999</v>
      </c>
      <c r="M138" s="41">
        <v>1121.67</v>
      </c>
      <c r="N138" s="41" t="s">
        <v>142</v>
      </c>
      <c r="O138" s="42">
        <f t="shared" si="11"/>
        <v>9.6959900000000001</v>
      </c>
      <c r="P138" s="42">
        <f t="shared" si="12"/>
        <v>3145.8595999999998</v>
      </c>
      <c r="Q138" s="42">
        <f t="shared" si="13"/>
        <v>264.24599999999998</v>
      </c>
      <c r="R138" s="43">
        <f t="shared" si="14"/>
        <v>1</v>
      </c>
      <c r="S138" s="43">
        <f t="shared" si="15"/>
        <v>1</v>
      </c>
    </row>
    <row r="139" spans="1:19" ht="14.25" customHeight="1">
      <c r="A139" s="38" t="s">
        <v>388</v>
      </c>
      <c r="B139" s="38" t="s">
        <v>387</v>
      </c>
      <c r="C139" s="39" t="s">
        <v>128</v>
      </c>
      <c r="D139" s="40">
        <v>43.07</v>
      </c>
      <c r="E139" s="40">
        <f>0.83*8.3454</f>
        <v>6.9266819999999996</v>
      </c>
      <c r="F139" s="40" t="s">
        <v>117</v>
      </c>
      <c r="G139" s="40"/>
      <c r="H139" s="41"/>
      <c r="I139" s="41">
        <v>7.2149999999999999</v>
      </c>
      <c r="J139" s="41">
        <v>1576</v>
      </c>
      <c r="K139" s="41">
        <v>0</v>
      </c>
      <c r="L139" s="41">
        <v>268</v>
      </c>
      <c r="M139" s="41">
        <v>298</v>
      </c>
      <c r="N139" s="41" t="s">
        <v>386</v>
      </c>
      <c r="O139" s="42">
        <f t="shared" si="11"/>
        <v>7.2149999999999999</v>
      </c>
      <c r="P139" s="42">
        <f t="shared" si="12"/>
        <v>1576</v>
      </c>
      <c r="Q139" s="42">
        <f t="shared" si="13"/>
        <v>0</v>
      </c>
      <c r="R139" s="43">
        <f t="shared" si="14"/>
        <v>1</v>
      </c>
      <c r="S139" s="43">
        <f t="shared" si="15"/>
        <v>1</v>
      </c>
    </row>
    <row r="140" spans="1:19" ht="14.25" customHeight="1">
      <c r="A140" s="44" t="s">
        <v>385</v>
      </c>
      <c r="B140" s="38" t="s">
        <v>384</v>
      </c>
      <c r="C140" s="39" t="s">
        <v>128</v>
      </c>
      <c r="D140" s="40">
        <v>44.052599999999998</v>
      </c>
      <c r="E140" s="40">
        <f>0.882*8.34</f>
        <v>7.35588</v>
      </c>
      <c r="F140" s="38" t="s">
        <v>117</v>
      </c>
      <c r="G140" s="40"/>
      <c r="H140" s="41"/>
      <c r="I140" s="41">
        <v>7.1946199999999996</v>
      </c>
      <c r="J140" s="41">
        <v>1100.6722</v>
      </c>
      <c r="K140" s="41">
        <v>243.30099999999999</v>
      </c>
      <c r="L140" s="41">
        <v>373.55399999999997</v>
      </c>
      <c r="M140" s="41">
        <v>844.47</v>
      </c>
      <c r="N140" s="41" t="s">
        <v>142</v>
      </c>
      <c r="O140" s="42">
        <f t="shared" si="11"/>
        <v>7.1946199999999996</v>
      </c>
      <c r="P140" s="42">
        <f t="shared" si="12"/>
        <v>1100.6722</v>
      </c>
      <c r="Q140" s="42">
        <f t="shared" si="13"/>
        <v>243.30099999999999</v>
      </c>
      <c r="R140" s="43">
        <f t="shared" si="14"/>
        <v>1</v>
      </c>
      <c r="S140" s="43">
        <f t="shared" si="15"/>
        <v>1</v>
      </c>
    </row>
    <row r="141" spans="1:19" ht="14.25" customHeight="1">
      <c r="A141" s="38" t="s">
        <v>383</v>
      </c>
      <c r="B141" s="38" t="s">
        <v>382</v>
      </c>
      <c r="C141" s="39" t="s">
        <v>128</v>
      </c>
      <c r="D141" s="40">
        <v>102.16</v>
      </c>
      <c r="E141" s="40">
        <f>1.45*8.3454</f>
        <v>12.100829999999998</v>
      </c>
      <c r="F141" s="40" t="s">
        <v>150</v>
      </c>
      <c r="G141" s="40"/>
      <c r="H141" s="41"/>
      <c r="I141" s="45"/>
      <c r="J141" s="45"/>
      <c r="K141" s="45"/>
      <c r="L141" s="45"/>
      <c r="M141" s="45"/>
      <c r="N141" s="41" t="s">
        <v>171</v>
      </c>
      <c r="O141" s="42">
        <f t="shared" si="11"/>
        <v>0</v>
      </c>
      <c r="P141" s="42">
        <f t="shared" si="12"/>
        <v>0</v>
      </c>
      <c r="Q141" s="42">
        <f t="shared" si="13"/>
        <v>0</v>
      </c>
      <c r="R141" s="43">
        <f t="shared" si="14"/>
        <v>1</v>
      </c>
      <c r="S141" s="43">
        <f t="shared" si="15"/>
        <v>1</v>
      </c>
    </row>
    <row r="142" spans="1:19" ht="14.25" customHeight="1">
      <c r="A142" s="38" t="s">
        <v>381</v>
      </c>
      <c r="B142" s="38" t="s">
        <v>380</v>
      </c>
      <c r="C142" s="39" t="s">
        <v>128</v>
      </c>
      <c r="D142" s="40">
        <v>98.96</v>
      </c>
      <c r="E142" s="40">
        <f>1.18*8.3454</f>
        <v>9.8475719999999995</v>
      </c>
      <c r="F142" s="40" t="s">
        <v>117</v>
      </c>
      <c r="G142" s="40"/>
      <c r="H142" s="41"/>
      <c r="I142" s="41">
        <f>4.1886 -LOG10(1.01325/760)</f>
        <v>7.0636969798670606</v>
      </c>
      <c r="J142" s="41">
        <v>1215.3420000000001</v>
      </c>
      <c r="K142" s="41">
        <f>-40.26+273.15</f>
        <v>232.89</v>
      </c>
      <c r="L142" s="41">
        <v>421.88400000000001</v>
      </c>
      <c r="M142" s="41">
        <v>523.36800000000005</v>
      </c>
      <c r="N142" s="41" t="s">
        <v>208</v>
      </c>
      <c r="O142" s="42">
        <f t="shared" si="11"/>
        <v>7.0636969798670606</v>
      </c>
      <c r="P142" s="42">
        <f t="shared" si="12"/>
        <v>1215.3420000000001</v>
      </c>
      <c r="Q142" s="42">
        <f t="shared" si="13"/>
        <v>232.89</v>
      </c>
      <c r="R142" s="43">
        <f t="shared" si="14"/>
        <v>1</v>
      </c>
      <c r="S142" s="43">
        <f t="shared" si="15"/>
        <v>1</v>
      </c>
    </row>
    <row r="143" spans="1:19" ht="14.25" customHeight="1">
      <c r="A143" s="38" t="s">
        <v>379</v>
      </c>
      <c r="B143" s="38" t="s">
        <v>378</v>
      </c>
      <c r="C143" s="39" t="s">
        <v>128</v>
      </c>
      <c r="D143" s="40">
        <v>30</v>
      </c>
      <c r="E143" s="40">
        <v>9.02</v>
      </c>
      <c r="F143" s="38" t="s">
        <v>117</v>
      </c>
      <c r="G143" s="40"/>
      <c r="H143" s="41"/>
      <c r="I143" s="41">
        <v>8.1581600000000005</v>
      </c>
      <c r="J143" s="41">
        <v>1194.1401000000001</v>
      </c>
      <c r="K143" s="41">
        <v>254.37700000000001</v>
      </c>
      <c r="L143" s="41">
        <v>326.07000000000005</v>
      </c>
      <c r="M143" s="41">
        <v>487.06200000000001</v>
      </c>
      <c r="N143" s="41" t="s">
        <v>142</v>
      </c>
      <c r="O143" s="42">
        <f t="shared" si="11"/>
        <v>8.1581600000000005</v>
      </c>
      <c r="P143" s="42">
        <f t="shared" si="12"/>
        <v>1194.1401000000001</v>
      </c>
      <c r="Q143" s="42">
        <f t="shared" si="13"/>
        <v>254.37700000000001</v>
      </c>
      <c r="R143" s="43">
        <f t="shared" si="14"/>
        <v>1</v>
      </c>
      <c r="S143" s="43">
        <f t="shared" si="15"/>
        <v>1</v>
      </c>
    </row>
    <row r="144" spans="1:19" ht="14.25" customHeight="1">
      <c r="A144" s="38" t="s">
        <v>377</v>
      </c>
      <c r="B144" s="38" t="s">
        <v>376</v>
      </c>
      <c r="C144" s="39" t="s">
        <v>155</v>
      </c>
      <c r="D144" s="40">
        <v>46.03</v>
      </c>
      <c r="E144" s="40">
        <v>10.181393</v>
      </c>
      <c r="F144" s="38" t="s">
        <v>117</v>
      </c>
      <c r="G144" s="40"/>
      <c r="H144" s="41"/>
      <c r="I144" s="41">
        <v>7.5810000000000004</v>
      </c>
      <c r="J144" s="41">
        <v>1699.2</v>
      </c>
      <c r="K144" s="41">
        <v>260.7</v>
      </c>
      <c r="L144" s="41">
        <v>492.67</v>
      </c>
      <c r="M144" s="41">
        <v>552.67000000000007</v>
      </c>
      <c r="N144" s="41" t="s">
        <v>127</v>
      </c>
      <c r="O144" s="42">
        <f t="shared" si="11"/>
        <v>7.5810000000000004</v>
      </c>
      <c r="P144" s="42">
        <f t="shared" si="12"/>
        <v>1699.2</v>
      </c>
      <c r="Q144" s="42">
        <f t="shared" si="13"/>
        <v>260.7</v>
      </c>
      <c r="R144" s="43">
        <f t="shared" si="14"/>
        <v>1</v>
      </c>
      <c r="S144" s="43">
        <f t="shared" si="15"/>
        <v>1</v>
      </c>
    </row>
    <row r="145" spans="1:19" ht="14.25" customHeight="1">
      <c r="A145" s="38" t="s">
        <v>375</v>
      </c>
      <c r="B145" s="38" t="s">
        <v>374</v>
      </c>
      <c r="C145" s="39" t="s">
        <v>155</v>
      </c>
      <c r="D145" s="40">
        <v>68.08</v>
      </c>
      <c r="E145" s="40">
        <v>7.811299</v>
      </c>
      <c r="F145" s="38" t="s">
        <v>117</v>
      </c>
      <c r="G145" s="40"/>
      <c r="H145" s="41"/>
      <c r="I145" s="41">
        <v>6.9749999999999996</v>
      </c>
      <c r="J145" s="41">
        <v>1060.8699999999999</v>
      </c>
      <c r="K145" s="41">
        <v>227.74</v>
      </c>
      <c r="L145" s="41">
        <v>496.67</v>
      </c>
      <c r="M145" s="41">
        <v>602.67000000000007</v>
      </c>
      <c r="N145" s="41" t="s">
        <v>127</v>
      </c>
      <c r="O145" s="42">
        <f t="shared" si="11"/>
        <v>6.9749999999999996</v>
      </c>
      <c r="P145" s="42">
        <f t="shared" si="12"/>
        <v>1060.8699999999999</v>
      </c>
      <c r="Q145" s="42">
        <f t="shared" si="13"/>
        <v>227.74</v>
      </c>
      <c r="R145" s="43">
        <f t="shared" si="14"/>
        <v>1</v>
      </c>
      <c r="S145" s="43">
        <f t="shared" si="15"/>
        <v>1</v>
      </c>
    </row>
    <row r="146" spans="1:19" ht="14.25" customHeight="1">
      <c r="A146" s="38" t="s">
        <v>373</v>
      </c>
      <c r="B146" s="38" t="s">
        <v>372</v>
      </c>
      <c r="C146" s="39" t="s">
        <v>155</v>
      </c>
      <c r="D146" s="40">
        <v>96.09</v>
      </c>
      <c r="E146" s="40">
        <v>9.680669</v>
      </c>
      <c r="F146" s="38" t="s">
        <v>117</v>
      </c>
      <c r="G146" s="40"/>
      <c r="H146" s="41"/>
      <c r="I146" s="41">
        <v>6.5750000000000002</v>
      </c>
      <c r="J146" s="41">
        <v>1198.7</v>
      </c>
      <c r="K146" s="41">
        <v>162.80000000000001</v>
      </c>
      <c r="L146" s="41">
        <v>592.67000000000007</v>
      </c>
      <c r="M146" s="41">
        <v>780.67000000000007</v>
      </c>
      <c r="N146" s="41" t="s">
        <v>127</v>
      </c>
      <c r="O146" s="42">
        <f t="shared" si="11"/>
        <v>6.5750000000000002</v>
      </c>
      <c r="P146" s="42">
        <f t="shared" si="12"/>
        <v>1198.7</v>
      </c>
      <c r="Q146" s="42">
        <f t="shared" si="13"/>
        <v>162.80000000000001</v>
      </c>
      <c r="R146" s="43">
        <f t="shared" si="14"/>
        <v>1</v>
      </c>
      <c r="S146" s="43">
        <f t="shared" si="15"/>
        <v>1</v>
      </c>
    </row>
    <row r="147" spans="1:19" ht="14.25" customHeight="1">
      <c r="A147" s="38" t="s">
        <v>371</v>
      </c>
      <c r="B147" s="38" t="s">
        <v>196</v>
      </c>
      <c r="C147" s="39" t="s">
        <v>155</v>
      </c>
      <c r="D147" s="40">
        <v>66</v>
      </c>
      <c r="E147" s="40">
        <v>5.6</v>
      </c>
      <c r="F147" s="38" t="s">
        <v>363</v>
      </c>
      <c r="G147" s="40">
        <v>10</v>
      </c>
      <c r="H147" s="41">
        <v>3</v>
      </c>
      <c r="I147" s="41"/>
      <c r="J147" s="41"/>
      <c r="K147" s="41"/>
      <c r="L147" s="41"/>
      <c r="M147" s="41"/>
      <c r="N147" s="41" t="s">
        <v>362</v>
      </c>
      <c r="O147" s="42">
        <f t="shared" si="11"/>
        <v>11.723985667771684</v>
      </c>
      <c r="P147" s="42">
        <f t="shared" si="12"/>
        <v>5237.2733659075366</v>
      </c>
      <c r="Q147" s="42">
        <f t="shared" si="13"/>
        <v>0</v>
      </c>
      <c r="R147" s="43">
        <f t="shared" si="14"/>
        <v>1</v>
      </c>
      <c r="S147" s="43">
        <f t="shared" si="15"/>
        <v>1</v>
      </c>
    </row>
    <row r="148" spans="1:19" ht="14.25" customHeight="1">
      <c r="A148" s="38" t="s">
        <v>370</v>
      </c>
      <c r="B148" s="38" t="s">
        <v>196</v>
      </c>
      <c r="C148" s="39" t="s">
        <v>155</v>
      </c>
      <c r="D148" s="40">
        <v>65</v>
      </c>
      <c r="E148" s="40">
        <v>5.6</v>
      </c>
      <c r="F148" s="38" t="s">
        <v>363</v>
      </c>
      <c r="G148" s="40">
        <v>11.5</v>
      </c>
      <c r="H148" s="41">
        <v>3</v>
      </c>
      <c r="I148" s="41"/>
      <c r="J148" s="41"/>
      <c r="K148" s="41"/>
      <c r="L148" s="41"/>
      <c r="M148" s="41"/>
      <c r="N148" s="41" t="s">
        <v>362</v>
      </c>
      <c r="O148" s="42">
        <f t="shared" si="11"/>
        <v>11.68120630727924</v>
      </c>
      <c r="P148" s="42">
        <f t="shared" si="12"/>
        <v>5134.0913048133925</v>
      </c>
      <c r="Q148" s="42">
        <f t="shared" si="13"/>
        <v>0</v>
      </c>
      <c r="R148" s="43">
        <f t="shared" si="14"/>
        <v>1</v>
      </c>
      <c r="S148" s="43">
        <f t="shared" si="15"/>
        <v>1</v>
      </c>
    </row>
    <row r="149" spans="1:19" ht="14.25" customHeight="1">
      <c r="A149" s="38" t="s">
        <v>369</v>
      </c>
      <c r="B149" s="38" t="s">
        <v>196</v>
      </c>
      <c r="C149" s="39" t="s">
        <v>155</v>
      </c>
      <c r="D149" s="40">
        <v>62</v>
      </c>
      <c r="E149" s="40">
        <v>5.6</v>
      </c>
      <c r="F149" s="38" t="s">
        <v>363</v>
      </c>
      <c r="G149" s="40">
        <v>13</v>
      </c>
      <c r="H149" s="41">
        <v>3</v>
      </c>
      <c r="I149" s="41"/>
      <c r="J149" s="41"/>
      <c r="K149" s="41"/>
      <c r="L149" s="41"/>
      <c r="M149" s="41"/>
      <c r="N149" s="41" t="s">
        <v>362</v>
      </c>
      <c r="O149" s="42">
        <f t="shared" si="11"/>
        <v>11.643679289230791</v>
      </c>
      <c r="P149" s="42">
        <f t="shared" si="12"/>
        <v>5043.5776780461138</v>
      </c>
      <c r="Q149" s="42">
        <f t="shared" si="13"/>
        <v>0</v>
      </c>
      <c r="R149" s="43">
        <f t="shared" si="14"/>
        <v>1</v>
      </c>
      <c r="S149" s="43">
        <f t="shared" si="15"/>
        <v>1</v>
      </c>
    </row>
    <row r="150" spans="1:19" ht="14.25" customHeight="1">
      <c r="A150" s="38" t="s">
        <v>368</v>
      </c>
      <c r="B150" s="38" t="s">
        <v>196</v>
      </c>
      <c r="C150" s="39" t="s">
        <v>155</v>
      </c>
      <c r="D150" s="40">
        <v>62</v>
      </c>
      <c r="E150" s="40">
        <v>5.6</v>
      </c>
      <c r="F150" s="38" t="s">
        <v>363</v>
      </c>
      <c r="G150" s="40">
        <v>13.5</v>
      </c>
      <c r="H150" s="41">
        <v>3</v>
      </c>
      <c r="I150" s="41"/>
      <c r="J150" s="41"/>
      <c r="K150" s="41"/>
      <c r="L150" s="41"/>
      <c r="M150" s="41"/>
      <c r="N150" s="41" t="s">
        <v>362</v>
      </c>
      <c r="O150" s="42">
        <f t="shared" si="11"/>
        <v>11.632127452812064</v>
      </c>
      <c r="P150" s="42">
        <f t="shared" si="12"/>
        <v>5015.71512289368</v>
      </c>
      <c r="Q150" s="42">
        <f t="shared" si="13"/>
        <v>0</v>
      </c>
      <c r="R150" s="43">
        <f t="shared" si="14"/>
        <v>1</v>
      </c>
      <c r="S150" s="43">
        <f t="shared" si="15"/>
        <v>1</v>
      </c>
    </row>
    <row r="151" spans="1:19" ht="14.25" customHeight="1">
      <c r="A151" s="38" t="s">
        <v>367</v>
      </c>
      <c r="B151" s="38" t="s">
        <v>196</v>
      </c>
      <c r="C151" s="39" t="s">
        <v>155</v>
      </c>
      <c r="D151" s="40">
        <v>60</v>
      </c>
      <c r="E151" s="40">
        <v>5.6</v>
      </c>
      <c r="F151" s="38" t="s">
        <v>363</v>
      </c>
      <c r="G151" s="40">
        <v>15</v>
      </c>
      <c r="H151" s="41">
        <v>3</v>
      </c>
      <c r="I151" s="41"/>
      <c r="J151" s="41"/>
      <c r="K151" s="41"/>
      <c r="L151" s="41"/>
      <c r="M151" s="41"/>
      <c r="N151" s="41" t="s">
        <v>362</v>
      </c>
      <c r="O151" s="42">
        <f t="shared" si="11"/>
        <v>11.599877933347765</v>
      </c>
      <c r="P151" s="42">
        <f t="shared" si="12"/>
        <v>4937.9306060304634</v>
      </c>
      <c r="Q151" s="42">
        <f t="shared" si="13"/>
        <v>0</v>
      </c>
      <c r="R151" s="43">
        <f t="shared" si="14"/>
        <v>1</v>
      </c>
      <c r="S151" s="43">
        <f t="shared" si="15"/>
        <v>1</v>
      </c>
    </row>
    <row r="152" spans="1:19" ht="14.25" customHeight="1">
      <c r="A152" s="38" t="s">
        <v>366</v>
      </c>
      <c r="B152" s="38" t="s">
        <v>196</v>
      </c>
      <c r="C152" s="39" t="s">
        <v>155</v>
      </c>
      <c r="D152" s="40">
        <v>68</v>
      </c>
      <c r="E152" s="40">
        <v>5.6</v>
      </c>
      <c r="F152" s="38" t="s">
        <v>363</v>
      </c>
      <c r="G152" s="40">
        <v>7</v>
      </c>
      <c r="H152" s="41">
        <v>3</v>
      </c>
      <c r="I152" s="41"/>
      <c r="J152" s="41"/>
      <c r="K152" s="41"/>
      <c r="L152" s="41"/>
      <c r="M152" s="41"/>
      <c r="N152" s="41" t="s">
        <v>362</v>
      </c>
      <c r="O152" s="42">
        <f t="shared" si="11"/>
        <v>11.833159350865042</v>
      </c>
      <c r="P152" s="42">
        <f t="shared" si="12"/>
        <v>5500.5958071301211</v>
      </c>
      <c r="Q152" s="42">
        <f t="shared" si="13"/>
        <v>0</v>
      </c>
      <c r="R152" s="43">
        <f t="shared" si="14"/>
        <v>1</v>
      </c>
      <c r="S152" s="43">
        <f t="shared" si="15"/>
        <v>1</v>
      </c>
    </row>
    <row r="153" spans="1:19" ht="14.25" customHeight="1">
      <c r="A153" s="38" t="s">
        <v>365</v>
      </c>
      <c r="B153" s="38" t="s">
        <v>196</v>
      </c>
      <c r="C153" s="39" t="s">
        <v>155</v>
      </c>
      <c r="D153" s="40">
        <v>68</v>
      </c>
      <c r="E153" s="40">
        <v>5.6</v>
      </c>
      <c r="F153" s="38" t="s">
        <v>363</v>
      </c>
      <c r="G153" s="40">
        <v>7.8</v>
      </c>
      <c r="H153" s="41">
        <v>3</v>
      </c>
      <c r="I153" s="41"/>
      <c r="J153" s="41"/>
      <c r="K153" s="41"/>
      <c r="L153" s="41"/>
      <c r="M153" s="41"/>
      <c r="N153" s="41" t="s">
        <v>362</v>
      </c>
      <c r="O153" s="42">
        <f t="shared" si="11"/>
        <v>11.800036543119012</v>
      </c>
      <c r="P153" s="42">
        <f t="shared" si="12"/>
        <v>5420.7049547864035</v>
      </c>
      <c r="Q153" s="42">
        <f t="shared" si="13"/>
        <v>0</v>
      </c>
      <c r="R153" s="43">
        <f t="shared" si="14"/>
        <v>1</v>
      </c>
      <c r="S153" s="43">
        <f t="shared" si="15"/>
        <v>1</v>
      </c>
    </row>
    <row r="154" spans="1:19" ht="14.25" customHeight="1">
      <c r="A154" s="38" t="s">
        <v>364</v>
      </c>
      <c r="B154" s="38" t="s">
        <v>196</v>
      </c>
      <c r="C154" s="39" t="s">
        <v>155</v>
      </c>
      <c r="D154" s="40">
        <v>68</v>
      </c>
      <c r="E154" s="40">
        <v>5.6</v>
      </c>
      <c r="F154" s="38" t="s">
        <v>363</v>
      </c>
      <c r="G154" s="40">
        <v>8.3000000000000007</v>
      </c>
      <c r="H154" s="41">
        <v>3</v>
      </c>
      <c r="I154" s="41"/>
      <c r="J154" s="41"/>
      <c r="K154" s="41"/>
      <c r="L154" s="41"/>
      <c r="M154" s="41"/>
      <c r="N154" s="41" t="s">
        <v>362</v>
      </c>
      <c r="O154" s="42">
        <f t="shared" si="11"/>
        <v>11.781018791813869</v>
      </c>
      <c r="P154" s="42">
        <f t="shared" si="12"/>
        <v>5374.834919459744</v>
      </c>
      <c r="Q154" s="42">
        <f t="shared" si="13"/>
        <v>0</v>
      </c>
      <c r="R154" s="43">
        <f t="shared" si="14"/>
        <v>1</v>
      </c>
      <c r="S154" s="43">
        <f t="shared" si="15"/>
        <v>1</v>
      </c>
    </row>
    <row r="155" spans="1:19">
      <c r="A155" s="38" t="s">
        <v>361</v>
      </c>
      <c r="B155" s="38" t="s">
        <v>339</v>
      </c>
      <c r="C155" s="39" t="s">
        <v>228</v>
      </c>
      <c r="D155" s="40">
        <v>36.46</v>
      </c>
      <c r="E155" s="40">
        <f t="shared" ref="E155:E176" si="16">1.2*8.3454</f>
        <v>10.014479999999999</v>
      </c>
      <c r="F155" s="40" t="s">
        <v>117</v>
      </c>
      <c r="G155" s="40"/>
      <c r="H155" s="41"/>
      <c r="I155" s="41">
        <v>10.649786106061722</v>
      </c>
      <c r="J155" s="41">
        <v>3724.6548276755047</v>
      </c>
      <c r="K155" s="41">
        <v>265.40274972076577</v>
      </c>
      <c r="L155" s="41">
        <v>500.67</v>
      </c>
      <c r="M155" s="41">
        <v>689.67</v>
      </c>
      <c r="N155" s="41" t="s">
        <v>338</v>
      </c>
      <c r="O155" s="42">
        <f t="shared" si="11"/>
        <v>10.649786106061722</v>
      </c>
      <c r="P155" s="42">
        <f t="shared" si="12"/>
        <v>3724.6548276755047</v>
      </c>
      <c r="Q155" s="42">
        <f t="shared" si="13"/>
        <v>265.40274972076577</v>
      </c>
      <c r="R155" s="43">
        <f t="shared" si="14"/>
        <v>1</v>
      </c>
      <c r="S155" s="43">
        <f t="shared" si="15"/>
        <v>1</v>
      </c>
    </row>
    <row r="156" spans="1:19">
      <c r="A156" s="38" t="s">
        <v>360</v>
      </c>
      <c r="B156" s="38" t="s">
        <v>339</v>
      </c>
      <c r="C156" s="39" t="s">
        <v>228</v>
      </c>
      <c r="D156" s="40">
        <v>36.46</v>
      </c>
      <c r="E156" s="40">
        <f t="shared" si="16"/>
        <v>10.014479999999999</v>
      </c>
      <c r="F156" s="40" t="s">
        <v>117</v>
      </c>
      <c r="G156" s="40"/>
      <c r="H156" s="41"/>
      <c r="I156" s="41">
        <v>10.588351631301389</v>
      </c>
      <c r="J156" s="41">
        <v>3624.8085440855943</v>
      </c>
      <c r="K156" s="41">
        <v>266.61808461779532</v>
      </c>
      <c r="L156" s="41">
        <v>500.67</v>
      </c>
      <c r="M156" s="41">
        <v>689.67</v>
      </c>
      <c r="N156" s="41" t="s">
        <v>338</v>
      </c>
      <c r="O156" s="42">
        <f t="shared" si="11"/>
        <v>10.588351631301389</v>
      </c>
      <c r="P156" s="42">
        <f t="shared" si="12"/>
        <v>3624.8085440855943</v>
      </c>
      <c r="Q156" s="42">
        <f t="shared" si="13"/>
        <v>266.61808461779532</v>
      </c>
      <c r="R156" s="43">
        <f t="shared" si="14"/>
        <v>1</v>
      </c>
      <c r="S156" s="43">
        <f t="shared" si="15"/>
        <v>1</v>
      </c>
    </row>
    <row r="157" spans="1:19" ht="14.25" customHeight="1">
      <c r="A157" s="38" t="s">
        <v>359</v>
      </c>
      <c r="B157" s="38" t="s">
        <v>339</v>
      </c>
      <c r="C157" s="39" t="s">
        <v>228</v>
      </c>
      <c r="D157" s="40">
        <v>36.46</v>
      </c>
      <c r="E157" s="40">
        <f t="shared" si="16"/>
        <v>10.014479999999999</v>
      </c>
      <c r="F157" s="40" t="s">
        <v>117</v>
      </c>
      <c r="G157" s="40"/>
      <c r="H157" s="41"/>
      <c r="I157" s="41">
        <v>10.559745657143722</v>
      </c>
      <c r="J157" s="41">
        <v>3548.0299836734316</v>
      </c>
      <c r="K157" s="41">
        <v>269.15943305556044</v>
      </c>
      <c r="L157" s="41">
        <v>500.67</v>
      </c>
      <c r="M157" s="41">
        <v>689.67</v>
      </c>
      <c r="N157" s="41" t="s">
        <v>338</v>
      </c>
      <c r="O157" s="42">
        <f t="shared" si="11"/>
        <v>10.559745657143722</v>
      </c>
      <c r="P157" s="42">
        <f t="shared" si="12"/>
        <v>3548.0299836734316</v>
      </c>
      <c r="Q157" s="42">
        <f t="shared" si="13"/>
        <v>269.15943305556044</v>
      </c>
      <c r="R157" s="43">
        <f t="shared" si="14"/>
        <v>1</v>
      </c>
      <c r="S157" s="43">
        <f t="shared" si="15"/>
        <v>1</v>
      </c>
    </row>
    <row r="158" spans="1:19" ht="14.25" customHeight="1">
      <c r="A158" s="38" t="s">
        <v>358</v>
      </c>
      <c r="B158" s="38" t="s">
        <v>339</v>
      </c>
      <c r="C158" s="39" t="s">
        <v>228</v>
      </c>
      <c r="D158" s="40">
        <v>36.46</v>
      </c>
      <c r="E158" s="40">
        <f t="shared" si="16"/>
        <v>10.014479999999999</v>
      </c>
      <c r="F158" s="40" t="s">
        <v>117</v>
      </c>
      <c r="G158" s="40"/>
      <c r="H158" s="41"/>
      <c r="I158" s="41">
        <v>10.314322734637104</v>
      </c>
      <c r="J158" s="41">
        <v>3317.3779265506505</v>
      </c>
      <c r="K158" s="41">
        <v>263.9149037040072</v>
      </c>
      <c r="L158" s="41">
        <v>500.67</v>
      </c>
      <c r="M158" s="41">
        <v>689.67</v>
      </c>
      <c r="N158" s="41" t="s">
        <v>338</v>
      </c>
      <c r="O158" s="42">
        <f t="shared" si="11"/>
        <v>10.314322734637104</v>
      </c>
      <c r="P158" s="42">
        <f t="shared" si="12"/>
        <v>3317.3779265506505</v>
      </c>
      <c r="Q158" s="42">
        <f t="shared" si="13"/>
        <v>263.9149037040072</v>
      </c>
      <c r="R158" s="43">
        <f t="shared" si="14"/>
        <v>1</v>
      </c>
      <c r="S158" s="43">
        <f t="shared" si="15"/>
        <v>1</v>
      </c>
    </row>
    <row r="159" spans="1:19" ht="14.25" customHeight="1">
      <c r="A159" s="38" t="s">
        <v>357</v>
      </c>
      <c r="B159" s="38" t="s">
        <v>339</v>
      </c>
      <c r="C159" s="39" t="s">
        <v>228</v>
      </c>
      <c r="D159" s="40">
        <v>36.46</v>
      </c>
      <c r="E159" s="40">
        <f t="shared" si="16"/>
        <v>10.014479999999999</v>
      </c>
      <c r="F159" s="40" t="s">
        <v>117</v>
      </c>
      <c r="G159" s="40"/>
      <c r="H159" s="41"/>
      <c r="I159" s="41">
        <v>10.280848665469554</v>
      </c>
      <c r="J159" s="41">
        <v>3238.5662177695804</v>
      </c>
      <c r="K159" s="41">
        <v>266.49855685909193</v>
      </c>
      <c r="L159" s="41">
        <v>500.67</v>
      </c>
      <c r="M159" s="41">
        <v>689.67</v>
      </c>
      <c r="N159" s="41" t="s">
        <v>338</v>
      </c>
      <c r="O159" s="42">
        <f t="shared" si="11"/>
        <v>10.280848665469554</v>
      </c>
      <c r="P159" s="42">
        <f t="shared" si="12"/>
        <v>3238.5662177695804</v>
      </c>
      <c r="Q159" s="42">
        <f t="shared" si="13"/>
        <v>266.49855685909193</v>
      </c>
      <c r="R159" s="43">
        <f t="shared" si="14"/>
        <v>1</v>
      </c>
      <c r="S159" s="43">
        <f t="shared" si="15"/>
        <v>1</v>
      </c>
    </row>
    <row r="160" spans="1:19" ht="14.25" customHeight="1">
      <c r="A160" s="38" t="s">
        <v>356</v>
      </c>
      <c r="B160" s="38" t="s">
        <v>339</v>
      </c>
      <c r="C160" s="39" t="s">
        <v>228</v>
      </c>
      <c r="D160" s="40">
        <v>36.46</v>
      </c>
      <c r="E160" s="40">
        <f t="shared" si="16"/>
        <v>10.014479999999999</v>
      </c>
      <c r="F160" s="40" t="s">
        <v>117</v>
      </c>
      <c r="G160" s="40"/>
      <c r="H160" s="41"/>
      <c r="I160" s="41">
        <v>11.46691026507299</v>
      </c>
      <c r="J160" s="41">
        <v>4513.1368098376443</v>
      </c>
      <c r="K160" s="41">
        <v>265.22437142209589</v>
      </c>
      <c r="L160" s="41">
        <v>500.67</v>
      </c>
      <c r="M160" s="41">
        <v>689.67</v>
      </c>
      <c r="N160" s="41" t="s">
        <v>338</v>
      </c>
      <c r="O160" s="42">
        <f t="shared" si="11"/>
        <v>11.46691026507299</v>
      </c>
      <c r="P160" s="42">
        <f t="shared" si="12"/>
        <v>4513.1368098376443</v>
      </c>
      <c r="Q160" s="42">
        <f t="shared" si="13"/>
        <v>265.22437142209589</v>
      </c>
      <c r="R160" s="43">
        <f t="shared" si="14"/>
        <v>1</v>
      </c>
      <c r="S160" s="43">
        <f t="shared" si="15"/>
        <v>1</v>
      </c>
    </row>
    <row r="161" spans="1:19" ht="14.25" customHeight="1">
      <c r="A161" s="38" t="s">
        <v>355</v>
      </c>
      <c r="B161" s="38" t="s">
        <v>339</v>
      </c>
      <c r="C161" s="39" t="s">
        <v>228</v>
      </c>
      <c r="D161" s="40">
        <v>36.46</v>
      </c>
      <c r="E161" s="40">
        <f t="shared" si="16"/>
        <v>10.014479999999999</v>
      </c>
      <c r="F161" s="40" t="s">
        <v>117</v>
      </c>
      <c r="G161" s="40"/>
      <c r="H161" s="41"/>
      <c r="I161" s="41">
        <v>10.26162985824865</v>
      </c>
      <c r="J161" s="41">
        <v>3163.0090103932826</v>
      </c>
      <c r="K161" s="41">
        <v>268.95862179871858</v>
      </c>
      <c r="L161" s="41">
        <v>500.67</v>
      </c>
      <c r="M161" s="41">
        <v>689.67</v>
      </c>
      <c r="N161" s="41" t="s">
        <v>338</v>
      </c>
      <c r="O161" s="42">
        <f t="shared" si="11"/>
        <v>10.26162985824865</v>
      </c>
      <c r="P161" s="42">
        <f t="shared" si="12"/>
        <v>3163.0090103932826</v>
      </c>
      <c r="Q161" s="42">
        <f t="shared" si="13"/>
        <v>268.95862179871858</v>
      </c>
      <c r="R161" s="43">
        <f t="shared" si="14"/>
        <v>1</v>
      </c>
      <c r="S161" s="43">
        <f t="shared" si="15"/>
        <v>1</v>
      </c>
    </row>
    <row r="162" spans="1:19" ht="14.25" customHeight="1">
      <c r="A162" s="38" t="s">
        <v>354</v>
      </c>
      <c r="B162" s="38" t="s">
        <v>339</v>
      </c>
      <c r="C162" s="39" t="s">
        <v>228</v>
      </c>
      <c r="D162" s="40">
        <v>36.46</v>
      </c>
      <c r="E162" s="40">
        <f t="shared" si="16"/>
        <v>10.014479999999999</v>
      </c>
      <c r="F162" s="40" t="s">
        <v>117</v>
      </c>
      <c r="G162" s="40"/>
      <c r="H162" s="41"/>
      <c r="I162" s="41">
        <v>10.307923943601246</v>
      </c>
      <c r="J162" s="41">
        <v>3106.3933588173986</v>
      </c>
      <c r="K162" s="41">
        <v>271.54606443931931</v>
      </c>
      <c r="L162" s="41">
        <v>500.67</v>
      </c>
      <c r="M162" s="41">
        <v>689.67</v>
      </c>
      <c r="N162" s="41" t="s">
        <v>338</v>
      </c>
      <c r="O162" s="42">
        <f t="shared" si="11"/>
        <v>10.307923943601246</v>
      </c>
      <c r="P162" s="42">
        <f t="shared" si="12"/>
        <v>3106.3933588173986</v>
      </c>
      <c r="Q162" s="42">
        <f t="shared" si="13"/>
        <v>271.54606443931931</v>
      </c>
      <c r="R162" s="43">
        <f t="shared" si="14"/>
        <v>1</v>
      </c>
      <c r="S162" s="43">
        <f t="shared" si="15"/>
        <v>1</v>
      </c>
    </row>
    <row r="163" spans="1:19" ht="14.25" customHeight="1">
      <c r="A163" s="38" t="s">
        <v>353</v>
      </c>
      <c r="B163" s="38" t="s">
        <v>339</v>
      </c>
      <c r="C163" s="39" t="s">
        <v>228</v>
      </c>
      <c r="D163" s="40">
        <v>36.46</v>
      </c>
      <c r="E163" s="40">
        <f t="shared" si="16"/>
        <v>10.014479999999999</v>
      </c>
      <c r="F163" s="40" t="s">
        <v>117</v>
      </c>
      <c r="G163" s="40"/>
      <c r="H163" s="41"/>
      <c r="I163" s="41">
        <v>10.034388640166719</v>
      </c>
      <c r="J163" s="41">
        <v>2869.2944561663826</v>
      </c>
      <c r="K163" s="41">
        <v>265.8927389258775</v>
      </c>
      <c r="L163" s="41">
        <v>500.67</v>
      </c>
      <c r="M163" s="41">
        <v>689.67</v>
      </c>
      <c r="N163" s="41" t="s">
        <v>338</v>
      </c>
      <c r="O163" s="42">
        <f t="shared" si="11"/>
        <v>10.034388640166719</v>
      </c>
      <c r="P163" s="42">
        <f t="shared" si="12"/>
        <v>2869.2944561663826</v>
      </c>
      <c r="Q163" s="42">
        <f t="shared" si="13"/>
        <v>265.8927389258775</v>
      </c>
      <c r="R163" s="43">
        <f t="shared" si="14"/>
        <v>1</v>
      </c>
      <c r="S163" s="43">
        <f t="shared" si="15"/>
        <v>1</v>
      </c>
    </row>
    <row r="164" spans="1:19" ht="14.25" customHeight="1">
      <c r="A164" s="38" t="s">
        <v>352</v>
      </c>
      <c r="B164" s="38" t="s">
        <v>339</v>
      </c>
      <c r="C164" s="39" t="s">
        <v>228</v>
      </c>
      <c r="D164" s="40">
        <v>36.46</v>
      </c>
      <c r="E164" s="40">
        <f t="shared" si="16"/>
        <v>10.014479999999999</v>
      </c>
      <c r="F164" s="40" t="s">
        <v>117</v>
      </c>
      <c r="G164" s="40"/>
      <c r="H164" s="41"/>
      <c r="I164" s="41">
        <v>9.9969265034277761</v>
      </c>
      <c r="J164" s="41">
        <v>2783.7118336322915</v>
      </c>
      <c r="K164" s="41">
        <v>268.17110987443851</v>
      </c>
      <c r="L164" s="41">
        <v>500.67</v>
      </c>
      <c r="M164" s="41">
        <v>689.67</v>
      </c>
      <c r="N164" s="41" t="s">
        <v>338</v>
      </c>
      <c r="O164" s="42">
        <f t="shared" si="11"/>
        <v>9.9969265034277761</v>
      </c>
      <c r="P164" s="42">
        <f t="shared" si="12"/>
        <v>2783.7118336322915</v>
      </c>
      <c r="Q164" s="42">
        <f t="shared" si="13"/>
        <v>268.17110987443851</v>
      </c>
      <c r="R164" s="43">
        <f t="shared" si="14"/>
        <v>1</v>
      </c>
      <c r="S164" s="43">
        <f t="shared" si="15"/>
        <v>1</v>
      </c>
    </row>
    <row r="165" spans="1:19" ht="14.25" customHeight="1">
      <c r="A165" s="38" t="s">
        <v>351</v>
      </c>
      <c r="B165" s="38" t="s">
        <v>339</v>
      </c>
      <c r="C165" s="39" t="s">
        <v>228</v>
      </c>
      <c r="D165" s="40">
        <v>36.46</v>
      </c>
      <c r="E165" s="40">
        <f t="shared" si="16"/>
        <v>10.014479999999999</v>
      </c>
      <c r="F165" s="40" t="s">
        <v>117</v>
      </c>
      <c r="G165" s="40"/>
      <c r="H165" s="41"/>
      <c r="I165" s="41">
        <v>9.8784497734126582</v>
      </c>
      <c r="J165" s="41">
        <v>2643.1368735848882</v>
      </c>
      <c r="K165" s="41">
        <v>267.58622146535396</v>
      </c>
      <c r="L165" s="41">
        <v>500.67</v>
      </c>
      <c r="M165" s="41">
        <v>689.67</v>
      </c>
      <c r="N165" s="41" t="s">
        <v>338</v>
      </c>
      <c r="O165" s="42">
        <f t="shared" si="11"/>
        <v>9.8784497734126582</v>
      </c>
      <c r="P165" s="42">
        <f t="shared" si="12"/>
        <v>2643.1368735848882</v>
      </c>
      <c r="Q165" s="42">
        <f t="shared" si="13"/>
        <v>267.58622146535396</v>
      </c>
      <c r="R165" s="43">
        <f t="shared" si="14"/>
        <v>1</v>
      </c>
      <c r="S165" s="43">
        <f t="shared" si="15"/>
        <v>1</v>
      </c>
    </row>
    <row r="166" spans="1:19" ht="14.25" customHeight="1">
      <c r="A166" s="38" t="s">
        <v>350</v>
      </c>
      <c r="B166" s="38" t="s">
        <v>339</v>
      </c>
      <c r="C166" s="39" t="s">
        <v>228</v>
      </c>
      <c r="D166" s="40">
        <v>36.46</v>
      </c>
      <c r="E166" s="40">
        <f t="shared" si="16"/>
        <v>10.014479999999999</v>
      </c>
      <c r="F166" s="40" t="s">
        <v>117</v>
      </c>
      <c r="G166" s="40"/>
      <c r="H166" s="41"/>
      <c r="I166" s="41">
        <v>9.7979970021957197</v>
      </c>
      <c r="J166" s="41">
        <v>2546.7619459593325</v>
      </c>
      <c r="K166" s="41">
        <v>270.47258900278428</v>
      </c>
      <c r="L166" s="41">
        <v>500.67</v>
      </c>
      <c r="M166" s="41">
        <v>689.67</v>
      </c>
      <c r="N166" s="41" t="s">
        <v>338</v>
      </c>
      <c r="O166" s="42">
        <f t="shared" si="11"/>
        <v>9.7979970021957197</v>
      </c>
      <c r="P166" s="42">
        <f t="shared" si="12"/>
        <v>2546.7619459593325</v>
      </c>
      <c r="Q166" s="42">
        <f t="shared" si="13"/>
        <v>270.47258900278428</v>
      </c>
      <c r="R166" s="43">
        <f t="shared" si="14"/>
        <v>1</v>
      </c>
      <c r="S166" s="43">
        <f t="shared" si="15"/>
        <v>1</v>
      </c>
    </row>
    <row r="167" spans="1:19" ht="14.25" customHeight="1">
      <c r="A167" s="38" t="s">
        <v>349</v>
      </c>
      <c r="B167" s="38" t="s">
        <v>339</v>
      </c>
      <c r="C167" s="39" t="s">
        <v>228</v>
      </c>
      <c r="D167" s="40">
        <v>36.46</v>
      </c>
      <c r="E167" s="40">
        <f t="shared" si="16"/>
        <v>10.014479999999999</v>
      </c>
      <c r="F167" s="40" t="s">
        <v>117</v>
      </c>
      <c r="G167" s="40"/>
      <c r="H167" s="41"/>
      <c r="I167" s="41">
        <v>9.7936766271614619</v>
      </c>
      <c r="J167" s="41">
        <v>2481.9585517239852</v>
      </c>
      <c r="K167" s="41">
        <v>274.65500431479683</v>
      </c>
      <c r="L167" s="41">
        <v>500.67</v>
      </c>
      <c r="M167" s="41">
        <v>689.67</v>
      </c>
      <c r="N167" s="41" t="s">
        <v>338</v>
      </c>
      <c r="O167" s="42">
        <f t="shared" si="11"/>
        <v>9.7936766271614619</v>
      </c>
      <c r="P167" s="42">
        <f t="shared" si="12"/>
        <v>2481.9585517239852</v>
      </c>
      <c r="Q167" s="42">
        <f t="shared" si="13"/>
        <v>274.65500431479683</v>
      </c>
      <c r="R167" s="43">
        <f t="shared" si="14"/>
        <v>1</v>
      </c>
      <c r="S167" s="43">
        <f t="shared" si="15"/>
        <v>1</v>
      </c>
    </row>
    <row r="168" spans="1:19" ht="14.25" customHeight="1">
      <c r="A168" s="38" t="s">
        <v>348</v>
      </c>
      <c r="B168" s="38" t="s">
        <v>339</v>
      </c>
      <c r="C168" s="39" t="s">
        <v>228</v>
      </c>
      <c r="D168" s="40">
        <v>36.46</v>
      </c>
      <c r="E168" s="40">
        <f t="shared" si="16"/>
        <v>10.014479999999999</v>
      </c>
      <c r="F168" s="40" t="s">
        <v>117</v>
      </c>
      <c r="G168" s="40"/>
      <c r="H168" s="41"/>
      <c r="I168" s="41">
        <v>9.4599665579357239</v>
      </c>
      <c r="J168" s="41">
        <v>2223.8866378092957</v>
      </c>
      <c r="K168" s="41">
        <v>266.67577347732487</v>
      </c>
      <c r="L168" s="41">
        <v>500.67</v>
      </c>
      <c r="M168" s="41">
        <v>689.67</v>
      </c>
      <c r="N168" s="41" t="s">
        <v>338</v>
      </c>
      <c r="O168" s="42">
        <f t="shared" si="11"/>
        <v>9.4599665579357239</v>
      </c>
      <c r="P168" s="42">
        <f t="shared" si="12"/>
        <v>2223.8866378092957</v>
      </c>
      <c r="Q168" s="42">
        <f t="shared" si="13"/>
        <v>266.67577347732487</v>
      </c>
      <c r="R168" s="43">
        <f t="shared" si="14"/>
        <v>1</v>
      </c>
      <c r="S168" s="43">
        <f t="shared" si="15"/>
        <v>1</v>
      </c>
    </row>
    <row r="169" spans="1:19" ht="14.25" customHeight="1">
      <c r="A169" s="38" t="s">
        <v>347</v>
      </c>
      <c r="B169" s="38" t="s">
        <v>339</v>
      </c>
      <c r="C169" s="39" t="s">
        <v>228</v>
      </c>
      <c r="D169" s="40">
        <v>36.46</v>
      </c>
      <c r="E169" s="40">
        <f t="shared" si="16"/>
        <v>10.014479999999999</v>
      </c>
      <c r="F169" s="40" t="s">
        <v>117</v>
      </c>
      <c r="G169" s="40"/>
      <c r="H169" s="41"/>
      <c r="I169" s="41">
        <v>9.543974557111266</v>
      </c>
      <c r="J169" s="41">
        <v>2181.0030504465922</v>
      </c>
      <c r="K169" s="41">
        <v>269.97609904776783</v>
      </c>
      <c r="L169" s="41">
        <v>500.67</v>
      </c>
      <c r="M169" s="41">
        <v>689.67</v>
      </c>
      <c r="N169" s="41" t="s">
        <v>338</v>
      </c>
      <c r="O169" s="42">
        <f t="shared" si="11"/>
        <v>9.543974557111266</v>
      </c>
      <c r="P169" s="42">
        <f t="shared" si="12"/>
        <v>2181.0030504465922</v>
      </c>
      <c r="Q169" s="42">
        <f t="shared" si="13"/>
        <v>269.97609904776783</v>
      </c>
      <c r="R169" s="43">
        <f t="shared" si="14"/>
        <v>1</v>
      </c>
      <c r="S169" s="43">
        <f t="shared" si="15"/>
        <v>1</v>
      </c>
    </row>
    <row r="170" spans="1:19" ht="14.25" customHeight="1">
      <c r="A170" s="38" t="s">
        <v>346</v>
      </c>
      <c r="B170" s="38" t="s">
        <v>339</v>
      </c>
      <c r="C170" s="39" t="s">
        <v>228</v>
      </c>
      <c r="D170" s="40">
        <v>36.46</v>
      </c>
      <c r="E170" s="40">
        <f t="shared" si="16"/>
        <v>10.014479999999999</v>
      </c>
      <c r="F170" s="40" t="s">
        <v>117</v>
      </c>
      <c r="G170" s="40"/>
      <c r="H170" s="41"/>
      <c r="I170" s="41">
        <v>9.6186916471740957</v>
      </c>
      <c r="J170" s="41">
        <v>2199.3203084366478</v>
      </c>
      <c r="K170" s="41">
        <v>281.38380884670522</v>
      </c>
      <c r="L170" s="41">
        <v>500.67</v>
      </c>
      <c r="M170" s="41">
        <v>689.67</v>
      </c>
      <c r="N170" s="41" t="s">
        <v>338</v>
      </c>
      <c r="O170" s="42">
        <f t="shared" si="11"/>
        <v>9.6186916471740957</v>
      </c>
      <c r="P170" s="42">
        <f t="shared" si="12"/>
        <v>2199.3203084366478</v>
      </c>
      <c r="Q170" s="42">
        <f t="shared" si="13"/>
        <v>281.38380884670522</v>
      </c>
      <c r="R170" s="43">
        <f t="shared" si="14"/>
        <v>1</v>
      </c>
      <c r="S170" s="43">
        <f t="shared" si="15"/>
        <v>1</v>
      </c>
    </row>
    <row r="171" spans="1:19" ht="14.25" customHeight="1">
      <c r="A171" s="38" t="s">
        <v>345</v>
      </c>
      <c r="B171" s="38" t="s">
        <v>339</v>
      </c>
      <c r="C171" s="39" t="s">
        <v>228</v>
      </c>
      <c r="D171" s="40">
        <v>36.46</v>
      </c>
      <c r="E171" s="40">
        <f t="shared" si="16"/>
        <v>10.014479999999999</v>
      </c>
      <c r="F171" s="40" t="s">
        <v>117</v>
      </c>
      <c r="G171" s="40"/>
      <c r="H171" s="41"/>
      <c r="I171" s="41">
        <v>11.517399116429672</v>
      </c>
      <c r="J171" s="41">
        <v>4384.7493166695867</v>
      </c>
      <c r="K171" s="41">
        <v>269.70730663320813</v>
      </c>
      <c r="L171" s="41">
        <v>500.67</v>
      </c>
      <c r="M171" s="41">
        <v>689.67</v>
      </c>
      <c r="N171" s="41" t="s">
        <v>338</v>
      </c>
      <c r="O171" s="42">
        <f t="shared" si="11"/>
        <v>11.517399116429672</v>
      </c>
      <c r="P171" s="42">
        <f t="shared" si="12"/>
        <v>4384.7493166695867</v>
      </c>
      <c r="Q171" s="42">
        <f t="shared" si="13"/>
        <v>269.70730663320813</v>
      </c>
      <c r="R171" s="43">
        <f t="shared" si="14"/>
        <v>1</v>
      </c>
      <c r="S171" s="43">
        <f t="shared" si="15"/>
        <v>1</v>
      </c>
    </row>
    <row r="172" spans="1:19" ht="14.25" customHeight="1">
      <c r="A172" s="38" t="s">
        <v>344</v>
      </c>
      <c r="B172" s="38" t="s">
        <v>339</v>
      </c>
      <c r="C172" s="39" t="s">
        <v>228</v>
      </c>
      <c r="D172" s="40">
        <v>36.46</v>
      </c>
      <c r="E172" s="40">
        <f t="shared" si="16"/>
        <v>10.014479999999999</v>
      </c>
      <c r="F172" s="40" t="s">
        <v>117</v>
      </c>
      <c r="G172" s="40"/>
      <c r="H172" s="41"/>
      <c r="I172" s="41">
        <v>6.9785133364086853</v>
      </c>
      <c r="J172" s="41">
        <v>874.3934515892206</v>
      </c>
      <c r="K172" s="41">
        <v>179.72233750725124</v>
      </c>
      <c r="L172" s="41">
        <v>500.67</v>
      </c>
      <c r="M172" s="41">
        <v>689.67</v>
      </c>
      <c r="N172" s="41" t="s">
        <v>338</v>
      </c>
      <c r="O172" s="42">
        <f t="shared" si="11"/>
        <v>6.9785133364086853</v>
      </c>
      <c r="P172" s="42">
        <f t="shared" si="12"/>
        <v>874.3934515892206</v>
      </c>
      <c r="Q172" s="42">
        <f t="shared" si="13"/>
        <v>179.72233750725124</v>
      </c>
      <c r="R172" s="43">
        <f t="shared" si="14"/>
        <v>1</v>
      </c>
      <c r="S172" s="43">
        <f t="shared" si="15"/>
        <v>1</v>
      </c>
    </row>
    <row r="173" spans="1:19" ht="14.25" customHeight="1">
      <c r="A173" s="38" t="s">
        <v>343</v>
      </c>
      <c r="B173" s="38" t="s">
        <v>339</v>
      </c>
      <c r="C173" s="39" t="s">
        <v>228</v>
      </c>
      <c r="D173" s="40">
        <v>36.46</v>
      </c>
      <c r="E173" s="40">
        <f t="shared" si="16"/>
        <v>10.014479999999999</v>
      </c>
      <c r="F173" s="40" t="s">
        <v>117</v>
      </c>
      <c r="G173" s="40"/>
      <c r="H173" s="41"/>
      <c r="I173" s="41">
        <v>7.8169478964827235</v>
      </c>
      <c r="J173" s="41">
        <v>1192.7811557534581</v>
      </c>
      <c r="K173" s="41">
        <v>220.21678007547573</v>
      </c>
      <c r="L173" s="41">
        <v>500.67</v>
      </c>
      <c r="M173" s="41">
        <v>689.67</v>
      </c>
      <c r="N173" s="41" t="s">
        <v>338</v>
      </c>
      <c r="O173" s="42">
        <f t="shared" si="11"/>
        <v>7.8169478964827235</v>
      </c>
      <c r="P173" s="42">
        <f t="shared" si="12"/>
        <v>1192.7811557534581</v>
      </c>
      <c r="Q173" s="42">
        <f t="shared" si="13"/>
        <v>220.21678007547573</v>
      </c>
      <c r="R173" s="43">
        <f t="shared" si="14"/>
        <v>1</v>
      </c>
      <c r="S173" s="43">
        <f t="shared" si="15"/>
        <v>1</v>
      </c>
    </row>
    <row r="174" spans="1:19" ht="14.25" customHeight="1">
      <c r="A174" s="38" t="s">
        <v>342</v>
      </c>
      <c r="B174" s="38" t="s">
        <v>339</v>
      </c>
      <c r="C174" s="39" t="s">
        <v>228</v>
      </c>
      <c r="D174" s="40">
        <v>36.46</v>
      </c>
      <c r="E174" s="40">
        <f t="shared" si="16"/>
        <v>10.014479999999999</v>
      </c>
      <c r="F174" s="40" t="s">
        <v>117</v>
      </c>
      <c r="G174" s="40"/>
      <c r="H174" s="41"/>
      <c r="I174" s="41">
        <v>3.0409371614690035</v>
      </c>
      <c r="J174" s="41">
        <v>1.2131169214732498</v>
      </c>
      <c r="K174" s="41">
        <v>0.39892863846197407</v>
      </c>
      <c r="L174" s="41">
        <v>500.67</v>
      </c>
      <c r="M174" s="41">
        <v>689.67</v>
      </c>
      <c r="N174" s="41" t="s">
        <v>338</v>
      </c>
      <c r="O174" s="42">
        <f t="shared" si="11"/>
        <v>3.0409371614690035</v>
      </c>
      <c r="P174" s="42">
        <f t="shared" si="12"/>
        <v>1.2131169214732498</v>
      </c>
      <c r="Q174" s="42">
        <f t="shared" si="13"/>
        <v>0.39892863846197407</v>
      </c>
      <c r="R174" s="43">
        <f t="shared" si="14"/>
        <v>1</v>
      </c>
      <c r="S174" s="43">
        <f t="shared" si="15"/>
        <v>1</v>
      </c>
    </row>
    <row r="175" spans="1:19" ht="14.25" customHeight="1">
      <c r="A175" s="38" t="s">
        <v>341</v>
      </c>
      <c r="B175" s="38" t="s">
        <v>339</v>
      </c>
      <c r="C175" s="39" t="s">
        <v>228</v>
      </c>
      <c r="D175" s="40">
        <v>36.46</v>
      </c>
      <c r="E175" s="40">
        <f t="shared" si="16"/>
        <v>10.014479999999999</v>
      </c>
      <c r="F175" s="40" t="s">
        <v>117</v>
      </c>
      <c r="G175" s="40"/>
      <c r="H175" s="41"/>
      <c r="I175" s="41">
        <v>10.858488156032102</v>
      </c>
      <c r="J175" s="41">
        <v>3966.8108517500659</v>
      </c>
      <c r="K175" s="41">
        <v>263.73584556970769</v>
      </c>
      <c r="L175" s="41">
        <v>500.67</v>
      </c>
      <c r="M175" s="41">
        <v>689.67</v>
      </c>
      <c r="N175" s="41" t="s">
        <v>338</v>
      </c>
      <c r="O175" s="42">
        <f t="shared" si="11"/>
        <v>10.858488156032102</v>
      </c>
      <c r="P175" s="42">
        <f t="shared" si="12"/>
        <v>3966.8108517500659</v>
      </c>
      <c r="Q175" s="42">
        <f t="shared" si="13"/>
        <v>263.73584556970769</v>
      </c>
      <c r="R175" s="43">
        <f t="shared" si="14"/>
        <v>1</v>
      </c>
      <c r="S175" s="43">
        <f t="shared" si="15"/>
        <v>1</v>
      </c>
    </row>
    <row r="176" spans="1:19" ht="14.25" customHeight="1">
      <c r="A176" s="38" t="s">
        <v>340</v>
      </c>
      <c r="B176" s="38" t="s">
        <v>339</v>
      </c>
      <c r="C176" s="39" t="s">
        <v>228</v>
      </c>
      <c r="D176" s="40">
        <v>36.46</v>
      </c>
      <c r="E176" s="40">
        <f t="shared" si="16"/>
        <v>10.014479999999999</v>
      </c>
      <c r="F176" s="40" t="s">
        <v>117</v>
      </c>
      <c r="G176" s="40"/>
      <c r="H176" s="41"/>
      <c r="I176" s="41">
        <v>10.870611133364338</v>
      </c>
      <c r="J176" s="41">
        <v>3931.750723406311</v>
      </c>
      <c r="K176" s="41">
        <v>268.76937583265664</v>
      </c>
      <c r="L176" s="41">
        <v>500.67</v>
      </c>
      <c r="M176" s="41">
        <v>689.67</v>
      </c>
      <c r="N176" s="41" t="s">
        <v>338</v>
      </c>
      <c r="O176" s="42">
        <f t="shared" si="11"/>
        <v>10.870611133364338</v>
      </c>
      <c r="P176" s="42">
        <f t="shared" si="12"/>
        <v>3931.750723406311</v>
      </c>
      <c r="Q176" s="42">
        <f t="shared" si="13"/>
        <v>268.76937583265664</v>
      </c>
      <c r="R176" s="43">
        <f t="shared" si="14"/>
        <v>1</v>
      </c>
      <c r="S176" s="43">
        <f t="shared" si="15"/>
        <v>1</v>
      </c>
    </row>
    <row r="177" spans="1:19" ht="14.25" customHeight="1">
      <c r="A177" s="38" t="s">
        <v>337</v>
      </c>
      <c r="B177" s="38" t="s">
        <v>336</v>
      </c>
      <c r="C177" s="39" t="s">
        <v>128</v>
      </c>
      <c r="D177" s="40">
        <v>373.3177</v>
      </c>
      <c r="E177" s="40">
        <f>1.6*8.3454</f>
        <v>13.352640000000001</v>
      </c>
      <c r="F177" s="40" t="s">
        <v>150</v>
      </c>
      <c r="G177" s="40"/>
      <c r="H177" s="41"/>
      <c r="I177" s="41"/>
      <c r="J177" s="41"/>
      <c r="K177" s="41"/>
      <c r="L177" s="41"/>
      <c r="M177" s="41"/>
      <c r="N177" s="41" t="s">
        <v>137</v>
      </c>
      <c r="O177" s="42">
        <f t="shared" si="11"/>
        <v>0</v>
      </c>
      <c r="P177" s="42">
        <f t="shared" si="12"/>
        <v>0</v>
      </c>
      <c r="Q177" s="42">
        <f t="shared" si="13"/>
        <v>0</v>
      </c>
      <c r="R177" s="43">
        <f t="shared" si="14"/>
        <v>1</v>
      </c>
      <c r="S177" s="43">
        <f t="shared" si="15"/>
        <v>1</v>
      </c>
    </row>
    <row r="178" spans="1:19" ht="14.25" customHeight="1">
      <c r="A178" s="38" t="s">
        <v>335</v>
      </c>
      <c r="B178" s="38" t="s">
        <v>334</v>
      </c>
      <c r="C178" s="39" t="s">
        <v>155</v>
      </c>
      <c r="D178" s="40">
        <v>100.21</v>
      </c>
      <c r="E178" s="40">
        <v>5.6665299999999998</v>
      </c>
      <c r="F178" s="38" t="s">
        <v>117</v>
      </c>
      <c r="G178" s="40"/>
      <c r="H178" s="41"/>
      <c r="I178" s="41">
        <v>6.8994</v>
      </c>
      <c r="J178" s="41">
        <v>1331.53</v>
      </c>
      <c r="K178" s="41">
        <v>212.41</v>
      </c>
      <c r="L178" s="41"/>
      <c r="M178" s="41"/>
      <c r="N178" s="41" t="s">
        <v>158</v>
      </c>
      <c r="O178" s="42">
        <f t="shared" si="11"/>
        <v>6.8994</v>
      </c>
      <c r="P178" s="42">
        <f t="shared" si="12"/>
        <v>1331.53</v>
      </c>
      <c r="Q178" s="42">
        <f t="shared" si="13"/>
        <v>212.41</v>
      </c>
      <c r="R178" s="43">
        <f t="shared" si="14"/>
        <v>1</v>
      </c>
      <c r="S178" s="43">
        <f t="shared" si="15"/>
        <v>1</v>
      </c>
    </row>
    <row r="179" spans="1:19" ht="14.25" customHeight="1">
      <c r="A179" s="44" t="s">
        <v>333</v>
      </c>
      <c r="B179" s="38" t="s">
        <v>332</v>
      </c>
      <c r="C179" s="39" t="s">
        <v>128</v>
      </c>
      <c r="D179" s="40">
        <v>284.77999999999997</v>
      </c>
      <c r="E179" s="40">
        <f>1.5691*8.3454</f>
        <v>13.094767139999998</v>
      </c>
      <c r="F179" s="40" t="s">
        <v>117</v>
      </c>
      <c r="G179" s="40"/>
      <c r="H179" s="41"/>
      <c r="I179" s="41">
        <v>6.0398100000000001</v>
      </c>
      <c r="J179" s="41">
        <v>1264.4259</v>
      </c>
      <c r="K179" s="41">
        <v>75.710999999999999</v>
      </c>
      <c r="L179" s="41">
        <v>806.99400000000003</v>
      </c>
      <c r="M179" s="41">
        <v>1151.748</v>
      </c>
      <c r="N179" s="41" t="s">
        <v>142</v>
      </c>
      <c r="O179" s="42">
        <f t="shared" si="11"/>
        <v>6.0398100000000001</v>
      </c>
      <c r="P179" s="42">
        <f t="shared" si="12"/>
        <v>1264.4259</v>
      </c>
      <c r="Q179" s="42">
        <f t="shared" si="13"/>
        <v>75.710999999999999</v>
      </c>
      <c r="R179" s="43">
        <f t="shared" si="14"/>
        <v>1</v>
      </c>
      <c r="S179" s="43">
        <f t="shared" si="15"/>
        <v>1</v>
      </c>
    </row>
    <row r="180" spans="1:19" ht="14.25" customHeight="1">
      <c r="A180" s="38" t="s">
        <v>331</v>
      </c>
      <c r="B180" s="38" t="s">
        <v>330</v>
      </c>
      <c r="C180" s="39" t="s">
        <v>128</v>
      </c>
      <c r="D180" s="40">
        <v>260.76</v>
      </c>
      <c r="E180" s="40">
        <f>1.68*8.3454</f>
        <v>14.020271999999999</v>
      </c>
      <c r="F180" s="40" t="s">
        <v>117</v>
      </c>
      <c r="G180" s="40"/>
      <c r="H180" s="41"/>
      <c r="I180" s="41">
        <v>6.3741300000000001</v>
      </c>
      <c r="J180" s="41">
        <v>1284.8733999999999</v>
      </c>
      <c r="K180" s="41">
        <v>152.75899999999999</v>
      </c>
      <c r="L180" s="41">
        <v>647.01</v>
      </c>
      <c r="M180" s="41">
        <v>941.13</v>
      </c>
      <c r="N180" s="41" t="s">
        <v>142</v>
      </c>
      <c r="O180" s="42">
        <f t="shared" si="11"/>
        <v>6.3741300000000001</v>
      </c>
      <c r="P180" s="42">
        <f t="shared" si="12"/>
        <v>1284.8733999999999</v>
      </c>
      <c r="Q180" s="42">
        <f t="shared" si="13"/>
        <v>152.75899999999999</v>
      </c>
      <c r="R180" s="43">
        <f t="shared" si="14"/>
        <v>1</v>
      </c>
      <c r="S180" s="43">
        <f t="shared" si="15"/>
        <v>1</v>
      </c>
    </row>
    <row r="181" spans="1:19" ht="14.25" customHeight="1">
      <c r="A181" s="44" t="s">
        <v>329</v>
      </c>
      <c r="B181" s="38" t="s">
        <v>328</v>
      </c>
      <c r="C181" s="39" t="s">
        <v>128</v>
      </c>
      <c r="D181" s="40">
        <v>272.11</v>
      </c>
      <c r="E181" s="40">
        <f>1.702*8.3454</f>
        <v>14.203870799999999</v>
      </c>
      <c r="F181" s="40" t="s">
        <v>117</v>
      </c>
      <c r="G181" s="40"/>
      <c r="H181" s="41"/>
      <c r="I181" s="41">
        <v>7.0892200000000001</v>
      </c>
      <c r="J181" s="41">
        <v>1829.1202000000001</v>
      </c>
      <c r="K181" s="41">
        <v>195.584</v>
      </c>
      <c r="L181" s="41">
        <v>680.31</v>
      </c>
      <c r="M181" s="41">
        <v>982.22399999999993</v>
      </c>
      <c r="N181" s="41" t="s">
        <v>142</v>
      </c>
      <c r="O181" s="42">
        <f t="shared" si="11"/>
        <v>7.0892200000000001</v>
      </c>
      <c r="P181" s="42">
        <f t="shared" si="12"/>
        <v>1829.1202000000001</v>
      </c>
      <c r="Q181" s="42">
        <f t="shared" si="13"/>
        <v>195.584</v>
      </c>
      <c r="R181" s="43">
        <f t="shared" si="14"/>
        <v>1</v>
      </c>
      <c r="S181" s="43">
        <f t="shared" si="15"/>
        <v>1</v>
      </c>
    </row>
    <row r="182" spans="1:19" ht="14.25" customHeight="1">
      <c r="A182" s="44" t="s">
        <v>327</v>
      </c>
      <c r="B182" s="38" t="s">
        <v>326</v>
      </c>
      <c r="C182" s="39" t="s">
        <v>128</v>
      </c>
      <c r="D182" s="40">
        <v>236.74</v>
      </c>
      <c r="E182" s="40">
        <f>2.091*8.3454</f>
        <v>17.4502314</v>
      </c>
      <c r="F182" s="40" t="s">
        <v>117</v>
      </c>
      <c r="G182" s="40"/>
      <c r="H182" s="41"/>
      <c r="I182" s="41">
        <v>6.5300799999999999</v>
      </c>
      <c r="J182" s="41">
        <v>1214.2873</v>
      </c>
      <c r="K182" s="41">
        <v>147.899</v>
      </c>
      <c r="L182" s="41">
        <v>620.69400000000007</v>
      </c>
      <c r="M182" s="41">
        <v>878.25600000000009</v>
      </c>
      <c r="N182" s="41" t="s">
        <v>142</v>
      </c>
      <c r="O182" s="42">
        <f t="shared" si="11"/>
        <v>6.5300799999999999</v>
      </c>
      <c r="P182" s="42">
        <f t="shared" si="12"/>
        <v>1214.2873</v>
      </c>
      <c r="Q182" s="42">
        <f t="shared" si="13"/>
        <v>147.899</v>
      </c>
      <c r="R182" s="43">
        <f t="shared" si="14"/>
        <v>1</v>
      </c>
      <c r="S182" s="43">
        <f t="shared" si="15"/>
        <v>1</v>
      </c>
    </row>
    <row r="183" spans="1:19" ht="14.25" customHeight="1">
      <c r="A183" s="38" t="s">
        <v>325</v>
      </c>
      <c r="B183" s="38" t="s">
        <v>324</v>
      </c>
      <c r="C183" s="39" t="s">
        <v>128</v>
      </c>
      <c r="D183" s="40">
        <v>168.19</v>
      </c>
      <c r="E183" s="40">
        <f>1.047*8.3454</f>
        <v>8.7376337999999993</v>
      </c>
      <c r="F183" s="40" t="s">
        <v>150</v>
      </c>
      <c r="G183" s="40"/>
      <c r="H183" s="41"/>
      <c r="I183" s="45"/>
      <c r="J183" s="45"/>
      <c r="K183" s="45"/>
      <c r="L183" s="45"/>
      <c r="M183" s="45"/>
      <c r="N183" s="41" t="s">
        <v>171</v>
      </c>
      <c r="O183" s="42">
        <f t="shared" si="11"/>
        <v>0</v>
      </c>
      <c r="P183" s="42">
        <f t="shared" si="12"/>
        <v>0</v>
      </c>
      <c r="Q183" s="42">
        <f t="shared" si="13"/>
        <v>0</v>
      </c>
      <c r="R183" s="43">
        <f t="shared" si="14"/>
        <v>1</v>
      </c>
      <c r="S183" s="43">
        <f t="shared" si="15"/>
        <v>1</v>
      </c>
    </row>
    <row r="184" spans="1:19" ht="14.25" customHeight="1">
      <c r="A184" s="38" t="s">
        <v>323</v>
      </c>
      <c r="B184" s="38" t="s">
        <v>322</v>
      </c>
      <c r="C184" s="39" t="s">
        <v>128</v>
      </c>
      <c r="D184" s="40">
        <v>179.2</v>
      </c>
      <c r="E184" s="40">
        <f>1.03*8.3454</f>
        <v>8.5957620000000006</v>
      </c>
      <c r="F184" s="40" t="s">
        <v>150</v>
      </c>
      <c r="G184" s="40"/>
      <c r="H184" s="41"/>
      <c r="I184" s="45"/>
      <c r="J184" s="45"/>
      <c r="K184" s="45"/>
      <c r="L184" s="45"/>
      <c r="M184" s="45"/>
      <c r="N184" s="41" t="s">
        <v>171</v>
      </c>
      <c r="O184" s="42">
        <f t="shared" si="11"/>
        <v>0</v>
      </c>
      <c r="P184" s="42">
        <f t="shared" si="12"/>
        <v>0</v>
      </c>
      <c r="Q184" s="42">
        <f t="shared" si="13"/>
        <v>0</v>
      </c>
      <c r="R184" s="43">
        <f t="shared" si="14"/>
        <v>1</v>
      </c>
      <c r="S184" s="43">
        <f t="shared" si="15"/>
        <v>1</v>
      </c>
    </row>
    <row r="185" spans="1:19" ht="14.25" customHeight="1">
      <c r="A185" s="38" t="s">
        <v>321</v>
      </c>
      <c r="B185" s="38" t="s">
        <v>320</v>
      </c>
      <c r="C185" s="39" t="s">
        <v>128</v>
      </c>
      <c r="D185" s="40">
        <v>86.17</v>
      </c>
      <c r="E185" s="40">
        <v>5.5270000000000001</v>
      </c>
      <c r="F185" s="38" t="s">
        <v>117</v>
      </c>
      <c r="G185" s="40"/>
      <c r="H185" s="41"/>
      <c r="I185" s="41">
        <v>6.8760000000000003</v>
      </c>
      <c r="J185" s="41">
        <v>1171.17</v>
      </c>
      <c r="K185" s="41">
        <v>224.41</v>
      </c>
      <c r="L185" s="41">
        <v>514.67000000000007</v>
      </c>
      <c r="M185" s="41">
        <v>616.67000000000007</v>
      </c>
      <c r="N185" s="41" t="s">
        <v>127</v>
      </c>
      <c r="O185" s="42">
        <f t="shared" si="11"/>
        <v>6.8760000000000003</v>
      </c>
      <c r="P185" s="42">
        <f t="shared" si="12"/>
        <v>1171.17</v>
      </c>
      <c r="Q185" s="42">
        <f t="shared" si="13"/>
        <v>224.41</v>
      </c>
      <c r="R185" s="43">
        <f t="shared" si="14"/>
        <v>1</v>
      </c>
      <c r="S185" s="43">
        <f t="shared" si="15"/>
        <v>1</v>
      </c>
    </row>
    <row r="186" spans="1:19" ht="14.25" customHeight="1">
      <c r="A186" s="38" t="s">
        <v>319</v>
      </c>
      <c r="B186" s="38" t="s">
        <v>318</v>
      </c>
      <c r="C186" s="39" t="s">
        <v>155</v>
      </c>
      <c r="D186" s="40">
        <v>102.18</v>
      </c>
      <c r="E186" s="40">
        <v>6.7898209999999999</v>
      </c>
      <c r="F186" s="38" t="s">
        <v>117</v>
      </c>
      <c r="G186" s="40"/>
      <c r="H186" s="41"/>
      <c r="I186" s="41">
        <v>7.86</v>
      </c>
      <c r="J186" s="41">
        <v>1761.26</v>
      </c>
      <c r="K186" s="41">
        <v>196.66</v>
      </c>
      <c r="L186" s="41">
        <v>585.67000000000007</v>
      </c>
      <c r="M186" s="41">
        <v>774.67000000000007</v>
      </c>
      <c r="N186" s="41" t="s">
        <v>127</v>
      </c>
      <c r="O186" s="42">
        <f t="shared" si="11"/>
        <v>7.86</v>
      </c>
      <c r="P186" s="42">
        <f t="shared" si="12"/>
        <v>1761.26</v>
      </c>
      <c r="Q186" s="42">
        <f t="shared" si="13"/>
        <v>196.66</v>
      </c>
      <c r="R186" s="43">
        <f t="shared" si="14"/>
        <v>1</v>
      </c>
      <c r="S186" s="43">
        <f t="shared" si="15"/>
        <v>1</v>
      </c>
    </row>
    <row r="187" spans="1:19" ht="14.25" customHeight="1">
      <c r="A187" s="38" t="s">
        <v>317</v>
      </c>
      <c r="B187" s="38" t="s">
        <v>316</v>
      </c>
      <c r="C187" s="39" t="s">
        <v>128</v>
      </c>
      <c r="D187" s="40">
        <v>32.049999999999997</v>
      </c>
      <c r="E187" s="40">
        <f>1.011*8.3454</f>
        <v>8.437199399999999</v>
      </c>
      <c r="F187" s="40" t="s">
        <v>117</v>
      </c>
      <c r="G187" s="40"/>
      <c r="H187" s="41"/>
      <c r="I187" s="41">
        <v>7.8287699999999996</v>
      </c>
      <c r="J187" s="41">
        <v>1698.5808</v>
      </c>
      <c r="K187" s="41">
        <v>229.79</v>
      </c>
      <c r="L187" s="41">
        <v>494.42400000000004</v>
      </c>
      <c r="M187" s="41">
        <v>1175.67</v>
      </c>
      <c r="N187" s="41" t="s">
        <v>142</v>
      </c>
      <c r="O187" s="42">
        <f t="shared" si="11"/>
        <v>7.8287699999999996</v>
      </c>
      <c r="P187" s="42">
        <f t="shared" si="12"/>
        <v>1698.5808</v>
      </c>
      <c r="Q187" s="42">
        <f t="shared" si="13"/>
        <v>229.79</v>
      </c>
      <c r="R187" s="43">
        <f t="shared" si="14"/>
        <v>1</v>
      </c>
      <c r="S187" s="43">
        <f t="shared" si="15"/>
        <v>1</v>
      </c>
    </row>
    <row r="188" spans="1:19" ht="14.25" customHeight="1">
      <c r="A188" s="38" t="s">
        <v>315</v>
      </c>
      <c r="B188" s="38" t="s">
        <v>314</v>
      </c>
      <c r="C188" s="39" t="s">
        <v>128</v>
      </c>
      <c r="D188" s="40">
        <v>27.03</v>
      </c>
      <c r="E188" s="40">
        <v>5.7720000000000002</v>
      </c>
      <c r="F188" s="38" t="s">
        <v>117</v>
      </c>
      <c r="G188" s="40"/>
      <c r="H188" s="41"/>
      <c r="I188" s="41">
        <v>7.5279999999999996</v>
      </c>
      <c r="J188" s="41">
        <v>1329.5</v>
      </c>
      <c r="K188" s="41">
        <v>260.39999999999998</v>
      </c>
      <c r="L188" s="41">
        <v>461.67</v>
      </c>
      <c r="M188" s="41">
        <v>574.67000000000007</v>
      </c>
      <c r="N188" s="41" t="s">
        <v>127</v>
      </c>
      <c r="O188" s="42">
        <f t="shared" si="11"/>
        <v>7.5279999999999996</v>
      </c>
      <c r="P188" s="42">
        <f t="shared" si="12"/>
        <v>1329.5</v>
      </c>
      <c r="Q188" s="42">
        <f t="shared" si="13"/>
        <v>260.39999999999998</v>
      </c>
      <c r="R188" s="43">
        <f t="shared" si="14"/>
        <v>1</v>
      </c>
      <c r="S188" s="43">
        <f t="shared" si="15"/>
        <v>1</v>
      </c>
    </row>
    <row r="189" spans="1:19" ht="14.25" customHeight="1">
      <c r="A189" s="38" t="s">
        <v>313</v>
      </c>
      <c r="B189" s="38" t="s">
        <v>312</v>
      </c>
      <c r="C189" s="39" t="s">
        <v>228</v>
      </c>
      <c r="D189" s="40">
        <v>20.010000000000002</v>
      </c>
      <c r="E189" s="40">
        <f>1.15*8.3454</f>
        <v>9.5972099999999987</v>
      </c>
      <c r="F189" s="40" t="s">
        <v>117</v>
      </c>
      <c r="G189" s="40"/>
      <c r="H189" s="41"/>
      <c r="I189" s="41">
        <v>7.6809799999999999</v>
      </c>
      <c r="J189" s="41">
        <v>1475.6</v>
      </c>
      <c r="K189" s="41">
        <v>287.88</v>
      </c>
      <c r="L189" s="41"/>
      <c r="M189" s="41"/>
      <c r="N189" s="41" t="s">
        <v>244</v>
      </c>
      <c r="O189" s="42">
        <f t="shared" si="11"/>
        <v>7.6809799999999999</v>
      </c>
      <c r="P189" s="42">
        <f t="shared" si="12"/>
        <v>1475.6</v>
      </c>
      <c r="Q189" s="42">
        <f t="shared" si="13"/>
        <v>287.88</v>
      </c>
      <c r="R189" s="43">
        <f t="shared" si="14"/>
        <v>1</v>
      </c>
      <c r="S189" s="43">
        <f t="shared" si="15"/>
        <v>1</v>
      </c>
    </row>
    <row r="190" spans="1:19" ht="15">
      <c r="A190" s="44" t="s">
        <v>311</v>
      </c>
      <c r="B190" s="50" t="s">
        <v>310</v>
      </c>
      <c r="C190" s="39" t="s">
        <v>128</v>
      </c>
      <c r="D190" s="40">
        <v>34.08</v>
      </c>
      <c r="E190" s="40">
        <f>1.19*8.3454</f>
        <v>9.9310259999999992</v>
      </c>
      <c r="F190" s="40" t="s">
        <v>117</v>
      </c>
      <c r="G190" s="40"/>
      <c r="H190" s="41"/>
      <c r="I190" s="41">
        <v>7.11958</v>
      </c>
      <c r="J190" s="41">
        <v>802.22659999999996</v>
      </c>
      <c r="K190" s="41">
        <v>249.61</v>
      </c>
      <c r="L190" s="41">
        <v>337.82400000000001</v>
      </c>
      <c r="M190" s="41">
        <v>672.35400000000004</v>
      </c>
      <c r="N190" s="41" t="s">
        <v>142</v>
      </c>
      <c r="O190" s="42">
        <f t="shared" si="11"/>
        <v>7.11958</v>
      </c>
      <c r="P190" s="42">
        <f t="shared" si="12"/>
        <v>802.22659999999996</v>
      </c>
      <c r="Q190" s="42">
        <f t="shared" si="13"/>
        <v>249.61</v>
      </c>
      <c r="R190" s="43">
        <f t="shared" si="14"/>
        <v>1</v>
      </c>
      <c r="S190" s="43">
        <f t="shared" si="15"/>
        <v>1</v>
      </c>
    </row>
    <row r="191" spans="1:19">
      <c r="A191" s="38" t="s">
        <v>309</v>
      </c>
      <c r="B191" s="38" t="s">
        <v>308</v>
      </c>
      <c r="C191" s="39" t="s">
        <v>128</v>
      </c>
      <c r="D191" s="40">
        <v>110.11</v>
      </c>
      <c r="E191" s="40">
        <v>10.842000000000001</v>
      </c>
      <c r="F191" s="40" t="s">
        <v>150</v>
      </c>
      <c r="G191" s="40"/>
      <c r="H191" s="41"/>
      <c r="I191" s="41"/>
      <c r="J191" s="41"/>
      <c r="K191" s="41"/>
      <c r="L191" s="41"/>
      <c r="M191" s="41"/>
      <c r="N191" s="41" t="s">
        <v>137</v>
      </c>
      <c r="O191" s="42">
        <f t="shared" si="11"/>
        <v>0</v>
      </c>
      <c r="P191" s="42">
        <f t="shared" si="12"/>
        <v>0</v>
      </c>
      <c r="Q191" s="42">
        <f t="shared" si="13"/>
        <v>0</v>
      </c>
      <c r="R191" s="43">
        <f t="shared" si="14"/>
        <v>1</v>
      </c>
      <c r="S191" s="43">
        <f t="shared" si="15"/>
        <v>1</v>
      </c>
    </row>
    <row r="192" spans="1:19" ht="15">
      <c r="A192" s="44" t="s">
        <v>307</v>
      </c>
      <c r="B192" s="38" t="s">
        <v>306</v>
      </c>
      <c r="C192" s="39" t="s">
        <v>128</v>
      </c>
      <c r="D192" s="40">
        <v>138.19999999999999</v>
      </c>
      <c r="E192" s="40">
        <v>7.6728000000000005</v>
      </c>
      <c r="F192" s="38" t="s">
        <v>117</v>
      </c>
      <c r="G192" s="40"/>
      <c r="H192" s="41"/>
      <c r="I192" s="41">
        <v>7.5264499999999996</v>
      </c>
      <c r="J192" s="41">
        <v>2124.5949000000001</v>
      </c>
      <c r="K192" s="41">
        <v>243.78100000000001</v>
      </c>
      <c r="L192" s="41">
        <v>638.82000000000005</v>
      </c>
      <c r="M192" s="41">
        <v>933.10199999999998</v>
      </c>
      <c r="N192" s="41" t="s">
        <v>142</v>
      </c>
      <c r="O192" s="42">
        <f t="shared" si="11"/>
        <v>7.5264499999999996</v>
      </c>
      <c r="P192" s="42">
        <f t="shared" si="12"/>
        <v>2124.5949000000001</v>
      </c>
      <c r="Q192" s="42">
        <f t="shared" si="13"/>
        <v>243.78100000000001</v>
      </c>
      <c r="R192" s="43">
        <f t="shared" si="14"/>
        <v>1</v>
      </c>
      <c r="S192" s="43">
        <f t="shared" si="15"/>
        <v>1</v>
      </c>
    </row>
    <row r="193" spans="1:19">
      <c r="A193" s="38" t="s">
        <v>305</v>
      </c>
      <c r="B193" s="38" t="s">
        <v>218</v>
      </c>
      <c r="C193" s="39" t="s">
        <v>155</v>
      </c>
      <c r="D193" s="40">
        <v>60.09</v>
      </c>
      <c r="E193" s="40">
        <v>6.5730000000000004</v>
      </c>
      <c r="F193" s="38" t="s">
        <v>117</v>
      </c>
      <c r="G193" s="40"/>
      <c r="H193" s="41"/>
      <c r="I193" s="41">
        <v>8.1176999999999992</v>
      </c>
      <c r="J193" s="41">
        <v>1580.92</v>
      </c>
      <c r="K193" s="41">
        <v>219.61</v>
      </c>
      <c r="L193" s="41">
        <v>593.67000000000007</v>
      </c>
      <c r="M193" s="41">
        <v>652.67000000000007</v>
      </c>
      <c r="N193" s="41" t="s">
        <v>127</v>
      </c>
      <c r="O193" s="42">
        <f t="shared" si="11"/>
        <v>8.1176999999999992</v>
      </c>
      <c r="P193" s="42">
        <f t="shared" si="12"/>
        <v>1580.92</v>
      </c>
      <c r="Q193" s="42">
        <f t="shared" si="13"/>
        <v>219.61</v>
      </c>
      <c r="R193" s="43">
        <f t="shared" si="14"/>
        <v>1</v>
      </c>
      <c r="S193" s="43">
        <f t="shared" si="15"/>
        <v>1</v>
      </c>
    </row>
    <row r="194" spans="1:19">
      <c r="A194" s="38" t="s">
        <v>304</v>
      </c>
      <c r="B194" s="38" t="s">
        <v>196</v>
      </c>
      <c r="C194" s="39" t="s">
        <v>155</v>
      </c>
      <c r="D194" s="40">
        <v>130</v>
      </c>
      <c r="E194" s="40">
        <v>7</v>
      </c>
      <c r="F194" s="38" t="s">
        <v>117</v>
      </c>
      <c r="G194" s="40"/>
      <c r="H194" s="41"/>
      <c r="I194" s="41">
        <v>-1.3908518546109798</v>
      </c>
      <c r="J194" s="41">
        <v>34.554551418630105</v>
      </c>
      <c r="K194" s="41">
        <v>-51.988869348699431</v>
      </c>
      <c r="L194" s="41"/>
      <c r="M194" s="41">
        <v>550</v>
      </c>
      <c r="N194" s="41" t="s">
        <v>195</v>
      </c>
      <c r="O194" s="42">
        <f t="shared" si="11"/>
        <v>-1.3908518546109798</v>
      </c>
      <c r="P194" s="42">
        <f t="shared" si="12"/>
        <v>34.554551418630105</v>
      </c>
      <c r="Q194" s="42">
        <f t="shared" si="13"/>
        <v>-51.988869348699431</v>
      </c>
      <c r="R194" s="43">
        <f t="shared" si="14"/>
        <v>1</v>
      </c>
      <c r="S194" s="43">
        <f t="shared" si="15"/>
        <v>1</v>
      </c>
    </row>
    <row r="195" spans="1:19">
      <c r="A195" s="38" t="s">
        <v>303</v>
      </c>
      <c r="B195" s="38" t="s">
        <v>196</v>
      </c>
      <c r="C195" s="39" t="s">
        <v>155</v>
      </c>
      <c r="D195" s="40">
        <v>80</v>
      </c>
      <c r="E195" s="40">
        <v>6.4</v>
      </c>
      <c r="F195" s="38" t="s">
        <v>117</v>
      </c>
      <c r="G195" s="40"/>
      <c r="H195" s="41"/>
      <c r="I195" s="41">
        <v>3.9940725169176741</v>
      </c>
      <c r="J195" s="41">
        <v>273.5809962459133</v>
      </c>
      <c r="K195" s="41">
        <v>110.35542842581627</v>
      </c>
      <c r="L195" s="41"/>
      <c r="M195" s="41"/>
      <c r="N195" s="41" t="s">
        <v>195</v>
      </c>
      <c r="O195" s="42">
        <f t="shared" ref="O195:O258" si="17">IF($F195="RVP", (12.82-0.9672*LN($G195)), IF($F195 = "RVP+S", 15.64-(1.854*($H195^0.5))-(0.8742-(0.328*($H195^0.5)))*LN($G195), I195))</f>
        <v>3.9940725169176741</v>
      </c>
      <c r="P195" s="42">
        <f t="shared" ref="P195:P258" si="18">IF($F195="RVP", (7261-1216*LN($G195)), IF($F195 = "RVP+S", 8742-(1042*($H195^0.5))-(1049-(179.4*($H195^0.5)))*LN($G195), J195))</f>
        <v>273.5809962459133</v>
      </c>
      <c r="Q195" s="42">
        <f t="shared" ref="Q195:Q258" si="19">IF($F195="RVP", 0, IF($F195 = "RVP+S", 0, K195))</f>
        <v>110.35542842581627</v>
      </c>
      <c r="R195" s="43">
        <f t="shared" ref="R195:R258" si="20">IF($F195="RVP",0.4,1)</f>
        <v>1</v>
      </c>
      <c r="S195" s="43">
        <f t="shared" ref="S195:S258" si="21">IF($F195="RVP",0.75,1)</f>
        <v>1</v>
      </c>
    </row>
    <row r="196" spans="1:19">
      <c r="A196" s="38" t="s">
        <v>302</v>
      </c>
      <c r="B196" s="38" t="s">
        <v>301</v>
      </c>
      <c r="C196" s="39" t="s">
        <v>128</v>
      </c>
      <c r="D196" s="40">
        <v>290.83</v>
      </c>
      <c r="E196" s="40">
        <f>1.7152*8.3454</f>
        <v>14.31403008</v>
      </c>
      <c r="F196" s="40" t="s">
        <v>150</v>
      </c>
      <c r="G196" s="40"/>
      <c r="H196" s="41"/>
      <c r="I196" s="41"/>
      <c r="J196" s="41"/>
      <c r="K196" s="41"/>
      <c r="L196" s="41"/>
      <c r="M196" s="41"/>
      <c r="N196" s="41" t="s">
        <v>149</v>
      </c>
      <c r="O196" s="42">
        <f t="shared" si="17"/>
        <v>0</v>
      </c>
      <c r="P196" s="42">
        <f t="shared" si="18"/>
        <v>0</v>
      </c>
      <c r="Q196" s="42">
        <f t="shared" si="19"/>
        <v>0</v>
      </c>
      <c r="R196" s="43">
        <f t="shared" si="20"/>
        <v>1</v>
      </c>
      <c r="S196" s="43">
        <f t="shared" si="21"/>
        <v>1</v>
      </c>
    </row>
    <row r="197" spans="1:19">
      <c r="A197" s="38" t="s">
        <v>300</v>
      </c>
      <c r="B197" s="38" t="s">
        <v>299</v>
      </c>
      <c r="C197" s="39" t="s">
        <v>128</v>
      </c>
      <c r="D197" s="40">
        <v>98.057000000000002</v>
      </c>
      <c r="E197" s="40">
        <f>1.48*8.34</f>
        <v>12.3432</v>
      </c>
      <c r="F197" s="38" t="s">
        <v>117</v>
      </c>
      <c r="G197" s="40"/>
      <c r="H197" s="41"/>
      <c r="I197" s="41">
        <v>8.3355599999999992</v>
      </c>
      <c r="J197" s="41">
        <v>2525.0547999999999</v>
      </c>
      <c r="K197" s="41">
        <v>262.86</v>
      </c>
      <c r="L197" s="41">
        <v>586.80000000000007</v>
      </c>
      <c r="M197" s="41">
        <v>905.00400000000002</v>
      </c>
      <c r="N197" s="41" t="s">
        <v>142</v>
      </c>
      <c r="O197" s="42">
        <f t="shared" si="17"/>
        <v>8.3355599999999992</v>
      </c>
      <c r="P197" s="42">
        <f t="shared" si="18"/>
        <v>2525.0547999999999</v>
      </c>
      <c r="Q197" s="42">
        <f t="shared" si="19"/>
        <v>262.86</v>
      </c>
      <c r="R197" s="43">
        <f t="shared" si="20"/>
        <v>1</v>
      </c>
      <c r="S197" s="43">
        <f t="shared" si="21"/>
        <v>1</v>
      </c>
    </row>
    <row r="198" spans="1:19">
      <c r="A198" s="38" t="s">
        <v>298</v>
      </c>
      <c r="B198" s="38" t="s">
        <v>297</v>
      </c>
      <c r="C198" s="39" t="s">
        <v>159</v>
      </c>
      <c r="D198" s="51">
        <v>16.0425</v>
      </c>
      <c r="E198" s="40">
        <f>0.656*8.34</f>
        <v>5.4710400000000003</v>
      </c>
      <c r="F198" s="40" t="s">
        <v>117</v>
      </c>
      <c r="G198" s="40"/>
      <c r="H198" s="41"/>
      <c r="I198" s="41">
        <f>4.22061 -LOG10(1.01325/760)</f>
        <v>7.0957069798670602</v>
      </c>
      <c r="J198" s="41">
        <v>516.68899999999996</v>
      </c>
      <c r="K198" s="41">
        <f>11.223+ 273.15</f>
        <v>284.37299999999999</v>
      </c>
      <c r="L198" s="41">
        <v>198</v>
      </c>
      <c r="M198" s="41">
        <v>324.89999999999998</v>
      </c>
      <c r="N198" s="41" t="s">
        <v>208</v>
      </c>
      <c r="O198" s="42">
        <f t="shared" si="17"/>
        <v>7.0957069798670602</v>
      </c>
      <c r="P198" s="42">
        <f t="shared" si="18"/>
        <v>516.68899999999996</v>
      </c>
      <c r="Q198" s="42">
        <f t="shared" si="19"/>
        <v>284.37299999999999</v>
      </c>
      <c r="R198" s="43">
        <f t="shared" si="20"/>
        <v>1</v>
      </c>
      <c r="S198" s="43">
        <f t="shared" si="21"/>
        <v>1</v>
      </c>
    </row>
    <row r="199" spans="1:19">
      <c r="A199" s="38" t="s">
        <v>296</v>
      </c>
      <c r="B199" s="38" t="s">
        <v>295</v>
      </c>
      <c r="C199" s="39" t="s">
        <v>128</v>
      </c>
      <c r="D199" s="40">
        <v>32.04</v>
      </c>
      <c r="E199" s="40">
        <v>6.63</v>
      </c>
      <c r="F199" s="38" t="s">
        <v>117</v>
      </c>
      <c r="G199" s="40"/>
      <c r="H199" s="41"/>
      <c r="I199" s="41">
        <v>7.8970000000000002</v>
      </c>
      <c r="J199" s="41">
        <v>1474.08</v>
      </c>
      <c r="K199" s="41">
        <v>229.13</v>
      </c>
      <c r="L199" s="41">
        <v>518.67000000000007</v>
      </c>
      <c r="M199" s="41">
        <v>642.67000000000007</v>
      </c>
      <c r="N199" s="41" t="s">
        <v>127</v>
      </c>
      <c r="O199" s="42">
        <f t="shared" si="17"/>
        <v>7.8970000000000002</v>
      </c>
      <c r="P199" s="42">
        <f t="shared" si="18"/>
        <v>1474.08</v>
      </c>
      <c r="Q199" s="42">
        <f t="shared" si="19"/>
        <v>229.13</v>
      </c>
      <c r="R199" s="43">
        <f t="shared" si="20"/>
        <v>1</v>
      </c>
      <c r="S199" s="43">
        <f t="shared" si="21"/>
        <v>1</v>
      </c>
    </row>
    <row r="200" spans="1:19">
      <c r="A200" s="38" t="s">
        <v>294</v>
      </c>
      <c r="B200" s="38" t="s">
        <v>293</v>
      </c>
      <c r="C200" s="39" t="s">
        <v>128</v>
      </c>
      <c r="D200" s="40">
        <v>345.6481</v>
      </c>
      <c r="E200" s="40">
        <f>1.41*8.3454</f>
        <v>11.767014</v>
      </c>
      <c r="F200" s="40" t="s">
        <v>150</v>
      </c>
      <c r="G200" s="40"/>
      <c r="H200" s="41"/>
      <c r="I200" s="41"/>
      <c r="J200" s="41"/>
      <c r="K200" s="41"/>
      <c r="L200" s="41"/>
      <c r="M200" s="41"/>
      <c r="N200" s="41" t="s">
        <v>149</v>
      </c>
      <c r="O200" s="42">
        <f t="shared" si="17"/>
        <v>0</v>
      </c>
      <c r="P200" s="42">
        <f t="shared" si="18"/>
        <v>0</v>
      </c>
      <c r="Q200" s="42">
        <f t="shared" si="19"/>
        <v>0</v>
      </c>
      <c r="R200" s="43">
        <f t="shared" si="20"/>
        <v>1</v>
      </c>
      <c r="S200" s="43">
        <f t="shared" si="21"/>
        <v>1</v>
      </c>
    </row>
    <row r="201" spans="1:19">
      <c r="A201" s="38" t="s">
        <v>292</v>
      </c>
      <c r="B201" s="38" t="s">
        <v>291</v>
      </c>
      <c r="C201" s="39" t="s">
        <v>159</v>
      </c>
      <c r="D201" s="40">
        <v>74.08</v>
      </c>
      <c r="E201" s="40">
        <v>7.8310000000000004</v>
      </c>
      <c r="F201" s="38" t="s">
        <v>117</v>
      </c>
      <c r="G201" s="40"/>
      <c r="H201" s="41"/>
      <c r="I201" s="41">
        <v>7.0650000000000004</v>
      </c>
      <c r="J201" s="41">
        <v>1157.6300000000001</v>
      </c>
      <c r="K201" s="41">
        <v>219.73</v>
      </c>
      <c r="L201" s="41">
        <v>494.67</v>
      </c>
      <c r="M201" s="41">
        <v>592.67000000000007</v>
      </c>
      <c r="N201" s="41" t="s">
        <v>127</v>
      </c>
      <c r="O201" s="42">
        <f t="shared" si="17"/>
        <v>7.0650000000000004</v>
      </c>
      <c r="P201" s="42">
        <f t="shared" si="18"/>
        <v>1157.6300000000001</v>
      </c>
      <c r="Q201" s="42">
        <f t="shared" si="19"/>
        <v>219.73</v>
      </c>
      <c r="R201" s="43">
        <f t="shared" si="20"/>
        <v>1</v>
      </c>
      <c r="S201" s="43">
        <f t="shared" si="21"/>
        <v>1</v>
      </c>
    </row>
    <row r="202" spans="1:19">
      <c r="A202" s="38" t="s">
        <v>290</v>
      </c>
      <c r="B202" s="38" t="s">
        <v>289</v>
      </c>
      <c r="C202" s="39" t="s">
        <v>128</v>
      </c>
      <c r="D202" s="40">
        <v>94.94</v>
      </c>
      <c r="E202" s="40">
        <f>3.3*8.3454</f>
        <v>27.539819999999999</v>
      </c>
      <c r="F202" s="40" t="s">
        <v>117</v>
      </c>
      <c r="G202" s="40"/>
      <c r="H202" s="41"/>
      <c r="I202" s="41">
        <f>4.26874-LOG10(1.01325/760)</f>
        <v>7.1438369798670607</v>
      </c>
      <c r="J202" s="41">
        <v>1069.7080000000001</v>
      </c>
      <c r="K202" s="41">
        <f>-25.771+273.15</f>
        <v>247.37899999999996</v>
      </c>
      <c r="L202" s="41">
        <v>365.4</v>
      </c>
      <c r="M202" s="41">
        <v>498.24</v>
      </c>
      <c r="N202" s="41" t="s">
        <v>208</v>
      </c>
      <c r="O202" s="42">
        <f t="shared" si="17"/>
        <v>7.1438369798670607</v>
      </c>
      <c r="P202" s="42">
        <f t="shared" si="18"/>
        <v>1069.7080000000001</v>
      </c>
      <c r="Q202" s="42">
        <f t="shared" si="19"/>
        <v>247.37899999999996</v>
      </c>
      <c r="R202" s="43">
        <f t="shared" si="20"/>
        <v>1</v>
      </c>
      <c r="S202" s="43">
        <f t="shared" si="21"/>
        <v>1</v>
      </c>
    </row>
    <row r="203" spans="1:19">
      <c r="A203" s="38" t="s">
        <v>288</v>
      </c>
      <c r="B203" s="38" t="s">
        <v>287</v>
      </c>
      <c r="C203" s="39" t="s">
        <v>128</v>
      </c>
      <c r="D203" s="40">
        <v>50.49</v>
      </c>
      <c r="E203" s="40">
        <f>0.915*8.3454</f>
        <v>7.6360409999999996</v>
      </c>
      <c r="F203" s="40" t="s">
        <v>117</v>
      </c>
      <c r="G203" s="40"/>
      <c r="H203" s="41"/>
      <c r="I203" s="41">
        <f>4.91858-LOG10(1.01325/760)</f>
        <v>7.7936769798670618</v>
      </c>
      <c r="J203" s="41">
        <v>1427.529</v>
      </c>
      <c r="K203" s="41">
        <f>45.137+273.15</f>
        <v>318.28699999999998</v>
      </c>
      <c r="L203" s="41">
        <v>545.4</v>
      </c>
      <c r="M203" s="41">
        <v>749.34</v>
      </c>
      <c r="N203" s="41" t="s">
        <v>208</v>
      </c>
      <c r="O203" s="42">
        <f t="shared" si="17"/>
        <v>7.7936769798670618</v>
      </c>
      <c r="P203" s="42">
        <f t="shared" si="18"/>
        <v>1427.529</v>
      </c>
      <c r="Q203" s="42">
        <f t="shared" si="19"/>
        <v>318.28699999999998</v>
      </c>
      <c r="R203" s="43">
        <f t="shared" si="20"/>
        <v>1</v>
      </c>
      <c r="S203" s="43">
        <f t="shared" si="21"/>
        <v>1</v>
      </c>
    </row>
    <row r="204" spans="1:19">
      <c r="A204" s="38" t="s">
        <v>286</v>
      </c>
      <c r="B204" s="38" t="s">
        <v>285</v>
      </c>
      <c r="C204" s="39" t="s">
        <v>155</v>
      </c>
      <c r="D204" s="40">
        <v>72.099999999999994</v>
      </c>
      <c r="E204" s="40">
        <v>6.7469999999999999</v>
      </c>
      <c r="F204" s="38" t="s">
        <v>117</v>
      </c>
      <c r="G204" s="40"/>
      <c r="H204" s="41"/>
      <c r="I204" s="41">
        <v>6.8644999999999996</v>
      </c>
      <c r="J204" s="41">
        <v>1150.2070000000001</v>
      </c>
      <c r="K204" s="41">
        <v>209.24600000000001</v>
      </c>
      <c r="L204" s="41">
        <v>565.67000000000007</v>
      </c>
      <c r="M204" s="41">
        <v>666.67000000000007</v>
      </c>
      <c r="N204" s="41" t="s">
        <v>127</v>
      </c>
      <c r="O204" s="42">
        <f t="shared" si="17"/>
        <v>6.8644999999999996</v>
      </c>
      <c r="P204" s="42">
        <f t="shared" si="18"/>
        <v>1150.2070000000001</v>
      </c>
      <c r="Q204" s="42">
        <f t="shared" si="19"/>
        <v>209.24600000000001</v>
      </c>
      <c r="R204" s="43">
        <f t="shared" si="20"/>
        <v>1</v>
      </c>
      <c r="S204" s="43">
        <f t="shared" si="21"/>
        <v>1</v>
      </c>
    </row>
    <row r="205" spans="1:19">
      <c r="A205" s="38" t="s">
        <v>284</v>
      </c>
      <c r="B205" s="38" t="s">
        <v>283</v>
      </c>
      <c r="C205" s="39" t="s">
        <v>128</v>
      </c>
      <c r="D205" s="40">
        <v>46.07</v>
      </c>
      <c r="E205" s="40">
        <f>1.6*8.3454</f>
        <v>13.352640000000001</v>
      </c>
      <c r="F205" s="40" t="s">
        <v>117</v>
      </c>
      <c r="G205" s="40"/>
      <c r="H205" s="41"/>
      <c r="I205" s="41">
        <f>3.96787 -LOG10(1.01325/760)</f>
        <v>6.8429669798670609</v>
      </c>
      <c r="J205" s="41">
        <v>1115.19</v>
      </c>
      <c r="K205" s="41">
        <f>-81.502+273.15</f>
        <v>191.64799999999997</v>
      </c>
      <c r="L205" s="41">
        <v>495.19799999999998</v>
      </c>
      <c r="M205" s="41">
        <v>536.976</v>
      </c>
      <c r="N205" s="41" t="s">
        <v>208</v>
      </c>
      <c r="O205" s="42">
        <f t="shared" si="17"/>
        <v>6.8429669798670609</v>
      </c>
      <c r="P205" s="42">
        <f t="shared" si="18"/>
        <v>1115.19</v>
      </c>
      <c r="Q205" s="42">
        <f t="shared" si="19"/>
        <v>191.64799999999997</v>
      </c>
      <c r="R205" s="43">
        <f t="shared" si="20"/>
        <v>1</v>
      </c>
      <c r="S205" s="43">
        <f t="shared" si="21"/>
        <v>1</v>
      </c>
    </row>
    <row r="206" spans="1:19">
      <c r="A206" s="38" t="s">
        <v>282</v>
      </c>
      <c r="B206" s="38" t="s">
        <v>281</v>
      </c>
      <c r="C206" s="39" t="s">
        <v>128</v>
      </c>
      <c r="D206" s="40">
        <v>141.94</v>
      </c>
      <c r="E206" s="40">
        <f>2.28*8.3454</f>
        <v>19.027511999999998</v>
      </c>
      <c r="F206" s="40" t="s">
        <v>117</v>
      </c>
      <c r="G206" s="40"/>
      <c r="H206" s="41"/>
      <c r="I206" s="41">
        <f>4.1554 -LOG10(1.01325/760)</f>
        <v>7.0304969798670616</v>
      </c>
      <c r="J206" s="41">
        <v>1177.78</v>
      </c>
      <c r="K206" s="41">
        <f>-32.058+273.15</f>
        <v>241.09199999999998</v>
      </c>
      <c r="L206" s="41">
        <v>392.4</v>
      </c>
      <c r="M206" s="41">
        <v>568.08000000000004</v>
      </c>
      <c r="N206" s="41" t="s">
        <v>208</v>
      </c>
      <c r="O206" s="42">
        <f t="shared" si="17"/>
        <v>7.0304969798670616</v>
      </c>
      <c r="P206" s="42">
        <f t="shared" si="18"/>
        <v>1177.78</v>
      </c>
      <c r="Q206" s="42">
        <f t="shared" si="19"/>
        <v>241.09199999999998</v>
      </c>
      <c r="R206" s="43">
        <f t="shared" si="20"/>
        <v>1</v>
      </c>
      <c r="S206" s="43">
        <f t="shared" si="21"/>
        <v>1</v>
      </c>
    </row>
    <row r="207" spans="1:19">
      <c r="A207" s="38" t="s">
        <v>280</v>
      </c>
      <c r="B207" s="38" t="s">
        <v>279</v>
      </c>
      <c r="C207" s="39" t="s">
        <v>128</v>
      </c>
      <c r="D207" s="40">
        <v>100.16</v>
      </c>
      <c r="E207" s="40">
        <v>6.6930139999999998</v>
      </c>
      <c r="F207" s="38" t="s">
        <v>117</v>
      </c>
      <c r="G207" s="40"/>
      <c r="H207" s="41"/>
      <c r="I207" s="41">
        <v>6.6719999999999997</v>
      </c>
      <c r="J207" s="41">
        <v>1168.4000000000001</v>
      </c>
      <c r="K207" s="41">
        <v>191.9</v>
      </c>
      <c r="L207" s="41">
        <v>530.67000000000007</v>
      </c>
      <c r="M207" s="41">
        <v>700.67000000000007</v>
      </c>
      <c r="N207" s="41" t="s">
        <v>127</v>
      </c>
      <c r="O207" s="42">
        <f t="shared" si="17"/>
        <v>6.6719999999999997</v>
      </c>
      <c r="P207" s="42">
        <f t="shared" si="18"/>
        <v>1168.4000000000001</v>
      </c>
      <c r="Q207" s="42">
        <f t="shared" si="19"/>
        <v>191.9</v>
      </c>
      <c r="R207" s="43">
        <f t="shared" si="20"/>
        <v>1</v>
      </c>
      <c r="S207" s="43">
        <f t="shared" si="21"/>
        <v>1</v>
      </c>
    </row>
    <row r="208" spans="1:19">
      <c r="A208" s="38" t="s">
        <v>278</v>
      </c>
      <c r="B208" s="38" t="s">
        <v>277</v>
      </c>
      <c r="C208" s="39" t="s">
        <v>128</v>
      </c>
      <c r="D208" s="40">
        <v>57.05</v>
      </c>
      <c r="E208" s="40">
        <f>0.923*8.3454</f>
        <v>7.7028042000000001</v>
      </c>
      <c r="F208" s="40" t="s">
        <v>117</v>
      </c>
      <c r="G208" s="40"/>
      <c r="H208" s="41"/>
      <c r="I208" s="41">
        <v>6.6961700000000004</v>
      </c>
      <c r="J208" s="41">
        <v>915.48829999999998</v>
      </c>
      <c r="K208" s="41">
        <v>200.84800000000001</v>
      </c>
      <c r="L208" s="41">
        <v>419.43600000000004</v>
      </c>
      <c r="M208" s="41">
        <v>599.04</v>
      </c>
      <c r="N208" s="41" t="s">
        <v>142</v>
      </c>
      <c r="O208" s="42">
        <f t="shared" si="17"/>
        <v>6.6961700000000004</v>
      </c>
      <c r="P208" s="42">
        <f t="shared" si="18"/>
        <v>915.48829999999998</v>
      </c>
      <c r="Q208" s="42">
        <f t="shared" si="19"/>
        <v>200.84800000000001</v>
      </c>
      <c r="R208" s="43">
        <f t="shared" si="20"/>
        <v>1</v>
      </c>
      <c r="S208" s="43">
        <f t="shared" si="21"/>
        <v>1</v>
      </c>
    </row>
    <row r="209" spans="1:19">
      <c r="A209" s="38" t="s">
        <v>276</v>
      </c>
      <c r="B209" s="38" t="s">
        <v>275</v>
      </c>
      <c r="C209" s="39" t="s">
        <v>128</v>
      </c>
      <c r="D209" s="40">
        <v>100.11</v>
      </c>
      <c r="E209" s="40">
        <v>7.9089999999999998</v>
      </c>
      <c r="F209" s="38" t="s">
        <v>117</v>
      </c>
      <c r="G209" s="40"/>
      <c r="H209" s="41"/>
      <c r="I209" s="41">
        <v>8.4090000000000007</v>
      </c>
      <c r="J209" s="41">
        <v>2050.5</v>
      </c>
      <c r="K209" s="41">
        <v>274.39999999999998</v>
      </c>
      <c r="L209" s="41">
        <v>561.67000000000007</v>
      </c>
      <c r="M209" s="41">
        <v>651.67000000000007</v>
      </c>
      <c r="N209" s="41" t="s">
        <v>127</v>
      </c>
      <c r="O209" s="42">
        <f t="shared" si="17"/>
        <v>8.4090000000000007</v>
      </c>
      <c r="P209" s="42">
        <f t="shared" si="18"/>
        <v>2050.5</v>
      </c>
      <c r="Q209" s="42">
        <f t="shared" si="19"/>
        <v>274.39999999999998</v>
      </c>
      <c r="R209" s="43">
        <f t="shared" si="20"/>
        <v>1</v>
      </c>
      <c r="S209" s="43">
        <f t="shared" si="21"/>
        <v>1</v>
      </c>
    </row>
    <row r="210" spans="1:19">
      <c r="A210" s="38" t="s">
        <v>274</v>
      </c>
      <c r="B210" s="38" t="s">
        <v>273</v>
      </c>
      <c r="C210" s="39" t="s">
        <v>155</v>
      </c>
      <c r="D210" s="40">
        <v>118.18</v>
      </c>
      <c r="E210" s="40">
        <v>7.5943180000000003</v>
      </c>
      <c r="F210" s="38" t="s">
        <v>117</v>
      </c>
      <c r="G210" s="40"/>
      <c r="H210" s="41"/>
      <c r="I210" s="41">
        <v>6.923</v>
      </c>
      <c r="J210" s="41">
        <v>1486.88</v>
      </c>
      <c r="K210" s="41">
        <v>202.4</v>
      </c>
      <c r="L210" s="41"/>
      <c r="M210" s="41"/>
      <c r="N210" s="41" t="s">
        <v>158</v>
      </c>
      <c r="O210" s="42">
        <f t="shared" si="17"/>
        <v>6.923</v>
      </c>
      <c r="P210" s="42">
        <f t="shared" si="18"/>
        <v>1486.88</v>
      </c>
      <c r="Q210" s="42">
        <f t="shared" si="19"/>
        <v>202.4</v>
      </c>
      <c r="R210" s="43">
        <f t="shared" si="20"/>
        <v>1</v>
      </c>
      <c r="S210" s="43">
        <f t="shared" si="21"/>
        <v>1</v>
      </c>
    </row>
    <row r="211" spans="1:19">
      <c r="A211" s="38" t="s">
        <v>272</v>
      </c>
      <c r="B211" s="38" t="s">
        <v>271</v>
      </c>
      <c r="C211" s="39" t="s">
        <v>128</v>
      </c>
      <c r="D211" s="40">
        <v>88.15</v>
      </c>
      <c r="E211" s="40">
        <f>0.7404*8.3454</f>
        <v>6.178934159999999</v>
      </c>
      <c r="F211" s="40" t="s">
        <v>117</v>
      </c>
      <c r="G211" s="40"/>
      <c r="H211" s="41"/>
      <c r="I211" s="41">
        <f>4.00878-LOG10(1.01325/760)</f>
        <v>6.8838769798670612</v>
      </c>
      <c r="J211" s="41">
        <v>1160.2719999999999</v>
      </c>
      <c r="K211" s="41">
        <f>-53.444+273.15</f>
        <v>219.70599999999996</v>
      </c>
      <c r="L211" s="41">
        <v>532.99800000000005</v>
      </c>
      <c r="M211" s="41">
        <v>613.98</v>
      </c>
      <c r="N211" s="41" t="s">
        <v>208</v>
      </c>
      <c r="O211" s="42">
        <f t="shared" si="17"/>
        <v>6.8838769798670612</v>
      </c>
      <c r="P211" s="42">
        <f t="shared" si="18"/>
        <v>1160.2719999999999</v>
      </c>
      <c r="Q211" s="42">
        <f t="shared" si="19"/>
        <v>219.70599999999996</v>
      </c>
      <c r="R211" s="43">
        <f t="shared" si="20"/>
        <v>1</v>
      </c>
      <c r="S211" s="43">
        <f t="shared" si="21"/>
        <v>1</v>
      </c>
    </row>
    <row r="212" spans="1:19">
      <c r="A212" s="38" t="s">
        <v>270</v>
      </c>
      <c r="B212" s="38" t="s">
        <v>269</v>
      </c>
      <c r="C212" s="39" t="s">
        <v>159</v>
      </c>
      <c r="D212" s="40">
        <v>84.94</v>
      </c>
      <c r="E212" s="40">
        <v>11.122</v>
      </c>
      <c r="F212" s="38" t="s">
        <v>117</v>
      </c>
      <c r="G212" s="40"/>
      <c r="H212" s="41"/>
      <c r="I212" s="41">
        <v>7.4089999999999998</v>
      </c>
      <c r="J212" s="41">
        <v>1325.9</v>
      </c>
      <c r="K212" s="41">
        <v>252.6</v>
      </c>
      <c r="L212" s="41">
        <v>419.67</v>
      </c>
      <c r="M212" s="41">
        <v>563.67000000000007</v>
      </c>
      <c r="N212" s="41" t="s">
        <v>127</v>
      </c>
      <c r="O212" s="42">
        <f t="shared" si="17"/>
        <v>7.4089999999999998</v>
      </c>
      <c r="P212" s="42">
        <f t="shared" si="18"/>
        <v>1325.9</v>
      </c>
      <c r="Q212" s="42">
        <f t="shared" si="19"/>
        <v>252.6</v>
      </c>
      <c r="R212" s="43">
        <f t="shared" si="20"/>
        <v>1</v>
      </c>
      <c r="S212" s="43">
        <f t="shared" si="21"/>
        <v>1</v>
      </c>
    </row>
    <row r="213" spans="1:19">
      <c r="A213" s="38" t="s">
        <v>268</v>
      </c>
      <c r="B213" s="38" t="s">
        <v>267</v>
      </c>
      <c r="C213" s="39" t="s">
        <v>128</v>
      </c>
      <c r="D213" s="40">
        <v>250.25</v>
      </c>
      <c r="E213" s="40">
        <f>1.19*8.3454</f>
        <v>9.9310259999999992</v>
      </c>
      <c r="F213" s="40" t="s">
        <v>150</v>
      </c>
      <c r="G213" s="40"/>
      <c r="H213" s="41"/>
      <c r="I213" s="41"/>
      <c r="J213" s="41"/>
      <c r="K213" s="41"/>
      <c r="L213" s="41"/>
      <c r="M213" s="41"/>
      <c r="N213" s="41" t="s">
        <v>137</v>
      </c>
      <c r="O213" s="42">
        <f t="shared" si="17"/>
        <v>0</v>
      </c>
      <c r="P213" s="42">
        <f t="shared" si="18"/>
        <v>0</v>
      </c>
      <c r="Q213" s="42">
        <f t="shared" si="19"/>
        <v>0</v>
      </c>
      <c r="R213" s="43">
        <f t="shared" si="20"/>
        <v>1</v>
      </c>
      <c r="S213" s="43">
        <f t="shared" si="21"/>
        <v>1</v>
      </c>
    </row>
    <row r="214" spans="1:19">
      <c r="A214" s="38" t="s">
        <v>266</v>
      </c>
      <c r="B214" s="38" t="s">
        <v>265</v>
      </c>
      <c r="C214" s="39" t="s">
        <v>155</v>
      </c>
      <c r="D214" s="40">
        <v>87.12</v>
      </c>
      <c r="E214" s="40">
        <v>8.4038219999999999</v>
      </c>
      <c r="F214" s="38" t="s">
        <v>117</v>
      </c>
      <c r="G214" s="40"/>
      <c r="H214" s="41"/>
      <c r="I214" s="41">
        <v>7.7180999999999997</v>
      </c>
      <c r="J214" s="41">
        <v>1745.8</v>
      </c>
      <c r="K214" s="41">
        <v>235</v>
      </c>
      <c r="L214" s="41">
        <v>491.67</v>
      </c>
      <c r="M214" s="41">
        <v>570.67000000000007</v>
      </c>
      <c r="N214" s="41" t="s">
        <v>127</v>
      </c>
      <c r="O214" s="42">
        <f t="shared" si="17"/>
        <v>7.7180999999999997</v>
      </c>
      <c r="P214" s="42">
        <f t="shared" si="18"/>
        <v>1745.8</v>
      </c>
      <c r="Q214" s="42">
        <f t="shared" si="19"/>
        <v>235</v>
      </c>
      <c r="R214" s="43">
        <f t="shared" si="20"/>
        <v>1</v>
      </c>
      <c r="S214" s="43">
        <f t="shared" si="21"/>
        <v>1</v>
      </c>
    </row>
    <row r="215" spans="1:19">
      <c r="A215" s="38" t="s">
        <v>264</v>
      </c>
      <c r="B215" s="38" t="s">
        <v>263</v>
      </c>
      <c r="C215" s="39" t="s">
        <v>128</v>
      </c>
      <c r="D215" s="40">
        <v>121.18</v>
      </c>
      <c r="E215" s="40">
        <f>0.956*8.3454</f>
        <v>7.9782023999999998</v>
      </c>
      <c r="F215" s="40" t="s">
        <v>117</v>
      </c>
      <c r="G215" s="40"/>
      <c r="H215" s="41"/>
      <c r="I215" s="41">
        <v>7.4311999999999996</v>
      </c>
      <c r="J215" s="41">
        <v>1915.1051</v>
      </c>
      <c r="K215" s="41">
        <v>228.017</v>
      </c>
      <c r="L215" s="41">
        <v>617.25599999999997</v>
      </c>
      <c r="M215" s="41">
        <v>892.45800000000008</v>
      </c>
      <c r="N215" s="41" t="s">
        <v>142</v>
      </c>
      <c r="O215" s="42">
        <f t="shared" si="17"/>
        <v>7.4311999999999996</v>
      </c>
      <c r="P215" s="42">
        <f t="shared" si="18"/>
        <v>1915.1051</v>
      </c>
      <c r="Q215" s="42">
        <f t="shared" si="19"/>
        <v>228.017</v>
      </c>
      <c r="R215" s="43">
        <f t="shared" si="20"/>
        <v>1</v>
      </c>
      <c r="S215" s="43">
        <f t="shared" si="21"/>
        <v>1</v>
      </c>
    </row>
    <row r="216" spans="1:19">
      <c r="A216" s="38" t="s">
        <v>262</v>
      </c>
      <c r="B216" s="38" t="s">
        <v>261</v>
      </c>
      <c r="C216" s="39" t="s">
        <v>128</v>
      </c>
      <c r="D216" s="40">
        <v>128.16999999999999</v>
      </c>
      <c r="E216" s="40">
        <v>8.5565429999999996</v>
      </c>
      <c r="F216" s="38" t="s">
        <v>117</v>
      </c>
      <c r="G216" s="40"/>
      <c r="H216" s="41"/>
      <c r="I216" s="41">
        <v>7.37</v>
      </c>
      <c r="J216" s="41">
        <v>1968.36</v>
      </c>
      <c r="K216" s="41">
        <v>222.61</v>
      </c>
      <c r="L216" s="41">
        <v>636.67000000000007</v>
      </c>
      <c r="M216" s="41">
        <v>813.67000000000007</v>
      </c>
      <c r="N216" s="41" t="s">
        <v>127</v>
      </c>
      <c r="O216" s="42">
        <f t="shared" si="17"/>
        <v>7.37</v>
      </c>
      <c r="P216" s="42">
        <f t="shared" si="18"/>
        <v>1968.36</v>
      </c>
      <c r="Q216" s="42">
        <f t="shared" si="19"/>
        <v>222.61</v>
      </c>
      <c r="R216" s="43">
        <f t="shared" si="20"/>
        <v>1</v>
      </c>
      <c r="S216" s="43">
        <f t="shared" si="21"/>
        <v>1</v>
      </c>
    </row>
    <row r="217" spans="1:19">
      <c r="A217" s="38" t="s">
        <v>260</v>
      </c>
      <c r="B217" s="38" t="s">
        <v>259</v>
      </c>
      <c r="C217" s="39" t="s">
        <v>128</v>
      </c>
      <c r="D217" s="40">
        <v>123.06</v>
      </c>
      <c r="E217" s="40">
        <v>10.00614</v>
      </c>
      <c r="F217" s="38" t="s">
        <v>117</v>
      </c>
      <c r="G217" s="40"/>
      <c r="H217" s="41"/>
      <c r="I217" s="41">
        <v>7.1150000000000002</v>
      </c>
      <c r="J217" s="41">
        <v>1746.6</v>
      </c>
      <c r="K217" s="41">
        <v>201.8</v>
      </c>
      <c r="L217" s="41">
        <v>732.67000000000007</v>
      </c>
      <c r="M217" s="41">
        <v>870.67000000000007</v>
      </c>
      <c r="N217" s="41" t="s">
        <v>127</v>
      </c>
      <c r="O217" s="42">
        <f t="shared" si="17"/>
        <v>7.1150000000000002</v>
      </c>
      <c r="P217" s="42">
        <f t="shared" si="18"/>
        <v>1746.6</v>
      </c>
      <c r="Q217" s="42">
        <f t="shared" si="19"/>
        <v>201.8</v>
      </c>
      <c r="R217" s="43">
        <f t="shared" si="20"/>
        <v>1</v>
      </c>
      <c r="S217" s="43">
        <f t="shared" si="21"/>
        <v>1</v>
      </c>
    </row>
    <row r="218" spans="1:19" ht="15">
      <c r="A218" s="44" t="s">
        <v>258</v>
      </c>
      <c r="B218" s="38" t="s">
        <v>257</v>
      </c>
      <c r="C218" s="39" t="s">
        <v>128</v>
      </c>
      <c r="D218" s="40">
        <v>74.08</v>
      </c>
      <c r="E218" s="40">
        <f>1.01*8.3454</f>
        <v>8.4288539999999994</v>
      </c>
      <c r="F218" s="40" t="s">
        <v>117</v>
      </c>
      <c r="G218" s="40"/>
      <c r="H218" s="41"/>
      <c r="I218" s="41">
        <v>7.5381299999999998</v>
      </c>
      <c r="J218" s="41">
        <v>1890.2752</v>
      </c>
      <c r="K218" s="41">
        <v>253.02199999999999</v>
      </c>
      <c r="L218" s="41">
        <v>546.93000000000006</v>
      </c>
      <c r="M218" s="41">
        <v>817.29</v>
      </c>
      <c r="N218" s="41" t="s">
        <v>142</v>
      </c>
      <c r="O218" s="42">
        <f t="shared" si="17"/>
        <v>7.5381299999999998</v>
      </c>
      <c r="P218" s="42">
        <f t="shared" si="18"/>
        <v>1890.2752</v>
      </c>
      <c r="Q218" s="42">
        <f t="shared" si="19"/>
        <v>253.02199999999999</v>
      </c>
      <c r="R218" s="43">
        <f t="shared" si="20"/>
        <v>1</v>
      </c>
      <c r="S218" s="43">
        <f t="shared" si="21"/>
        <v>1</v>
      </c>
    </row>
    <row r="219" spans="1:19">
      <c r="A219" s="38" t="s">
        <v>256</v>
      </c>
      <c r="B219" s="38" t="s">
        <v>255</v>
      </c>
      <c r="C219" s="39" t="s">
        <v>128</v>
      </c>
      <c r="D219" s="40">
        <v>116.12</v>
      </c>
      <c r="E219" s="40">
        <f>1.2829*8.3454</f>
        <v>10.706313659999999</v>
      </c>
      <c r="F219" s="40" t="s">
        <v>150</v>
      </c>
      <c r="G219" s="40"/>
      <c r="H219" s="41"/>
      <c r="I219" s="45"/>
      <c r="J219" s="45"/>
      <c r="K219" s="45"/>
      <c r="L219" s="45"/>
      <c r="M219" s="45"/>
      <c r="N219" s="41" t="s">
        <v>171</v>
      </c>
      <c r="O219" s="42">
        <f t="shared" si="17"/>
        <v>0</v>
      </c>
      <c r="P219" s="42">
        <f t="shared" si="18"/>
        <v>0</v>
      </c>
      <c r="Q219" s="42">
        <f t="shared" si="19"/>
        <v>0</v>
      </c>
      <c r="R219" s="43">
        <f t="shared" si="20"/>
        <v>1</v>
      </c>
      <c r="S219" s="43">
        <f t="shared" si="21"/>
        <v>1</v>
      </c>
    </row>
    <row r="220" spans="1:19">
      <c r="A220" s="38" t="s">
        <v>254</v>
      </c>
      <c r="B220" s="38" t="s">
        <v>253</v>
      </c>
      <c r="C220" s="39" t="s">
        <v>128</v>
      </c>
      <c r="D220" s="40">
        <v>103.08</v>
      </c>
      <c r="E220" s="40">
        <f>1.5048*8.3454</f>
        <v>12.558157919999999</v>
      </c>
      <c r="F220" s="40" t="s">
        <v>150</v>
      </c>
      <c r="G220" s="40"/>
      <c r="H220" s="41"/>
      <c r="I220" s="41"/>
      <c r="J220" s="41"/>
      <c r="K220" s="41"/>
      <c r="L220" s="41"/>
      <c r="M220" s="41"/>
      <c r="N220" s="41" t="s">
        <v>252</v>
      </c>
      <c r="O220" s="42">
        <f t="shared" si="17"/>
        <v>0</v>
      </c>
      <c r="P220" s="42">
        <f t="shared" si="18"/>
        <v>0</v>
      </c>
      <c r="Q220" s="42">
        <f t="shared" si="19"/>
        <v>0</v>
      </c>
      <c r="R220" s="43">
        <f t="shared" si="20"/>
        <v>1</v>
      </c>
      <c r="S220" s="43">
        <f t="shared" si="21"/>
        <v>1</v>
      </c>
    </row>
    <row r="221" spans="1:19">
      <c r="A221" s="38" t="s">
        <v>251</v>
      </c>
      <c r="B221" s="38" t="s">
        <v>196</v>
      </c>
      <c r="C221" s="39" t="s">
        <v>155</v>
      </c>
      <c r="D221" s="40">
        <v>130</v>
      </c>
      <c r="E221" s="40">
        <v>7.1</v>
      </c>
      <c r="F221" s="38" t="s">
        <v>117</v>
      </c>
      <c r="G221" s="40"/>
      <c r="H221" s="41"/>
      <c r="I221" s="41">
        <v>3.7133115977369577</v>
      </c>
      <c r="J221" s="41">
        <v>659.72475600749181</v>
      </c>
      <c r="K221" s="41">
        <v>141.69180292402768</v>
      </c>
      <c r="L221" s="41"/>
      <c r="M221" s="41"/>
      <c r="N221" s="41" t="s">
        <v>195</v>
      </c>
      <c r="O221" s="42">
        <f t="shared" si="17"/>
        <v>3.7133115977369577</v>
      </c>
      <c r="P221" s="42">
        <f t="shared" si="18"/>
        <v>659.72475600749181</v>
      </c>
      <c r="Q221" s="42">
        <f t="shared" si="19"/>
        <v>141.69180292402768</v>
      </c>
      <c r="R221" s="43">
        <f t="shared" si="20"/>
        <v>1</v>
      </c>
      <c r="S221" s="43">
        <f t="shared" si="21"/>
        <v>1</v>
      </c>
    </row>
    <row r="222" spans="1:19">
      <c r="A222" s="38" t="s">
        <v>250</v>
      </c>
      <c r="B222" s="38" t="s">
        <v>249</v>
      </c>
      <c r="C222" s="39" t="s">
        <v>128</v>
      </c>
      <c r="D222" s="40">
        <v>123.15</v>
      </c>
      <c r="E222" s="40">
        <f>1.092*8.3454</f>
        <v>9.1131767999999997</v>
      </c>
      <c r="F222" s="40" t="s">
        <v>150</v>
      </c>
      <c r="G222" s="40"/>
      <c r="H222" s="41"/>
      <c r="I222" s="41"/>
      <c r="J222" s="41"/>
      <c r="K222" s="41"/>
      <c r="L222" s="41"/>
      <c r="M222" s="41"/>
      <c r="N222" s="41" t="s">
        <v>149</v>
      </c>
      <c r="O222" s="42">
        <f t="shared" si="17"/>
        <v>0</v>
      </c>
      <c r="P222" s="42">
        <f t="shared" si="18"/>
        <v>0</v>
      </c>
      <c r="Q222" s="42">
        <f t="shared" si="19"/>
        <v>0</v>
      </c>
      <c r="R222" s="43">
        <f t="shared" si="20"/>
        <v>1</v>
      </c>
      <c r="S222" s="43">
        <f t="shared" si="21"/>
        <v>1</v>
      </c>
    </row>
    <row r="223" spans="1:19" ht="15">
      <c r="A223" s="44" t="s">
        <v>248</v>
      </c>
      <c r="B223" s="38" t="s">
        <v>247</v>
      </c>
      <c r="C223" s="39" t="s">
        <v>128</v>
      </c>
      <c r="D223" s="40">
        <v>107.15</v>
      </c>
      <c r="E223" s="40">
        <f>1.008*8.3454</f>
        <v>8.4121632000000002</v>
      </c>
      <c r="F223" s="40" t="s">
        <v>117</v>
      </c>
      <c r="G223" s="40"/>
      <c r="H223" s="41"/>
      <c r="I223" s="41">
        <v>7.0715399999999997</v>
      </c>
      <c r="J223" s="41">
        <v>1529.673</v>
      </c>
      <c r="K223" s="41">
        <v>165.16399999999999</v>
      </c>
      <c r="L223" s="41">
        <v>647.87400000000002</v>
      </c>
      <c r="M223" s="41">
        <v>902.25</v>
      </c>
      <c r="N223" s="41" t="s">
        <v>142</v>
      </c>
      <c r="O223" s="42">
        <f t="shared" si="17"/>
        <v>7.0715399999999997</v>
      </c>
      <c r="P223" s="42">
        <f t="shared" si="18"/>
        <v>1529.673</v>
      </c>
      <c r="Q223" s="42">
        <f t="shared" si="19"/>
        <v>165.16399999999999</v>
      </c>
      <c r="R223" s="43">
        <f t="shared" si="20"/>
        <v>1</v>
      </c>
      <c r="S223" s="43">
        <f t="shared" si="21"/>
        <v>1</v>
      </c>
    </row>
    <row r="224" spans="1:19">
      <c r="A224" s="38" t="s">
        <v>246</v>
      </c>
      <c r="B224" s="38" t="s">
        <v>245</v>
      </c>
      <c r="C224" s="39" t="s">
        <v>128</v>
      </c>
      <c r="D224" s="40">
        <v>291.26</v>
      </c>
      <c r="E224" s="40">
        <f>1.26*8.3454</f>
        <v>10.515203999999999</v>
      </c>
      <c r="F224" s="40" t="s">
        <v>150</v>
      </c>
      <c r="G224" s="40"/>
      <c r="H224" s="41"/>
      <c r="I224" s="41"/>
      <c r="J224" s="41"/>
      <c r="K224" s="41"/>
      <c r="L224" s="41"/>
      <c r="M224" s="41"/>
      <c r="N224" s="41" t="s">
        <v>244</v>
      </c>
      <c r="O224" s="42">
        <f t="shared" si="17"/>
        <v>0</v>
      </c>
      <c r="P224" s="42">
        <f t="shared" si="18"/>
        <v>0</v>
      </c>
      <c r="Q224" s="42">
        <f t="shared" si="19"/>
        <v>0</v>
      </c>
      <c r="R224" s="43">
        <f t="shared" si="20"/>
        <v>1</v>
      </c>
      <c r="S224" s="43">
        <f t="shared" si="21"/>
        <v>1</v>
      </c>
    </row>
    <row r="225" spans="1:19">
      <c r="A225" s="38" t="s">
        <v>243</v>
      </c>
      <c r="B225" s="38" t="s">
        <v>242</v>
      </c>
      <c r="C225" s="39" t="s">
        <v>155</v>
      </c>
      <c r="D225" s="40">
        <v>202.09</v>
      </c>
      <c r="E225" s="40">
        <v>14.020279</v>
      </c>
      <c r="F225" s="38" t="s">
        <v>117</v>
      </c>
      <c r="G225" s="40"/>
      <c r="H225" s="41"/>
      <c r="I225" s="41">
        <v>6.74</v>
      </c>
      <c r="J225" s="41">
        <v>1378</v>
      </c>
      <c r="K225" s="41">
        <v>197</v>
      </c>
      <c r="L225" s="41">
        <v>536.67000000000007</v>
      </c>
      <c r="M225" s="41">
        <v>783.67000000000007</v>
      </c>
      <c r="N225" s="41" t="s">
        <v>127</v>
      </c>
      <c r="O225" s="42">
        <f t="shared" si="17"/>
        <v>6.74</v>
      </c>
      <c r="P225" s="42">
        <f t="shared" si="18"/>
        <v>1378</v>
      </c>
      <c r="Q225" s="42">
        <f t="shared" si="19"/>
        <v>197</v>
      </c>
      <c r="R225" s="43">
        <f t="shared" si="20"/>
        <v>1</v>
      </c>
      <c r="S225" s="43">
        <f t="shared" si="21"/>
        <v>1</v>
      </c>
    </row>
    <row r="226" spans="1:19">
      <c r="A226" s="38" t="s">
        <v>241</v>
      </c>
      <c r="B226" s="38" t="s">
        <v>240</v>
      </c>
      <c r="C226" s="39" t="s">
        <v>128</v>
      </c>
      <c r="D226" s="40">
        <v>295.33</v>
      </c>
      <c r="E226" s="40">
        <f>1.718*8.3454</f>
        <v>14.3373972</v>
      </c>
      <c r="F226" s="40" t="s">
        <v>150</v>
      </c>
      <c r="G226" s="40"/>
      <c r="H226" s="41"/>
      <c r="I226" s="41"/>
      <c r="J226" s="41"/>
      <c r="K226" s="41"/>
      <c r="L226" s="41"/>
      <c r="M226" s="41"/>
      <c r="N226" s="41" t="s">
        <v>137</v>
      </c>
      <c r="O226" s="42">
        <f t="shared" si="17"/>
        <v>0</v>
      </c>
      <c r="P226" s="42">
        <f t="shared" si="18"/>
        <v>0</v>
      </c>
      <c r="Q226" s="42">
        <f t="shared" si="19"/>
        <v>0</v>
      </c>
      <c r="R226" s="43">
        <f t="shared" si="20"/>
        <v>1</v>
      </c>
      <c r="S226" s="43">
        <f t="shared" si="21"/>
        <v>1</v>
      </c>
    </row>
    <row r="227" spans="1:19">
      <c r="A227" s="38" t="s">
        <v>239</v>
      </c>
      <c r="B227" s="38" t="s">
        <v>238</v>
      </c>
      <c r="C227" s="39" t="s">
        <v>128</v>
      </c>
      <c r="D227" s="40">
        <v>266.33999999999997</v>
      </c>
      <c r="E227" s="40">
        <f>1.978*8.3454</f>
        <v>16.507201200000001</v>
      </c>
      <c r="F227" s="40" t="s">
        <v>150</v>
      </c>
      <c r="G227" s="40"/>
      <c r="H227" s="41"/>
      <c r="I227" s="41"/>
      <c r="J227" s="41"/>
      <c r="K227" s="41"/>
      <c r="L227" s="41"/>
      <c r="M227" s="41"/>
      <c r="N227" s="41" t="s">
        <v>137</v>
      </c>
      <c r="O227" s="42">
        <f t="shared" si="17"/>
        <v>0</v>
      </c>
      <c r="P227" s="42">
        <f t="shared" si="18"/>
        <v>0</v>
      </c>
      <c r="Q227" s="42">
        <f t="shared" si="19"/>
        <v>0</v>
      </c>
      <c r="R227" s="43">
        <f t="shared" si="20"/>
        <v>1</v>
      </c>
      <c r="S227" s="43">
        <f t="shared" si="21"/>
        <v>1</v>
      </c>
    </row>
    <row r="228" spans="1:19">
      <c r="A228" s="38" t="s">
        <v>237</v>
      </c>
      <c r="B228" s="38" t="s">
        <v>180</v>
      </c>
      <c r="C228" s="39" t="s">
        <v>159</v>
      </c>
      <c r="D228" s="40">
        <v>165.83</v>
      </c>
      <c r="E228" s="40">
        <f>1.62*8.34</f>
        <v>13.510800000000001</v>
      </c>
      <c r="F228" s="40" t="s">
        <v>117</v>
      </c>
      <c r="G228" s="40"/>
      <c r="H228" s="41"/>
      <c r="I228" s="41">
        <f>4.18056 -LOG10(1.01325/760)</f>
        <v>7.0556569798670612</v>
      </c>
      <c r="J228" s="41">
        <v>1440.819</v>
      </c>
      <c r="K228" s="41">
        <f>-49.171 + 273.15</f>
        <v>223.97899999999998</v>
      </c>
      <c r="L228" s="41">
        <v>541.85400000000004</v>
      </c>
      <c r="M228" s="41">
        <v>685.51199999999994</v>
      </c>
      <c r="N228" s="41" t="s">
        <v>208</v>
      </c>
      <c r="O228" s="42">
        <f t="shared" si="17"/>
        <v>7.0556569798670612</v>
      </c>
      <c r="P228" s="42">
        <f t="shared" si="18"/>
        <v>1440.819</v>
      </c>
      <c r="Q228" s="42">
        <f t="shared" si="19"/>
        <v>223.97899999999998</v>
      </c>
      <c r="R228" s="43">
        <f t="shared" si="20"/>
        <v>1</v>
      </c>
      <c r="S228" s="43">
        <f t="shared" si="21"/>
        <v>1</v>
      </c>
    </row>
    <row r="229" spans="1:19">
      <c r="A229" s="38" t="s">
        <v>236</v>
      </c>
      <c r="B229" s="38" t="s">
        <v>235</v>
      </c>
      <c r="C229" s="39" t="s">
        <v>128</v>
      </c>
      <c r="D229" s="40">
        <v>94.11</v>
      </c>
      <c r="E229" s="40">
        <v>8.9295829999999992</v>
      </c>
      <c r="F229" s="38" t="s">
        <v>117</v>
      </c>
      <c r="G229" s="40"/>
      <c r="H229" s="41"/>
      <c r="I229" s="41">
        <v>7.133</v>
      </c>
      <c r="J229" s="41">
        <v>1516.79</v>
      </c>
      <c r="K229" s="41">
        <v>174.95</v>
      </c>
      <c r="L229" s="41">
        <v>684.67000000000007</v>
      </c>
      <c r="M229" s="41">
        <v>818.67000000000007</v>
      </c>
      <c r="N229" s="41" t="s">
        <v>127</v>
      </c>
      <c r="O229" s="42">
        <f t="shared" si="17"/>
        <v>7.133</v>
      </c>
      <c r="P229" s="42">
        <f t="shared" si="18"/>
        <v>1516.79</v>
      </c>
      <c r="Q229" s="42">
        <f t="shared" si="19"/>
        <v>174.95</v>
      </c>
      <c r="R229" s="43">
        <f t="shared" si="20"/>
        <v>1</v>
      </c>
      <c r="S229" s="43">
        <f t="shared" si="21"/>
        <v>1</v>
      </c>
    </row>
    <row r="230" spans="1:19">
      <c r="A230" s="38" t="s">
        <v>234</v>
      </c>
      <c r="B230" s="38" t="s">
        <v>233</v>
      </c>
      <c r="C230" s="39" t="s">
        <v>128</v>
      </c>
      <c r="D230" s="40">
        <v>98.92</v>
      </c>
      <c r="E230" s="40">
        <f>0.94*8.3454</f>
        <v>7.8446759999999989</v>
      </c>
      <c r="F230" s="40" t="s">
        <v>117</v>
      </c>
      <c r="G230" s="40"/>
      <c r="H230" s="41"/>
      <c r="I230" s="41">
        <v>7.1308299999999996</v>
      </c>
      <c r="J230" s="41">
        <v>1060.0797</v>
      </c>
      <c r="K230" s="41">
        <v>241.87</v>
      </c>
      <c r="L230" s="41">
        <v>367.54200000000003</v>
      </c>
      <c r="M230" s="41">
        <v>819</v>
      </c>
      <c r="N230" s="41" t="s">
        <v>142</v>
      </c>
      <c r="O230" s="42">
        <f t="shared" si="17"/>
        <v>7.1308299999999996</v>
      </c>
      <c r="P230" s="42">
        <f t="shared" si="18"/>
        <v>1060.0797</v>
      </c>
      <c r="Q230" s="42">
        <f t="shared" si="19"/>
        <v>241.87</v>
      </c>
      <c r="R230" s="43">
        <f t="shared" si="20"/>
        <v>1</v>
      </c>
      <c r="S230" s="43">
        <f t="shared" si="21"/>
        <v>1</v>
      </c>
    </row>
    <row r="231" spans="1:19">
      <c r="A231" s="38" t="s">
        <v>232</v>
      </c>
      <c r="B231" s="38" t="s">
        <v>231</v>
      </c>
      <c r="C231" s="39" t="s">
        <v>128</v>
      </c>
      <c r="D231" s="40">
        <v>34</v>
      </c>
      <c r="E231" s="40">
        <f>0.491*8.3454</f>
        <v>4.0975913999999998</v>
      </c>
      <c r="F231" s="40" t="s">
        <v>117</v>
      </c>
      <c r="G231" s="40"/>
      <c r="H231" s="41"/>
      <c r="I231" s="41">
        <v>6.9837499999999997</v>
      </c>
      <c r="J231" s="41">
        <v>724.47080000000005</v>
      </c>
      <c r="K231" s="41">
        <v>264.31</v>
      </c>
      <c r="L231" s="41">
        <v>250.86600000000001</v>
      </c>
      <c r="M231" s="41">
        <v>584.55000000000007</v>
      </c>
      <c r="N231" s="41" t="s">
        <v>142</v>
      </c>
      <c r="O231" s="42">
        <f t="shared" si="17"/>
        <v>6.9837499999999997</v>
      </c>
      <c r="P231" s="42">
        <f t="shared" si="18"/>
        <v>724.47080000000005</v>
      </c>
      <c r="Q231" s="42">
        <f t="shared" si="19"/>
        <v>264.31</v>
      </c>
      <c r="R231" s="43">
        <f t="shared" si="20"/>
        <v>1</v>
      </c>
      <c r="S231" s="43">
        <f t="shared" si="21"/>
        <v>1</v>
      </c>
    </row>
    <row r="232" spans="1:19">
      <c r="A232" s="38" t="s">
        <v>230</v>
      </c>
      <c r="B232" s="38" t="s">
        <v>229</v>
      </c>
      <c r="C232" s="39" t="s">
        <v>228</v>
      </c>
      <c r="D232" s="40">
        <v>30.97</v>
      </c>
      <c r="E232" s="40">
        <f>2.34*8.3454</f>
        <v>19.528236</v>
      </c>
      <c r="F232" s="40" t="s">
        <v>150</v>
      </c>
      <c r="G232" s="40"/>
      <c r="H232" s="41"/>
      <c r="I232" s="41"/>
      <c r="J232" s="41"/>
      <c r="K232" s="41"/>
      <c r="L232" s="41"/>
      <c r="M232" s="41"/>
      <c r="N232" s="41" t="s">
        <v>137</v>
      </c>
      <c r="O232" s="42">
        <f t="shared" si="17"/>
        <v>0</v>
      </c>
      <c r="P232" s="42">
        <f t="shared" si="18"/>
        <v>0</v>
      </c>
      <c r="Q232" s="42">
        <f t="shared" si="19"/>
        <v>0</v>
      </c>
      <c r="R232" s="43">
        <f t="shared" si="20"/>
        <v>1</v>
      </c>
      <c r="S232" s="43">
        <f t="shared" si="21"/>
        <v>1</v>
      </c>
    </row>
    <row r="233" spans="1:19">
      <c r="A233" s="38" t="s">
        <v>227</v>
      </c>
      <c r="B233" s="38" t="s">
        <v>226</v>
      </c>
      <c r="C233" s="39" t="s">
        <v>128</v>
      </c>
      <c r="D233" s="40">
        <v>148.1</v>
      </c>
      <c r="E233" s="40">
        <f>1.53*8.34</f>
        <v>12.760199999999999</v>
      </c>
      <c r="F233" s="40" t="s">
        <v>117</v>
      </c>
      <c r="G233" s="40"/>
      <c r="H233" s="41"/>
      <c r="I233" s="41">
        <v>8.0512899999999998</v>
      </c>
      <c r="J233" s="41">
        <v>2504.9439000000002</v>
      </c>
      <c r="K233" s="41">
        <v>200.42099999999999</v>
      </c>
      <c r="L233" s="41">
        <v>770.36400000000003</v>
      </c>
      <c r="M233" s="41">
        <v>1056.8700000000001</v>
      </c>
      <c r="N233" s="41" t="s">
        <v>142</v>
      </c>
      <c r="O233" s="42">
        <f t="shared" si="17"/>
        <v>8.0512899999999998</v>
      </c>
      <c r="P233" s="42">
        <f t="shared" si="18"/>
        <v>2504.9439000000002</v>
      </c>
      <c r="Q233" s="42">
        <f t="shared" si="19"/>
        <v>200.42099999999999</v>
      </c>
      <c r="R233" s="43">
        <f t="shared" si="20"/>
        <v>1</v>
      </c>
      <c r="S233" s="43">
        <f t="shared" si="21"/>
        <v>1</v>
      </c>
    </row>
    <row r="234" spans="1:19">
      <c r="A234" s="38" t="s">
        <v>225</v>
      </c>
      <c r="B234" s="38" t="s">
        <v>224</v>
      </c>
      <c r="C234" s="39" t="s">
        <v>155</v>
      </c>
      <c r="D234" s="40">
        <v>93.13</v>
      </c>
      <c r="E234" s="40">
        <v>7.8697160000000004</v>
      </c>
      <c r="F234" s="38" t="s">
        <v>117</v>
      </c>
      <c r="G234" s="40"/>
      <c r="H234" s="41"/>
      <c r="I234" s="41">
        <v>7.032</v>
      </c>
      <c r="J234" s="41">
        <v>1415.73</v>
      </c>
      <c r="K234" s="41">
        <v>211.63</v>
      </c>
      <c r="L234" s="41"/>
      <c r="M234" s="41"/>
      <c r="N234" s="41" t="s">
        <v>158</v>
      </c>
      <c r="O234" s="42">
        <f t="shared" si="17"/>
        <v>7.032</v>
      </c>
      <c r="P234" s="42">
        <f t="shared" si="18"/>
        <v>1415.73</v>
      </c>
      <c r="Q234" s="42">
        <f t="shared" si="19"/>
        <v>211.63</v>
      </c>
      <c r="R234" s="43">
        <f t="shared" si="20"/>
        <v>1</v>
      </c>
      <c r="S234" s="43">
        <f t="shared" si="21"/>
        <v>1</v>
      </c>
    </row>
    <row r="235" spans="1:19">
      <c r="A235" s="38" t="s">
        <v>223</v>
      </c>
      <c r="B235" s="38" t="s">
        <v>222</v>
      </c>
      <c r="C235" s="39" t="s">
        <v>128</v>
      </c>
      <c r="D235" s="40">
        <v>360.87815999999998</v>
      </c>
      <c r="E235" s="40">
        <f>1.44*8.36454</f>
        <v>12.044937599999999</v>
      </c>
      <c r="F235" s="40" t="s">
        <v>150</v>
      </c>
      <c r="G235" s="40"/>
      <c r="H235" s="41"/>
      <c r="I235" s="45"/>
      <c r="J235" s="45"/>
      <c r="K235" s="45"/>
      <c r="L235" s="45"/>
      <c r="M235" s="45"/>
      <c r="N235" s="41" t="s">
        <v>171</v>
      </c>
      <c r="O235" s="42">
        <f t="shared" si="17"/>
        <v>0</v>
      </c>
      <c r="P235" s="42">
        <f t="shared" si="18"/>
        <v>0</v>
      </c>
      <c r="Q235" s="42">
        <f t="shared" si="19"/>
        <v>0</v>
      </c>
      <c r="R235" s="43">
        <f t="shared" si="20"/>
        <v>1</v>
      </c>
      <c r="S235" s="43">
        <f t="shared" si="21"/>
        <v>1</v>
      </c>
    </row>
    <row r="236" spans="1:19">
      <c r="A236" s="38" t="s">
        <v>221</v>
      </c>
      <c r="B236" s="38" t="s">
        <v>220</v>
      </c>
      <c r="C236" s="39" t="s">
        <v>128</v>
      </c>
      <c r="D236" s="40">
        <v>108.14</v>
      </c>
      <c r="E236" s="40">
        <f>1.135*8.3454</f>
        <v>9.4720289999999991</v>
      </c>
      <c r="F236" s="40" t="s">
        <v>117</v>
      </c>
      <c r="G236" s="40"/>
      <c r="H236" s="41"/>
      <c r="I236" s="41">
        <v>7.5494500000000002</v>
      </c>
      <c r="J236" s="41">
        <v>2076.6039999999998</v>
      </c>
      <c r="K236" s="41">
        <v>177.749</v>
      </c>
      <c r="L236" s="41">
        <v>742.44599999999991</v>
      </c>
      <c r="M236" s="41">
        <v>1027.548</v>
      </c>
      <c r="N236" s="41" t="s">
        <v>142</v>
      </c>
      <c r="O236" s="42">
        <f t="shared" si="17"/>
        <v>7.5494500000000002</v>
      </c>
      <c r="P236" s="42">
        <f t="shared" si="18"/>
        <v>2076.6039999999998</v>
      </c>
      <c r="Q236" s="42">
        <f t="shared" si="19"/>
        <v>177.749</v>
      </c>
      <c r="R236" s="43">
        <f t="shared" si="20"/>
        <v>1</v>
      </c>
      <c r="S236" s="43">
        <f t="shared" si="21"/>
        <v>1</v>
      </c>
    </row>
    <row r="237" spans="1:19">
      <c r="A237" s="38" t="s">
        <v>219</v>
      </c>
      <c r="B237" s="38" t="s">
        <v>218</v>
      </c>
      <c r="C237" s="39" t="s">
        <v>155</v>
      </c>
      <c r="D237" s="40">
        <v>60.1</v>
      </c>
      <c r="E237" s="40">
        <v>6.559488</v>
      </c>
      <c r="F237" s="38" t="s">
        <v>117</v>
      </c>
      <c r="G237" s="40"/>
      <c r="H237" s="41"/>
      <c r="I237" s="41">
        <v>8.1170000000000009</v>
      </c>
      <c r="J237" s="41">
        <v>1580.92</v>
      </c>
      <c r="K237" s="41">
        <v>219.61</v>
      </c>
      <c r="L237" s="41">
        <v>593.67000000000007</v>
      </c>
      <c r="M237" s="41">
        <v>652.67000000000007</v>
      </c>
      <c r="N237" s="41" t="s">
        <v>127</v>
      </c>
      <c r="O237" s="42">
        <f t="shared" si="17"/>
        <v>8.1170000000000009</v>
      </c>
      <c r="P237" s="42">
        <f t="shared" si="18"/>
        <v>1580.92</v>
      </c>
      <c r="Q237" s="42">
        <f t="shared" si="19"/>
        <v>219.61</v>
      </c>
      <c r="R237" s="43">
        <f t="shared" si="20"/>
        <v>1</v>
      </c>
      <c r="S237" s="43">
        <f t="shared" si="21"/>
        <v>1</v>
      </c>
    </row>
    <row r="238" spans="1:19" ht="15">
      <c r="A238" s="44" t="s">
        <v>217</v>
      </c>
      <c r="B238" s="38" t="s">
        <v>216</v>
      </c>
      <c r="C238" s="39" t="s">
        <v>128</v>
      </c>
      <c r="D238" s="40">
        <v>58.08</v>
      </c>
      <c r="E238" s="40">
        <f>0.805*8.3454</f>
        <v>6.7180470000000003</v>
      </c>
      <c r="F238" s="40" t="s">
        <v>117</v>
      </c>
      <c r="G238" s="40"/>
      <c r="H238" s="41"/>
      <c r="I238" s="41">
        <v>7.26342</v>
      </c>
      <c r="J238" s="41">
        <v>1277.1176</v>
      </c>
      <c r="K238" s="41">
        <v>242.55600000000001</v>
      </c>
      <c r="L238" s="41">
        <v>422.1</v>
      </c>
      <c r="M238" s="41">
        <v>907.92000000000007</v>
      </c>
      <c r="N238" s="41" t="s">
        <v>142</v>
      </c>
      <c r="O238" s="42">
        <f t="shared" si="17"/>
        <v>7.26342</v>
      </c>
      <c r="P238" s="42">
        <f t="shared" si="18"/>
        <v>1277.1176</v>
      </c>
      <c r="Q238" s="42">
        <f t="shared" si="19"/>
        <v>242.55600000000001</v>
      </c>
      <c r="R238" s="43">
        <f t="shared" si="20"/>
        <v>1</v>
      </c>
      <c r="S238" s="43">
        <f t="shared" si="21"/>
        <v>1</v>
      </c>
    </row>
    <row r="239" spans="1:19">
      <c r="A239" s="38" t="s">
        <v>215</v>
      </c>
      <c r="B239" s="38" t="s">
        <v>214</v>
      </c>
      <c r="C239" s="39" t="s">
        <v>128</v>
      </c>
      <c r="D239" s="40">
        <v>209.24</v>
      </c>
      <c r="E239" s="40">
        <f>1.12*8.3454</f>
        <v>9.3468480000000014</v>
      </c>
      <c r="F239" s="40" t="s">
        <v>150</v>
      </c>
      <c r="G239" s="40"/>
      <c r="H239" s="41"/>
      <c r="I239" s="41"/>
      <c r="J239" s="41"/>
      <c r="K239" s="41"/>
      <c r="L239" s="41"/>
      <c r="M239" s="41"/>
      <c r="N239" s="41" t="s">
        <v>137</v>
      </c>
      <c r="O239" s="42">
        <f t="shared" si="17"/>
        <v>0</v>
      </c>
      <c r="P239" s="42">
        <f t="shared" si="18"/>
        <v>0</v>
      </c>
      <c r="Q239" s="42">
        <f t="shared" si="19"/>
        <v>0</v>
      </c>
      <c r="R239" s="43">
        <f t="shared" si="20"/>
        <v>1</v>
      </c>
      <c r="S239" s="43">
        <f t="shared" si="21"/>
        <v>1</v>
      </c>
    </row>
    <row r="240" spans="1:19">
      <c r="A240" s="38" t="s">
        <v>213</v>
      </c>
      <c r="B240" s="38" t="s">
        <v>212</v>
      </c>
      <c r="C240" s="39" t="s">
        <v>159</v>
      </c>
      <c r="D240" s="40">
        <v>102.089</v>
      </c>
      <c r="E240" s="40">
        <f>1.2*8.34</f>
        <v>10.007999999999999</v>
      </c>
      <c r="F240" s="40" t="s">
        <v>117</v>
      </c>
      <c r="G240" s="40"/>
      <c r="H240" s="41"/>
      <c r="I240" s="41">
        <f>10.207-LOG10(101.325/760)</f>
        <v>11.082096979867062</v>
      </c>
      <c r="J240" s="41">
        <v>1410.89</v>
      </c>
      <c r="K240" s="41">
        <f>-260.44+273.15</f>
        <v>12.70999999999998</v>
      </c>
      <c r="L240" s="41"/>
      <c r="M240" s="41"/>
      <c r="N240" s="41" t="s">
        <v>211</v>
      </c>
      <c r="O240" s="42">
        <f t="shared" si="17"/>
        <v>11.082096979867062</v>
      </c>
      <c r="P240" s="42">
        <f t="shared" si="18"/>
        <v>1410.89</v>
      </c>
      <c r="Q240" s="42">
        <f t="shared" si="19"/>
        <v>12.70999999999998</v>
      </c>
      <c r="R240" s="43">
        <f t="shared" si="20"/>
        <v>1</v>
      </c>
      <c r="S240" s="43">
        <f t="shared" si="21"/>
        <v>1</v>
      </c>
    </row>
    <row r="241" spans="1:19">
      <c r="A241" s="38" t="s">
        <v>210</v>
      </c>
      <c r="B241" s="38" t="s">
        <v>209</v>
      </c>
      <c r="C241" s="39" t="s">
        <v>128</v>
      </c>
      <c r="D241" s="40">
        <v>112.99</v>
      </c>
      <c r="E241" s="40">
        <f>1.156*8.3454</f>
        <v>9.6472823999999981</v>
      </c>
      <c r="F241" s="40" t="s">
        <v>117</v>
      </c>
      <c r="G241" s="40"/>
      <c r="H241" s="41"/>
      <c r="I241" s="41">
        <f>4.0867 -LOG10(1.01325/760)</f>
        <v>6.9617969798670618</v>
      </c>
      <c r="J241" s="41">
        <v>1296.9960000000001</v>
      </c>
      <c r="K241" s="41">
        <f>-51.559+273.15</f>
        <v>221.59099999999998</v>
      </c>
      <c r="L241" s="41">
        <v>572.274</v>
      </c>
      <c r="M241" s="41">
        <v>664.74</v>
      </c>
      <c r="N241" s="41" t="s">
        <v>208</v>
      </c>
      <c r="O241" s="42">
        <f t="shared" si="17"/>
        <v>6.9617969798670618</v>
      </c>
      <c r="P241" s="42">
        <f t="shared" si="18"/>
        <v>1296.9960000000001</v>
      </c>
      <c r="Q241" s="42">
        <f t="shared" si="19"/>
        <v>221.59099999999998</v>
      </c>
      <c r="R241" s="43">
        <f t="shared" si="20"/>
        <v>1</v>
      </c>
      <c r="S241" s="43">
        <f t="shared" si="21"/>
        <v>1</v>
      </c>
    </row>
    <row r="242" spans="1:19">
      <c r="A242" s="38" t="s">
        <v>207</v>
      </c>
      <c r="B242" s="38" t="s">
        <v>206</v>
      </c>
      <c r="C242" s="39" t="s">
        <v>155</v>
      </c>
      <c r="D242" s="40">
        <v>76.099999999999994</v>
      </c>
      <c r="E242" s="40">
        <v>8.6458390000000005</v>
      </c>
      <c r="F242" s="38" t="s">
        <v>117</v>
      </c>
      <c r="G242" s="40"/>
      <c r="H242" s="41"/>
      <c r="I242" s="41">
        <v>8.2081999999999997</v>
      </c>
      <c r="J242" s="41">
        <v>2085.9</v>
      </c>
      <c r="K242" s="41">
        <v>203.54</v>
      </c>
      <c r="L242" s="41"/>
      <c r="M242" s="41"/>
      <c r="N242" s="41" t="s">
        <v>158</v>
      </c>
      <c r="O242" s="42">
        <f t="shared" si="17"/>
        <v>8.2081999999999997</v>
      </c>
      <c r="P242" s="42">
        <f t="shared" si="18"/>
        <v>2085.9</v>
      </c>
      <c r="Q242" s="42">
        <f t="shared" si="19"/>
        <v>203.54</v>
      </c>
      <c r="R242" s="43">
        <f t="shared" si="20"/>
        <v>1</v>
      </c>
      <c r="S242" s="43">
        <f t="shared" si="21"/>
        <v>1</v>
      </c>
    </row>
    <row r="243" spans="1:19">
      <c r="A243" s="38" t="s">
        <v>205</v>
      </c>
      <c r="B243" s="38" t="s">
        <v>204</v>
      </c>
      <c r="C243" s="39" t="s">
        <v>128</v>
      </c>
      <c r="D243" s="40">
        <v>58.08</v>
      </c>
      <c r="E243" s="40">
        <v>6.9266860000000001</v>
      </c>
      <c r="F243" s="38" t="s">
        <v>117</v>
      </c>
      <c r="G243" s="40"/>
      <c r="H243" s="41"/>
      <c r="I243" s="41">
        <v>7.0670999999999999</v>
      </c>
      <c r="J243" s="41">
        <v>1133.2670000000001</v>
      </c>
      <c r="K243" s="41">
        <v>236.1054</v>
      </c>
      <c r="L243" s="41">
        <v>359.67</v>
      </c>
      <c r="M243" s="41">
        <v>553.67000000000007</v>
      </c>
      <c r="N243" s="41" t="s">
        <v>127</v>
      </c>
      <c r="O243" s="42">
        <f t="shared" si="17"/>
        <v>7.0670999999999999</v>
      </c>
      <c r="P243" s="42">
        <f t="shared" si="18"/>
        <v>1133.2670000000001</v>
      </c>
      <c r="Q243" s="42">
        <f t="shared" si="19"/>
        <v>236.1054</v>
      </c>
      <c r="R243" s="43">
        <f t="shared" si="20"/>
        <v>1</v>
      </c>
      <c r="S243" s="43">
        <f t="shared" si="21"/>
        <v>1</v>
      </c>
    </row>
    <row r="244" spans="1:19">
      <c r="A244" s="38" t="s">
        <v>203</v>
      </c>
      <c r="B244" s="38" t="s">
        <v>202</v>
      </c>
      <c r="C244" s="39" t="s">
        <v>155</v>
      </c>
      <c r="D244" s="40">
        <v>79.099999999999994</v>
      </c>
      <c r="E244" s="40">
        <v>8.1943529999999996</v>
      </c>
      <c r="F244" s="38" t="s">
        <v>117</v>
      </c>
      <c r="G244" s="40"/>
      <c r="H244" s="41"/>
      <c r="I244" s="41">
        <v>7.0410000000000004</v>
      </c>
      <c r="J244" s="41">
        <v>1373.8</v>
      </c>
      <c r="K244" s="41">
        <v>214.98</v>
      </c>
      <c r="L244" s="41">
        <v>612.67000000000007</v>
      </c>
      <c r="M244" s="41">
        <v>766.67000000000007</v>
      </c>
      <c r="N244" s="41" t="s">
        <v>127</v>
      </c>
      <c r="O244" s="42">
        <f t="shared" si="17"/>
        <v>7.0410000000000004</v>
      </c>
      <c r="P244" s="42">
        <f t="shared" si="18"/>
        <v>1373.8</v>
      </c>
      <c r="Q244" s="42">
        <f t="shared" si="19"/>
        <v>214.98</v>
      </c>
      <c r="R244" s="43">
        <f t="shared" si="20"/>
        <v>1</v>
      </c>
      <c r="S244" s="43">
        <f t="shared" si="21"/>
        <v>1</v>
      </c>
    </row>
    <row r="245" spans="1:19">
      <c r="A245" s="38" t="s">
        <v>201</v>
      </c>
      <c r="B245" s="38" t="s">
        <v>200</v>
      </c>
      <c r="C245" s="39" t="s">
        <v>128</v>
      </c>
      <c r="D245" s="40">
        <v>129.16</v>
      </c>
      <c r="E245" s="40">
        <f>1.093*8.3454</f>
        <v>9.1215221999999994</v>
      </c>
      <c r="F245" s="40" t="s">
        <v>117</v>
      </c>
      <c r="G245" s="40"/>
      <c r="H245" s="41"/>
      <c r="I245" s="41">
        <v>7.21408</v>
      </c>
      <c r="J245" s="41">
        <v>1902.9766999999999</v>
      </c>
      <c r="K245" s="41">
        <v>201.30500000000001</v>
      </c>
      <c r="L245" s="41">
        <v>680.5440000000001</v>
      </c>
      <c r="M245" s="41">
        <v>978.82199999999989</v>
      </c>
      <c r="N245" s="41" t="s">
        <v>142</v>
      </c>
      <c r="O245" s="42">
        <f t="shared" si="17"/>
        <v>7.21408</v>
      </c>
      <c r="P245" s="42">
        <f t="shared" si="18"/>
        <v>1902.9766999999999</v>
      </c>
      <c r="Q245" s="42">
        <f t="shared" si="19"/>
        <v>201.30500000000001</v>
      </c>
      <c r="R245" s="43">
        <f t="shared" si="20"/>
        <v>1</v>
      </c>
      <c r="S245" s="43">
        <f t="shared" si="21"/>
        <v>1</v>
      </c>
    </row>
    <row r="246" spans="1:19">
      <c r="A246" s="38" t="s">
        <v>199</v>
      </c>
      <c r="B246" s="38" t="s">
        <v>198</v>
      </c>
      <c r="C246" s="39" t="s">
        <v>128</v>
      </c>
      <c r="D246" s="40">
        <v>108.09</v>
      </c>
      <c r="E246" s="40">
        <f>1.31*8.3454</f>
        <v>10.932474000000001</v>
      </c>
      <c r="F246" s="40" t="s">
        <v>117</v>
      </c>
      <c r="G246" s="40"/>
      <c r="H246" s="41"/>
      <c r="I246" s="41">
        <v>8.3342299999999998</v>
      </c>
      <c r="J246" s="41">
        <v>1815.7058999999999</v>
      </c>
      <c r="K246" s="41">
        <v>170.256</v>
      </c>
      <c r="L246" s="41">
        <v>630.80999999999995</v>
      </c>
      <c r="M246" s="41">
        <v>819.63</v>
      </c>
      <c r="N246" s="41" t="s">
        <v>142</v>
      </c>
      <c r="O246" s="42">
        <f t="shared" si="17"/>
        <v>8.3342299999999998</v>
      </c>
      <c r="P246" s="42">
        <f t="shared" si="18"/>
        <v>1815.7058999999999</v>
      </c>
      <c r="Q246" s="42">
        <f t="shared" si="19"/>
        <v>170.256</v>
      </c>
      <c r="R246" s="43">
        <f t="shared" si="20"/>
        <v>1</v>
      </c>
      <c r="S246" s="43">
        <f t="shared" si="21"/>
        <v>1</v>
      </c>
    </row>
    <row r="247" spans="1:19">
      <c r="A247" s="38" t="s">
        <v>197</v>
      </c>
      <c r="B247" s="38" t="s">
        <v>196</v>
      </c>
      <c r="C247" s="39" t="s">
        <v>155</v>
      </c>
      <c r="D247" s="40">
        <v>190</v>
      </c>
      <c r="E247" s="40">
        <v>7.9</v>
      </c>
      <c r="F247" s="38" t="s">
        <v>117</v>
      </c>
      <c r="G247" s="40"/>
      <c r="H247" s="41"/>
      <c r="I247" s="41">
        <v>-4.2400754382282067</v>
      </c>
      <c r="J247" s="41">
        <v>82.098133197391491</v>
      </c>
      <c r="K247" s="41">
        <v>-69.555646412178447</v>
      </c>
      <c r="L247" s="41"/>
      <c r="M247" s="41"/>
      <c r="N247" s="41" t="s">
        <v>195</v>
      </c>
      <c r="O247" s="42">
        <f t="shared" si="17"/>
        <v>-4.2400754382282067</v>
      </c>
      <c r="P247" s="42">
        <f t="shared" si="18"/>
        <v>82.098133197391491</v>
      </c>
      <c r="Q247" s="42">
        <f t="shared" si="19"/>
        <v>-69.555646412178447</v>
      </c>
      <c r="R247" s="43">
        <f t="shared" si="20"/>
        <v>1</v>
      </c>
      <c r="S247" s="43">
        <f t="shared" si="21"/>
        <v>1</v>
      </c>
    </row>
    <row r="248" spans="1:19">
      <c r="A248" s="38" t="s">
        <v>194</v>
      </c>
      <c r="B248" s="38" t="s">
        <v>193</v>
      </c>
      <c r="C248" s="39" t="s">
        <v>155</v>
      </c>
      <c r="D248" s="40">
        <v>110.1</v>
      </c>
      <c r="E248" s="40">
        <f>1.28*8.34</f>
        <v>10.6752</v>
      </c>
      <c r="F248" s="38" t="s">
        <v>117</v>
      </c>
      <c r="G248" s="40"/>
      <c r="H248" s="41"/>
      <c r="I248" s="41">
        <v>6.9242999999999997</v>
      </c>
      <c r="J248" s="41">
        <v>1884.547</v>
      </c>
      <c r="K248" s="41">
        <v>186.06</v>
      </c>
      <c r="L248" s="41">
        <v>764.67000000000007</v>
      </c>
      <c r="M248" s="41">
        <v>989.67000000000007</v>
      </c>
      <c r="N248" s="41" t="s">
        <v>127</v>
      </c>
      <c r="O248" s="42">
        <f t="shared" si="17"/>
        <v>6.9242999999999997</v>
      </c>
      <c r="P248" s="42">
        <f t="shared" si="18"/>
        <v>1884.547</v>
      </c>
      <c r="Q248" s="42">
        <f t="shared" si="19"/>
        <v>186.06</v>
      </c>
      <c r="R248" s="43">
        <f t="shared" si="20"/>
        <v>1</v>
      </c>
      <c r="S248" s="43">
        <f t="shared" si="21"/>
        <v>1</v>
      </c>
    </row>
    <row r="249" spans="1:19">
      <c r="A249" s="38" t="s">
        <v>192</v>
      </c>
      <c r="B249" s="38" t="s">
        <v>191</v>
      </c>
      <c r="C249" s="39" t="s">
        <v>128</v>
      </c>
      <c r="D249" s="40">
        <v>104.15</v>
      </c>
      <c r="E249" s="40">
        <v>7.5859730000000001</v>
      </c>
      <c r="F249" s="38" t="s">
        <v>117</v>
      </c>
      <c r="G249" s="40"/>
      <c r="H249" s="41"/>
      <c r="I249" s="41">
        <v>7.14</v>
      </c>
      <c r="J249" s="41">
        <v>1574.51</v>
      </c>
      <c r="K249" s="41">
        <v>224.09</v>
      </c>
      <c r="L249" s="41">
        <v>545.67000000000007</v>
      </c>
      <c r="M249" s="41">
        <v>752.67000000000007</v>
      </c>
      <c r="N249" s="41" t="s">
        <v>127</v>
      </c>
      <c r="O249" s="42">
        <f t="shared" si="17"/>
        <v>7.14</v>
      </c>
      <c r="P249" s="42">
        <f t="shared" si="18"/>
        <v>1574.51</v>
      </c>
      <c r="Q249" s="42">
        <f t="shared" si="19"/>
        <v>224.09</v>
      </c>
      <c r="R249" s="43">
        <f t="shared" si="20"/>
        <v>1</v>
      </c>
      <c r="S249" s="43">
        <f t="shared" si="21"/>
        <v>1</v>
      </c>
    </row>
    <row r="250" spans="1:19">
      <c r="A250" s="38" t="s">
        <v>190</v>
      </c>
      <c r="B250" s="38" t="s">
        <v>189</v>
      </c>
      <c r="C250" s="39" t="s">
        <v>128</v>
      </c>
      <c r="D250" s="40">
        <v>120.15</v>
      </c>
      <c r="E250" s="40">
        <f>1.054*8.3454</f>
        <v>8.7960516000000002</v>
      </c>
      <c r="F250" s="40" t="s">
        <v>150</v>
      </c>
      <c r="G250" s="40"/>
      <c r="H250" s="41"/>
      <c r="I250" s="45"/>
      <c r="J250" s="45"/>
      <c r="K250" s="45"/>
      <c r="L250" s="45"/>
      <c r="M250" s="45"/>
      <c r="N250" s="41" t="s">
        <v>171</v>
      </c>
      <c r="O250" s="42">
        <f t="shared" si="17"/>
        <v>0</v>
      </c>
      <c r="P250" s="42">
        <f t="shared" si="18"/>
        <v>0</v>
      </c>
      <c r="Q250" s="42">
        <f t="shared" si="19"/>
        <v>0</v>
      </c>
      <c r="R250" s="43">
        <f t="shared" si="20"/>
        <v>1</v>
      </c>
      <c r="S250" s="43">
        <f t="shared" si="21"/>
        <v>1</v>
      </c>
    </row>
    <row r="251" spans="1:19">
      <c r="A251" s="38" t="s">
        <v>188</v>
      </c>
      <c r="B251" s="46" t="s">
        <v>187</v>
      </c>
      <c r="C251" s="39" t="s">
        <v>159</v>
      </c>
      <c r="D251" s="40">
        <v>116.16</v>
      </c>
      <c r="E251" s="40">
        <v>7.1665619999999999</v>
      </c>
      <c r="F251" s="38" t="s">
        <v>117</v>
      </c>
      <c r="G251" s="40"/>
      <c r="H251" s="41"/>
      <c r="I251" s="41">
        <v>7.0705499999999999</v>
      </c>
      <c r="J251" s="47">
        <v>1327.54</v>
      </c>
      <c r="K251" s="47">
        <v>220.85599999999999</v>
      </c>
      <c r="L251" s="41">
        <v>509.67</v>
      </c>
      <c r="M251" s="41">
        <v>931.09</v>
      </c>
      <c r="N251" s="41" t="s">
        <v>186</v>
      </c>
      <c r="O251" s="42">
        <f t="shared" si="17"/>
        <v>7.0705499999999999</v>
      </c>
      <c r="P251" s="42">
        <f t="shared" si="18"/>
        <v>1327.54</v>
      </c>
      <c r="Q251" s="42">
        <f t="shared" si="19"/>
        <v>220.85599999999999</v>
      </c>
      <c r="R251" s="43">
        <f t="shared" si="20"/>
        <v>1</v>
      </c>
      <c r="S251" s="43">
        <f t="shared" si="21"/>
        <v>1</v>
      </c>
    </row>
    <row r="252" spans="1:19">
      <c r="A252" s="38" t="s">
        <v>185</v>
      </c>
      <c r="B252" s="38" t="s">
        <v>184</v>
      </c>
      <c r="C252" s="39" t="s">
        <v>155</v>
      </c>
      <c r="D252" s="40">
        <v>167.84800000000001</v>
      </c>
      <c r="E252" s="40">
        <v>12.962082000000001</v>
      </c>
      <c r="F252" s="38" t="s">
        <v>117</v>
      </c>
      <c r="G252" s="40"/>
      <c r="H252" s="41"/>
      <c r="I252" s="41">
        <v>6.8979999999999997</v>
      </c>
      <c r="J252" s="41">
        <v>1365.88</v>
      </c>
      <c r="K252" s="41">
        <v>209.74</v>
      </c>
      <c r="L252" s="41">
        <v>598.67000000000007</v>
      </c>
      <c r="M252" s="41">
        <v>725.67000000000007</v>
      </c>
      <c r="N252" s="41" t="s">
        <v>127</v>
      </c>
      <c r="O252" s="42">
        <f t="shared" si="17"/>
        <v>6.8979999999999997</v>
      </c>
      <c r="P252" s="42">
        <f t="shared" si="18"/>
        <v>1365.88</v>
      </c>
      <c r="Q252" s="42">
        <f t="shared" si="19"/>
        <v>209.74</v>
      </c>
      <c r="R252" s="43">
        <f t="shared" si="20"/>
        <v>1</v>
      </c>
      <c r="S252" s="43">
        <f t="shared" si="21"/>
        <v>1</v>
      </c>
    </row>
    <row r="253" spans="1:19">
      <c r="A253" s="38" t="s">
        <v>183</v>
      </c>
      <c r="B253" s="38" t="s">
        <v>182</v>
      </c>
      <c r="C253" s="39" t="s">
        <v>128</v>
      </c>
      <c r="D253" s="40">
        <v>167.84800000000001</v>
      </c>
      <c r="E253" s="40">
        <v>13.269193</v>
      </c>
      <c r="F253" s="38" t="s">
        <v>117</v>
      </c>
      <c r="G253" s="40"/>
      <c r="H253" s="41"/>
      <c r="I253" s="41">
        <v>6.6310000000000002</v>
      </c>
      <c r="J253" s="41">
        <v>1228.0999999999999</v>
      </c>
      <c r="K253" s="41">
        <v>179.9</v>
      </c>
      <c r="L253" s="41">
        <v>536.67000000000007</v>
      </c>
      <c r="M253" s="41">
        <v>725.67000000000007</v>
      </c>
      <c r="N253" s="41" t="s">
        <v>127</v>
      </c>
      <c r="O253" s="42">
        <f t="shared" si="17"/>
        <v>6.6310000000000002</v>
      </c>
      <c r="P253" s="42">
        <f t="shared" si="18"/>
        <v>1228.0999999999999</v>
      </c>
      <c r="Q253" s="42">
        <f t="shared" si="19"/>
        <v>179.9</v>
      </c>
      <c r="R253" s="43">
        <f t="shared" si="20"/>
        <v>1</v>
      </c>
      <c r="S253" s="43">
        <f t="shared" si="21"/>
        <v>1</v>
      </c>
    </row>
    <row r="254" spans="1:19">
      <c r="A254" s="38" t="s">
        <v>181</v>
      </c>
      <c r="B254" s="38" t="s">
        <v>180</v>
      </c>
      <c r="C254" s="39" t="s">
        <v>159</v>
      </c>
      <c r="D254" s="40">
        <v>165.82</v>
      </c>
      <c r="E254" s="40">
        <v>13.536246</v>
      </c>
      <c r="F254" s="38" t="s">
        <v>117</v>
      </c>
      <c r="G254" s="40"/>
      <c r="H254" s="41"/>
      <c r="I254" s="41">
        <v>6.98</v>
      </c>
      <c r="J254" s="41">
        <v>1386.92</v>
      </c>
      <c r="K254" s="41">
        <v>217.53</v>
      </c>
      <c r="L254" s="41">
        <v>541.67000000000007</v>
      </c>
      <c r="M254" s="41">
        <v>685.67000000000007</v>
      </c>
      <c r="N254" s="41" t="s">
        <v>127</v>
      </c>
      <c r="O254" s="42">
        <f t="shared" si="17"/>
        <v>6.98</v>
      </c>
      <c r="P254" s="42">
        <f t="shared" si="18"/>
        <v>1386.92</v>
      </c>
      <c r="Q254" s="42">
        <f t="shared" si="19"/>
        <v>217.53</v>
      </c>
      <c r="R254" s="43">
        <f t="shared" si="20"/>
        <v>1</v>
      </c>
      <c r="S254" s="43">
        <f t="shared" si="21"/>
        <v>1</v>
      </c>
    </row>
    <row r="255" spans="1:19">
      <c r="A255" s="38" t="s">
        <v>179</v>
      </c>
      <c r="B255" s="38" t="s">
        <v>178</v>
      </c>
      <c r="C255" s="39" t="s">
        <v>155</v>
      </c>
      <c r="D255" s="40">
        <v>72.11</v>
      </c>
      <c r="E255" s="40">
        <v>7.4207340000000004</v>
      </c>
      <c r="F255" s="38" t="s">
        <v>117</v>
      </c>
      <c r="G255" s="40"/>
      <c r="H255" s="41"/>
      <c r="I255" s="41">
        <v>6.9950000000000001</v>
      </c>
      <c r="J255" s="41">
        <v>1202.29</v>
      </c>
      <c r="K255" s="41">
        <v>226.25</v>
      </c>
      <c r="L255" s="41">
        <v>533.67000000000007</v>
      </c>
      <c r="M255" s="41">
        <v>670.67000000000007</v>
      </c>
      <c r="N255" s="41" t="s">
        <v>127</v>
      </c>
      <c r="O255" s="42">
        <f t="shared" si="17"/>
        <v>6.9950000000000001</v>
      </c>
      <c r="P255" s="42">
        <f t="shared" si="18"/>
        <v>1202.29</v>
      </c>
      <c r="Q255" s="42">
        <f t="shared" si="19"/>
        <v>226.25</v>
      </c>
      <c r="R255" s="43">
        <f t="shared" si="20"/>
        <v>1</v>
      </c>
      <c r="S255" s="43">
        <f t="shared" si="21"/>
        <v>1</v>
      </c>
    </row>
    <row r="256" spans="1:19">
      <c r="A256" s="38" t="s">
        <v>177</v>
      </c>
      <c r="B256" s="38" t="s">
        <v>176</v>
      </c>
      <c r="C256" s="39" t="s">
        <v>128</v>
      </c>
      <c r="D256" s="40">
        <v>189.68</v>
      </c>
      <c r="E256" s="40">
        <f>1.73*8.3454</f>
        <v>14.437541999999999</v>
      </c>
      <c r="F256" s="40" t="s">
        <v>117</v>
      </c>
      <c r="G256" s="40"/>
      <c r="H256" s="41"/>
      <c r="I256" s="41">
        <v>7.2949999999999999</v>
      </c>
      <c r="J256" s="41">
        <v>1668.8244</v>
      </c>
      <c r="K256" s="41">
        <v>242.21</v>
      </c>
      <c r="L256" s="41">
        <v>448.29</v>
      </c>
      <c r="M256" s="41">
        <v>1148.4000000000001</v>
      </c>
      <c r="N256" s="41" t="s">
        <v>142</v>
      </c>
      <c r="O256" s="42">
        <f t="shared" si="17"/>
        <v>7.2949999999999999</v>
      </c>
      <c r="P256" s="42">
        <f t="shared" si="18"/>
        <v>1668.8244</v>
      </c>
      <c r="Q256" s="42">
        <f t="shared" si="19"/>
        <v>242.21</v>
      </c>
      <c r="R256" s="43">
        <f t="shared" si="20"/>
        <v>1</v>
      </c>
      <c r="S256" s="43">
        <f t="shared" si="21"/>
        <v>1</v>
      </c>
    </row>
    <row r="257" spans="1:19">
      <c r="A257" s="38" t="s">
        <v>175</v>
      </c>
      <c r="B257" s="38" t="s">
        <v>174</v>
      </c>
      <c r="C257" s="39" t="s">
        <v>128</v>
      </c>
      <c r="D257" s="40">
        <v>92.14</v>
      </c>
      <c r="E257" s="40">
        <v>7.2605019999999998</v>
      </c>
      <c r="F257" s="38" t="s">
        <v>117</v>
      </c>
      <c r="G257" s="40"/>
      <c r="H257" s="41"/>
      <c r="I257" s="41">
        <v>6.9539999999999997</v>
      </c>
      <c r="J257" s="41">
        <v>1344.8</v>
      </c>
      <c r="K257" s="41">
        <v>219.48</v>
      </c>
      <c r="L257" s="41">
        <v>491.67</v>
      </c>
      <c r="M257" s="41">
        <v>581.67000000000007</v>
      </c>
      <c r="N257" s="41" t="s">
        <v>127</v>
      </c>
      <c r="O257" s="42">
        <f t="shared" si="17"/>
        <v>6.9539999999999997</v>
      </c>
      <c r="P257" s="42">
        <f t="shared" si="18"/>
        <v>1344.8</v>
      </c>
      <c r="Q257" s="42">
        <f t="shared" si="19"/>
        <v>219.48</v>
      </c>
      <c r="R257" s="43">
        <f t="shared" si="20"/>
        <v>1</v>
      </c>
      <c r="S257" s="43">
        <f t="shared" si="21"/>
        <v>1</v>
      </c>
    </row>
    <row r="258" spans="1:19">
      <c r="A258" s="38" t="s">
        <v>173</v>
      </c>
      <c r="B258" s="38" t="s">
        <v>172</v>
      </c>
      <c r="C258" s="39" t="s">
        <v>128</v>
      </c>
      <c r="D258" s="40">
        <v>170.67910000000001</v>
      </c>
      <c r="E258" s="40">
        <f>1.65*8.3454</f>
        <v>13.769909999999999</v>
      </c>
      <c r="F258" s="40" t="s">
        <v>150</v>
      </c>
      <c r="G258" s="40"/>
      <c r="H258" s="41"/>
      <c r="I258" s="45"/>
      <c r="J258" s="45"/>
      <c r="K258" s="45"/>
      <c r="L258" s="45"/>
      <c r="M258" s="45"/>
      <c r="N258" s="41" t="s">
        <v>171</v>
      </c>
      <c r="O258" s="42">
        <f t="shared" si="17"/>
        <v>0</v>
      </c>
      <c r="P258" s="42">
        <f t="shared" si="18"/>
        <v>0</v>
      </c>
      <c r="Q258" s="42">
        <f t="shared" si="19"/>
        <v>0</v>
      </c>
      <c r="R258" s="43">
        <f t="shared" si="20"/>
        <v>1</v>
      </c>
      <c r="S258" s="43">
        <f t="shared" si="21"/>
        <v>1</v>
      </c>
    </row>
    <row r="259" spans="1:19">
      <c r="A259" s="38" t="s">
        <v>170</v>
      </c>
      <c r="B259" s="38" t="s">
        <v>169</v>
      </c>
      <c r="C259" s="39" t="s">
        <v>159</v>
      </c>
      <c r="D259" s="40">
        <v>187.376</v>
      </c>
      <c r="E259" s="40">
        <v>13.018831</v>
      </c>
      <c r="F259" s="38" t="s">
        <v>117</v>
      </c>
      <c r="G259" s="40"/>
      <c r="H259" s="41"/>
      <c r="I259" s="41">
        <v>6.88</v>
      </c>
      <c r="J259" s="41">
        <v>1099.9000000000001</v>
      </c>
      <c r="K259" s="41">
        <v>227.5</v>
      </c>
      <c r="L259" s="41">
        <v>446.67</v>
      </c>
      <c r="M259" s="41">
        <v>640.67000000000007</v>
      </c>
      <c r="N259" s="41" t="s">
        <v>127</v>
      </c>
      <c r="O259" s="42">
        <f t="shared" ref="O259:O275" si="22">IF($F259="RVP", (12.82-0.9672*LN($G259)), IF($F259 = "RVP+S", 15.64-(1.854*($H259^0.5))-(0.8742-(0.328*($H259^0.5)))*LN($G259), I259))</f>
        <v>6.88</v>
      </c>
      <c r="P259" s="42">
        <f t="shared" ref="P259:P275" si="23">IF($F259="RVP", (7261-1216*LN($G259)), IF($F259 = "RVP+S", 8742-(1042*($H259^0.5))-(1049-(179.4*($H259^0.5)))*LN($G259), J259))</f>
        <v>1099.9000000000001</v>
      </c>
      <c r="Q259" s="42">
        <f t="shared" ref="Q259:Q275" si="24">IF($F259="RVP", 0, IF($F259 = "RVP+S", 0, K259))</f>
        <v>227.5</v>
      </c>
      <c r="R259" s="43">
        <f t="shared" ref="R259:R275" si="25">IF($F259="RVP",0.4,1)</f>
        <v>1</v>
      </c>
      <c r="S259" s="43">
        <f t="shared" ref="S259:S275" si="26">IF($F259="RVP",0.75,1)</f>
        <v>1</v>
      </c>
    </row>
    <row r="260" spans="1:19">
      <c r="A260" s="38" t="s">
        <v>168</v>
      </c>
      <c r="B260" s="38" t="s">
        <v>167</v>
      </c>
      <c r="C260" s="39" t="s">
        <v>166</v>
      </c>
      <c r="D260" s="40">
        <v>133.41999999999999</v>
      </c>
      <c r="E260" s="40">
        <v>11.215999999999999</v>
      </c>
      <c r="F260" s="38" t="s">
        <v>117</v>
      </c>
      <c r="G260" s="40"/>
      <c r="H260" s="41"/>
      <c r="I260" s="41">
        <v>8.6430000000000007</v>
      </c>
      <c r="J260" s="41">
        <v>2136.6</v>
      </c>
      <c r="K260" s="41">
        <v>302.8</v>
      </c>
      <c r="L260" s="41">
        <v>481.67</v>
      </c>
      <c r="M260" s="41">
        <v>521.67000000000007</v>
      </c>
      <c r="N260" s="41" t="s">
        <v>127</v>
      </c>
      <c r="O260" s="42">
        <f t="shared" si="22"/>
        <v>8.6430000000000007</v>
      </c>
      <c r="P260" s="42">
        <f t="shared" si="23"/>
        <v>2136.6</v>
      </c>
      <c r="Q260" s="42">
        <f t="shared" si="24"/>
        <v>302.8</v>
      </c>
      <c r="R260" s="43">
        <f t="shared" si="25"/>
        <v>1</v>
      </c>
      <c r="S260" s="43">
        <f t="shared" si="26"/>
        <v>1</v>
      </c>
    </row>
    <row r="261" spans="1:19">
      <c r="A261" s="38" t="s">
        <v>165</v>
      </c>
      <c r="B261" s="38" t="s">
        <v>164</v>
      </c>
      <c r="C261" s="39" t="s">
        <v>128</v>
      </c>
      <c r="D261" s="40">
        <v>133.4</v>
      </c>
      <c r="E261" s="40">
        <v>11.975655</v>
      </c>
      <c r="F261" s="38" t="s">
        <v>117</v>
      </c>
      <c r="G261" s="40"/>
      <c r="H261" s="41"/>
      <c r="I261" s="41">
        <v>6.9509999999999996</v>
      </c>
      <c r="J261" s="41">
        <v>1314.41</v>
      </c>
      <c r="K261" s="41">
        <v>209.2</v>
      </c>
      <c r="L261" s="41">
        <v>581.67000000000007</v>
      </c>
      <c r="M261" s="41">
        <v>696.67000000000007</v>
      </c>
      <c r="N261" s="41" t="s">
        <v>127</v>
      </c>
      <c r="O261" s="42">
        <f t="shared" si="22"/>
        <v>6.9509999999999996</v>
      </c>
      <c r="P261" s="42">
        <f t="shared" si="23"/>
        <v>1314.41</v>
      </c>
      <c r="Q261" s="42">
        <f t="shared" si="24"/>
        <v>209.2</v>
      </c>
      <c r="R261" s="43">
        <f t="shared" si="25"/>
        <v>1</v>
      </c>
      <c r="S261" s="43">
        <f t="shared" si="26"/>
        <v>1</v>
      </c>
    </row>
    <row r="262" spans="1:19">
      <c r="A262" s="38" t="s">
        <v>163</v>
      </c>
      <c r="B262" s="38" t="s">
        <v>162</v>
      </c>
      <c r="C262" s="39" t="s">
        <v>128</v>
      </c>
      <c r="D262" s="40">
        <v>131.4</v>
      </c>
      <c r="E262" s="40">
        <v>12.272</v>
      </c>
      <c r="F262" s="38" t="s">
        <v>117</v>
      </c>
      <c r="G262" s="40"/>
      <c r="H262" s="41"/>
      <c r="I262" s="41">
        <v>6.5179999999999998</v>
      </c>
      <c r="J262" s="41">
        <v>1018.6</v>
      </c>
      <c r="K262" s="41">
        <v>192.7</v>
      </c>
      <c r="L262" s="41">
        <v>523.67000000000007</v>
      </c>
      <c r="M262" s="41">
        <v>647.67000000000007</v>
      </c>
      <c r="N262" s="41" t="s">
        <v>127</v>
      </c>
      <c r="O262" s="42">
        <f t="shared" si="22"/>
        <v>6.5179999999999998</v>
      </c>
      <c r="P262" s="42">
        <f t="shared" si="23"/>
        <v>1018.6</v>
      </c>
      <c r="Q262" s="42">
        <f t="shared" si="24"/>
        <v>192.7</v>
      </c>
      <c r="R262" s="43">
        <f t="shared" si="25"/>
        <v>1</v>
      </c>
      <c r="S262" s="43">
        <f t="shared" si="26"/>
        <v>1</v>
      </c>
    </row>
    <row r="263" spans="1:19">
      <c r="A263" s="38" t="s">
        <v>161</v>
      </c>
      <c r="B263" s="38" t="s">
        <v>160</v>
      </c>
      <c r="C263" s="39" t="s">
        <v>159</v>
      </c>
      <c r="D263" s="40">
        <v>137.36000000000001</v>
      </c>
      <c r="E263" s="40">
        <v>12.468033999999999</v>
      </c>
      <c r="F263" s="38" t="s">
        <v>117</v>
      </c>
      <c r="G263" s="40"/>
      <c r="H263" s="41"/>
      <c r="I263" s="41">
        <v>6.8840000000000003</v>
      </c>
      <c r="J263" s="41">
        <v>1043.0039999999999</v>
      </c>
      <c r="K263" s="41">
        <v>236.88</v>
      </c>
      <c r="L263" s="41"/>
      <c r="M263" s="41"/>
      <c r="N263" s="41" t="s">
        <v>158</v>
      </c>
      <c r="O263" s="42">
        <f t="shared" si="22"/>
        <v>6.8840000000000003</v>
      </c>
      <c r="P263" s="42">
        <f t="shared" si="23"/>
        <v>1043.0039999999999</v>
      </c>
      <c r="Q263" s="42">
        <f t="shared" si="24"/>
        <v>236.88</v>
      </c>
      <c r="R263" s="43">
        <f t="shared" si="25"/>
        <v>1</v>
      </c>
      <c r="S263" s="43">
        <f t="shared" si="26"/>
        <v>1</v>
      </c>
    </row>
    <row r="264" spans="1:19">
      <c r="A264" s="38" t="s">
        <v>157</v>
      </c>
      <c r="B264" s="38" t="s">
        <v>156</v>
      </c>
      <c r="C264" s="39" t="s">
        <v>155</v>
      </c>
      <c r="D264" s="40">
        <v>147.43</v>
      </c>
      <c r="E264" s="40">
        <v>11.575075999999999</v>
      </c>
      <c r="F264" s="38" t="s">
        <v>117</v>
      </c>
      <c r="G264" s="40"/>
      <c r="H264" s="41"/>
      <c r="I264" s="41">
        <v>6.9029999999999996</v>
      </c>
      <c r="J264" s="41">
        <v>788.2</v>
      </c>
      <c r="K264" s="41">
        <v>243.23</v>
      </c>
      <c r="L264" s="41">
        <v>507.67</v>
      </c>
      <c r="M264" s="41">
        <v>775.67000000000007</v>
      </c>
      <c r="N264" s="41" t="s">
        <v>127</v>
      </c>
      <c r="O264" s="42">
        <f t="shared" si="22"/>
        <v>6.9029999999999996</v>
      </c>
      <c r="P264" s="42">
        <f t="shared" si="23"/>
        <v>788.2</v>
      </c>
      <c r="Q264" s="42">
        <f t="shared" si="24"/>
        <v>243.23</v>
      </c>
      <c r="R264" s="43">
        <f t="shared" si="25"/>
        <v>1</v>
      </c>
      <c r="S264" s="43">
        <f t="shared" si="26"/>
        <v>1</v>
      </c>
    </row>
    <row r="265" spans="1:19">
      <c r="A265" s="38" t="s">
        <v>154</v>
      </c>
      <c r="B265" s="38" t="s">
        <v>153</v>
      </c>
      <c r="C265" s="39" t="s">
        <v>128</v>
      </c>
      <c r="D265" s="40">
        <v>101.19</v>
      </c>
      <c r="E265" s="40">
        <f>0.726*8.34</f>
        <v>6.0548399999999996</v>
      </c>
      <c r="F265" s="38" t="s">
        <v>117</v>
      </c>
      <c r="G265" s="40"/>
      <c r="H265" s="41"/>
      <c r="I265" s="41">
        <v>6.5030999999999999</v>
      </c>
      <c r="J265" s="41">
        <v>919.4203</v>
      </c>
      <c r="K265" s="41">
        <v>164.67400000000001</v>
      </c>
      <c r="L265" s="41">
        <v>495.99</v>
      </c>
      <c r="M265" s="41">
        <v>693.55799999999999</v>
      </c>
      <c r="N265" s="41" t="s">
        <v>142</v>
      </c>
      <c r="O265" s="42">
        <f t="shared" si="22"/>
        <v>6.5030999999999999</v>
      </c>
      <c r="P265" s="42">
        <f t="shared" si="23"/>
        <v>919.4203</v>
      </c>
      <c r="Q265" s="42">
        <f t="shared" si="24"/>
        <v>164.67400000000001</v>
      </c>
      <c r="R265" s="43">
        <f t="shared" si="25"/>
        <v>1</v>
      </c>
      <c r="S265" s="43">
        <f t="shared" si="26"/>
        <v>1</v>
      </c>
    </row>
    <row r="266" spans="1:19">
      <c r="A266" s="38" t="s">
        <v>152</v>
      </c>
      <c r="B266" s="38" t="s">
        <v>151</v>
      </c>
      <c r="C266" s="39" t="s">
        <v>128</v>
      </c>
      <c r="D266" s="40">
        <v>335.28</v>
      </c>
      <c r="E266" s="40">
        <f>1.294*8.3454</f>
        <v>10.7989476</v>
      </c>
      <c r="F266" s="40" t="s">
        <v>150</v>
      </c>
      <c r="G266" s="40"/>
      <c r="H266" s="41"/>
      <c r="I266" s="41"/>
      <c r="J266" s="41"/>
      <c r="K266" s="41"/>
      <c r="L266" s="41"/>
      <c r="M266" s="41"/>
      <c r="N266" s="41" t="s">
        <v>149</v>
      </c>
      <c r="O266" s="42">
        <f t="shared" si="22"/>
        <v>0</v>
      </c>
      <c r="P266" s="42">
        <f t="shared" si="23"/>
        <v>0</v>
      </c>
      <c r="Q266" s="42">
        <f t="shared" si="24"/>
        <v>0</v>
      </c>
      <c r="R266" s="43">
        <f t="shared" si="25"/>
        <v>1</v>
      </c>
      <c r="S266" s="43">
        <f t="shared" si="26"/>
        <v>1</v>
      </c>
    </row>
    <row r="267" spans="1:19">
      <c r="A267" s="38" t="s">
        <v>148</v>
      </c>
      <c r="B267" s="38" t="s">
        <v>147</v>
      </c>
      <c r="C267" s="39" t="s">
        <v>128</v>
      </c>
      <c r="D267" s="40">
        <v>86.09</v>
      </c>
      <c r="E267" s="40">
        <v>7.8170000000000002</v>
      </c>
      <c r="F267" s="38" t="s">
        <v>117</v>
      </c>
      <c r="G267" s="40"/>
      <c r="H267" s="41"/>
      <c r="I267" s="41">
        <v>7.21</v>
      </c>
      <c r="J267" s="41">
        <v>1296.1300000000001</v>
      </c>
      <c r="K267" s="41">
        <v>226.66</v>
      </c>
      <c r="L267" s="41">
        <v>530.67000000000007</v>
      </c>
      <c r="M267" s="41">
        <v>621.67000000000007</v>
      </c>
      <c r="N267" s="41" t="s">
        <v>127</v>
      </c>
      <c r="O267" s="42">
        <f t="shared" si="22"/>
        <v>7.21</v>
      </c>
      <c r="P267" s="42">
        <f t="shared" si="23"/>
        <v>1296.1300000000001</v>
      </c>
      <c r="Q267" s="42">
        <f t="shared" si="24"/>
        <v>226.66</v>
      </c>
      <c r="R267" s="43">
        <f t="shared" si="25"/>
        <v>1</v>
      </c>
      <c r="S267" s="43">
        <f t="shared" si="26"/>
        <v>1</v>
      </c>
    </row>
    <row r="268" spans="1:19">
      <c r="A268" s="38" t="s">
        <v>146</v>
      </c>
      <c r="B268" s="38" t="s">
        <v>145</v>
      </c>
      <c r="C268" s="39" t="s">
        <v>128</v>
      </c>
      <c r="D268" s="40">
        <v>106.95</v>
      </c>
      <c r="E268" s="40">
        <f>1.517*8.3454</f>
        <v>12.659971799999999</v>
      </c>
      <c r="F268" s="40" t="s">
        <v>117</v>
      </c>
      <c r="G268" s="40"/>
      <c r="H268" s="41"/>
      <c r="I268" s="41">
        <v>7.4048499999999997</v>
      </c>
      <c r="J268" s="41">
        <v>1204.6473000000001</v>
      </c>
      <c r="K268" s="41">
        <v>250.42699999999999</v>
      </c>
      <c r="L268" s="41">
        <v>379.45799999999997</v>
      </c>
      <c r="M268" s="41">
        <v>554.36400000000003</v>
      </c>
      <c r="N268" s="41" t="s">
        <v>142</v>
      </c>
      <c r="O268" s="42">
        <f t="shared" si="22"/>
        <v>7.4048499999999997</v>
      </c>
      <c r="P268" s="42">
        <f t="shared" si="23"/>
        <v>1204.6473000000001</v>
      </c>
      <c r="Q268" s="42">
        <f t="shared" si="24"/>
        <v>250.42699999999999</v>
      </c>
      <c r="R268" s="43">
        <f t="shared" si="25"/>
        <v>1</v>
      </c>
      <c r="S268" s="43">
        <f t="shared" si="26"/>
        <v>1</v>
      </c>
    </row>
    <row r="269" spans="1:19">
      <c r="A269" s="38" t="s">
        <v>144</v>
      </c>
      <c r="B269" s="38" t="s">
        <v>143</v>
      </c>
      <c r="C269" s="39" t="s">
        <v>128</v>
      </c>
      <c r="D269" s="40">
        <v>62.5</v>
      </c>
      <c r="E269" s="40">
        <f>0.911*8.3454</f>
        <v>7.6026594000000003</v>
      </c>
      <c r="F269" s="40" t="s">
        <v>117</v>
      </c>
      <c r="G269" s="40"/>
      <c r="H269" s="41"/>
      <c r="I269" s="41">
        <v>6.9086299999999996</v>
      </c>
      <c r="J269" s="41">
        <v>910.28599999999994</v>
      </c>
      <c r="K269" s="41">
        <v>239.8</v>
      </c>
      <c r="L269" s="41">
        <v>337.33800000000002</v>
      </c>
      <c r="M269" s="41">
        <v>499.69800000000004</v>
      </c>
      <c r="N269" s="41" t="s">
        <v>142</v>
      </c>
      <c r="O269" s="42">
        <f t="shared" si="22"/>
        <v>6.9086299999999996</v>
      </c>
      <c r="P269" s="42">
        <f t="shared" si="23"/>
        <v>910.28599999999994</v>
      </c>
      <c r="Q269" s="42">
        <f t="shared" si="24"/>
        <v>239.8</v>
      </c>
      <c r="R269" s="43">
        <f t="shared" si="25"/>
        <v>1</v>
      </c>
      <c r="S269" s="43">
        <f t="shared" si="26"/>
        <v>1</v>
      </c>
    </row>
    <row r="270" spans="1:19">
      <c r="A270" s="38" t="s">
        <v>141</v>
      </c>
      <c r="B270" s="38" t="s">
        <v>140</v>
      </c>
      <c r="C270" s="39" t="s">
        <v>128</v>
      </c>
      <c r="D270" s="40">
        <v>96.5</v>
      </c>
      <c r="E270" s="40">
        <v>10.382999999999999</v>
      </c>
      <c r="F270" s="38" t="s">
        <v>117</v>
      </c>
      <c r="G270" s="40"/>
      <c r="H270" s="41"/>
      <c r="I270" s="41">
        <v>6.9720000000000004</v>
      </c>
      <c r="J270" s="41">
        <v>1099.4000000000001</v>
      </c>
      <c r="K270" s="41">
        <v>237.2</v>
      </c>
      <c r="L270" s="41">
        <v>440.67</v>
      </c>
      <c r="M270" s="41">
        <v>549.67000000000007</v>
      </c>
      <c r="N270" s="41" t="s">
        <v>127</v>
      </c>
      <c r="O270" s="42">
        <f t="shared" si="22"/>
        <v>6.9720000000000004</v>
      </c>
      <c r="P270" s="42">
        <f t="shared" si="23"/>
        <v>1099.4000000000001</v>
      </c>
      <c r="Q270" s="42">
        <f t="shared" si="24"/>
        <v>237.2</v>
      </c>
      <c r="R270" s="43">
        <f t="shared" si="25"/>
        <v>1</v>
      </c>
      <c r="S270" s="43">
        <f t="shared" si="26"/>
        <v>1</v>
      </c>
    </row>
    <row r="271" spans="1:19">
      <c r="A271" s="38" t="s">
        <v>138</v>
      </c>
      <c r="B271" s="46" t="s">
        <v>139</v>
      </c>
      <c r="C271" s="39" t="s">
        <v>138</v>
      </c>
      <c r="D271" s="40">
        <v>18.02</v>
      </c>
      <c r="E271" s="40">
        <v>8.34</v>
      </c>
      <c r="F271" s="38" t="s">
        <v>117</v>
      </c>
      <c r="G271" s="40"/>
      <c r="H271" s="41"/>
      <c r="I271" s="41">
        <v>8.0713100000000004</v>
      </c>
      <c r="J271" s="47">
        <v>1730.63</v>
      </c>
      <c r="K271" s="47">
        <v>233.42599999999999</v>
      </c>
      <c r="L271" s="41">
        <v>493.47</v>
      </c>
      <c r="M271" s="41">
        <v>671.67</v>
      </c>
      <c r="N271" s="41" t="s">
        <v>137</v>
      </c>
      <c r="O271" s="42">
        <f t="shared" si="22"/>
        <v>8.0713100000000004</v>
      </c>
      <c r="P271" s="42">
        <f t="shared" si="23"/>
        <v>1730.63</v>
      </c>
      <c r="Q271" s="42">
        <f t="shared" si="24"/>
        <v>233.42599999999999</v>
      </c>
      <c r="R271" s="43">
        <f t="shared" si="25"/>
        <v>1</v>
      </c>
      <c r="S271" s="43">
        <f t="shared" si="26"/>
        <v>1</v>
      </c>
    </row>
    <row r="272" spans="1:19">
      <c r="A272" s="38" t="s">
        <v>136</v>
      </c>
      <c r="B272" s="38" t="s">
        <v>135</v>
      </c>
      <c r="C272" s="39" t="s">
        <v>128</v>
      </c>
      <c r="D272" s="40">
        <v>106.16</v>
      </c>
      <c r="E272" s="40">
        <v>7.1770480000000001</v>
      </c>
      <c r="F272" s="38" t="s">
        <v>117</v>
      </c>
      <c r="G272" s="40"/>
      <c r="H272" s="41"/>
      <c r="I272" s="41">
        <v>7.0090000000000003</v>
      </c>
      <c r="J272" s="41">
        <v>1426.2660000000001</v>
      </c>
      <c r="K272" s="41">
        <v>215.11</v>
      </c>
      <c r="L272" s="41">
        <v>541.67000000000007</v>
      </c>
      <c r="M272" s="41">
        <v>790.67000000000007</v>
      </c>
      <c r="N272" s="41" t="s">
        <v>127</v>
      </c>
      <c r="O272" s="42">
        <f t="shared" si="22"/>
        <v>7.0090000000000003</v>
      </c>
      <c r="P272" s="42">
        <f t="shared" si="23"/>
        <v>1426.2660000000001</v>
      </c>
      <c r="Q272" s="42">
        <f t="shared" si="24"/>
        <v>215.11</v>
      </c>
      <c r="R272" s="43">
        <f t="shared" si="25"/>
        <v>1</v>
      </c>
      <c r="S272" s="43">
        <f t="shared" si="26"/>
        <v>1</v>
      </c>
    </row>
    <row r="273" spans="1:19">
      <c r="A273" s="38" t="s">
        <v>134</v>
      </c>
      <c r="B273" s="38" t="s">
        <v>133</v>
      </c>
      <c r="C273" s="39" t="s">
        <v>128</v>
      </c>
      <c r="D273" s="40">
        <v>106.16</v>
      </c>
      <c r="E273" s="40">
        <v>7.3439560000000004</v>
      </c>
      <c r="F273" s="38" t="s">
        <v>117</v>
      </c>
      <c r="G273" s="40"/>
      <c r="H273" s="41"/>
      <c r="I273" s="41">
        <v>6.9980000000000002</v>
      </c>
      <c r="J273" s="41">
        <v>1474.6790000000001</v>
      </c>
      <c r="K273" s="41">
        <v>213.69</v>
      </c>
      <c r="L273" s="41">
        <v>549.67000000000007</v>
      </c>
      <c r="M273" s="41">
        <v>801.67000000000007</v>
      </c>
      <c r="N273" s="41" t="s">
        <v>127</v>
      </c>
      <c r="O273" s="42">
        <f t="shared" si="22"/>
        <v>6.9980000000000002</v>
      </c>
      <c r="P273" s="42">
        <f t="shared" si="23"/>
        <v>1474.6790000000001</v>
      </c>
      <c r="Q273" s="42">
        <f t="shared" si="24"/>
        <v>213.69</v>
      </c>
      <c r="R273" s="43">
        <f t="shared" si="25"/>
        <v>1</v>
      </c>
      <c r="S273" s="43">
        <f t="shared" si="26"/>
        <v>1</v>
      </c>
    </row>
    <row r="274" spans="1:19">
      <c r="A274" s="38" t="s">
        <v>132</v>
      </c>
      <c r="B274" s="38" t="s">
        <v>131</v>
      </c>
      <c r="C274" s="39" t="s">
        <v>128</v>
      </c>
      <c r="D274" s="40">
        <v>106.16</v>
      </c>
      <c r="E274" s="40">
        <v>7.1853930000000004</v>
      </c>
      <c r="F274" s="38" t="s">
        <v>117</v>
      </c>
      <c r="G274" s="40"/>
      <c r="H274" s="41"/>
      <c r="I274" s="41">
        <v>7.02</v>
      </c>
      <c r="J274" s="41">
        <v>1474.4</v>
      </c>
      <c r="K274" s="41">
        <v>217.77</v>
      </c>
      <c r="L274" s="41">
        <v>515.67000000000007</v>
      </c>
      <c r="M274" s="41">
        <v>814.67000000000007</v>
      </c>
      <c r="N274" s="41" t="s">
        <v>127</v>
      </c>
      <c r="O274" s="42">
        <f t="shared" si="22"/>
        <v>7.02</v>
      </c>
      <c r="P274" s="42">
        <f t="shared" si="23"/>
        <v>1474.4</v>
      </c>
      <c r="Q274" s="42">
        <f t="shared" si="24"/>
        <v>217.77</v>
      </c>
      <c r="R274" s="43">
        <f t="shared" si="25"/>
        <v>1</v>
      </c>
      <c r="S274" s="43">
        <f t="shared" si="26"/>
        <v>1</v>
      </c>
    </row>
    <row r="275" spans="1:19">
      <c r="A275" s="38" t="s">
        <v>130</v>
      </c>
      <c r="B275" s="38" t="s">
        <v>129</v>
      </c>
      <c r="C275" s="39" t="s">
        <v>128</v>
      </c>
      <c r="D275" s="40">
        <v>106.17</v>
      </c>
      <c r="E275" s="40">
        <v>7.2057599999999997</v>
      </c>
      <c r="F275" s="38" t="s">
        <v>117</v>
      </c>
      <c r="G275" s="40"/>
      <c r="H275" s="41"/>
      <c r="I275" s="41">
        <v>7.0090000000000003</v>
      </c>
      <c r="J275" s="41">
        <v>1458.4483333333335</v>
      </c>
      <c r="K275" s="41">
        <v>215.52333333333334</v>
      </c>
      <c r="L275" s="41">
        <v>535.67000000000007</v>
      </c>
      <c r="M275" s="41">
        <v>802.3366666666667</v>
      </c>
      <c r="N275" s="41" t="s">
        <v>127</v>
      </c>
      <c r="O275" s="42">
        <f t="shared" si="22"/>
        <v>7.0090000000000003</v>
      </c>
      <c r="P275" s="42">
        <f t="shared" si="23"/>
        <v>1458.4483333333335</v>
      </c>
      <c r="Q275" s="42">
        <f t="shared" si="24"/>
        <v>215.52333333333334</v>
      </c>
      <c r="R275" s="43">
        <f t="shared" si="25"/>
        <v>1</v>
      </c>
      <c r="S275" s="43">
        <f t="shared" si="26"/>
        <v>1</v>
      </c>
    </row>
    <row r="276" spans="1:19">
      <c r="B276" s="37"/>
      <c r="C276" s="37"/>
      <c r="D276" s="37"/>
      <c r="H276" s="28"/>
      <c r="J276" s="28"/>
      <c r="K276" s="28"/>
      <c r="L276" s="28"/>
      <c r="N276" s="28"/>
    </row>
    <row r="277" spans="1:19">
      <c r="B277" s="37"/>
      <c r="E277" s="28"/>
      <c r="F277" s="28"/>
      <c r="G277" s="28"/>
      <c r="H277" s="28"/>
      <c r="I277" s="28"/>
      <c r="J277" s="28"/>
      <c r="K277" s="28"/>
      <c r="L277" s="28"/>
      <c r="N277" s="28"/>
    </row>
    <row r="278" spans="1:19">
      <c r="B278" s="37"/>
      <c r="E278" s="28"/>
      <c r="F278" s="28"/>
      <c r="G278" s="28"/>
      <c r="H278" s="28"/>
      <c r="I278" s="28"/>
      <c r="J278" s="28"/>
      <c r="K278" s="28"/>
      <c r="L278" s="28"/>
      <c r="N278" s="28"/>
    </row>
    <row r="279" spans="1:19">
      <c r="B279" s="37"/>
      <c r="E279" s="28"/>
      <c r="F279" s="28"/>
      <c r="G279" s="28"/>
      <c r="H279" s="28"/>
      <c r="I279" s="28"/>
      <c r="J279" s="28"/>
      <c r="K279" s="28"/>
      <c r="L279" s="28"/>
      <c r="N279" s="28"/>
    </row>
    <row r="280" spans="1:19">
      <c r="B280" s="37"/>
      <c r="E280" s="28"/>
      <c r="F280" s="28"/>
      <c r="G280" s="28"/>
      <c r="H280" s="28"/>
      <c r="I280" s="28"/>
      <c r="J280" s="28"/>
      <c r="K280" s="28"/>
      <c r="L280" s="28"/>
      <c r="N280" s="28"/>
    </row>
    <row r="281" spans="1:19">
      <c r="B281" s="37"/>
      <c r="E281" s="28"/>
      <c r="F281" s="28"/>
      <c r="G281" s="28"/>
      <c r="H281" s="28"/>
      <c r="I281" s="28"/>
      <c r="J281" s="28"/>
      <c r="K281" s="28"/>
      <c r="L281" s="28"/>
      <c r="N281" s="28"/>
    </row>
    <row r="282" spans="1:19">
      <c r="B282" s="37"/>
      <c r="E282" s="28"/>
      <c r="F282" s="28"/>
      <c r="G282" s="28"/>
      <c r="H282" s="28"/>
      <c r="I282" s="28"/>
      <c r="J282" s="28"/>
      <c r="K282" s="28"/>
      <c r="L282" s="28"/>
      <c r="N282" s="28"/>
    </row>
    <row r="283" spans="1:19">
      <c r="B283" s="37"/>
      <c r="E283" s="28"/>
      <c r="F283" s="28"/>
      <c r="G283" s="28"/>
      <c r="H283" s="28"/>
      <c r="I283" s="28"/>
      <c r="J283" s="28"/>
      <c r="K283" s="28"/>
      <c r="L283" s="28"/>
      <c r="N283" s="28"/>
    </row>
    <row r="284" spans="1:19">
      <c r="E284" s="28"/>
      <c r="F284" s="28"/>
      <c r="G284" s="28"/>
      <c r="H284" s="28"/>
      <c r="I284" s="28"/>
      <c r="J284" s="28"/>
      <c r="K284" s="28"/>
      <c r="L284" s="28"/>
      <c r="N284" s="28"/>
    </row>
    <row r="285" spans="1:19">
      <c r="E285" s="28"/>
      <c r="F285" s="28"/>
      <c r="G285" s="28"/>
      <c r="H285" s="28"/>
      <c r="I285" s="28"/>
      <c r="J285" s="28"/>
      <c r="K285" s="28"/>
      <c r="L285" s="28"/>
      <c r="N285" s="28"/>
    </row>
    <row r="286" spans="1:19">
      <c r="E286" s="28"/>
      <c r="F286" s="28"/>
      <c r="G286" s="28"/>
      <c r="H286" s="28"/>
      <c r="I286" s="28"/>
      <c r="J286" s="28"/>
      <c r="K286" s="28"/>
      <c r="L286" s="28"/>
      <c r="N286" s="28"/>
    </row>
    <row r="287" spans="1:19">
      <c r="E287" s="28"/>
      <c r="F287" s="28"/>
      <c r="G287" s="28"/>
      <c r="H287" s="28"/>
      <c r="I287" s="28"/>
      <c r="J287" s="28"/>
      <c r="K287" s="28"/>
      <c r="L287" s="28"/>
      <c r="N287" s="28"/>
    </row>
    <row r="288" spans="1:19">
      <c r="E288" s="28"/>
      <c r="F288" s="28"/>
      <c r="G288" s="28"/>
      <c r="H288" s="28"/>
      <c r="I288" s="28"/>
      <c r="J288" s="28"/>
      <c r="K288" s="28"/>
      <c r="L288" s="28"/>
      <c r="N288" s="28"/>
    </row>
    <row r="289" spans="4:14">
      <c r="E289" s="28"/>
      <c r="F289" s="28"/>
      <c r="G289" s="28"/>
      <c r="H289" s="28"/>
      <c r="I289" s="28"/>
      <c r="J289" s="28"/>
      <c r="K289" s="28"/>
      <c r="L289" s="28"/>
      <c r="N289" s="28"/>
    </row>
    <row r="290" spans="4:14">
      <c r="E290" s="28"/>
      <c r="F290" s="28"/>
      <c r="G290" s="28"/>
      <c r="H290" s="28"/>
      <c r="I290" s="28"/>
      <c r="J290" s="28"/>
      <c r="K290" s="28"/>
      <c r="L290" s="28"/>
      <c r="N290" s="28"/>
    </row>
    <row r="291" spans="4:14">
      <c r="E291" s="28"/>
      <c r="F291" s="28"/>
      <c r="G291" s="28"/>
      <c r="H291" s="28"/>
      <c r="I291" s="28"/>
      <c r="J291" s="28"/>
      <c r="K291" s="28"/>
      <c r="L291" s="28"/>
      <c r="N291" s="28"/>
    </row>
    <row r="292" spans="4:14">
      <c r="E292" s="28"/>
      <c r="F292" s="28"/>
      <c r="G292" s="28"/>
      <c r="H292" s="28"/>
      <c r="I292" s="28"/>
      <c r="J292" s="28"/>
      <c r="K292" s="28"/>
      <c r="L292" s="28"/>
      <c r="N292" s="28"/>
    </row>
    <row r="293" spans="4:14">
      <c r="E293" s="28"/>
      <c r="F293" s="28"/>
      <c r="G293" s="28"/>
      <c r="H293" s="28"/>
      <c r="I293" s="28"/>
      <c r="J293" s="28"/>
      <c r="K293" s="28"/>
      <c r="L293" s="28"/>
      <c r="N293" s="28"/>
    </row>
    <row r="294" spans="4:14">
      <c r="E294" s="28"/>
      <c r="F294" s="28"/>
      <c r="G294" s="28"/>
      <c r="H294" s="28"/>
      <c r="I294" s="28"/>
      <c r="J294" s="28"/>
      <c r="K294" s="28"/>
      <c r="L294" s="28"/>
      <c r="N294" s="28"/>
    </row>
    <row r="295" spans="4:14">
      <c r="E295" s="28"/>
      <c r="F295" s="28"/>
      <c r="G295" s="28"/>
      <c r="H295" s="28"/>
      <c r="I295" s="28"/>
      <c r="J295" s="28"/>
      <c r="K295" s="28"/>
      <c r="L295" s="28"/>
      <c r="N295" s="28"/>
    </row>
    <row r="296" spans="4:14">
      <c r="E296" s="28"/>
      <c r="F296" s="28"/>
      <c r="G296" s="28"/>
      <c r="H296" s="28"/>
      <c r="I296" s="28"/>
      <c r="J296" s="28"/>
      <c r="K296" s="28"/>
      <c r="L296" s="28"/>
      <c r="N296" s="28"/>
    </row>
    <row r="297" spans="4:14">
      <c r="E297" s="28"/>
      <c r="F297" s="28"/>
      <c r="G297" s="28"/>
      <c r="H297" s="28"/>
      <c r="I297" s="28"/>
      <c r="J297" s="28"/>
      <c r="K297" s="28"/>
      <c r="L297" s="28"/>
      <c r="N297" s="28"/>
    </row>
    <row r="298" spans="4:14">
      <c r="E298" s="28"/>
      <c r="F298" s="28"/>
      <c r="G298" s="28"/>
      <c r="H298" s="28"/>
      <c r="I298" s="28"/>
      <c r="J298" s="28"/>
      <c r="K298" s="28"/>
      <c r="L298" s="28"/>
      <c r="N298" s="28"/>
    </row>
    <row r="299" spans="4:14">
      <c r="E299" s="28"/>
      <c r="F299" s="28"/>
      <c r="G299" s="28"/>
      <c r="H299" s="28"/>
      <c r="I299" s="28"/>
      <c r="J299" s="28"/>
      <c r="K299" s="28"/>
      <c r="L299" s="28"/>
      <c r="N299" s="28"/>
    </row>
    <row r="300" spans="4:14">
      <c r="D300" s="37"/>
      <c r="F300" s="28"/>
      <c r="G300" s="28"/>
      <c r="H300" s="28"/>
      <c r="I300" s="28"/>
      <c r="J300" s="28"/>
      <c r="K300" s="28"/>
      <c r="L300" s="28"/>
      <c r="N300" s="28"/>
    </row>
    <row r="301" spans="4:14">
      <c r="D301" s="37"/>
      <c r="F301" s="28"/>
      <c r="G301" s="28"/>
      <c r="H301" s="28"/>
      <c r="I301" s="28"/>
      <c r="J301" s="28"/>
      <c r="K301" s="28"/>
      <c r="L301" s="28"/>
      <c r="N301" s="28"/>
    </row>
    <row r="302" spans="4:14">
      <c r="D302" s="37"/>
      <c r="F302" s="28"/>
      <c r="G302" s="28"/>
      <c r="H302" s="28"/>
      <c r="I302" s="28"/>
      <c r="J302" s="28"/>
      <c r="K302" s="28"/>
      <c r="L302" s="28"/>
      <c r="N302" s="28"/>
    </row>
    <row r="303" spans="4:14">
      <c r="D303" s="37"/>
      <c r="F303" s="28"/>
      <c r="G303" s="28"/>
      <c r="H303" s="28"/>
      <c r="I303" s="28"/>
      <c r="J303" s="28"/>
      <c r="K303" s="28"/>
      <c r="L303" s="28"/>
      <c r="N303" s="28"/>
    </row>
    <row r="304" spans="4:14">
      <c r="D304" s="37"/>
      <c r="F304" s="28"/>
      <c r="G304" s="28"/>
      <c r="H304" s="28"/>
      <c r="I304" s="28"/>
      <c r="J304" s="28"/>
      <c r="K304" s="28"/>
      <c r="L304" s="28"/>
      <c r="N304" s="28"/>
    </row>
    <row r="305" spans="4:14">
      <c r="D305" s="37"/>
      <c r="F305" s="28"/>
      <c r="G305" s="28"/>
      <c r="H305" s="28"/>
      <c r="I305" s="28"/>
      <c r="J305" s="28"/>
      <c r="K305" s="28"/>
      <c r="L305" s="28"/>
      <c r="N305" s="28"/>
    </row>
    <row r="306" spans="4:14">
      <c r="D306" s="37"/>
      <c r="F306" s="28"/>
      <c r="G306" s="28"/>
      <c r="H306" s="28"/>
      <c r="I306" s="28"/>
      <c r="J306" s="28"/>
      <c r="K306" s="28"/>
      <c r="L306" s="28"/>
      <c r="N306" s="28"/>
    </row>
    <row r="307" spans="4:14">
      <c r="D307" s="37"/>
      <c r="F307" s="28"/>
      <c r="G307" s="28"/>
      <c r="H307" s="28"/>
      <c r="I307" s="28"/>
      <c r="J307" s="28"/>
      <c r="K307" s="28"/>
      <c r="L307" s="28"/>
      <c r="N307" s="28"/>
    </row>
    <row r="308" spans="4:14">
      <c r="D308" s="37"/>
      <c r="F308" s="28"/>
      <c r="G308" s="28"/>
      <c r="H308" s="28"/>
      <c r="I308" s="28"/>
      <c r="J308" s="28"/>
      <c r="K308" s="28"/>
      <c r="L308" s="28"/>
      <c r="N308" s="28"/>
    </row>
    <row r="309" spans="4:14">
      <c r="D309" s="37"/>
      <c r="F309" s="28"/>
      <c r="G309" s="28"/>
      <c r="H309" s="28"/>
      <c r="I309" s="28"/>
      <c r="J309" s="28"/>
      <c r="K309" s="28"/>
      <c r="L309" s="28"/>
      <c r="N309" s="28"/>
    </row>
    <row r="310" spans="4:14">
      <c r="D310" s="37"/>
      <c r="F310" s="28"/>
      <c r="G310" s="28"/>
      <c r="H310" s="28"/>
      <c r="I310" s="28"/>
      <c r="J310" s="28"/>
      <c r="K310" s="28"/>
      <c r="L310" s="28"/>
      <c r="N310" s="28"/>
    </row>
    <row r="311" spans="4:14">
      <c r="D311" s="37"/>
      <c r="F311" s="28"/>
      <c r="G311" s="28"/>
      <c r="H311" s="28"/>
      <c r="I311" s="28"/>
      <c r="J311" s="28"/>
      <c r="K311" s="28"/>
      <c r="L311" s="28"/>
      <c r="N311" s="28"/>
    </row>
    <row r="312" spans="4:14">
      <c r="D312" s="37"/>
      <c r="F312" s="28"/>
      <c r="G312" s="28"/>
      <c r="H312" s="28"/>
      <c r="I312" s="28"/>
      <c r="J312" s="28"/>
      <c r="K312" s="28"/>
      <c r="L312" s="28"/>
      <c r="N312" s="28"/>
    </row>
    <row r="313" spans="4:14">
      <c r="D313" s="37"/>
      <c r="F313" s="28"/>
      <c r="G313" s="28"/>
      <c r="H313" s="28"/>
      <c r="I313" s="28"/>
      <c r="J313" s="28"/>
      <c r="K313" s="28"/>
      <c r="L313" s="28"/>
      <c r="N313" s="28"/>
    </row>
    <row r="314" spans="4:14">
      <c r="D314" s="37"/>
      <c r="F314" s="28"/>
      <c r="G314" s="28"/>
      <c r="H314" s="28"/>
      <c r="I314" s="28"/>
      <c r="J314" s="28"/>
      <c r="K314" s="28"/>
      <c r="L314" s="28"/>
      <c r="N314" s="28"/>
    </row>
    <row r="315" spans="4:14">
      <c r="D315" s="37"/>
      <c r="F315" s="28"/>
      <c r="G315" s="28"/>
      <c r="H315" s="28"/>
      <c r="I315" s="28"/>
      <c r="J315" s="28"/>
      <c r="K315" s="28"/>
      <c r="L315" s="28"/>
      <c r="N315" s="28"/>
    </row>
    <row r="316" spans="4:14">
      <c r="D316" s="37"/>
      <c r="F316" s="28"/>
      <c r="G316" s="28"/>
      <c r="H316" s="28"/>
      <c r="I316" s="28"/>
      <c r="J316" s="28"/>
      <c r="K316" s="28"/>
      <c r="L316" s="28"/>
      <c r="N316" s="28"/>
    </row>
    <row r="317" spans="4:14">
      <c r="D317" s="37"/>
      <c r="F317" s="28"/>
      <c r="G317" s="28"/>
      <c r="H317" s="28"/>
      <c r="I317" s="28"/>
      <c r="J317" s="28"/>
      <c r="K317" s="28"/>
      <c r="L317" s="28"/>
      <c r="N317" s="28"/>
    </row>
    <row r="318" spans="4:14">
      <c r="D318" s="37"/>
      <c r="F318" s="28"/>
      <c r="G318" s="28"/>
      <c r="H318" s="28"/>
      <c r="I318" s="28"/>
      <c r="J318" s="28"/>
      <c r="K318" s="28"/>
      <c r="L318" s="28"/>
      <c r="N318" s="28"/>
    </row>
    <row r="319" spans="4:14">
      <c r="D319" s="37"/>
      <c r="F319" s="28"/>
      <c r="G319" s="28"/>
      <c r="H319" s="28"/>
      <c r="I319" s="28"/>
      <c r="J319" s="28"/>
      <c r="K319" s="28"/>
      <c r="L319" s="28"/>
      <c r="N319" s="28"/>
    </row>
    <row r="320" spans="4:14">
      <c r="D320" s="37"/>
      <c r="F320" s="28"/>
      <c r="G320" s="28"/>
      <c r="H320" s="28"/>
      <c r="I320" s="28"/>
      <c r="J320" s="28"/>
      <c r="K320" s="28"/>
      <c r="L320" s="28"/>
      <c r="N320" s="28"/>
    </row>
    <row r="321" spans="4:14">
      <c r="D321" s="37"/>
      <c r="F321" s="28"/>
      <c r="G321" s="28"/>
      <c r="H321" s="28"/>
      <c r="I321" s="28"/>
      <c r="J321" s="28"/>
      <c r="K321" s="28"/>
      <c r="L321" s="28"/>
      <c r="N321" s="28"/>
    </row>
    <row r="322" spans="4:14">
      <c r="D322" s="37"/>
      <c r="F322" s="28"/>
      <c r="G322" s="28"/>
      <c r="H322" s="28"/>
      <c r="I322" s="28"/>
      <c r="J322" s="28"/>
      <c r="K322" s="28"/>
      <c r="L322" s="28"/>
      <c r="N322" s="28"/>
    </row>
    <row r="323" spans="4:14">
      <c r="D323" s="37"/>
      <c r="F323" s="28"/>
      <c r="G323" s="28"/>
      <c r="H323" s="28"/>
      <c r="I323" s="28"/>
      <c r="J323" s="28"/>
      <c r="K323" s="28"/>
      <c r="L323" s="28"/>
      <c r="N323" s="28"/>
    </row>
    <row r="324" spans="4:14">
      <c r="D324" s="37"/>
      <c r="F324" s="28"/>
      <c r="G324" s="28"/>
      <c r="H324" s="28"/>
      <c r="I324" s="28"/>
      <c r="J324" s="28"/>
      <c r="K324" s="28"/>
      <c r="L324" s="28"/>
      <c r="N324" s="28"/>
    </row>
    <row r="325" spans="4:14">
      <c r="D325" s="37"/>
      <c r="F325" s="28"/>
      <c r="G325" s="28"/>
      <c r="H325" s="28"/>
      <c r="I325" s="28"/>
      <c r="J325" s="28"/>
      <c r="K325" s="28"/>
      <c r="L325" s="28"/>
      <c r="N325" s="28"/>
    </row>
    <row r="326" spans="4:14">
      <c r="D326" s="37"/>
      <c r="F326" s="28"/>
      <c r="G326" s="28"/>
      <c r="H326" s="28"/>
      <c r="I326" s="28"/>
      <c r="J326" s="28"/>
      <c r="K326" s="28"/>
      <c r="L326" s="28"/>
      <c r="N326" s="28"/>
    </row>
    <row r="327" spans="4:14">
      <c r="D327" s="37"/>
      <c r="F327" s="28"/>
      <c r="G327" s="28"/>
      <c r="H327" s="28"/>
      <c r="I327" s="28"/>
      <c r="J327" s="28"/>
      <c r="K327" s="28"/>
      <c r="L327" s="28"/>
      <c r="N327" s="28"/>
    </row>
    <row r="328" spans="4:14">
      <c r="D328" s="37"/>
      <c r="F328" s="28"/>
      <c r="G328" s="28"/>
      <c r="H328" s="28"/>
      <c r="I328" s="28"/>
      <c r="J328" s="28"/>
      <c r="K328" s="28"/>
      <c r="L328" s="28"/>
      <c r="N328" s="28"/>
    </row>
    <row r="329" spans="4:14">
      <c r="D329" s="37"/>
      <c r="F329" s="28"/>
      <c r="G329" s="28"/>
      <c r="H329" s="28"/>
      <c r="I329" s="28"/>
      <c r="J329" s="28"/>
      <c r="K329" s="28"/>
      <c r="L329" s="28"/>
      <c r="N329" s="28"/>
    </row>
    <row r="330" spans="4:14">
      <c r="D330" s="37"/>
      <c r="F330" s="28"/>
      <c r="G330" s="28"/>
      <c r="H330" s="28"/>
      <c r="I330" s="28"/>
      <c r="J330" s="28"/>
      <c r="K330" s="28"/>
      <c r="L330" s="28"/>
      <c r="N330" s="28"/>
    </row>
    <row r="331" spans="4:14">
      <c r="D331" s="37"/>
      <c r="F331" s="28"/>
      <c r="G331" s="28"/>
      <c r="H331" s="28"/>
      <c r="I331" s="28"/>
      <c r="J331" s="28"/>
      <c r="K331" s="28"/>
      <c r="L331" s="28"/>
      <c r="N331" s="28"/>
    </row>
    <row r="332" spans="4:14">
      <c r="D332" s="37"/>
      <c r="F332" s="28"/>
      <c r="G332" s="28"/>
      <c r="H332" s="28"/>
      <c r="I332" s="28"/>
      <c r="J332" s="28"/>
      <c r="K332" s="28"/>
      <c r="L332" s="28"/>
      <c r="N332" s="28"/>
    </row>
    <row r="333" spans="4:14">
      <c r="D333" s="37"/>
      <c r="F333" s="28"/>
      <c r="G333" s="28"/>
      <c r="H333" s="28"/>
      <c r="I333" s="28"/>
      <c r="J333" s="28"/>
      <c r="K333" s="28"/>
      <c r="L333" s="28"/>
      <c r="N333" s="28"/>
    </row>
    <row r="334" spans="4:14">
      <c r="D334" s="37"/>
      <c r="F334" s="28"/>
      <c r="G334" s="28"/>
      <c r="H334" s="28"/>
      <c r="I334" s="28"/>
      <c r="J334" s="28"/>
      <c r="K334" s="28"/>
      <c r="L334" s="28"/>
      <c r="N334" s="28"/>
    </row>
    <row r="335" spans="4:14">
      <c r="D335" s="37"/>
      <c r="F335" s="28"/>
      <c r="G335" s="28"/>
      <c r="H335" s="28"/>
      <c r="I335" s="28"/>
      <c r="J335" s="28"/>
      <c r="K335" s="28"/>
      <c r="L335" s="28"/>
      <c r="N335" s="28"/>
    </row>
    <row r="336" spans="4:14">
      <c r="D336" s="37"/>
      <c r="F336" s="28"/>
      <c r="G336" s="28"/>
      <c r="H336" s="28"/>
      <c r="I336" s="28"/>
      <c r="J336" s="28"/>
      <c r="K336" s="28"/>
      <c r="L336" s="28"/>
      <c r="N336" s="28"/>
    </row>
    <row r="337" spans="3:14">
      <c r="D337" s="37"/>
      <c r="F337" s="28"/>
      <c r="G337" s="28"/>
      <c r="H337" s="28"/>
      <c r="I337" s="28"/>
      <c r="J337" s="28"/>
      <c r="K337" s="28"/>
      <c r="L337" s="28"/>
      <c r="N337" s="28"/>
    </row>
    <row r="338" spans="3:14">
      <c r="D338" s="37"/>
      <c r="F338" s="28"/>
      <c r="G338" s="28"/>
      <c r="H338" s="28"/>
      <c r="I338" s="28"/>
      <c r="J338" s="28"/>
      <c r="K338" s="28"/>
      <c r="L338" s="28"/>
      <c r="N338" s="28"/>
    </row>
    <row r="339" spans="3:14">
      <c r="D339" s="37"/>
      <c r="F339" s="28"/>
      <c r="G339" s="28"/>
      <c r="H339" s="28"/>
      <c r="I339" s="28"/>
      <c r="J339" s="28"/>
      <c r="K339" s="28"/>
      <c r="L339" s="28"/>
      <c r="N339" s="28"/>
    </row>
    <row r="340" spans="3:14">
      <c r="D340" s="37"/>
      <c r="F340" s="28"/>
      <c r="G340" s="28"/>
      <c r="H340" s="28"/>
      <c r="I340" s="28"/>
      <c r="J340" s="28"/>
      <c r="K340" s="28"/>
      <c r="L340" s="28"/>
      <c r="N340" s="28"/>
    </row>
    <row r="341" spans="3:14">
      <c r="D341" s="37"/>
      <c r="F341" s="28"/>
      <c r="G341" s="28"/>
      <c r="H341" s="28"/>
      <c r="I341" s="28"/>
      <c r="J341" s="28"/>
      <c r="K341" s="28"/>
      <c r="L341" s="28"/>
      <c r="N341" s="28"/>
    </row>
    <row r="342" spans="3:14">
      <c r="D342" s="37"/>
      <c r="F342" s="28"/>
      <c r="G342" s="28"/>
      <c r="H342" s="28"/>
      <c r="I342" s="28"/>
      <c r="J342" s="28"/>
      <c r="K342" s="28"/>
      <c r="L342" s="28"/>
      <c r="N342" s="28"/>
    </row>
    <row r="343" spans="3:14">
      <c r="D343" s="37"/>
      <c r="F343" s="28"/>
      <c r="G343" s="28"/>
      <c r="H343" s="28"/>
      <c r="I343" s="28"/>
      <c r="J343" s="28"/>
      <c r="K343" s="28"/>
      <c r="L343" s="28"/>
      <c r="N343" s="28"/>
    </row>
    <row r="344" spans="3:14">
      <c r="C344" s="37"/>
      <c r="D344" s="37"/>
      <c r="F344" s="28"/>
      <c r="G344" s="28"/>
      <c r="H344" s="28"/>
      <c r="I344" s="28"/>
      <c r="J344" s="28"/>
      <c r="K344" s="28"/>
      <c r="L344" s="28"/>
      <c r="N344" s="28"/>
    </row>
    <row r="345" spans="3:14">
      <c r="C345" s="37"/>
      <c r="D345" s="37"/>
      <c r="F345" s="28"/>
      <c r="G345" s="28"/>
      <c r="H345" s="28"/>
      <c r="I345" s="28"/>
      <c r="J345" s="28"/>
      <c r="K345" s="28"/>
      <c r="L345" s="28"/>
      <c r="N345" s="28"/>
    </row>
    <row r="346" spans="3:14">
      <c r="C346" s="37"/>
      <c r="D346" s="37"/>
      <c r="F346" s="28"/>
      <c r="G346" s="28"/>
      <c r="H346" s="28"/>
      <c r="I346" s="28"/>
      <c r="J346" s="28"/>
      <c r="K346" s="28"/>
      <c r="L346" s="28"/>
      <c r="N346" s="28"/>
    </row>
    <row r="347" spans="3:14">
      <c r="C347" s="37"/>
      <c r="D347" s="37"/>
      <c r="F347" s="28"/>
      <c r="G347" s="28"/>
      <c r="H347" s="28"/>
      <c r="I347" s="28"/>
      <c r="J347" s="28"/>
      <c r="K347" s="28"/>
      <c r="L347" s="28"/>
      <c r="N347" s="28"/>
    </row>
    <row r="348" spans="3:14">
      <c r="C348" s="37"/>
      <c r="D348" s="37"/>
      <c r="F348" s="28"/>
      <c r="G348" s="28"/>
      <c r="H348" s="28"/>
      <c r="I348" s="28"/>
      <c r="J348" s="28"/>
      <c r="K348" s="28"/>
      <c r="L348" s="28"/>
      <c r="N348" s="28"/>
    </row>
    <row r="349" spans="3:14">
      <c r="C349" s="37"/>
      <c r="D349" s="37"/>
      <c r="F349" s="28"/>
      <c r="G349" s="28"/>
      <c r="H349" s="28"/>
      <c r="I349" s="28"/>
      <c r="J349" s="28"/>
      <c r="K349" s="28"/>
      <c r="L349" s="28"/>
      <c r="N349" s="28"/>
    </row>
    <row r="350" spans="3:14">
      <c r="C350" s="37"/>
      <c r="D350" s="37"/>
      <c r="F350" s="28"/>
      <c r="G350" s="28"/>
      <c r="H350" s="28"/>
      <c r="I350" s="28"/>
      <c r="J350" s="28"/>
      <c r="K350" s="28"/>
      <c r="L350" s="28"/>
      <c r="N350" s="28"/>
    </row>
    <row r="351" spans="3:14">
      <c r="C351" s="37"/>
      <c r="D351" s="37"/>
      <c r="F351" s="28"/>
      <c r="G351" s="28"/>
      <c r="H351" s="28"/>
      <c r="I351" s="28"/>
      <c r="J351" s="28"/>
      <c r="K351" s="28"/>
      <c r="L351" s="28"/>
      <c r="N351" s="28"/>
    </row>
    <row r="352" spans="3:14">
      <c r="C352" s="37"/>
      <c r="D352" s="37"/>
      <c r="F352" s="28"/>
      <c r="G352" s="28"/>
      <c r="H352" s="28"/>
      <c r="I352" s="28"/>
      <c r="J352" s="28"/>
      <c r="K352" s="28"/>
      <c r="L352" s="28"/>
      <c r="N352" s="28"/>
    </row>
    <row r="353" spans="3:14">
      <c r="C353" s="37"/>
      <c r="D353" s="37"/>
      <c r="F353" s="28"/>
      <c r="G353" s="28"/>
      <c r="H353" s="28"/>
      <c r="I353" s="28"/>
      <c r="J353" s="28"/>
      <c r="K353" s="28"/>
      <c r="L353" s="28"/>
      <c r="N353" s="28"/>
    </row>
    <row r="354" spans="3:14">
      <c r="C354" s="37"/>
      <c r="D354" s="37"/>
      <c r="F354" s="28"/>
      <c r="G354" s="28"/>
      <c r="H354" s="28"/>
      <c r="I354" s="28"/>
      <c r="J354" s="28"/>
      <c r="K354" s="28"/>
      <c r="L354" s="28"/>
      <c r="N354" s="28"/>
    </row>
    <row r="355" spans="3:14">
      <c r="C355" s="37"/>
      <c r="D355" s="37"/>
      <c r="F355" s="28"/>
      <c r="G355" s="28"/>
      <c r="H355" s="28"/>
      <c r="I355" s="28"/>
      <c r="J355" s="28"/>
      <c r="K355" s="28"/>
      <c r="L355" s="28"/>
      <c r="N355" s="28"/>
    </row>
    <row r="356" spans="3:14">
      <c r="C356" s="37"/>
      <c r="D356" s="37"/>
      <c r="F356" s="28"/>
      <c r="G356" s="28"/>
      <c r="H356" s="28"/>
      <c r="I356" s="28"/>
      <c r="J356" s="28"/>
      <c r="K356" s="28"/>
      <c r="L356" s="28"/>
      <c r="N356" s="28"/>
    </row>
    <row r="357" spans="3:14">
      <c r="C357" s="37"/>
      <c r="D357" s="37"/>
      <c r="F357" s="28"/>
      <c r="G357" s="28"/>
      <c r="H357" s="28"/>
      <c r="I357" s="28"/>
      <c r="J357" s="28"/>
      <c r="K357" s="28"/>
      <c r="L357" s="28"/>
      <c r="N357" s="28"/>
    </row>
    <row r="358" spans="3:14">
      <c r="C358" s="37"/>
      <c r="D358" s="37"/>
      <c r="F358" s="28"/>
      <c r="G358" s="28"/>
      <c r="H358" s="28"/>
      <c r="I358" s="28"/>
      <c r="J358" s="28"/>
      <c r="K358" s="28"/>
      <c r="L358" s="28"/>
      <c r="N358" s="28"/>
    </row>
    <row r="359" spans="3:14">
      <c r="C359" s="37"/>
      <c r="D359" s="37"/>
      <c r="F359" s="28"/>
      <c r="H359" s="28"/>
      <c r="I359" s="28"/>
      <c r="J359" s="28"/>
      <c r="K359" s="28"/>
      <c r="L359" s="28"/>
      <c r="N359" s="28"/>
    </row>
    <row r="360" spans="3:14">
      <c r="C360" s="37"/>
      <c r="D360" s="37"/>
      <c r="F360" s="28"/>
      <c r="H360" s="28"/>
      <c r="I360" s="28"/>
      <c r="J360" s="28"/>
      <c r="K360" s="28"/>
      <c r="L360" s="28"/>
      <c r="N360" s="28"/>
    </row>
    <row r="361" spans="3:14">
      <c r="C361" s="37"/>
      <c r="D361" s="37"/>
      <c r="F361" s="28"/>
      <c r="H361" s="28"/>
      <c r="I361" s="28"/>
      <c r="J361" s="28"/>
      <c r="K361" s="28"/>
      <c r="L361" s="28"/>
      <c r="N361" s="28"/>
    </row>
    <row r="362" spans="3:14">
      <c r="C362" s="37"/>
      <c r="D362" s="37"/>
      <c r="F362" s="28"/>
      <c r="H362" s="28"/>
      <c r="I362" s="28"/>
      <c r="J362" s="28"/>
      <c r="K362" s="28"/>
      <c r="L362" s="28"/>
      <c r="N362" s="28"/>
    </row>
    <row r="363" spans="3:14">
      <c r="C363" s="37"/>
      <c r="D363" s="37"/>
      <c r="F363" s="28"/>
      <c r="H363" s="28"/>
      <c r="I363" s="28"/>
      <c r="J363" s="28"/>
      <c r="K363" s="28"/>
      <c r="L363" s="28"/>
      <c r="N363" s="28"/>
    </row>
    <row r="364" spans="3:14">
      <c r="C364" s="37"/>
      <c r="D364" s="37"/>
      <c r="F364" s="28"/>
      <c r="H364" s="28"/>
      <c r="I364" s="28"/>
      <c r="J364" s="28"/>
      <c r="K364" s="28"/>
      <c r="L364" s="28"/>
      <c r="N364" s="28"/>
    </row>
    <row r="365" spans="3:14">
      <c r="C365" s="37"/>
      <c r="D365" s="37"/>
      <c r="F365" s="28"/>
      <c r="H365" s="28"/>
      <c r="I365" s="28"/>
      <c r="J365" s="28"/>
      <c r="K365" s="28"/>
      <c r="L365" s="28"/>
      <c r="N365" s="28"/>
    </row>
    <row r="366" spans="3:14">
      <c r="C366" s="37"/>
      <c r="D366" s="37"/>
      <c r="F366" s="28"/>
      <c r="H366" s="28"/>
      <c r="I366" s="28"/>
      <c r="J366" s="28"/>
      <c r="K366" s="28"/>
      <c r="L366" s="28"/>
      <c r="N366" s="28"/>
    </row>
    <row r="367" spans="3:14">
      <c r="C367" s="37"/>
      <c r="D367" s="37"/>
      <c r="F367" s="28"/>
      <c r="H367" s="28"/>
      <c r="I367" s="28"/>
      <c r="J367" s="28"/>
      <c r="K367" s="28"/>
      <c r="L367" s="28"/>
      <c r="N367" s="28"/>
    </row>
    <row r="368" spans="3:14">
      <c r="C368" s="37"/>
      <c r="D368" s="37"/>
      <c r="N368" s="28"/>
    </row>
  </sheetData>
  <autoFilter ref="A1:S275" xr:uid="{9C0084DA-1D3E-4FD4-B9D7-9384C6992A70}"/>
  <phoneticPr fontId="25" type="noConversion"/>
  <conditionalFormatting sqref="G16 G42:G57 G59:G64 G70:G72 G80:G86 G108 G110 G113:G127 G133:G134 G136:G146 G248 G232:G238 G228:G230 G226 G26 G7 G9:G10 G74:G77 G94:G98 G102:G106 G129 G148:G149 G179:G191 G241:G246 G250 G152:G177 G30:G40 G252 G193:G223 G4:G5 G12 G255:G258 G66:G68 G88:G92">
    <cfRule type="expression" dxfId="317" priority="332">
      <formula>AND($F4&lt;&gt;"RVP",$F4&lt;&gt;"RVP+S")</formula>
    </cfRule>
  </conditionalFormatting>
  <conditionalFormatting sqref="H16 H42:H57 H59:H64 H70:H72 H80:H86 H108 H110 H113:H127 H133:H134 H136:H146 H248 H232:H238 H228:H230 H226 H26 H7 H9:H10 H74:H77 H94:H98 H102:H106 H129 H148:H149 H179:H191 H241:H246 H250 H152:H177 H30:H40 H252 H193:H223 H4:H5 H12 H255:H258 H66:H68 H88:H92">
    <cfRule type="expression" dxfId="316" priority="331">
      <formula>$F4&lt;&gt;"RVP+S"</formula>
    </cfRule>
  </conditionalFormatting>
  <conditionalFormatting sqref="I44:M45 I71:M71 I113:M115 I133:M133 I136:M136 I250:M250 I31:M31 I53:M53 I55:M55 I57:M57 I88:M89 I94:M94 I106:M106 I117:M117 I124:M125 I138:M138 I141:M141 I146:M146 I187:M187 I213:M213 I221:M221 I246:M246 I16:M16 I59:M64 I81:M81 I97:M98 I104:M104 I144:M144 I149:M149 I185:M185 I218:M219 I228:M230 I232:M233 I241:M243 I4:M5 I7:M7 I9:M10 I102:M102 I153:M176 I39:M39 I199:M211 I198:K198 M198 I193:M197 I12:M12 I255:M258">
    <cfRule type="expression" dxfId="315" priority="330">
      <formula>$F4&lt;&gt;"Antoine's"</formula>
    </cfRule>
  </conditionalFormatting>
  <conditionalFormatting sqref="G259:G273">
    <cfRule type="expression" dxfId="314" priority="315">
      <formula>AND($F259&lt;&gt;"RVP",$F259&lt;&gt;"RVP+S")</formula>
    </cfRule>
  </conditionalFormatting>
  <conditionalFormatting sqref="H259:H273">
    <cfRule type="expression" dxfId="313" priority="314">
      <formula>$F259&lt;&gt;"RVP+S"</formula>
    </cfRule>
  </conditionalFormatting>
  <conditionalFormatting sqref="I259:M265 I267:M273">
    <cfRule type="expression" dxfId="312" priority="313">
      <formula>$F259&lt;&gt;"Antoine's"</formula>
    </cfRule>
  </conditionalFormatting>
  <conditionalFormatting sqref="G15">
    <cfRule type="expression" dxfId="311" priority="312">
      <formula>AND($F15&lt;&gt;"RVP",$F15&lt;&gt;"RVP+S")</formula>
    </cfRule>
  </conditionalFormatting>
  <conditionalFormatting sqref="H15">
    <cfRule type="expression" dxfId="310" priority="311">
      <formula>$F15&lt;&gt;"RVP+S"</formula>
    </cfRule>
  </conditionalFormatting>
  <conditionalFormatting sqref="I15:M15">
    <cfRule type="expression" dxfId="309" priority="310">
      <formula>$F15&lt;&gt;"Antoine's"</formula>
    </cfRule>
  </conditionalFormatting>
  <conditionalFormatting sqref="G20:H20">
    <cfRule type="expression" dxfId="308" priority="309">
      <formula>$F20= "Non-volatile"</formula>
    </cfRule>
  </conditionalFormatting>
  <conditionalFormatting sqref="G20:H20">
    <cfRule type="expression" dxfId="307" priority="308">
      <formula>$F20="Antoine's"</formula>
    </cfRule>
  </conditionalFormatting>
  <conditionalFormatting sqref="G20:H20">
    <cfRule type="expression" dxfId="306" priority="307">
      <formula>$F20="Empty"</formula>
    </cfRule>
  </conditionalFormatting>
  <conditionalFormatting sqref="G20:H20">
    <cfRule type="expression" dxfId="305" priority="306">
      <formula>$F20="Mix"</formula>
    </cfRule>
  </conditionalFormatting>
  <conditionalFormatting sqref="G41:H41">
    <cfRule type="expression" dxfId="304" priority="304">
      <formula>$F41="Antoine's"</formula>
    </cfRule>
  </conditionalFormatting>
  <conditionalFormatting sqref="G41:H41">
    <cfRule type="expression" dxfId="303" priority="305">
      <formula>$F41= "Non-volatile"</formula>
    </cfRule>
  </conditionalFormatting>
  <conditionalFormatting sqref="G41:H41">
    <cfRule type="expression" dxfId="302" priority="303">
      <formula>$F41="Empty"</formula>
    </cfRule>
  </conditionalFormatting>
  <conditionalFormatting sqref="G41:H41">
    <cfRule type="expression" dxfId="301" priority="302">
      <formula>$F41="Mix"</formula>
    </cfRule>
  </conditionalFormatting>
  <conditionalFormatting sqref="G58:H58">
    <cfRule type="expression" dxfId="300" priority="301">
      <formula>$F58= "Non-volatile"</formula>
    </cfRule>
  </conditionalFormatting>
  <conditionalFormatting sqref="G58:H58">
    <cfRule type="expression" dxfId="299" priority="300">
      <formula>$F58="Antoine's"</formula>
    </cfRule>
  </conditionalFormatting>
  <conditionalFormatting sqref="G58:H58">
    <cfRule type="expression" dxfId="298" priority="299">
      <formula>$F58="Empty"</formula>
    </cfRule>
  </conditionalFormatting>
  <conditionalFormatting sqref="G58:H58">
    <cfRule type="expression" dxfId="297" priority="298">
      <formula>$F58="Mix"</formula>
    </cfRule>
  </conditionalFormatting>
  <conditionalFormatting sqref="G69:H69">
    <cfRule type="expression" dxfId="296" priority="297">
      <formula>$F69= "Non-volatile"</formula>
    </cfRule>
  </conditionalFormatting>
  <conditionalFormatting sqref="G69:H69">
    <cfRule type="expression" dxfId="295" priority="296">
      <formula>$F69="Antoine's"</formula>
    </cfRule>
  </conditionalFormatting>
  <conditionalFormatting sqref="G69:H69">
    <cfRule type="expression" dxfId="294" priority="295">
      <formula>$F69="Empty"</formula>
    </cfRule>
  </conditionalFormatting>
  <conditionalFormatting sqref="G69:H69">
    <cfRule type="expression" dxfId="293" priority="294">
      <formula>$F69="Mix"</formula>
    </cfRule>
  </conditionalFormatting>
  <conditionalFormatting sqref="G78:H78">
    <cfRule type="expression" dxfId="292" priority="293">
      <formula>$F78= "Non-volatile"</formula>
    </cfRule>
  </conditionalFormatting>
  <conditionalFormatting sqref="G78:H78">
    <cfRule type="expression" dxfId="291" priority="292">
      <formula>$F78="Antoine's"</formula>
    </cfRule>
  </conditionalFormatting>
  <conditionalFormatting sqref="G78:H78">
    <cfRule type="expression" dxfId="290" priority="291">
      <formula>$F78="Empty"</formula>
    </cfRule>
  </conditionalFormatting>
  <conditionalFormatting sqref="G78:H78">
    <cfRule type="expression" dxfId="289" priority="290">
      <formula>$F78="Mix"</formula>
    </cfRule>
  </conditionalFormatting>
  <conditionalFormatting sqref="G79:H79">
    <cfRule type="expression" dxfId="288" priority="289">
      <formula>$F79= "Non-volatile"</formula>
    </cfRule>
  </conditionalFormatting>
  <conditionalFormatting sqref="G79:H79">
    <cfRule type="expression" dxfId="287" priority="288">
      <formula>$F79="Antoine's"</formula>
    </cfRule>
  </conditionalFormatting>
  <conditionalFormatting sqref="G79:H79">
    <cfRule type="expression" dxfId="286" priority="287">
      <formula>$F79="Empty"</formula>
    </cfRule>
  </conditionalFormatting>
  <conditionalFormatting sqref="G79:H79">
    <cfRule type="expression" dxfId="285" priority="286">
      <formula>$F79="Mix"</formula>
    </cfRule>
  </conditionalFormatting>
  <conditionalFormatting sqref="G107:H107">
    <cfRule type="expression" dxfId="284" priority="285">
      <formula>$F107= "Non-volatile"</formula>
    </cfRule>
  </conditionalFormatting>
  <conditionalFormatting sqref="G107:H107">
    <cfRule type="expression" dxfId="283" priority="284">
      <formula>$F107="Antoine's"</formula>
    </cfRule>
  </conditionalFormatting>
  <conditionalFormatting sqref="G107:H107">
    <cfRule type="expression" dxfId="282" priority="283">
      <formula>$F107="Empty"</formula>
    </cfRule>
  </conditionalFormatting>
  <conditionalFormatting sqref="G107:H107">
    <cfRule type="expression" dxfId="281" priority="282">
      <formula>$F107="Mix"</formula>
    </cfRule>
  </conditionalFormatting>
  <conditionalFormatting sqref="G112:H112">
    <cfRule type="expression" dxfId="280" priority="281">
      <formula>$F112= "Non-volatile"</formula>
    </cfRule>
  </conditionalFormatting>
  <conditionalFormatting sqref="G112:H112">
    <cfRule type="expression" dxfId="279" priority="280">
      <formula>$F112="Antoine's"</formula>
    </cfRule>
  </conditionalFormatting>
  <conditionalFormatting sqref="G112:H112">
    <cfRule type="expression" dxfId="278" priority="279">
      <formula>$F112="Empty"</formula>
    </cfRule>
  </conditionalFormatting>
  <conditionalFormatting sqref="G112:H112">
    <cfRule type="expression" dxfId="277" priority="278">
      <formula>$F112="Mix"</formula>
    </cfRule>
  </conditionalFormatting>
  <conditionalFormatting sqref="G131:H131">
    <cfRule type="expression" dxfId="276" priority="277">
      <formula>$F131= "Non-volatile"</formula>
    </cfRule>
  </conditionalFormatting>
  <conditionalFormatting sqref="G131:H131">
    <cfRule type="expression" dxfId="275" priority="276">
      <formula>$F131="Antoine's"</formula>
    </cfRule>
  </conditionalFormatting>
  <conditionalFormatting sqref="G131:H131">
    <cfRule type="expression" dxfId="274" priority="275">
      <formula>$F131="Empty"</formula>
    </cfRule>
  </conditionalFormatting>
  <conditionalFormatting sqref="G131:H131">
    <cfRule type="expression" dxfId="273" priority="274">
      <formula>$F131="Mix"</formula>
    </cfRule>
  </conditionalFormatting>
  <conditionalFormatting sqref="G132:H132">
    <cfRule type="expression" dxfId="272" priority="273">
      <formula>$F132= "Non-volatile"</formula>
    </cfRule>
  </conditionalFormatting>
  <conditionalFormatting sqref="G132:H132">
    <cfRule type="expression" dxfId="271" priority="272">
      <formula>$F132="Antoine's"</formula>
    </cfRule>
  </conditionalFormatting>
  <conditionalFormatting sqref="G132:H132">
    <cfRule type="expression" dxfId="270" priority="271">
      <formula>$F132="Empty"</formula>
    </cfRule>
  </conditionalFormatting>
  <conditionalFormatting sqref="G132:H132">
    <cfRule type="expression" dxfId="269" priority="270">
      <formula>$F132="Mix"</formula>
    </cfRule>
  </conditionalFormatting>
  <conditionalFormatting sqref="G135:H135">
    <cfRule type="expression" dxfId="268" priority="269">
      <formula>$F135= "Non-volatile"</formula>
    </cfRule>
  </conditionalFormatting>
  <conditionalFormatting sqref="G135:H135">
    <cfRule type="expression" dxfId="267" priority="268">
      <formula>$F135="Antoine's"</formula>
    </cfRule>
  </conditionalFormatting>
  <conditionalFormatting sqref="G135:H135">
    <cfRule type="expression" dxfId="266" priority="267">
      <formula>$F135="Empty"</formula>
    </cfRule>
  </conditionalFormatting>
  <conditionalFormatting sqref="G135:H135">
    <cfRule type="expression" dxfId="265" priority="266">
      <formula>$F135="Mix"</formula>
    </cfRule>
  </conditionalFormatting>
  <conditionalFormatting sqref="G192:H192">
    <cfRule type="expression" dxfId="264" priority="265">
      <formula>$F192= "Non-volatile"</formula>
    </cfRule>
  </conditionalFormatting>
  <conditionalFormatting sqref="G192:H192">
    <cfRule type="expression" dxfId="263" priority="264">
      <formula>$F192="Antoine's"</formula>
    </cfRule>
  </conditionalFormatting>
  <conditionalFormatting sqref="G192:H192">
    <cfRule type="expression" dxfId="262" priority="263">
      <formula>$F192="Empty"</formula>
    </cfRule>
  </conditionalFormatting>
  <conditionalFormatting sqref="G192:H192">
    <cfRule type="expression" dxfId="261" priority="262">
      <formula>$F192="Mix"</formula>
    </cfRule>
  </conditionalFormatting>
  <conditionalFormatting sqref="G247:H247">
    <cfRule type="expression" dxfId="260" priority="261">
      <formula>$F247= "Non-volatile"</formula>
    </cfRule>
  </conditionalFormatting>
  <conditionalFormatting sqref="G247:H247">
    <cfRule type="expression" dxfId="259" priority="260">
      <formula>$F247="Antoine's"</formula>
    </cfRule>
  </conditionalFormatting>
  <conditionalFormatting sqref="G247:H247">
    <cfRule type="expression" dxfId="258" priority="259">
      <formula>$F247="Empty"</formula>
    </cfRule>
  </conditionalFormatting>
  <conditionalFormatting sqref="G247:H247">
    <cfRule type="expression" dxfId="257" priority="258">
      <formula>$F247="Mix"</formula>
    </cfRule>
  </conditionalFormatting>
  <conditionalFormatting sqref="G254:H254">
    <cfRule type="expression" dxfId="256" priority="257">
      <formula>$F254= "Non-volatile"</formula>
    </cfRule>
  </conditionalFormatting>
  <conditionalFormatting sqref="G254:H254">
    <cfRule type="expression" dxfId="255" priority="256">
      <formula>$F254="Antoine's"</formula>
    </cfRule>
  </conditionalFormatting>
  <conditionalFormatting sqref="G254:H254">
    <cfRule type="expression" dxfId="254" priority="255">
      <formula>$F254="Empty"</formula>
    </cfRule>
  </conditionalFormatting>
  <conditionalFormatting sqref="G254:H254">
    <cfRule type="expression" dxfId="253" priority="254">
      <formula>$F254="Mix"</formula>
    </cfRule>
  </conditionalFormatting>
  <conditionalFormatting sqref="I20:M20">
    <cfRule type="expression" dxfId="252" priority="253">
      <formula>$F20&lt;&gt;"Antoine's"</formula>
    </cfRule>
  </conditionalFormatting>
  <conditionalFormatting sqref="I30:M30">
    <cfRule type="expression" dxfId="251" priority="252">
      <formula>$F30&lt;&gt;"Antoine's"</formula>
    </cfRule>
  </conditionalFormatting>
  <conditionalFormatting sqref="I32:M32">
    <cfRule type="expression" dxfId="250" priority="251">
      <formula>$F32&lt;&gt;"Antoine's"</formula>
    </cfRule>
  </conditionalFormatting>
  <conditionalFormatting sqref="I33:M33">
    <cfRule type="expression" dxfId="249" priority="250">
      <formula>$F33&lt;&gt;"Antoine's"</formula>
    </cfRule>
  </conditionalFormatting>
  <conditionalFormatting sqref="I34:M34">
    <cfRule type="expression" dxfId="248" priority="249">
      <formula>$F34&lt;&gt;"Antoine's"</formula>
    </cfRule>
  </conditionalFormatting>
  <conditionalFormatting sqref="I35:M35">
    <cfRule type="expression" dxfId="247" priority="248">
      <formula>$F35&lt;&gt;"Antoine's"</formula>
    </cfRule>
  </conditionalFormatting>
  <conditionalFormatting sqref="I36:M36">
    <cfRule type="expression" dxfId="246" priority="247">
      <formula>$F36&lt;&gt;"Antoine's"</formula>
    </cfRule>
  </conditionalFormatting>
  <conditionalFormatting sqref="I37:M37">
    <cfRule type="expression" dxfId="245" priority="246">
      <formula>$F37&lt;&gt;"Antoine's"</formula>
    </cfRule>
  </conditionalFormatting>
  <conditionalFormatting sqref="I38:M38">
    <cfRule type="expression" dxfId="244" priority="245">
      <formula>$F38&lt;&gt;"Antoine's"</formula>
    </cfRule>
  </conditionalFormatting>
  <conditionalFormatting sqref="I41:M41">
    <cfRule type="expression" dxfId="243" priority="244">
      <formula>$F41&lt;&gt;"Antoine's"</formula>
    </cfRule>
  </conditionalFormatting>
  <conditionalFormatting sqref="I42:M42">
    <cfRule type="expression" dxfId="242" priority="243">
      <formula>$F42&lt;&gt;"Antoine's"</formula>
    </cfRule>
  </conditionalFormatting>
  <conditionalFormatting sqref="I43:M43">
    <cfRule type="expression" dxfId="241" priority="242">
      <formula>$F43&lt;&gt;"Antoine's"</formula>
    </cfRule>
  </conditionalFormatting>
  <conditionalFormatting sqref="I46:M46">
    <cfRule type="expression" dxfId="240" priority="241">
      <formula>$F46&lt;&gt;"Antoine's"</formula>
    </cfRule>
  </conditionalFormatting>
  <conditionalFormatting sqref="I47:M47">
    <cfRule type="expression" dxfId="239" priority="240">
      <formula>$F47&lt;&gt;"Antoine's"</formula>
    </cfRule>
  </conditionalFormatting>
  <conditionalFormatting sqref="I48:M48">
    <cfRule type="expression" dxfId="238" priority="239">
      <formula>$F48&lt;&gt;"Antoine's"</formula>
    </cfRule>
  </conditionalFormatting>
  <conditionalFormatting sqref="I49:M49">
    <cfRule type="expression" dxfId="237" priority="238">
      <formula>$F49&lt;&gt;"Antoine's"</formula>
    </cfRule>
  </conditionalFormatting>
  <conditionalFormatting sqref="I50:M50">
    <cfRule type="expression" dxfId="236" priority="237">
      <formula>$F50&lt;&gt;"Antoine's"</formula>
    </cfRule>
  </conditionalFormatting>
  <conditionalFormatting sqref="I51:M51">
    <cfRule type="expression" dxfId="235" priority="236">
      <formula>$F51&lt;&gt;"Antoine's"</formula>
    </cfRule>
  </conditionalFormatting>
  <conditionalFormatting sqref="I52:M52">
    <cfRule type="expression" dxfId="234" priority="235">
      <formula>$F52&lt;&gt;"Antoine's"</formula>
    </cfRule>
  </conditionalFormatting>
  <conditionalFormatting sqref="I54:M54">
    <cfRule type="expression" dxfId="233" priority="234">
      <formula>$F54&lt;&gt;"Antoine's"</formula>
    </cfRule>
  </conditionalFormatting>
  <conditionalFormatting sqref="I56:M56">
    <cfRule type="expression" dxfId="232" priority="233">
      <formula>$F56&lt;&gt;"Antoine's"</formula>
    </cfRule>
  </conditionalFormatting>
  <conditionalFormatting sqref="I58:M58">
    <cfRule type="expression" dxfId="231" priority="232">
      <formula>$F58&lt;&gt;"Antoine's"</formula>
    </cfRule>
  </conditionalFormatting>
  <conditionalFormatting sqref="I66:M66">
    <cfRule type="expression" dxfId="230" priority="231">
      <formula>$F66&lt;&gt;"Antoine's"</formula>
    </cfRule>
  </conditionalFormatting>
  <conditionalFormatting sqref="I70:M70">
    <cfRule type="expression" dxfId="229" priority="230">
      <formula>$F70&lt;&gt;"Antoine's"</formula>
    </cfRule>
  </conditionalFormatting>
  <conditionalFormatting sqref="I72:M72">
    <cfRule type="expression" dxfId="228" priority="229">
      <formula>$F72&lt;&gt;"Antoine's"</formula>
    </cfRule>
  </conditionalFormatting>
  <conditionalFormatting sqref="I77:M77">
    <cfRule type="expression" dxfId="227" priority="228">
      <formula>$F77&lt;&gt;"Antoine's"</formula>
    </cfRule>
  </conditionalFormatting>
  <conditionalFormatting sqref="I78:M78">
    <cfRule type="expression" dxfId="226" priority="227">
      <formula>$F78&lt;&gt;"Antoine's"</formula>
    </cfRule>
  </conditionalFormatting>
  <conditionalFormatting sqref="I79:M79">
    <cfRule type="expression" dxfId="225" priority="226">
      <formula>$F79&lt;&gt;"Antoine's"</formula>
    </cfRule>
  </conditionalFormatting>
  <conditionalFormatting sqref="L85:M85">
    <cfRule type="expression" dxfId="224" priority="224">
      <formula>$F85&lt;&gt;"Antoine's"</formula>
    </cfRule>
  </conditionalFormatting>
  <conditionalFormatting sqref="K84:M84">
    <cfRule type="expression" dxfId="223" priority="225">
      <formula>$F84&lt;&gt;"Antoine's"</formula>
    </cfRule>
  </conditionalFormatting>
  <conditionalFormatting sqref="I90:M90">
    <cfRule type="expression" dxfId="222" priority="223">
      <formula>$F90&lt;&gt;"Antoine's"</formula>
    </cfRule>
  </conditionalFormatting>
  <conditionalFormatting sqref="I91:M91">
    <cfRule type="expression" dxfId="221" priority="222">
      <formula>$F91&lt;&gt;"Antoine's"</formula>
    </cfRule>
  </conditionalFormatting>
  <conditionalFormatting sqref="I92:M92">
    <cfRule type="expression" dxfId="220" priority="221">
      <formula>$F92&lt;&gt;"Antoine's"</formula>
    </cfRule>
  </conditionalFormatting>
  <conditionalFormatting sqref="I95:M95">
    <cfRule type="expression" dxfId="219" priority="220">
      <formula>$F95&lt;&gt;"Antoine's"</formula>
    </cfRule>
  </conditionalFormatting>
  <conditionalFormatting sqref="I96:M96">
    <cfRule type="expression" dxfId="218" priority="219">
      <formula>$F96&lt;&gt;"Antoine's"</formula>
    </cfRule>
  </conditionalFormatting>
  <conditionalFormatting sqref="I103:M103">
    <cfRule type="expression" dxfId="217" priority="218">
      <formula>$F103&lt;&gt;"Antoine's"</formula>
    </cfRule>
  </conditionalFormatting>
  <conditionalFormatting sqref="I105:M105">
    <cfRule type="expression" dxfId="216" priority="217">
      <formula>$F105&lt;&gt;"Antoine's"</formula>
    </cfRule>
  </conditionalFormatting>
  <conditionalFormatting sqref="I107:M107">
    <cfRule type="expression" dxfId="215" priority="216">
      <formula>$F107&lt;&gt;"Antoine's"</formula>
    </cfRule>
  </conditionalFormatting>
  <conditionalFormatting sqref="I108:M108">
    <cfRule type="expression" dxfId="214" priority="215">
      <formula>$F108&lt;&gt;"Antoine's"</formula>
    </cfRule>
  </conditionalFormatting>
  <conditionalFormatting sqref="I112:M112">
    <cfRule type="expression" dxfId="213" priority="214">
      <formula>$F112&lt;&gt;"Antoine's"</formula>
    </cfRule>
  </conditionalFormatting>
  <conditionalFormatting sqref="I116:M116">
    <cfRule type="expression" dxfId="212" priority="213">
      <formula>$F116&lt;&gt;"Antoine's"</formula>
    </cfRule>
  </conditionalFormatting>
  <conditionalFormatting sqref="I118:M118">
    <cfRule type="expression" dxfId="211" priority="212">
      <formula>$F118&lt;&gt;"Antoine's"</formula>
    </cfRule>
  </conditionalFormatting>
  <conditionalFormatting sqref="I119:M119">
    <cfRule type="expression" dxfId="210" priority="211">
      <formula>$F119&lt;&gt;"Antoine's"</formula>
    </cfRule>
  </conditionalFormatting>
  <conditionalFormatting sqref="I120:M120">
    <cfRule type="expression" dxfId="209" priority="210">
      <formula>$F120&lt;&gt;"Antoine's"</formula>
    </cfRule>
  </conditionalFormatting>
  <conditionalFormatting sqref="I121:M121">
    <cfRule type="expression" dxfId="208" priority="209">
      <formula>$F121&lt;&gt;"Antoine's"</formula>
    </cfRule>
  </conditionalFormatting>
  <conditionalFormatting sqref="I122:M122">
    <cfRule type="expression" dxfId="207" priority="208">
      <formula>$F122&lt;&gt;"Antoine's"</formula>
    </cfRule>
  </conditionalFormatting>
  <conditionalFormatting sqref="I127:M127">
    <cfRule type="expression" dxfId="206" priority="207">
      <formula>$F127&lt;&gt;"Antoine's"</formula>
    </cfRule>
  </conditionalFormatting>
  <conditionalFormatting sqref="I129:M129">
    <cfRule type="expression" dxfId="205" priority="206">
      <formula>$F129&lt;&gt;"Antoine's"</formula>
    </cfRule>
  </conditionalFormatting>
  <conditionalFormatting sqref="I132:M132">
    <cfRule type="expression" dxfId="204" priority="205">
      <formula>$F132&lt;&gt;"Antoine's"</formula>
    </cfRule>
  </conditionalFormatting>
  <conditionalFormatting sqref="I134:M134">
    <cfRule type="expression" dxfId="203" priority="204">
      <formula>$F134&lt;&gt;"Antoine's"</formula>
    </cfRule>
  </conditionalFormatting>
  <conditionalFormatting sqref="I135:M135">
    <cfRule type="expression" dxfId="202" priority="203">
      <formula>$F135&lt;&gt;"Antoine's"</formula>
    </cfRule>
  </conditionalFormatting>
  <conditionalFormatting sqref="I137:M137">
    <cfRule type="expression" dxfId="201" priority="202">
      <formula>$F137&lt;&gt;"Antoine's"</formula>
    </cfRule>
  </conditionalFormatting>
  <conditionalFormatting sqref="I139:M139">
    <cfRule type="expression" dxfId="200" priority="201">
      <formula>$F139&lt;&gt;"Antoine's"</formula>
    </cfRule>
  </conditionalFormatting>
  <conditionalFormatting sqref="I140:M140">
    <cfRule type="expression" dxfId="199" priority="200">
      <formula>$F140&lt;&gt;"Antoine's"</formula>
    </cfRule>
  </conditionalFormatting>
  <conditionalFormatting sqref="I142:M142">
    <cfRule type="expression" dxfId="198" priority="199">
      <formula>$F142&lt;&gt;"Antoine's"</formula>
    </cfRule>
  </conditionalFormatting>
  <conditionalFormatting sqref="I143:M143">
    <cfRule type="expression" dxfId="197" priority="198">
      <formula>$F143&lt;&gt;"Antoine's"</formula>
    </cfRule>
  </conditionalFormatting>
  <conditionalFormatting sqref="I145:M145">
    <cfRule type="expression" dxfId="196" priority="197">
      <formula>$F145&lt;&gt;"Antoine's"</formula>
    </cfRule>
  </conditionalFormatting>
  <conditionalFormatting sqref="I148:M148">
    <cfRule type="expression" dxfId="195" priority="196">
      <formula>$F148&lt;&gt;"Antoine's"</formula>
    </cfRule>
  </conditionalFormatting>
  <conditionalFormatting sqref="I152:M152">
    <cfRule type="expression" dxfId="194" priority="195">
      <formula>$F152&lt;&gt;"Antoine's"</formula>
    </cfRule>
  </conditionalFormatting>
  <conditionalFormatting sqref="I177:M177">
    <cfRule type="expression" dxfId="193" priority="194">
      <formula>$F177&lt;&gt;"Antoine's"</formula>
    </cfRule>
  </conditionalFormatting>
  <conditionalFormatting sqref="I179:M179">
    <cfRule type="expression" dxfId="192" priority="193">
      <formula>$F179&lt;&gt;"Antoine's"</formula>
    </cfRule>
  </conditionalFormatting>
  <conditionalFormatting sqref="I181:M181">
    <cfRule type="expression" dxfId="191" priority="192">
      <formula>$F181&lt;&gt;"Antoine's"</formula>
    </cfRule>
  </conditionalFormatting>
  <conditionalFormatting sqref="I182:M182">
    <cfRule type="expression" dxfId="190" priority="191">
      <formula>$F182&lt;&gt;"Antoine's"</formula>
    </cfRule>
  </conditionalFormatting>
  <conditionalFormatting sqref="I183:M183">
    <cfRule type="expression" dxfId="189" priority="190">
      <formula>$F183&lt;&gt;"Antoine's"</formula>
    </cfRule>
  </conditionalFormatting>
  <conditionalFormatting sqref="I184:M184">
    <cfRule type="expression" dxfId="188" priority="189">
      <formula>$F184&lt;&gt;"Antoine's"</formula>
    </cfRule>
  </conditionalFormatting>
  <conditionalFormatting sqref="I186:M186">
    <cfRule type="expression" dxfId="187" priority="188">
      <formula>$F186&lt;&gt;"Antoine's"</formula>
    </cfRule>
  </conditionalFormatting>
  <conditionalFormatting sqref="I189:M189">
    <cfRule type="expression" dxfId="186" priority="187">
      <formula>$F189&lt;&gt;"Antoine's"</formula>
    </cfRule>
  </conditionalFormatting>
  <conditionalFormatting sqref="I192:M192">
    <cfRule type="expression" dxfId="185" priority="186">
      <formula>$F192&lt;&gt;"Antoine's"</formula>
    </cfRule>
  </conditionalFormatting>
  <conditionalFormatting sqref="I214:M214">
    <cfRule type="expression" dxfId="184" priority="185">
      <formula>$F214&lt;&gt;"Antoine's"</formula>
    </cfRule>
  </conditionalFormatting>
  <conditionalFormatting sqref="I215:M215">
    <cfRule type="expression" dxfId="183" priority="184">
      <formula>$F215&lt;&gt;"Antoine's"</formula>
    </cfRule>
  </conditionalFormatting>
  <conditionalFormatting sqref="I217:M217">
    <cfRule type="expression" dxfId="182" priority="183">
      <formula>$F217&lt;&gt;"Antoine's"</formula>
    </cfRule>
  </conditionalFormatting>
  <conditionalFormatting sqref="I220:M220">
    <cfRule type="expression" dxfId="181" priority="182">
      <formula>$F220&lt;&gt;"Antoine's"</formula>
    </cfRule>
  </conditionalFormatting>
  <conditionalFormatting sqref="I222:M222">
    <cfRule type="expression" dxfId="180" priority="181">
      <formula>$F222&lt;&gt;"Antoine's"</formula>
    </cfRule>
  </conditionalFormatting>
  <conditionalFormatting sqref="I223:M223">
    <cfRule type="expression" dxfId="179" priority="180">
      <formula>$F223&lt;&gt;"Antoine's"</formula>
    </cfRule>
  </conditionalFormatting>
  <conditionalFormatting sqref="I226:M226">
    <cfRule type="expression" dxfId="178" priority="179">
      <formula>$F226&lt;&gt;"Antoine's"</formula>
    </cfRule>
  </conditionalFormatting>
  <conditionalFormatting sqref="I234:M234">
    <cfRule type="expression" dxfId="177" priority="178">
      <formula>$F234&lt;&gt;"Antoine's"</formula>
    </cfRule>
  </conditionalFormatting>
  <conditionalFormatting sqref="I235:M235">
    <cfRule type="expression" dxfId="176" priority="177">
      <formula>$F235&lt;&gt;"Antoine's"</formula>
    </cfRule>
  </conditionalFormatting>
  <conditionalFormatting sqref="I237:M237">
    <cfRule type="expression" dxfId="175" priority="176">
      <formula>$F237&lt;&gt;"Antoine's"</formula>
    </cfRule>
  </conditionalFormatting>
  <conditionalFormatting sqref="I238:M238">
    <cfRule type="expression" dxfId="174" priority="175">
      <formula>$F238&lt;&gt;"Antoine's"</formula>
    </cfRule>
  </conditionalFormatting>
  <conditionalFormatting sqref="I245:M245">
    <cfRule type="expression" dxfId="173" priority="174">
      <formula>$F245&lt;&gt;"Antoine's"</formula>
    </cfRule>
  </conditionalFormatting>
  <conditionalFormatting sqref="I247:M247">
    <cfRule type="expression" dxfId="172" priority="173">
      <formula>$F247&lt;&gt;"Antoine's"</formula>
    </cfRule>
  </conditionalFormatting>
  <conditionalFormatting sqref="I248:M248">
    <cfRule type="expression" dxfId="171" priority="172">
      <formula>$F248&lt;&gt;"Antoine's"</formula>
    </cfRule>
  </conditionalFormatting>
  <conditionalFormatting sqref="I252:M252">
    <cfRule type="expression" dxfId="170" priority="171">
      <formula>$F252&lt;&gt;"Antoine's"</formula>
    </cfRule>
  </conditionalFormatting>
  <conditionalFormatting sqref="I254:M254">
    <cfRule type="expression" dxfId="169" priority="170">
      <formula>$F254&lt;&gt;"Antoine's"</formula>
    </cfRule>
  </conditionalFormatting>
  <conditionalFormatting sqref="I19:M19">
    <cfRule type="expression" dxfId="168" priority="100">
      <formula>$F19&lt;&gt;"Antoine's"</formula>
    </cfRule>
  </conditionalFormatting>
  <conditionalFormatting sqref="I40:M40">
    <cfRule type="expression" dxfId="167" priority="169">
      <formula>$F40&lt;&gt;"Antoine's"</formula>
    </cfRule>
  </conditionalFormatting>
  <conditionalFormatting sqref="I67:M67">
    <cfRule type="expression" dxfId="166" priority="168">
      <formula>$F67&lt;&gt;"Antoine's"</formula>
    </cfRule>
  </conditionalFormatting>
  <conditionalFormatting sqref="I68:M68">
    <cfRule type="expression" dxfId="165" priority="167">
      <formula>$F68&lt;&gt;"Antoine's"</formula>
    </cfRule>
  </conditionalFormatting>
  <conditionalFormatting sqref="I69:M69">
    <cfRule type="expression" dxfId="164" priority="166">
      <formula>$F69&lt;&gt;"Antoine's"</formula>
    </cfRule>
  </conditionalFormatting>
  <conditionalFormatting sqref="I74:M74">
    <cfRule type="expression" dxfId="163" priority="165">
      <formula>$F74&lt;&gt;"Antoine's"</formula>
    </cfRule>
  </conditionalFormatting>
  <conditionalFormatting sqref="I75:M75">
    <cfRule type="expression" dxfId="162" priority="164">
      <formula>$F75&lt;&gt;"Antoine's"</formula>
    </cfRule>
  </conditionalFormatting>
  <conditionalFormatting sqref="I76:M76">
    <cfRule type="expression" dxfId="161" priority="163">
      <formula>$F76&lt;&gt;"Antoine's"</formula>
    </cfRule>
  </conditionalFormatting>
  <conditionalFormatting sqref="I80:M80">
    <cfRule type="expression" dxfId="160" priority="162">
      <formula>$F80&lt;&gt;"Antoine's"</formula>
    </cfRule>
  </conditionalFormatting>
  <conditionalFormatting sqref="I82:M82">
    <cfRule type="expression" dxfId="159" priority="161">
      <formula>$F82&lt;&gt;"Antoine's"</formula>
    </cfRule>
  </conditionalFormatting>
  <conditionalFormatting sqref="K86:M86">
    <cfRule type="expression" dxfId="158" priority="160">
      <formula>$F86&lt;&gt;"Antoine's"</formula>
    </cfRule>
  </conditionalFormatting>
  <conditionalFormatting sqref="I110:M110">
    <cfRule type="expression" dxfId="157" priority="159">
      <formula>$F110&lt;&gt;"Antoine's"</formula>
    </cfRule>
  </conditionalFormatting>
  <conditionalFormatting sqref="I123:M123">
    <cfRule type="expression" dxfId="156" priority="158">
      <formula>$F123&lt;&gt;"Antoine's"</formula>
    </cfRule>
  </conditionalFormatting>
  <conditionalFormatting sqref="I126:M126">
    <cfRule type="expression" dxfId="155" priority="157">
      <formula>$F126&lt;&gt;"Antoine's"</formula>
    </cfRule>
  </conditionalFormatting>
  <conditionalFormatting sqref="I131:M131">
    <cfRule type="expression" dxfId="154" priority="156">
      <formula>$F131&lt;&gt;"Antoine's"</formula>
    </cfRule>
  </conditionalFormatting>
  <conditionalFormatting sqref="I26:M26">
    <cfRule type="expression" dxfId="153" priority="133">
      <formula>$F26&lt;&gt;"Antoine's"</formula>
    </cfRule>
  </conditionalFormatting>
  <conditionalFormatting sqref="I231:M231">
    <cfRule type="expression" dxfId="152" priority="143">
      <formula>$F231&lt;&gt;"Antoine's"</formula>
    </cfRule>
  </conditionalFormatting>
  <conditionalFormatting sqref="I180:M180">
    <cfRule type="expression" dxfId="151" priority="155">
      <formula>$F180&lt;&gt;"Antoine's"</formula>
    </cfRule>
  </conditionalFormatting>
  <conditionalFormatting sqref="I188:M188">
    <cfRule type="expression" dxfId="150" priority="154">
      <formula>$F188&lt;&gt;"Antoine's"</formula>
    </cfRule>
  </conditionalFormatting>
  <conditionalFormatting sqref="I190:M190">
    <cfRule type="expression" dxfId="149" priority="153">
      <formula>$F190&lt;&gt;"Antoine's"</formula>
    </cfRule>
  </conditionalFormatting>
  <conditionalFormatting sqref="I191:M191">
    <cfRule type="expression" dxfId="148" priority="152">
      <formula>$F191&lt;&gt;"Antoine's"</formula>
    </cfRule>
  </conditionalFormatting>
  <conditionalFormatting sqref="I212:M212">
    <cfRule type="expression" dxfId="147" priority="151">
      <formula>$F212&lt;&gt;"Antoine's"</formula>
    </cfRule>
  </conditionalFormatting>
  <conditionalFormatting sqref="I216:M216">
    <cfRule type="expression" dxfId="146" priority="150">
      <formula>$F216&lt;&gt;"Antoine's"</formula>
    </cfRule>
  </conditionalFormatting>
  <conditionalFormatting sqref="I236:M236">
    <cfRule type="expression" dxfId="145" priority="149">
      <formula>$F236&lt;&gt;"Antoine's"</formula>
    </cfRule>
  </conditionalFormatting>
  <conditionalFormatting sqref="I244:M244">
    <cfRule type="expression" dxfId="144" priority="148">
      <formula>$F244&lt;&gt;"Antoine's"</formula>
    </cfRule>
  </conditionalFormatting>
  <conditionalFormatting sqref="I266:M266">
    <cfRule type="expression" dxfId="143" priority="147">
      <formula>$F266&lt;&gt;"Antoine's"</formula>
    </cfRule>
  </conditionalFormatting>
  <conditionalFormatting sqref="L275:M275">
    <cfRule type="expression" dxfId="142" priority="146">
      <formula>$F275&lt;&gt;"Antoine's"</formula>
    </cfRule>
  </conditionalFormatting>
  <conditionalFormatting sqref="G231">
    <cfRule type="expression" dxfId="141" priority="145">
      <formula>AND($F231&lt;&gt;"RVP",$F231&lt;&gt;"RVP+S")</formula>
    </cfRule>
  </conditionalFormatting>
  <conditionalFormatting sqref="H231">
    <cfRule type="expression" dxfId="140" priority="144">
      <formula>$F231&lt;&gt;"RVP+S"</formula>
    </cfRule>
  </conditionalFormatting>
  <conditionalFormatting sqref="G227">
    <cfRule type="expression" dxfId="139" priority="142">
      <formula>AND($F227&lt;&gt;"RVP",$F227&lt;&gt;"RVP+S")</formula>
    </cfRule>
  </conditionalFormatting>
  <conditionalFormatting sqref="H227">
    <cfRule type="expression" dxfId="138" priority="141">
      <formula>$F227&lt;&gt;"RVP+S"</formula>
    </cfRule>
  </conditionalFormatting>
  <conditionalFormatting sqref="I227:M227">
    <cfRule type="expression" dxfId="137" priority="140">
      <formula>$F227&lt;&gt;"Antoine's"</formula>
    </cfRule>
  </conditionalFormatting>
  <conditionalFormatting sqref="G225">
    <cfRule type="expression" dxfId="136" priority="139">
      <formula>AND($F225&lt;&gt;"RVP",$F225&lt;&gt;"RVP+S")</formula>
    </cfRule>
  </conditionalFormatting>
  <conditionalFormatting sqref="H225">
    <cfRule type="expression" dxfId="135" priority="138">
      <formula>$F225&lt;&gt;"RVP+S"</formula>
    </cfRule>
  </conditionalFormatting>
  <conditionalFormatting sqref="I225:M225">
    <cfRule type="expression" dxfId="134" priority="137">
      <formula>$F225&lt;&gt;"Antoine's"</formula>
    </cfRule>
  </conditionalFormatting>
  <conditionalFormatting sqref="G29">
    <cfRule type="expression" dxfId="133" priority="136">
      <formula>AND($F29&lt;&gt;"RVP",$F29&lt;&gt;"RVP+S")</formula>
    </cfRule>
  </conditionalFormatting>
  <conditionalFormatting sqref="H29">
    <cfRule type="expression" dxfId="132" priority="135">
      <formula>$F29&lt;&gt;"RVP+S"</formula>
    </cfRule>
  </conditionalFormatting>
  <conditionalFormatting sqref="I29:M29">
    <cfRule type="expression" dxfId="131" priority="134">
      <formula>$F29&lt;&gt;"Antoine's"</formula>
    </cfRule>
  </conditionalFormatting>
  <conditionalFormatting sqref="G25">
    <cfRule type="expression" dxfId="130" priority="132">
      <formula>AND($F25&lt;&gt;"RVP",$F25&lt;&gt;"RVP+S")</formula>
    </cfRule>
  </conditionalFormatting>
  <conditionalFormatting sqref="H25">
    <cfRule type="expression" dxfId="129" priority="131">
      <formula>$F25&lt;&gt;"RVP+S"</formula>
    </cfRule>
  </conditionalFormatting>
  <conditionalFormatting sqref="I25:M25">
    <cfRule type="expression" dxfId="128" priority="130">
      <formula>$F25&lt;&gt;"Antoine's"</formula>
    </cfRule>
  </conditionalFormatting>
  <conditionalFormatting sqref="G24">
    <cfRule type="expression" dxfId="127" priority="129">
      <formula>AND($F24&lt;&gt;"RVP",$F24&lt;&gt;"RVP+S")</formula>
    </cfRule>
  </conditionalFormatting>
  <conditionalFormatting sqref="H24">
    <cfRule type="expression" dxfId="126" priority="128">
      <formula>$F24&lt;&gt;"RVP+S"</formula>
    </cfRule>
  </conditionalFormatting>
  <conditionalFormatting sqref="I24:M24">
    <cfRule type="expression" dxfId="125" priority="127">
      <formula>$F24&lt;&gt;"Antoine's"</formula>
    </cfRule>
  </conditionalFormatting>
  <conditionalFormatting sqref="G23">
    <cfRule type="expression" dxfId="124" priority="126">
      <formula>AND($F23&lt;&gt;"RVP",$F23&lt;&gt;"RVP+S")</formula>
    </cfRule>
  </conditionalFormatting>
  <conditionalFormatting sqref="H23">
    <cfRule type="expression" dxfId="123" priority="125">
      <formula>$F23&lt;&gt;"RVP+S"</formula>
    </cfRule>
  </conditionalFormatting>
  <conditionalFormatting sqref="I23:M23">
    <cfRule type="expression" dxfId="122" priority="124">
      <formula>$F23&lt;&gt;"Antoine's"</formula>
    </cfRule>
  </conditionalFormatting>
  <conditionalFormatting sqref="G21">
    <cfRule type="expression" dxfId="121" priority="123">
      <formula>AND($F21&lt;&gt;"RVP",$F21&lt;&gt;"RVP+S")</formula>
    </cfRule>
  </conditionalFormatting>
  <conditionalFormatting sqref="H21">
    <cfRule type="expression" dxfId="120" priority="122">
      <formula>$F21&lt;&gt;"RVP+S"</formula>
    </cfRule>
  </conditionalFormatting>
  <conditionalFormatting sqref="I21:M21">
    <cfRule type="expression" dxfId="119" priority="121">
      <formula>$F21&lt;&gt;"Antoine's"</formula>
    </cfRule>
  </conditionalFormatting>
  <conditionalFormatting sqref="G18">
    <cfRule type="expression" dxfId="118" priority="120">
      <formula>AND($F18&lt;&gt;"RVP",$F18&lt;&gt;"RVP+S")</formula>
    </cfRule>
  </conditionalFormatting>
  <conditionalFormatting sqref="H18">
    <cfRule type="expression" dxfId="117" priority="119">
      <formula>$F18&lt;&gt;"RVP+S"</formula>
    </cfRule>
  </conditionalFormatting>
  <conditionalFormatting sqref="I18:M18">
    <cfRule type="expression" dxfId="116" priority="118">
      <formula>$F18&lt;&gt;"Antoine's"</formula>
    </cfRule>
  </conditionalFormatting>
  <conditionalFormatting sqref="G17">
    <cfRule type="expression" dxfId="115" priority="117">
      <formula>AND($F17&lt;&gt;"RVP",$F17&lt;&gt;"RVP+S")</formula>
    </cfRule>
  </conditionalFormatting>
  <conditionalFormatting sqref="H17">
    <cfRule type="expression" dxfId="114" priority="116">
      <formula>$F17&lt;&gt;"RVP+S"</formula>
    </cfRule>
  </conditionalFormatting>
  <conditionalFormatting sqref="I17:M17">
    <cfRule type="expression" dxfId="113" priority="115">
      <formula>$F17&lt;&gt;"Antoine's"</formula>
    </cfRule>
  </conditionalFormatting>
  <conditionalFormatting sqref="G13">
    <cfRule type="expression" dxfId="112" priority="114">
      <formula>AND($F13&lt;&gt;"RVP",$F13&lt;&gt;"RVP+S")</formula>
    </cfRule>
  </conditionalFormatting>
  <conditionalFormatting sqref="H13">
    <cfRule type="expression" dxfId="111" priority="113">
      <formula>$F13&lt;&gt;"RVP+S"</formula>
    </cfRule>
  </conditionalFormatting>
  <conditionalFormatting sqref="I13:M13">
    <cfRule type="expression" dxfId="110" priority="112">
      <formula>$F13&lt;&gt;"Antoine's"</formula>
    </cfRule>
  </conditionalFormatting>
  <conditionalFormatting sqref="G11">
    <cfRule type="expression" dxfId="109" priority="111">
      <formula>AND($F11&lt;&gt;"RVP",$F11&lt;&gt;"RVP+S")</formula>
    </cfRule>
  </conditionalFormatting>
  <conditionalFormatting sqref="H11">
    <cfRule type="expression" dxfId="108" priority="110">
      <formula>$F11&lt;&gt;"RVP+S"</formula>
    </cfRule>
  </conditionalFormatting>
  <conditionalFormatting sqref="I11:M11">
    <cfRule type="expression" dxfId="107" priority="109">
      <formula>$F11&lt;&gt;"Antoine's"</formula>
    </cfRule>
  </conditionalFormatting>
  <conditionalFormatting sqref="G8">
    <cfRule type="expression" dxfId="106" priority="108">
      <formula>AND($F8&lt;&gt;"RVP",$F8&lt;&gt;"RVP+S")</formula>
    </cfRule>
  </conditionalFormatting>
  <conditionalFormatting sqref="H8">
    <cfRule type="expression" dxfId="105" priority="107">
      <formula>$F8&lt;&gt;"RVP+S"</formula>
    </cfRule>
  </conditionalFormatting>
  <conditionalFormatting sqref="I8:M8">
    <cfRule type="expression" dxfId="104" priority="106">
      <formula>$F8&lt;&gt;"Antoine's"</formula>
    </cfRule>
  </conditionalFormatting>
  <conditionalFormatting sqref="G14">
    <cfRule type="expression" dxfId="103" priority="105">
      <formula>AND($F14&lt;&gt;"RVP",$F14&lt;&gt;"RVP+S")</formula>
    </cfRule>
  </conditionalFormatting>
  <conditionalFormatting sqref="H14">
    <cfRule type="expression" dxfId="102" priority="104">
      <formula>$F14&lt;&gt;"RVP+S"</formula>
    </cfRule>
  </conditionalFormatting>
  <conditionalFormatting sqref="I14:M14">
    <cfRule type="expression" dxfId="101" priority="103">
      <formula>$F14&lt;&gt;"Antoine's"</formula>
    </cfRule>
  </conditionalFormatting>
  <conditionalFormatting sqref="G19">
    <cfRule type="expression" dxfId="100" priority="102">
      <formula>AND($F19&lt;&gt;"RVP",$F19&lt;&gt;"RVP+S")</formula>
    </cfRule>
  </conditionalFormatting>
  <conditionalFormatting sqref="H19">
    <cfRule type="expression" dxfId="99" priority="101">
      <formula>$F19&lt;&gt;"RVP+S"</formula>
    </cfRule>
  </conditionalFormatting>
  <conditionalFormatting sqref="G27">
    <cfRule type="expression" dxfId="98" priority="99">
      <formula>AND($F27&lt;&gt;"RVP",$F27&lt;&gt;"RVP+S")</formula>
    </cfRule>
  </conditionalFormatting>
  <conditionalFormatting sqref="H27">
    <cfRule type="expression" dxfId="97" priority="98">
      <formula>$F27&lt;&gt;"RVP+S"</formula>
    </cfRule>
  </conditionalFormatting>
  <conditionalFormatting sqref="I27:M27">
    <cfRule type="expression" dxfId="96" priority="97">
      <formula>$F27&lt;&gt;"Antoine's"</formula>
    </cfRule>
  </conditionalFormatting>
  <conditionalFormatting sqref="G28">
    <cfRule type="expression" dxfId="95" priority="96">
      <formula>AND($F28&lt;&gt;"RVP",$F28&lt;&gt;"RVP+S")</formula>
    </cfRule>
  </conditionalFormatting>
  <conditionalFormatting sqref="H28">
    <cfRule type="expression" dxfId="94" priority="95">
      <formula>$F28&lt;&gt;"RVP+S"</formula>
    </cfRule>
  </conditionalFormatting>
  <conditionalFormatting sqref="I28:M28">
    <cfRule type="expression" dxfId="93" priority="94">
      <formula>$F28&lt;&gt;"Antoine's"</formula>
    </cfRule>
  </conditionalFormatting>
  <conditionalFormatting sqref="G93">
    <cfRule type="expression" dxfId="92" priority="93">
      <formula>AND($F93&lt;&gt;"RVP",$F93&lt;&gt;"RVP+S")</formula>
    </cfRule>
  </conditionalFormatting>
  <conditionalFormatting sqref="H93">
    <cfRule type="expression" dxfId="91" priority="92">
      <formula>$F93&lt;&gt;"RVP+S"</formula>
    </cfRule>
  </conditionalFormatting>
  <conditionalFormatting sqref="I93:M93">
    <cfRule type="expression" dxfId="90" priority="91">
      <formula>$F93&lt;&gt;"Antoine's"</formula>
    </cfRule>
  </conditionalFormatting>
  <conditionalFormatting sqref="G99">
    <cfRule type="expression" dxfId="89" priority="90">
      <formula>AND($F99&lt;&gt;"RVP",$F99&lt;&gt;"RVP+S")</formula>
    </cfRule>
  </conditionalFormatting>
  <conditionalFormatting sqref="H99">
    <cfRule type="expression" dxfId="88" priority="89">
      <formula>$F99&lt;&gt;"RVP+S"</formula>
    </cfRule>
  </conditionalFormatting>
  <conditionalFormatting sqref="I99:M99">
    <cfRule type="expression" dxfId="87" priority="88">
      <formula>$F99&lt;&gt;"Antoine's"</formula>
    </cfRule>
  </conditionalFormatting>
  <conditionalFormatting sqref="G100">
    <cfRule type="expression" dxfId="86" priority="87">
      <formula>AND($F100&lt;&gt;"RVP",$F100&lt;&gt;"RVP+S")</formula>
    </cfRule>
  </conditionalFormatting>
  <conditionalFormatting sqref="H100">
    <cfRule type="expression" dxfId="85" priority="86">
      <formula>$F100&lt;&gt;"RVP+S"</formula>
    </cfRule>
  </conditionalFormatting>
  <conditionalFormatting sqref="I100:M100">
    <cfRule type="expression" dxfId="84" priority="85">
      <formula>$F100&lt;&gt;"Antoine's"</formula>
    </cfRule>
  </conditionalFormatting>
  <conditionalFormatting sqref="G101">
    <cfRule type="expression" dxfId="83" priority="84">
      <formula>AND($F101&lt;&gt;"RVP",$F101&lt;&gt;"RVP+S")</formula>
    </cfRule>
  </conditionalFormatting>
  <conditionalFormatting sqref="H101">
    <cfRule type="expression" dxfId="82" priority="83">
      <formula>$F101&lt;&gt;"RVP+S"</formula>
    </cfRule>
  </conditionalFormatting>
  <conditionalFormatting sqref="I101:M101">
    <cfRule type="expression" dxfId="81" priority="82">
      <formula>$F101&lt;&gt;"Antoine's"</formula>
    </cfRule>
  </conditionalFormatting>
  <conditionalFormatting sqref="G128">
    <cfRule type="expression" dxfId="80" priority="81">
      <formula>AND($F128&lt;&gt;"RVP",$F128&lt;&gt;"RVP+S")</formula>
    </cfRule>
  </conditionalFormatting>
  <conditionalFormatting sqref="H128">
    <cfRule type="expression" dxfId="79" priority="80">
      <formula>$F128&lt;&gt;"RVP+S"</formula>
    </cfRule>
  </conditionalFormatting>
  <conditionalFormatting sqref="I128:M128">
    <cfRule type="expression" dxfId="78" priority="79">
      <formula>$F128&lt;&gt;"Antoine's"</formula>
    </cfRule>
  </conditionalFormatting>
  <conditionalFormatting sqref="G147">
    <cfRule type="expression" dxfId="77" priority="78">
      <formula>AND($F147&lt;&gt;"RVP",$F147&lt;&gt;"RVP+S")</formula>
    </cfRule>
  </conditionalFormatting>
  <conditionalFormatting sqref="H147">
    <cfRule type="expression" dxfId="76" priority="77">
      <formula>$F147&lt;&gt;"RVP+S"</formula>
    </cfRule>
  </conditionalFormatting>
  <conditionalFormatting sqref="I147:M147">
    <cfRule type="expression" dxfId="75" priority="76">
      <formula>$F147&lt;&gt;"Antoine's"</formula>
    </cfRule>
  </conditionalFormatting>
  <conditionalFormatting sqref="G178">
    <cfRule type="expression" dxfId="74" priority="75">
      <formula>AND($F178&lt;&gt;"RVP",$F178&lt;&gt;"RVP+S")</formula>
    </cfRule>
  </conditionalFormatting>
  <conditionalFormatting sqref="H178">
    <cfRule type="expression" dxfId="73" priority="74">
      <formula>$F178&lt;&gt;"RVP+S"</formula>
    </cfRule>
  </conditionalFormatting>
  <conditionalFormatting sqref="I178:M178">
    <cfRule type="expression" dxfId="72" priority="73">
      <formula>$F178&lt;&gt;"Antoine's"</formula>
    </cfRule>
  </conditionalFormatting>
  <conditionalFormatting sqref="G249">
    <cfRule type="expression" dxfId="71" priority="72">
      <formula>AND($F249&lt;&gt;"RVP",$F249&lt;&gt;"RVP+S")</formula>
    </cfRule>
  </conditionalFormatting>
  <conditionalFormatting sqref="H249">
    <cfRule type="expression" dxfId="70" priority="71">
      <formula>$F249&lt;&gt;"RVP+S"</formula>
    </cfRule>
  </conditionalFormatting>
  <conditionalFormatting sqref="I249:M249">
    <cfRule type="expression" dxfId="69" priority="70">
      <formula>$F249&lt;&gt;"Antoine's"</formula>
    </cfRule>
  </conditionalFormatting>
  <conditionalFormatting sqref="G6">
    <cfRule type="expression" dxfId="68" priority="69">
      <formula>AND($F6&lt;&gt;"RVP",$F6&lt;&gt;"RVP+S")</formula>
    </cfRule>
  </conditionalFormatting>
  <conditionalFormatting sqref="H6">
    <cfRule type="expression" dxfId="67" priority="68">
      <formula>$F6&lt;&gt;"RVP+S"</formula>
    </cfRule>
  </conditionalFormatting>
  <conditionalFormatting sqref="I6:M6">
    <cfRule type="expression" dxfId="66" priority="67">
      <formula>$F6&lt;&gt;"Antoine's"</formula>
    </cfRule>
  </conditionalFormatting>
  <conditionalFormatting sqref="G73">
    <cfRule type="expression" dxfId="65" priority="66">
      <formula>AND($F73&lt;&gt;"RVP",$F73&lt;&gt;"RVP+S")</formula>
    </cfRule>
  </conditionalFormatting>
  <conditionalFormatting sqref="H73">
    <cfRule type="expression" dxfId="64" priority="65">
      <formula>$F73&lt;&gt;"RVP+S"</formula>
    </cfRule>
  </conditionalFormatting>
  <conditionalFormatting sqref="I73:M73">
    <cfRule type="expression" dxfId="63" priority="64">
      <formula>$F73&lt;&gt;"Antoine's"</formula>
    </cfRule>
  </conditionalFormatting>
  <conditionalFormatting sqref="G111">
    <cfRule type="expression" dxfId="62" priority="63">
      <formula>AND($F111&lt;&gt;"RVP",$F111&lt;&gt;"RVP+S")</formula>
    </cfRule>
  </conditionalFormatting>
  <conditionalFormatting sqref="H111">
    <cfRule type="expression" dxfId="61" priority="62">
      <formula>$F111&lt;&gt;"RVP+S"</formula>
    </cfRule>
  </conditionalFormatting>
  <conditionalFormatting sqref="I111:M111">
    <cfRule type="expression" dxfId="60" priority="61">
      <formula>$F111&lt;&gt;"Antoine's"</formula>
    </cfRule>
  </conditionalFormatting>
  <conditionalFormatting sqref="G130">
    <cfRule type="expression" dxfId="59" priority="60">
      <formula>AND($F130&lt;&gt;"RVP",$F130&lt;&gt;"RVP+S")</formula>
    </cfRule>
  </conditionalFormatting>
  <conditionalFormatting sqref="H130">
    <cfRule type="expression" dxfId="58" priority="59">
      <formula>$F130&lt;&gt;"RVP+S"</formula>
    </cfRule>
  </conditionalFormatting>
  <conditionalFormatting sqref="I130:M130">
    <cfRule type="expression" dxfId="57" priority="58">
      <formula>$F130&lt;&gt;"Antoine's"</formula>
    </cfRule>
  </conditionalFormatting>
  <conditionalFormatting sqref="G150">
    <cfRule type="expression" dxfId="56" priority="57">
      <formula>AND($F150&lt;&gt;"RVP",$F150&lt;&gt;"RVP+S")</formula>
    </cfRule>
  </conditionalFormatting>
  <conditionalFormatting sqref="H150">
    <cfRule type="expression" dxfId="55" priority="56">
      <formula>$F150&lt;&gt;"RVP+S"</formula>
    </cfRule>
  </conditionalFormatting>
  <conditionalFormatting sqref="I150:M150">
    <cfRule type="expression" dxfId="54" priority="55">
      <formula>$F150&lt;&gt;"Antoine's"</formula>
    </cfRule>
  </conditionalFormatting>
  <conditionalFormatting sqref="G151">
    <cfRule type="expression" dxfId="53" priority="54">
      <formula>AND($F151&lt;&gt;"RVP",$F151&lt;&gt;"RVP+S")</formula>
    </cfRule>
  </conditionalFormatting>
  <conditionalFormatting sqref="H151">
    <cfRule type="expression" dxfId="52" priority="53">
      <formula>$F151&lt;&gt;"RVP+S"</formula>
    </cfRule>
  </conditionalFormatting>
  <conditionalFormatting sqref="I151:M151">
    <cfRule type="expression" dxfId="51" priority="52">
      <formula>$F151&lt;&gt;"Antoine's"</formula>
    </cfRule>
  </conditionalFormatting>
  <conditionalFormatting sqref="G224">
    <cfRule type="expression" dxfId="50" priority="51">
      <formula>AND($F224&lt;&gt;"RVP",$F224&lt;&gt;"RVP+S")</formula>
    </cfRule>
  </conditionalFormatting>
  <conditionalFormatting sqref="H224">
    <cfRule type="expression" dxfId="49" priority="50">
      <formula>$F224&lt;&gt;"RVP+S"</formula>
    </cfRule>
  </conditionalFormatting>
  <conditionalFormatting sqref="I224:M224">
    <cfRule type="expression" dxfId="48" priority="49">
      <formula>$F224&lt;&gt;"Antoine's"</formula>
    </cfRule>
  </conditionalFormatting>
  <conditionalFormatting sqref="G239">
    <cfRule type="expression" dxfId="47" priority="48">
      <formula>AND($F239&lt;&gt;"RVP",$F239&lt;&gt;"RVP+S")</formula>
    </cfRule>
  </conditionalFormatting>
  <conditionalFormatting sqref="H239">
    <cfRule type="expression" dxfId="46" priority="47">
      <formula>$F239&lt;&gt;"RVP+S"</formula>
    </cfRule>
  </conditionalFormatting>
  <conditionalFormatting sqref="I239:M239">
    <cfRule type="expression" dxfId="45" priority="46">
      <formula>$F239&lt;&gt;"Antoine's"</formula>
    </cfRule>
  </conditionalFormatting>
  <conditionalFormatting sqref="G253">
    <cfRule type="expression" dxfId="44" priority="45">
      <formula>AND($F253&lt;&gt;"RVP",$F253&lt;&gt;"RVP+S")</formula>
    </cfRule>
  </conditionalFormatting>
  <conditionalFormatting sqref="H253">
    <cfRule type="expression" dxfId="43" priority="44">
      <formula>$F253&lt;&gt;"RVP+S"</formula>
    </cfRule>
  </conditionalFormatting>
  <conditionalFormatting sqref="I253:M253">
    <cfRule type="expression" dxfId="42" priority="43">
      <formula>$F253&lt;&gt;"Antoine's"</formula>
    </cfRule>
  </conditionalFormatting>
  <conditionalFormatting sqref="G274">
    <cfRule type="expression" dxfId="41" priority="42">
      <formula>AND($F274&lt;&gt;"RVP",$F274&lt;&gt;"RVP+S")</formula>
    </cfRule>
  </conditionalFormatting>
  <conditionalFormatting sqref="H274">
    <cfRule type="expression" dxfId="40" priority="41">
      <formula>$F274&lt;&gt;"RVP+S"</formula>
    </cfRule>
  </conditionalFormatting>
  <conditionalFormatting sqref="I274:M274">
    <cfRule type="expression" dxfId="39" priority="40">
      <formula>$F274&lt;&gt;"Antoine's"</formula>
    </cfRule>
  </conditionalFormatting>
  <conditionalFormatting sqref="G275:K275">
    <cfRule type="expression" dxfId="38" priority="39">
      <formula>$F275= "Non-volatile"</formula>
    </cfRule>
  </conditionalFormatting>
  <conditionalFormatting sqref="I275:K275">
    <cfRule type="expression" dxfId="37" priority="38">
      <formula>$F275="RVP+S"</formula>
    </cfRule>
  </conditionalFormatting>
  <conditionalFormatting sqref="G275:H275">
    <cfRule type="expression" dxfId="36" priority="37">
      <formula>$F275="Antoine's"</formula>
    </cfRule>
  </conditionalFormatting>
  <conditionalFormatting sqref="G275:K275">
    <cfRule type="expression" dxfId="35" priority="36">
      <formula>$F275="Empty"</formula>
    </cfRule>
  </conditionalFormatting>
  <conditionalFormatting sqref="G275:H275">
    <cfRule type="expression" dxfId="34" priority="35">
      <formula>$F275="Mix"</formula>
    </cfRule>
  </conditionalFormatting>
  <conditionalFormatting sqref="G3:M3">
    <cfRule type="expression" dxfId="33" priority="34">
      <formula>$F3= "Non-volatile"</formula>
    </cfRule>
  </conditionalFormatting>
  <conditionalFormatting sqref="I3:N3">
    <cfRule type="expression" dxfId="32" priority="33">
      <formula>$F3="RVP+S"</formula>
    </cfRule>
  </conditionalFormatting>
  <conditionalFormatting sqref="G3:H3">
    <cfRule type="expression" dxfId="31" priority="32">
      <formula>$F3="Antoine's"</formula>
    </cfRule>
  </conditionalFormatting>
  <conditionalFormatting sqref="G3:N3">
    <cfRule type="expression" dxfId="30" priority="31">
      <formula>$F3="Empty"</formula>
    </cfRule>
  </conditionalFormatting>
  <conditionalFormatting sqref="L3:N3 G3:H3">
    <cfRule type="expression" dxfId="29" priority="30">
      <formula>$F3="Mix"</formula>
    </cfRule>
  </conditionalFormatting>
  <conditionalFormatting sqref="G22">
    <cfRule type="expression" dxfId="28" priority="29">
      <formula>AND($F22&lt;&gt;"RVP",$F22&lt;&gt;"RVP+S")</formula>
    </cfRule>
  </conditionalFormatting>
  <conditionalFormatting sqref="H22">
    <cfRule type="expression" dxfId="27" priority="28">
      <formula>$F22&lt;&gt;"RVP+S"</formula>
    </cfRule>
  </conditionalFormatting>
  <conditionalFormatting sqref="I22:M22">
    <cfRule type="expression" dxfId="26" priority="27">
      <formula>$F22&lt;&gt;"Antoine's"</formula>
    </cfRule>
  </conditionalFormatting>
  <conditionalFormatting sqref="G251:M251">
    <cfRule type="expression" dxfId="25" priority="26">
      <formula>$F251= "Non-volatile"</formula>
    </cfRule>
  </conditionalFormatting>
  <conditionalFormatting sqref="I251:M251">
    <cfRule type="expression" dxfId="24" priority="25">
      <formula>$F251="RVP+S"</formula>
    </cfRule>
  </conditionalFormatting>
  <conditionalFormatting sqref="G251:H251">
    <cfRule type="expression" dxfId="23" priority="24">
      <formula>$F251="Antoine's"</formula>
    </cfRule>
  </conditionalFormatting>
  <conditionalFormatting sqref="G251:M251">
    <cfRule type="expression" dxfId="22" priority="23">
      <formula>$F251="Empty"</formula>
    </cfRule>
  </conditionalFormatting>
  <conditionalFormatting sqref="L251:M251 G251:H251">
    <cfRule type="expression" dxfId="21" priority="22">
      <formula>$F251="Mix"</formula>
    </cfRule>
  </conditionalFormatting>
  <conditionalFormatting sqref="L198">
    <cfRule type="expression" dxfId="20" priority="21">
      <formula>$F198= "Non-volatile"</formula>
    </cfRule>
  </conditionalFormatting>
  <conditionalFormatting sqref="L198">
    <cfRule type="expression" dxfId="19" priority="20">
      <formula>$F198="RVP+S"</formula>
    </cfRule>
  </conditionalFormatting>
  <conditionalFormatting sqref="L198">
    <cfRule type="expression" dxfId="18" priority="19">
      <formula>$F198="Empty"</formula>
    </cfRule>
  </conditionalFormatting>
  <conditionalFormatting sqref="L198">
    <cfRule type="expression" dxfId="17" priority="18">
      <formula>$F198="Mix"</formula>
    </cfRule>
  </conditionalFormatting>
  <conditionalFormatting sqref="G240">
    <cfRule type="expression" dxfId="16" priority="17">
      <formula>AND($F240&lt;&gt;"RVP",$F240&lt;&gt;"RVP+S")</formula>
    </cfRule>
  </conditionalFormatting>
  <conditionalFormatting sqref="H240">
    <cfRule type="expression" dxfId="15" priority="16">
      <formula>$F240&lt;&gt;"RVP+S"</formula>
    </cfRule>
  </conditionalFormatting>
  <conditionalFormatting sqref="I240:M240">
    <cfRule type="expression" dxfId="14" priority="15">
      <formula>$F240&lt;&gt;"Antoine's"</formula>
    </cfRule>
  </conditionalFormatting>
  <conditionalFormatting sqref="I83:I86">
    <cfRule type="expression" dxfId="13" priority="14">
      <formula>$F83&lt;&gt;"Antoine's"</formula>
    </cfRule>
  </conditionalFormatting>
  <conditionalFormatting sqref="J83:J86">
    <cfRule type="expression" dxfId="12" priority="13">
      <formula>$F83&lt;&gt;"Antoine's"</formula>
    </cfRule>
  </conditionalFormatting>
  <conditionalFormatting sqref="K83">
    <cfRule type="expression" dxfId="11" priority="12">
      <formula>$F83&lt;&gt;"Antoine's"</formula>
    </cfRule>
  </conditionalFormatting>
  <conditionalFormatting sqref="L83:M83">
    <cfRule type="expression" dxfId="10" priority="11">
      <formula>$F83&lt;&gt;"Antoine's"</formula>
    </cfRule>
  </conditionalFormatting>
  <conditionalFormatting sqref="K85">
    <cfRule type="expression" dxfId="9" priority="10">
      <formula>$F85&lt;&gt;"Antoine's"</formula>
    </cfRule>
  </conditionalFormatting>
  <conditionalFormatting sqref="G65">
    <cfRule type="expression" dxfId="8" priority="9">
      <formula>AND($F65&lt;&gt;"RVP",$F65&lt;&gt;"RVP+S")</formula>
    </cfRule>
  </conditionalFormatting>
  <conditionalFormatting sqref="H65">
    <cfRule type="expression" dxfId="7" priority="8">
      <formula>$F65&lt;&gt;"RVP+S"</formula>
    </cfRule>
  </conditionalFormatting>
  <conditionalFormatting sqref="I65:M65">
    <cfRule type="expression" dxfId="6" priority="7">
      <formula>$F65&lt;&gt;"Antoine's"</formula>
    </cfRule>
  </conditionalFormatting>
  <conditionalFormatting sqref="G87">
    <cfRule type="expression" dxfId="5" priority="6">
      <formula>AND($F87&lt;&gt;"RVP",$F87&lt;&gt;"RVP+S")</formula>
    </cfRule>
  </conditionalFormatting>
  <conditionalFormatting sqref="H87">
    <cfRule type="expression" dxfId="4" priority="5">
      <formula>$F87&lt;&gt;"RVP+S"</formula>
    </cfRule>
  </conditionalFormatting>
  <conditionalFormatting sqref="I87:M87">
    <cfRule type="expression" dxfId="3" priority="4">
      <formula>$F87&lt;&gt;"Antoine's"</formula>
    </cfRule>
  </conditionalFormatting>
  <conditionalFormatting sqref="G109">
    <cfRule type="expression" dxfId="2" priority="3">
      <formula>AND($F109&lt;&gt;"RVP",$F109&lt;&gt;"RVP+S")</formula>
    </cfRule>
  </conditionalFormatting>
  <conditionalFormatting sqref="H109">
    <cfRule type="expression" dxfId="1" priority="2">
      <formula>$F109&lt;&gt;"RVP+S"</formula>
    </cfRule>
  </conditionalFormatting>
  <conditionalFormatting sqref="I109:M109">
    <cfRule type="expression" dxfId="0" priority="1">
      <formula>$F109&lt;&gt;"Antoine's"</formula>
    </cfRule>
  </conditionalFormatting>
  <dataValidations count="3">
    <dataValidation type="list" allowBlank="1" showInputMessage="1" showErrorMessage="1" sqref="C241:C250 C42:C239 C4:C40 C252:C274" xr:uid="{170309A0-F64B-4020-A19E-7BFAB77D09B0}">
      <formula1>"Non-VOC, PM, PM HAP, VOC, VOC HAP, VOC Exempt, VOC Exempt HAP, VOC Non-Emitted, Water, Mix"</formula1>
    </dataValidation>
    <dataValidation type="list" allowBlank="1" showInputMessage="1" showErrorMessage="1" sqref="C41 C275 C3 C240 C251" xr:uid="{1B72328B-601E-4294-B22C-CBF753CF7AB8}">
      <formula1>"Non-VOC, PM, PM HAP, VOC, VOC HAP, VOC Exempt, VOC Non-Emitted, Water, Mix"</formula1>
    </dataValidation>
    <dataValidation type="list" allowBlank="1" showInputMessage="1" showErrorMessage="1" sqref="F3:F275" xr:uid="{4D706FF0-7450-4A45-911F-591FD8AC23B4}">
      <formula1>"Empty, RVP, RVP+S, Antoine's, Non-volatile, Mix"</formula1>
    </dataValidation>
  </dataValidations>
  <printOptions horizontalCentered="1"/>
  <pageMargins left="0.25" right="0.25" top="0.75" bottom="0.75" header="0.3" footer="0.3"/>
  <pageSetup scale="50" fitToHeight="0" orientation="landscape" r:id="rId1"/>
  <headerFooter alignWithMargins="0">
    <oddFooter>&amp;L&amp;F &amp;CPage &amp;P of &amp;N&amp;R&amp;D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96C13-BB34-F24B-83A6-B88F85B64BF3}">
  <dimension ref="A1:C62"/>
  <sheetViews>
    <sheetView workbookViewId="0">
      <selection activeCell="G76" sqref="G76"/>
    </sheetView>
  </sheetViews>
  <sheetFormatPr baseColWidth="10" defaultRowHeight="16"/>
  <cols>
    <col min="1" max="2" width="10.83203125" style="4"/>
    <col min="3" max="3" width="29.1640625" style="4" bestFit="1" customWidth="1"/>
  </cols>
  <sheetData>
    <row r="1" spans="1:3">
      <c r="A1" s="3" t="s">
        <v>115</v>
      </c>
      <c r="B1" s="3" t="s">
        <v>752</v>
      </c>
      <c r="C1" s="3" t="s">
        <v>775</v>
      </c>
    </row>
    <row r="2" spans="1:3">
      <c r="A2" s="4" t="s">
        <v>116</v>
      </c>
      <c r="B2" s="4" t="s">
        <v>780</v>
      </c>
      <c r="C2" s="4" t="s">
        <v>718</v>
      </c>
    </row>
    <row r="3" spans="1:3">
      <c r="A3" s="4" t="s">
        <v>779</v>
      </c>
      <c r="B3" s="4" t="s">
        <v>799</v>
      </c>
      <c r="C3" s="4" t="s">
        <v>717</v>
      </c>
    </row>
    <row r="4" spans="1:3">
      <c r="C4" s="4" t="s">
        <v>716</v>
      </c>
    </row>
    <row r="5" spans="1:3">
      <c r="C5" s="4" t="s">
        <v>715</v>
      </c>
    </row>
    <row r="6" spans="1:3">
      <c r="C6" s="4" t="s">
        <v>714</v>
      </c>
    </row>
    <row r="7" spans="1:3">
      <c r="C7" s="4" t="s">
        <v>713</v>
      </c>
    </row>
    <row r="8" spans="1:3">
      <c r="C8" s="4" t="s">
        <v>712</v>
      </c>
    </row>
    <row r="9" spans="1:3">
      <c r="C9" s="4" t="s">
        <v>711</v>
      </c>
    </row>
    <row r="10" spans="1:3">
      <c r="C10" s="4" t="s">
        <v>710</v>
      </c>
    </row>
    <row r="11" spans="1:3">
      <c r="C11" s="4" t="s">
        <v>709</v>
      </c>
    </row>
    <row r="12" spans="1:3">
      <c r="C12" s="4" t="s">
        <v>708</v>
      </c>
    </row>
    <row r="13" spans="1:3">
      <c r="C13" s="4" t="s">
        <v>707</v>
      </c>
    </row>
    <row r="14" spans="1:3">
      <c r="C14" s="4" t="s">
        <v>706</v>
      </c>
    </row>
    <row r="15" spans="1:3">
      <c r="C15" s="4" t="s">
        <v>705</v>
      </c>
    </row>
    <row r="16" spans="1:3">
      <c r="C16" s="4" t="s">
        <v>704</v>
      </c>
    </row>
    <row r="17" spans="1:3">
      <c r="C17" s="4" t="s">
        <v>703</v>
      </c>
    </row>
    <row r="18" spans="1:3">
      <c r="C18" s="4" t="s">
        <v>702</v>
      </c>
    </row>
    <row r="19" spans="1:3">
      <c r="A19" s="60"/>
      <c r="C19" s="4" t="s">
        <v>701</v>
      </c>
    </row>
    <row r="20" spans="1:3">
      <c r="C20" s="4" t="s">
        <v>700</v>
      </c>
    </row>
    <row r="21" spans="1:3">
      <c r="C21" s="4" t="s">
        <v>699</v>
      </c>
    </row>
    <row r="22" spans="1:3">
      <c r="C22" s="4" t="s">
        <v>698</v>
      </c>
    </row>
    <row r="23" spans="1:3">
      <c r="C23" s="4" t="s">
        <v>697</v>
      </c>
    </row>
    <row r="24" spans="1:3">
      <c r="C24" s="4" t="s">
        <v>696</v>
      </c>
    </row>
    <row r="25" spans="1:3">
      <c r="C25" s="4" t="s">
        <v>695</v>
      </c>
    </row>
    <row r="26" spans="1:3">
      <c r="C26" s="4" t="s">
        <v>694</v>
      </c>
    </row>
    <row r="27" spans="1:3">
      <c r="C27" s="4" t="s">
        <v>693</v>
      </c>
    </row>
    <row r="28" spans="1:3">
      <c r="C28" s="4" t="s">
        <v>692</v>
      </c>
    </row>
    <row r="29" spans="1:3">
      <c r="C29" s="4" t="s">
        <v>691</v>
      </c>
    </row>
    <row r="30" spans="1:3">
      <c r="C30" s="4" t="s">
        <v>690</v>
      </c>
    </row>
    <row r="31" spans="1:3">
      <c r="C31" s="4" t="s">
        <v>689</v>
      </c>
    </row>
    <row r="32" spans="1:3">
      <c r="C32" s="4" t="s">
        <v>688</v>
      </c>
    </row>
    <row r="33" spans="3:3">
      <c r="C33" s="4" t="s">
        <v>687</v>
      </c>
    </row>
    <row r="34" spans="3:3">
      <c r="C34" s="4" t="s">
        <v>686</v>
      </c>
    </row>
    <row r="35" spans="3:3">
      <c r="C35" s="4" t="s">
        <v>685</v>
      </c>
    </row>
    <row r="36" spans="3:3">
      <c r="C36" s="4" t="s">
        <v>684</v>
      </c>
    </row>
    <row r="37" spans="3:3">
      <c r="C37" s="4" t="s">
        <v>683</v>
      </c>
    </row>
    <row r="38" spans="3:3">
      <c r="C38" s="4" t="s">
        <v>682</v>
      </c>
    </row>
    <row r="39" spans="3:3">
      <c r="C39" s="4" t="s">
        <v>681</v>
      </c>
    </row>
    <row r="40" spans="3:3">
      <c r="C40" s="4" t="s">
        <v>680</v>
      </c>
    </row>
    <row r="41" spans="3:3">
      <c r="C41" s="4" t="s">
        <v>679</v>
      </c>
    </row>
    <row r="42" spans="3:3">
      <c r="C42" s="4" t="s">
        <v>678</v>
      </c>
    </row>
    <row r="43" spans="3:3">
      <c r="C43" s="4" t="s">
        <v>677</v>
      </c>
    </row>
    <row r="44" spans="3:3">
      <c r="C44" s="4" t="s">
        <v>676</v>
      </c>
    </row>
    <row r="45" spans="3:3">
      <c r="C45" s="4" t="s">
        <v>675</v>
      </c>
    </row>
    <row r="46" spans="3:3">
      <c r="C46" s="4" t="s">
        <v>674</v>
      </c>
    </row>
    <row r="47" spans="3:3">
      <c r="C47" s="4" t="s">
        <v>673</v>
      </c>
    </row>
    <row r="48" spans="3:3">
      <c r="C48" s="4" t="s">
        <v>672</v>
      </c>
    </row>
    <row r="49" spans="3:3">
      <c r="C49" s="4" t="s">
        <v>671</v>
      </c>
    </row>
    <row r="50" spans="3:3">
      <c r="C50" s="4" t="s">
        <v>670</v>
      </c>
    </row>
    <row r="51" spans="3:3">
      <c r="C51" s="4" t="s">
        <v>669</v>
      </c>
    </row>
    <row r="52" spans="3:3">
      <c r="C52" s="4" t="s">
        <v>668</v>
      </c>
    </row>
    <row r="53" spans="3:3">
      <c r="C53" s="4" t="s">
        <v>667</v>
      </c>
    </row>
    <row r="54" spans="3:3">
      <c r="C54" s="4" t="s">
        <v>653</v>
      </c>
    </row>
    <row r="55" spans="3:3">
      <c r="C55" s="4" t="s">
        <v>666</v>
      </c>
    </row>
    <row r="56" spans="3:3">
      <c r="C56" s="4" t="s">
        <v>665</v>
      </c>
    </row>
    <row r="57" spans="3:3">
      <c r="C57" s="4" t="s">
        <v>664</v>
      </c>
    </row>
    <row r="58" spans="3:3">
      <c r="C58" s="4" t="s">
        <v>663</v>
      </c>
    </row>
    <row r="59" spans="3:3">
      <c r="C59" s="4" t="s">
        <v>662</v>
      </c>
    </row>
    <row r="60" spans="3:3">
      <c r="C60" s="4" t="s">
        <v>661</v>
      </c>
    </row>
    <row r="61" spans="3:3">
      <c r="C61" s="4" t="s">
        <v>657</v>
      </c>
    </row>
    <row r="62" spans="3:3">
      <c r="C62" s="4" t="s">
        <v>656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Future</vt:lpstr>
      <vt:lpstr>Annual VFRT</vt:lpstr>
      <vt:lpstr>Met Data &amp; Solar Insolation</vt:lpstr>
      <vt:lpstr>Paint Solar Absorbance</vt:lpstr>
      <vt:lpstr>Product Data</vt:lpstr>
      <vt:lpstr>Drop-Downs</vt:lpstr>
      <vt:lpstr>'Met Data &amp; Solar Insolation'!Print_Area</vt:lpstr>
      <vt:lpstr>'Product Data'!Print_Area</vt:lpstr>
      <vt:lpstr>'Product Data'!Print_Titles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Cross</dc:creator>
  <cp:lastModifiedBy>Kyle Cross</cp:lastModifiedBy>
  <dcterms:created xsi:type="dcterms:W3CDTF">2019-11-09T16:37:45Z</dcterms:created>
  <dcterms:modified xsi:type="dcterms:W3CDTF">2019-11-16T21:14:15Z</dcterms:modified>
</cp:coreProperties>
</file>